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aazhon\Downloads\Cost Report for upload\"/>
    </mc:Choice>
  </mc:AlternateContent>
  <xr:revisionPtr revIDLastSave="0" documentId="8_{1EFA878F-364E-44E8-961D-77E62421D5FC}" xr6:coauthVersionLast="47" xr6:coauthVersionMax="47" xr10:uidLastSave="{00000000-0000-0000-0000-000000000000}"/>
  <bookViews>
    <workbookView xWindow="28680" yWindow="-120" windowWidth="29040" windowHeight="15720" tabRatio="864" firstSheet="1" activeTab="1" xr2:uid="{00000000-000D-0000-FFFF-FFFF00000000}"/>
  </bookViews>
  <sheets>
    <sheet name="Instructions" sheetId="54" state="hidden" r:id="rId1"/>
    <sheet name="Results" sheetId="52" r:id="rId2"/>
    <sheet name="Adjustments" sheetId="53" r:id="rId3"/>
    <sheet name="Adjusted Schedule 1" sheetId="29" r:id="rId4"/>
    <sheet name="Adjusted Schedule 1A" sheetId="30" r:id="rId5"/>
    <sheet name="Adjusted Schedule 1B" sheetId="31" r:id="rId6"/>
    <sheet name="Adjusted Schedule 1C" sheetId="32" r:id="rId7"/>
    <sheet name="Adjusted Schedule 2" sheetId="33" r:id="rId8"/>
    <sheet name="Adjusted Schedule 2A" sheetId="34" r:id="rId9"/>
    <sheet name="Adjusted Schedule 2B" sheetId="35" r:id="rId10"/>
    <sheet name="Adjusted Schedule 2C" sheetId="36" r:id="rId11"/>
    <sheet name="Adjusted Schedule 2D" sheetId="37" r:id="rId12"/>
    <sheet name="Adjusted Schedule 2E" sheetId="74" state="hidden" r:id="rId13"/>
    <sheet name="Adjusted Schedule 2F" sheetId="75" state="hidden" r:id="rId14"/>
    <sheet name="Adjusted Schedule 2G" sheetId="76" state="hidden" r:id="rId15"/>
    <sheet name="Adjusted Schedule 2H" sheetId="77" state="hidden" r:id="rId16"/>
    <sheet name="Adjusted Schedule 2I" sheetId="78" state="hidden" r:id="rId17"/>
    <sheet name="Adjusted Schedule 2J" sheetId="79" state="hidden" r:id="rId18"/>
    <sheet name="Adjusted Schedule 2K" sheetId="80" state="hidden" r:id="rId19"/>
    <sheet name="Adjusted Schedule 2L" sheetId="81" state="hidden" r:id="rId20"/>
    <sheet name="Adjusted Schedule 2M" sheetId="82" state="hidden" r:id="rId21"/>
    <sheet name="Adjusted Schedule 3" sheetId="50" r:id="rId22"/>
    <sheet name="Adjusted Schedule 4" sheetId="39" r:id="rId23"/>
    <sheet name="Adjusted Schedule 5" sheetId="85" r:id="rId24"/>
    <sheet name="As-Filed Schedule 1" sheetId="2" r:id="rId25"/>
    <sheet name="As-Filed Schedule 1A" sheetId="20" r:id="rId26"/>
    <sheet name="As-Filed Schedule 1B" sheetId="24" r:id="rId27"/>
    <sheet name="As-Filed Schedule 1C" sheetId="28" r:id="rId28"/>
    <sheet name="As-Filed Schedule 2" sheetId="19" r:id="rId29"/>
    <sheet name="As-Filed Schedule 2A" sheetId="17" r:id="rId30"/>
    <sheet name="As-Filed Schedule 2B" sheetId="18" r:id="rId31"/>
    <sheet name="As-Filed Schedule 2C" sheetId="23" r:id="rId32"/>
    <sheet name="As-Filed Schedule 2D" sheetId="16" r:id="rId33"/>
    <sheet name="As-Filed Schedule 2E" sheetId="56" state="hidden" r:id="rId34"/>
    <sheet name="As-Filed Schedule 2F" sheetId="57" state="hidden" r:id="rId35"/>
    <sheet name="As-Filed Schedule 2G" sheetId="58" state="hidden" r:id="rId36"/>
    <sheet name="As-Filed Schedule 2H" sheetId="59" state="hidden" r:id="rId37"/>
    <sheet name="As-Filed Schedule 2I" sheetId="60" state="hidden" r:id="rId38"/>
    <sheet name="As-Filed Schedule 2J" sheetId="61" state="hidden" r:id="rId39"/>
    <sheet name="As-Filed Schedule 2K" sheetId="62" state="hidden" r:id="rId40"/>
    <sheet name="As-Filed Schedule 2L" sheetId="63" state="hidden" r:id="rId41"/>
    <sheet name="As-Filed Schedule 2M" sheetId="64" state="hidden" r:id="rId42"/>
    <sheet name="As-Filed Schedule 3" sheetId="12" r:id="rId43"/>
    <sheet name="As-Filed Schedule 4" sheetId="22" r:id="rId44"/>
    <sheet name="As-Filed Schedule 5" sheetId="83" r:id="rId45"/>
    <sheet name="Schedule 1 Adjustments" sheetId="40" r:id="rId46"/>
    <sheet name="Schedule 1A Adjustments" sheetId="41" r:id="rId47"/>
    <sheet name="Schedule 1C Adjustments" sheetId="43" r:id="rId48"/>
    <sheet name="Schedule 2A Adjustments" sheetId="46" r:id="rId49"/>
    <sheet name="Schedule 2B Adjustments" sheetId="47" r:id="rId50"/>
    <sheet name="Schedule 2C Adjustments" sheetId="48" r:id="rId51"/>
    <sheet name="Schedule 2D Adjustments" sheetId="49" r:id="rId52"/>
    <sheet name="Schedule 2E Adjustments" sheetId="65" state="hidden" r:id="rId53"/>
    <sheet name="Schedule 2F Adjustments" sheetId="66" state="hidden" r:id="rId54"/>
    <sheet name="Schedule 2G Adjustments" sheetId="67" state="hidden" r:id="rId55"/>
    <sheet name="Schedule 2H Adjustments" sheetId="68" state="hidden" r:id="rId56"/>
    <sheet name="Schedule 2I Adjustments" sheetId="69" state="hidden" r:id="rId57"/>
    <sheet name="Schedule 2J Adjustments" sheetId="70" state="hidden" r:id="rId58"/>
    <sheet name="Schedule 2K Adjustments" sheetId="71" state="hidden" r:id="rId59"/>
    <sheet name="Schedule 2L Adjustments" sheetId="72" state="hidden" r:id="rId60"/>
    <sheet name="Schedule 2M Adjustments" sheetId="73" state="hidden" r:id="rId61"/>
    <sheet name="Schedule 3 Adjustments" sheetId="38" r:id="rId62"/>
    <sheet name="Schedule 4 Adjustments" sheetId="51" r:id="rId63"/>
    <sheet name="Schedule 5 Adjustments" sheetId="84" r:id="rId64"/>
  </sheets>
  <definedNames>
    <definedName name="_xlnm._FilterDatabase" localSheetId="1" hidden="1">Results!$A$48:$F$245</definedName>
    <definedName name="_xlnm.Print_Area" localSheetId="1">Results!$A:$F</definedName>
    <definedName name="_xlnm.Print_Titles" localSheetId="1">Results!$10:$10</definedName>
    <definedName name="Z_17302493_42B1_4877_869E_E424A97AE78B_.wvu.Cols" localSheetId="2" hidden="1">Adjustments!$AA:$AA</definedName>
    <definedName name="Z_17302493_42B1_4877_869E_E424A97AE78B_.wvu.FilterData" localSheetId="1" hidden="1">Results!$A$48:$F$245</definedName>
    <definedName name="Z_17302493_42B1_4877_869E_E424A97AE78B_.wvu.PrintArea" localSheetId="1" hidden="1">Results!$A:$F</definedName>
    <definedName name="Z_17302493_42B1_4877_869E_E424A97AE78B_.wvu.PrintTitles" localSheetId="1" hidden="1">Results!$10:$10</definedName>
    <definedName name="Z_17302493_42B1_4877_869E_E424A97AE78B_.wvu.Rows" localSheetId="4" hidden="1">'Adjusted Schedule 1A'!$93:$96</definedName>
    <definedName name="Z_17302493_42B1_4877_869E_E424A97AE78B_.wvu.Rows" localSheetId="6" hidden="1">'Adjusted Schedule 1C'!$97:$100</definedName>
    <definedName name="Z_17302493_42B1_4877_869E_E424A97AE78B_.wvu.Rows" localSheetId="21" hidden="1">'Adjusted Schedule 3'!$252:$262</definedName>
    <definedName name="Z_17302493_42B1_4877_869E_E424A97AE78B_.wvu.Rows" localSheetId="25" hidden="1">'As-Filed Schedule 1A'!$92:$95</definedName>
    <definedName name="Z_17302493_42B1_4877_869E_E424A97AE78B_.wvu.Rows" localSheetId="27" hidden="1">'As-Filed Schedule 1C'!$96:$99</definedName>
    <definedName name="Z_17302493_42B1_4877_869E_E424A97AE78B_.wvu.Rows" localSheetId="42" hidden="1">'As-Filed Schedule 3'!$251:$261</definedName>
    <definedName name="Z_17302493_42B1_4877_869E_E424A97AE78B_.wvu.Rows" localSheetId="1" hidden="1">Results!$19:$27</definedName>
    <definedName name="Z_17302493_42B1_4877_869E_E424A97AE78B_.wvu.Rows" localSheetId="46" hidden="1">'Schedule 1A Adjustments'!$92:$95</definedName>
    <definedName name="Z_17302493_42B1_4877_869E_E424A97AE78B_.wvu.Rows" localSheetId="47" hidden="1">'Schedule 1C Adjustments'!$96:$99</definedName>
    <definedName name="Z_17302493_42B1_4877_869E_E424A97AE78B_.wvu.Rows" localSheetId="61" hidden="1">'Schedule 3 Adjustments'!$251:$261</definedName>
    <definedName name="Z_5C0BA3A5_859C_46C2_B685_44D9A90065E4_.wvu.Cols" localSheetId="2" hidden="1">Adjustments!$AA:$AA</definedName>
    <definedName name="Z_5C0BA3A5_859C_46C2_B685_44D9A90065E4_.wvu.FilterData" localSheetId="1" hidden="1">Results!$A$48:$F$245</definedName>
    <definedName name="Z_5C0BA3A5_859C_46C2_B685_44D9A90065E4_.wvu.PrintArea" localSheetId="1" hidden="1">Results!$A:$F</definedName>
    <definedName name="Z_5C0BA3A5_859C_46C2_B685_44D9A90065E4_.wvu.PrintTitles" localSheetId="1" hidden="1">Results!$10:$10</definedName>
    <definedName name="Z_5C0BA3A5_859C_46C2_B685_44D9A90065E4_.wvu.Rows" localSheetId="4" hidden="1">'Adjusted Schedule 1A'!$93:$96</definedName>
    <definedName name="Z_5C0BA3A5_859C_46C2_B685_44D9A90065E4_.wvu.Rows" localSheetId="6" hidden="1">'Adjusted Schedule 1C'!$97:$100</definedName>
    <definedName name="Z_5C0BA3A5_859C_46C2_B685_44D9A90065E4_.wvu.Rows" localSheetId="21" hidden="1">'Adjusted Schedule 3'!$252:$262</definedName>
    <definedName name="Z_5C0BA3A5_859C_46C2_B685_44D9A90065E4_.wvu.Rows" localSheetId="25" hidden="1">'As-Filed Schedule 1A'!$92:$95</definedName>
    <definedName name="Z_5C0BA3A5_859C_46C2_B685_44D9A90065E4_.wvu.Rows" localSheetId="27" hidden="1">'As-Filed Schedule 1C'!$96:$99</definedName>
    <definedName name="Z_5C0BA3A5_859C_46C2_B685_44D9A90065E4_.wvu.Rows" localSheetId="42" hidden="1">'As-Filed Schedule 3'!$251:$261</definedName>
    <definedName name="Z_5C0BA3A5_859C_46C2_B685_44D9A90065E4_.wvu.Rows" localSheetId="46" hidden="1">'Schedule 1A Adjustments'!$92:$95</definedName>
    <definedName name="Z_5C0BA3A5_859C_46C2_B685_44D9A90065E4_.wvu.Rows" localSheetId="47" hidden="1">'Schedule 1C Adjustments'!$96:$99</definedName>
    <definedName name="Z_5C0BA3A5_859C_46C2_B685_44D9A90065E4_.wvu.Rows" localSheetId="61" hidden="1">'Schedule 3 Adjustments'!$251:$261</definedName>
  </definedNames>
  <calcPr calcId="191029"/>
  <customWorkbookViews>
    <customWorkbookView name="HideTabs" guid="{17302493-42B1-4877-869E-E424A97AE78B}" maximized="1" xWindow="-8" yWindow="-8" windowWidth="1936" windowHeight="1056" tabRatio="864" activeSheetId="52"/>
    <customWorkbookView name="Show All Tabs" guid="{5C0BA3A5-859C-46C2-B685-44D9A90065E4}" maximized="1" xWindow="-8" yWindow="-8" windowWidth="1936" windowHeight="1056" tabRatio="864" activeSheetId="5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52" l="1"/>
  <c r="M17" i="51" l="1"/>
  <c r="G16" i="72"/>
  <c r="G17" i="72"/>
  <c r="G18" i="72"/>
  <c r="G19" i="72"/>
  <c r="G20" i="72"/>
  <c r="G21" i="72"/>
  <c r="G22" i="72"/>
  <c r="G23" i="72"/>
  <c r="G24" i="72"/>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6" i="72"/>
  <c r="G57" i="72"/>
  <c r="G58" i="72"/>
  <c r="G59" i="72"/>
  <c r="G60" i="72"/>
  <c r="G61" i="72"/>
  <c r="G62" i="72"/>
  <c r="G63" i="72"/>
  <c r="G64" i="72"/>
  <c r="G65" i="72"/>
  <c r="G66" i="72"/>
  <c r="G67" i="72"/>
  <c r="G68" i="72"/>
  <c r="G69" i="72"/>
  <c r="G70" i="72"/>
  <c r="G71" i="72"/>
  <c r="G72" i="72"/>
  <c r="G15" i="72"/>
  <c r="Z16" i="66"/>
  <c r="Z17" i="66"/>
  <c r="Z18" i="66"/>
  <c r="Z19" i="66"/>
  <c r="Z20" i="66"/>
  <c r="Z21" i="66"/>
  <c r="Z22" i="66"/>
  <c r="Z23" i="66"/>
  <c r="Z24" i="66"/>
  <c r="Z25" i="66"/>
  <c r="Z26" i="66"/>
  <c r="Z27" i="66"/>
  <c r="Z28" i="66"/>
  <c r="Z29" i="66"/>
  <c r="Z30" i="66"/>
  <c r="Z31" i="66"/>
  <c r="Z32" i="66"/>
  <c r="Z33" i="66"/>
  <c r="Z34" i="66"/>
  <c r="Z35" i="66"/>
  <c r="Z36" i="66"/>
  <c r="Z37" i="66"/>
  <c r="Z38" i="66"/>
  <c r="Z39" i="66"/>
  <c r="Z40" i="66"/>
  <c r="Z41" i="66"/>
  <c r="Z42" i="66"/>
  <c r="Z43" i="66"/>
  <c r="Z44" i="66"/>
  <c r="Z45" i="66"/>
  <c r="Z46" i="66"/>
  <c r="Z47" i="66"/>
  <c r="Z48" i="66"/>
  <c r="Z49" i="66"/>
  <c r="Z50" i="66"/>
  <c r="Z51" i="66"/>
  <c r="Z52" i="66"/>
  <c r="Z53" i="66"/>
  <c r="Z54" i="66"/>
  <c r="Z55" i="66"/>
  <c r="Z56" i="66"/>
  <c r="Z57" i="66"/>
  <c r="Z58" i="66"/>
  <c r="Z59" i="66"/>
  <c r="Z60" i="66"/>
  <c r="Z61" i="66"/>
  <c r="Z62" i="66"/>
  <c r="Z63" i="66"/>
  <c r="Z64" i="66"/>
  <c r="Z65" i="66"/>
  <c r="Z66" i="66"/>
  <c r="Z67" i="66"/>
  <c r="Z68" i="66"/>
  <c r="Z69" i="66"/>
  <c r="Z70" i="66"/>
  <c r="Z71" i="66"/>
  <c r="Z72" i="66"/>
  <c r="W16" i="66"/>
  <c r="W17" i="66"/>
  <c r="W18" i="66"/>
  <c r="W19" i="66"/>
  <c r="W20" i="66"/>
  <c r="W21" i="66"/>
  <c r="W22" i="66"/>
  <c r="W23" i="66"/>
  <c r="W24" i="66"/>
  <c r="W25" i="66"/>
  <c r="W26" i="66"/>
  <c r="W27" i="66"/>
  <c r="W28" i="66"/>
  <c r="W29" i="66"/>
  <c r="W30" i="66"/>
  <c r="W31" i="66"/>
  <c r="W32" i="66"/>
  <c r="W33" i="66"/>
  <c r="W34" i="66"/>
  <c r="W35" i="66"/>
  <c r="W36" i="66"/>
  <c r="W37" i="66"/>
  <c r="W38" i="66"/>
  <c r="W39" i="66"/>
  <c r="W40" i="66"/>
  <c r="W41" i="66"/>
  <c r="W42" i="66"/>
  <c r="W43" i="66"/>
  <c r="W44" i="66"/>
  <c r="W45" i="66"/>
  <c r="W46" i="66"/>
  <c r="W47" i="66"/>
  <c r="W48" i="66"/>
  <c r="W49" i="66"/>
  <c r="W50" i="66"/>
  <c r="W51" i="66"/>
  <c r="W52" i="66"/>
  <c r="W53" i="66"/>
  <c r="W54" i="66"/>
  <c r="W55" i="66"/>
  <c r="W56" i="66"/>
  <c r="W57" i="66"/>
  <c r="W58" i="66"/>
  <c r="W59" i="66"/>
  <c r="W60" i="66"/>
  <c r="W61" i="66"/>
  <c r="W62" i="66"/>
  <c r="W63" i="66"/>
  <c r="W64" i="66"/>
  <c r="W65" i="66"/>
  <c r="W66" i="66"/>
  <c r="W67" i="66"/>
  <c r="W68" i="66"/>
  <c r="W69" i="66"/>
  <c r="W70" i="66"/>
  <c r="W71" i="66"/>
  <c r="W72" i="66"/>
  <c r="Z15" i="66"/>
  <c r="W15" i="66"/>
  <c r="O16" i="66"/>
  <c r="O17" i="66"/>
  <c r="O18" i="66"/>
  <c r="O19" i="66"/>
  <c r="O20" i="66"/>
  <c r="O21" i="66"/>
  <c r="O22" i="66"/>
  <c r="O23" i="66"/>
  <c r="O24" i="66"/>
  <c r="O25" i="66"/>
  <c r="O26" i="66"/>
  <c r="O27" i="66"/>
  <c r="O28" i="66"/>
  <c r="O29" i="66"/>
  <c r="O30" i="66"/>
  <c r="O31" i="66"/>
  <c r="O32" i="66"/>
  <c r="O33" i="66"/>
  <c r="O34" i="66"/>
  <c r="O35" i="66"/>
  <c r="O36" i="66"/>
  <c r="O37" i="66"/>
  <c r="O38" i="66"/>
  <c r="O39" i="66"/>
  <c r="O40" i="66"/>
  <c r="O41" i="66"/>
  <c r="O42" i="66"/>
  <c r="O43" i="66"/>
  <c r="O44" i="66"/>
  <c r="O45" i="66"/>
  <c r="O46" i="66"/>
  <c r="O47" i="66"/>
  <c r="O48" i="66"/>
  <c r="O49" i="66"/>
  <c r="O50" i="66"/>
  <c r="O51" i="66"/>
  <c r="O52" i="66"/>
  <c r="O53" i="66"/>
  <c r="O54" i="66"/>
  <c r="O55" i="66"/>
  <c r="O56" i="66"/>
  <c r="O57" i="66"/>
  <c r="O58" i="66"/>
  <c r="O59" i="66"/>
  <c r="O60" i="66"/>
  <c r="O61" i="66"/>
  <c r="O62" i="66"/>
  <c r="O63" i="66"/>
  <c r="O64" i="66"/>
  <c r="O65" i="66"/>
  <c r="O66" i="66"/>
  <c r="O67" i="66"/>
  <c r="O68" i="66"/>
  <c r="O69" i="66"/>
  <c r="O70" i="66"/>
  <c r="O71" i="66"/>
  <c r="O72" i="66"/>
  <c r="G16" i="66"/>
  <c r="G17" i="66"/>
  <c r="G18" i="66"/>
  <c r="G19" i="66"/>
  <c r="G20" i="66"/>
  <c r="G21" i="66"/>
  <c r="G22" i="66"/>
  <c r="G23" i="66"/>
  <c r="G24" i="66"/>
  <c r="G25" i="66"/>
  <c r="G26" i="66"/>
  <c r="G27" i="66"/>
  <c r="G28" i="66"/>
  <c r="G29" i="66"/>
  <c r="G30" i="66"/>
  <c r="G31" i="66"/>
  <c r="G32" i="66"/>
  <c r="G33" i="66"/>
  <c r="G34" i="66"/>
  <c r="G35" i="66"/>
  <c r="G36" i="66"/>
  <c r="G37" i="66"/>
  <c r="G38" i="66"/>
  <c r="G39" i="66"/>
  <c r="G40" i="66"/>
  <c r="G41" i="66"/>
  <c r="G42" i="66"/>
  <c r="G43" i="66"/>
  <c r="G44" i="66"/>
  <c r="G45" i="66"/>
  <c r="G46" i="66"/>
  <c r="G47" i="66"/>
  <c r="G48" i="66"/>
  <c r="G49" i="66"/>
  <c r="G50" i="66"/>
  <c r="G51" i="66"/>
  <c r="G52" i="66"/>
  <c r="G53" i="66"/>
  <c r="G54" i="66"/>
  <c r="G55" i="66"/>
  <c r="G56" i="66"/>
  <c r="G57" i="66"/>
  <c r="G58" i="66"/>
  <c r="G59" i="66"/>
  <c r="G60" i="66"/>
  <c r="G61" i="66"/>
  <c r="G62" i="66"/>
  <c r="G63" i="66"/>
  <c r="G64" i="66"/>
  <c r="G65" i="66"/>
  <c r="G66" i="66"/>
  <c r="G67" i="66"/>
  <c r="G68" i="66"/>
  <c r="G69" i="66"/>
  <c r="G70" i="66"/>
  <c r="G71" i="66"/>
  <c r="G72" i="66"/>
  <c r="O15" i="66"/>
  <c r="G15" i="66"/>
  <c r="Z16" i="65"/>
  <c r="Z17" i="65"/>
  <c r="Z18" i="65"/>
  <c r="Z19" i="65"/>
  <c r="Z20" i="65"/>
  <c r="Z21" i="65"/>
  <c r="Z22" i="65"/>
  <c r="Z23" i="65"/>
  <c r="Z24" i="65"/>
  <c r="Z25" i="65"/>
  <c r="Z26" i="65"/>
  <c r="Z27" i="65"/>
  <c r="Z28" i="65"/>
  <c r="Z29" i="65"/>
  <c r="Z30" i="65"/>
  <c r="Z31" i="65"/>
  <c r="Z32" i="65"/>
  <c r="Z33" i="65"/>
  <c r="Z34" i="65"/>
  <c r="Z35" i="65"/>
  <c r="Z36" i="65"/>
  <c r="Z37" i="65"/>
  <c r="Z38" i="65"/>
  <c r="Z39" i="65"/>
  <c r="Z40" i="65"/>
  <c r="Z41" i="65"/>
  <c r="Z42" i="65"/>
  <c r="Z43" i="65"/>
  <c r="Z44" i="65"/>
  <c r="Z45" i="65"/>
  <c r="Z46" i="65"/>
  <c r="Z47" i="65"/>
  <c r="Z48" i="65"/>
  <c r="Z49" i="65"/>
  <c r="Z50" i="65"/>
  <c r="Z51" i="65"/>
  <c r="Z52" i="65"/>
  <c r="Z53" i="65"/>
  <c r="Z54" i="65"/>
  <c r="Z55" i="65"/>
  <c r="Z56" i="65"/>
  <c r="Z57" i="65"/>
  <c r="Z58" i="65"/>
  <c r="Z59" i="65"/>
  <c r="Z60" i="65"/>
  <c r="Z61" i="65"/>
  <c r="Z62" i="65"/>
  <c r="Z63" i="65"/>
  <c r="Z64" i="65"/>
  <c r="Z65" i="65"/>
  <c r="Z66" i="65"/>
  <c r="Z67" i="65"/>
  <c r="Z68" i="65"/>
  <c r="Z69" i="65"/>
  <c r="Z70" i="65"/>
  <c r="Z71" i="65"/>
  <c r="Z72"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Z15" i="65"/>
  <c r="W15" i="65"/>
  <c r="G16" i="65"/>
  <c r="G17" i="65"/>
  <c r="G18" i="65"/>
  <c r="G19" i="65"/>
  <c r="G20" i="65"/>
  <c r="G21" i="65"/>
  <c r="G22" i="65"/>
  <c r="G23" i="65"/>
  <c r="G24" i="65"/>
  <c r="G25" i="65"/>
  <c r="G26" i="65"/>
  <c r="G27" i="65"/>
  <c r="G28" i="65"/>
  <c r="G29" i="65"/>
  <c r="G30" i="65"/>
  <c r="G31" i="65"/>
  <c r="G32" i="65"/>
  <c r="G33" i="65"/>
  <c r="G34" i="65"/>
  <c r="G35" i="65"/>
  <c r="G36" i="65"/>
  <c r="G37" i="65"/>
  <c r="G38" i="65"/>
  <c r="G39" i="65"/>
  <c r="G40" i="65"/>
  <c r="G41" i="65"/>
  <c r="G42" i="65"/>
  <c r="G43" i="65"/>
  <c r="G44" i="65"/>
  <c r="G45" i="65"/>
  <c r="G46" i="65"/>
  <c r="G47" i="65"/>
  <c r="G48" i="65"/>
  <c r="G49" i="65"/>
  <c r="G50" i="65"/>
  <c r="G51" i="65"/>
  <c r="G52" i="65"/>
  <c r="G53" i="65"/>
  <c r="G54" i="65"/>
  <c r="G55" i="65"/>
  <c r="G56" i="65"/>
  <c r="G57" i="65"/>
  <c r="G58" i="65"/>
  <c r="G59" i="65"/>
  <c r="G60" i="65"/>
  <c r="G61" i="65"/>
  <c r="G62" i="65"/>
  <c r="G63" i="65"/>
  <c r="G64" i="65"/>
  <c r="G65" i="65"/>
  <c r="G66" i="65"/>
  <c r="G67" i="65"/>
  <c r="G68" i="65"/>
  <c r="G69" i="65"/>
  <c r="G70" i="65"/>
  <c r="G71" i="65"/>
  <c r="G72" i="65"/>
  <c r="O16" i="65"/>
  <c r="O17" i="65"/>
  <c r="O18" i="65"/>
  <c r="O19" i="65"/>
  <c r="O20" i="65"/>
  <c r="O21" i="65"/>
  <c r="O22" i="65"/>
  <c r="O23" i="65"/>
  <c r="O24" i="65"/>
  <c r="O25" i="65"/>
  <c r="O26" i="65"/>
  <c r="O27" i="65"/>
  <c r="O28" i="65"/>
  <c r="O29" i="65"/>
  <c r="O30" i="65"/>
  <c r="O31" i="65"/>
  <c r="O32" i="65"/>
  <c r="O33" i="65"/>
  <c r="O34"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O62" i="65"/>
  <c r="O63" i="65"/>
  <c r="O64" i="65"/>
  <c r="O65" i="65"/>
  <c r="O66" i="65"/>
  <c r="O67" i="65"/>
  <c r="O68" i="65"/>
  <c r="O69" i="65"/>
  <c r="O70" i="65"/>
  <c r="O71" i="65"/>
  <c r="O72" i="65"/>
  <c r="O15" i="65"/>
  <c r="O29" i="49"/>
  <c r="G20" i="49"/>
  <c r="O15" i="48"/>
  <c r="G15" i="48"/>
  <c r="O15" i="47"/>
  <c r="G15" i="47"/>
  <c r="O72" i="46"/>
  <c r="G15" i="65"/>
  <c r="E43" i="52"/>
  <c r="E42" i="52"/>
  <c r="O73" i="65" l="1"/>
  <c r="B22" i="31"/>
  <c r="B17" i="31"/>
  <c r="L19" i="38" l="1"/>
  <c r="E27" i="52" l="1"/>
  <c r="M9" i="51" l="1"/>
  <c r="E14" i="84"/>
  <c r="A4" i="85"/>
  <c r="C7" i="85"/>
  <c r="C6" i="85"/>
  <c r="F45" i="84"/>
  <c r="D46" i="85" s="1"/>
  <c r="E39" i="84"/>
  <c r="E40" i="84"/>
  <c r="E38" i="84"/>
  <c r="E31" i="84"/>
  <c r="E32" i="84"/>
  <c r="E33" i="84"/>
  <c r="E34" i="84"/>
  <c r="E30" i="84"/>
  <c r="E23" i="84"/>
  <c r="E24" i="84"/>
  <c r="E25" i="84"/>
  <c r="E26" i="84"/>
  <c r="E22" i="84"/>
  <c r="E18" i="84"/>
  <c r="E13" i="84"/>
  <c r="E15" i="84"/>
  <c r="E16" i="84"/>
  <c r="E17" i="84"/>
  <c r="E12" i="84"/>
  <c r="E18" i="51"/>
  <c r="D45" i="84"/>
  <c r="D39" i="84"/>
  <c r="D40" i="84"/>
  <c r="D38" i="84"/>
  <c r="D31" i="84"/>
  <c r="D32" i="84"/>
  <c r="D33" i="84"/>
  <c r="D34" i="84"/>
  <c r="D30" i="84"/>
  <c r="D23" i="84"/>
  <c r="D24" i="84"/>
  <c r="D25" i="84"/>
  <c r="D26" i="84"/>
  <c r="D22" i="84"/>
  <c r="D13" i="84"/>
  <c r="D14" i="84"/>
  <c r="D15" i="84"/>
  <c r="D16" i="84"/>
  <c r="D17" i="84"/>
  <c r="D18" i="84"/>
  <c r="D12" i="84"/>
  <c r="C6" i="84"/>
  <c r="C5" i="84"/>
  <c r="C6" i="83"/>
  <c r="C5" i="83"/>
  <c r="D41" i="83"/>
  <c r="D35" i="83"/>
  <c r="D27" i="83"/>
  <c r="D19" i="83"/>
  <c r="Q8" i="51"/>
  <c r="R8" i="51"/>
  <c r="N9" i="51"/>
  <c r="O9" i="51" s="1"/>
  <c r="I10" i="39" s="1"/>
  <c r="D42" i="52" s="1"/>
  <c r="C7" i="82"/>
  <c r="C6" i="82"/>
  <c r="A5" i="82"/>
  <c r="C7" i="81"/>
  <c r="C6" i="81"/>
  <c r="A4" i="81"/>
  <c r="F30" i="84" l="1"/>
  <c r="D31" i="85" s="1"/>
  <c r="F26" i="84"/>
  <c r="D27" i="85" s="1"/>
  <c r="F31" i="84"/>
  <c r="D32" i="85" s="1"/>
  <c r="F25" i="84"/>
  <c r="D26" i="85" s="1"/>
  <c r="F39" i="84"/>
  <c r="D40" i="85" s="1"/>
  <c r="F38" i="84"/>
  <c r="D39" i="85" s="1"/>
  <c r="F42" i="52"/>
  <c r="D35" i="84"/>
  <c r="F32" i="84"/>
  <c r="D33" i="85" s="1"/>
  <c r="F17" i="84"/>
  <c r="D18" i="85" s="1"/>
  <c r="F16" i="84"/>
  <c r="D17" i="85" s="1"/>
  <c r="D27" i="84"/>
  <c r="F14" i="84"/>
  <c r="D15" i="85" s="1"/>
  <c r="F15" i="84"/>
  <c r="D16" i="85" s="1"/>
  <c r="F18" i="84"/>
  <c r="D19" i="85" s="1"/>
  <c r="F34" i="84"/>
  <c r="D35" i="85" s="1"/>
  <c r="F12" i="84"/>
  <c r="D13" i="85" s="1"/>
  <c r="F33" i="84"/>
  <c r="D34" i="85" s="1"/>
  <c r="F13" i="84"/>
  <c r="D14" i="85" s="1"/>
  <c r="F40" i="84"/>
  <c r="F22" i="84"/>
  <c r="D23" i="85" s="1"/>
  <c r="F24" i="84"/>
  <c r="D25" i="85" s="1"/>
  <c r="D41" i="84"/>
  <c r="F23" i="84"/>
  <c r="D24" i="85" s="1"/>
  <c r="D43" i="83"/>
  <c r="D46" i="83" s="1"/>
  <c r="E46" i="83" s="1"/>
  <c r="D19" i="84"/>
  <c r="S8" i="51"/>
  <c r="K9" i="39" s="1"/>
  <c r="D43" i="52" s="1"/>
  <c r="F43" i="52" s="1"/>
  <c r="E41" i="84"/>
  <c r="E35" i="84"/>
  <c r="E27" i="84"/>
  <c r="E19" i="84"/>
  <c r="F41" i="84" l="1"/>
  <c r="E43" i="84"/>
  <c r="D43" i="84"/>
  <c r="D46" i="84" s="1"/>
  <c r="G46" i="84" s="1"/>
  <c r="D41" i="85"/>
  <c r="D42" i="85" s="1"/>
  <c r="F35" i="84"/>
  <c r="D20" i="85"/>
  <c r="F19" i="84"/>
  <c r="D36" i="85"/>
  <c r="F27" i="84"/>
  <c r="D28" i="85"/>
  <c r="C7" i="80"/>
  <c r="C6" i="80"/>
  <c r="A4" i="80"/>
  <c r="C7" i="79"/>
  <c r="C6" i="79"/>
  <c r="A4" i="79"/>
  <c r="C7" i="78"/>
  <c r="C6" i="78"/>
  <c r="A4" i="78"/>
  <c r="C7" i="77"/>
  <c r="C6" i="77"/>
  <c r="A4" i="77"/>
  <c r="C7" i="76"/>
  <c r="C6" i="76"/>
  <c r="A4" i="76"/>
  <c r="C7" i="75"/>
  <c r="C6" i="75"/>
  <c r="A4" i="75"/>
  <c r="C7" i="74"/>
  <c r="C6" i="74"/>
  <c r="A4" i="74"/>
  <c r="F8" i="71"/>
  <c r="F9" i="80" s="1"/>
  <c r="F8" i="72"/>
  <c r="F9" i="81" s="1"/>
  <c r="I8" i="73"/>
  <c r="J9" i="82" s="1"/>
  <c r="F8" i="70"/>
  <c r="F9" i="79" s="1"/>
  <c r="F8" i="65"/>
  <c r="F9" i="74" s="1"/>
  <c r="Z72" i="73"/>
  <c r="Y72" i="73"/>
  <c r="W72" i="73"/>
  <c r="V72" i="73"/>
  <c r="O72" i="73"/>
  <c r="N72" i="73"/>
  <c r="G72" i="73"/>
  <c r="F72" i="73"/>
  <c r="B72" i="73"/>
  <c r="B73" i="82" s="1"/>
  <c r="Z71" i="73"/>
  <c r="Y71" i="73"/>
  <c r="W71" i="73"/>
  <c r="V71" i="73"/>
  <c r="O71" i="73"/>
  <c r="N71" i="73"/>
  <c r="G71" i="73"/>
  <c r="F71" i="73"/>
  <c r="B71" i="73"/>
  <c r="B72" i="82" s="1"/>
  <c r="Z70" i="73"/>
  <c r="Y70" i="73"/>
  <c r="W70" i="73"/>
  <c r="V70" i="73"/>
  <c r="O70" i="73"/>
  <c r="N70" i="73"/>
  <c r="G70" i="73"/>
  <c r="F70" i="73"/>
  <c r="B70" i="73"/>
  <c r="B71" i="82" s="1"/>
  <c r="Z69" i="73"/>
  <c r="Y69" i="73"/>
  <c r="W69" i="73"/>
  <c r="V69" i="73"/>
  <c r="O69" i="73"/>
  <c r="N69" i="73"/>
  <c r="G69" i="73"/>
  <c r="F69" i="73"/>
  <c r="B69" i="73"/>
  <c r="B70" i="82" s="1"/>
  <c r="Z68" i="73"/>
  <c r="Y68" i="73"/>
  <c r="W68" i="73"/>
  <c r="V68" i="73"/>
  <c r="O68" i="73"/>
  <c r="N68" i="73"/>
  <c r="G68" i="73"/>
  <c r="F68" i="73"/>
  <c r="B68" i="73"/>
  <c r="B69" i="82" s="1"/>
  <c r="Z67" i="73"/>
  <c r="Y67" i="73"/>
  <c r="W67" i="73"/>
  <c r="V67" i="73"/>
  <c r="O67" i="73"/>
  <c r="N67" i="73"/>
  <c r="G67" i="73"/>
  <c r="F67" i="73"/>
  <c r="B67" i="73"/>
  <c r="B68" i="82" s="1"/>
  <c r="Z66" i="73"/>
  <c r="Y66" i="73"/>
  <c r="W66" i="73"/>
  <c r="V66" i="73"/>
  <c r="O66" i="73"/>
  <c r="N66" i="73"/>
  <c r="G66" i="73"/>
  <c r="F66" i="73"/>
  <c r="B66" i="73"/>
  <c r="B67" i="82" s="1"/>
  <c r="Z65" i="73"/>
  <c r="Y65" i="73"/>
  <c r="W65" i="73"/>
  <c r="V65" i="73"/>
  <c r="O65" i="73"/>
  <c r="N65" i="73"/>
  <c r="G65" i="73"/>
  <c r="F65" i="73"/>
  <c r="B65" i="73"/>
  <c r="B66" i="82" s="1"/>
  <c r="Z64" i="73"/>
  <c r="Y64" i="73"/>
  <c r="W64" i="73"/>
  <c r="V64" i="73"/>
  <c r="O64" i="73"/>
  <c r="N64" i="73"/>
  <c r="G64" i="73"/>
  <c r="F64" i="73"/>
  <c r="B64" i="73"/>
  <c r="B65" i="82" s="1"/>
  <c r="Z63" i="73"/>
  <c r="Y63" i="73"/>
  <c r="W63" i="73"/>
  <c r="V63" i="73"/>
  <c r="O63" i="73"/>
  <c r="N63" i="73"/>
  <c r="G63" i="73"/>
  <c r="F63" i="73"/>
  <c r="B63" i="73"/>
  <c r="B64" i="82" s="1"/>
  <c r="Z62" i="73"/>
  <c r="Y62" i="73"/>
  <c r="W62" i="73"/>
  <c r="V62" i="73"/>
  <c r="O62" i="73"/>
  <c r="N62" i="73"/>
  <c r="G62" i="73"/>
  <c r="F62" i="73"/>
  <c r="B62" i="73"/>
  <c r="B63" i="82" s="1"/>
  <c r="Z61" i="73"/>
  <c r="Y61" i="73"/>
  <c r="W61" i="73"/>
  <c r="V61" i="73"/>
  <c r="O61" i="73"/>
  <c r="N61" i="73"/>
  <c r="G61" i="73"/>
  <c r="F61" i="73"/>
  <c r="B61" i="73"/>
  <c r="B62" i="82" s="1"/>
  <c r="Z60" i="73"/>
  <c r="Y60" i="73"/>
  <c r="W60" i="73"/>
  <c r="V60" i="73"/>
  <c r="O60" i="73"/>
  <c r="N60" i="73"/>
  <c r="G60" i="73"/>
  <c r="F60" i="73"/>
  <c r="B60" i="73"/>
  <c r="B61" i="82" s="1"/>
  <c r="Z59" i="73"/>
  <c r="Y59" i="73"/>
  <c r="W59" i="73"/>
  <c r="V59" i="73"/>
  <c r="O59" i="73"/>
  <c r="N59" i="73"/>
  <c r="G59" i="73"/>
  <c r="F59" i="73"/>
  <c r="B59" i="73"/>
  <c r="B60" i="82" s="1"/>
  <c r="Z58" i="73"/>
  <c r="Y58" i="73"/>
  <c r="W58" i="73"/>
  <c r="V58" i="73"/>
  <c r="O58" i="73"/>
  <c r="N58" i="73"/>
  <c r="G58" i="73"/>
  <c r="F58" i="73"/>
  <c r="B58" i="73"/>
  <c r="B59" i="82" s="1"/>
  <c r="Z57" i="73"/>
  <c r="Y57" i="73"/>
  <c r="W57" i="73"/>
  <c r="V57" i="73"/>
  <c r="O57" i="73"/>
  <c r="N57" i="73"/>
  <c r="G57" i="73"/>
  <c r="F57" i="73"/>
  <c r="B57" i="73"/>
  <c r="B58" i="82" s="1"/>
  <c r="Z56" i="73"/>
  <c r="Y56" i="73"/>
  <c r="W56" i="73"/>
  <c r="V56" i="73"/>
  <c r="O56" i="73"/>
  <c r="N56" i="73"/>
  <c r="G56" i="73"/>
  <c r="F56" i="73"/>
  <c r="B56" i="73"/>
  <c r="B57" i="82" s="1"/>
  <c r="Z55" i="73"/>
  <c r="Y55" i="73"/>
  <c r="W55" i="73"/>
  <c r="V55" i="73"/>
  <c r="O55" i="73"/>
  <c r="N55" i="73"/>
  <c r="G55" i="73"/>
  <c r="F55" i="73"/>
  <c r="B55" i="73"/>
  <c r="B56" i="82" s="1"/>
  <c r="Z54" i="73"/>
  <c r="Y54" i="73"/>
  <c r="W54" i="73"/>
  <c r="V54" i="73"/>
  <c r="O54" i="73"/>
  <c r="N54" i="73"/>
  <c r="G54" i="73"/>
  <c r="F54" i="73"/>
  <c r="B54" i="73"/>
  <c r="B55" i="82" s="1"/>
  <c r="Z53" i="73"/>
  <c r="Y53" i="73"/>
  <c r="W53" i="73"/>
  <c r="V53" i="73"/>
  <c r="O53" i="73"/>
  <c r="N53" i="73"/>
  <c r="G53" i="73"/>
  <c r="F53" i="73"/>
  <c r="B53" i="73"/>
  <c r="B54" i="82" s="1"/>
  <c r="Z52" i="73"/>
  <c r="Y52" i="73"/>
  <c r="W52" i="73"/>
  <c r="V52" i="73"/>
  <c r="O52" i="73"/>
  <c r="N52" i="73"/>
  <c r="G52" i="73"/>
  <c r="F52" i="73"/>
  <c r="B52" i="73"/>
  <c r="B53" i="82" s="1"/>
  <c r="Z51" i="73"/>
  <c r="Y51" i="73"/>
  <c r="W51" i="73"/>
  <c r="V51" i="73"/>
  <c r="O51" i="73"/>
  <c r="N51" i="73"/>
  <c r="G51" i="73"/>
  <c r="F51" i="73"/>
  <c r="B51" i="73"/>
  <c r="B52" i="82" s="1"/>
  <c r="Z50" i="73"/>
  <c r="Y50" i="73"/>
  <c r="W50" i="73"/>
  <c r="V50" i="73"/>
  <c r="O50" i="73"/>
  <c r="N50" i="73"/>
  <c r="G50" i="73"/>
  <c r="F50" i="73"/>
  <c r="B50" i="73"/>
  <c r="B51" i="82" s="1"/>
  <c r="Z49" i="73"/>
  <c r="Y49" i="73"/>
  <c r="W49" i="73"/>
  <c r="V49" i="73"/>
  <c r="O49" i="73"/>
  <c r="N49" i="73"/>
  <c r="G49" i="73"/>
  <c r="F49" i="73"/>
  <c r="B49" i="73"/>
  <c r="B50" i="82" s="1"/>
  <c r="Z48" i="73"/>
  <c r="Y48" i="73"/>
  <c r="W48" i="73"/>
  <c r="V48" i="73"/>
  <c r="O48" i="73"/>
  <c r="N48" i="73"/>
  <c r="G48" i="73"/>
  <c r="F48" i="73"/>
  <c r="B48" i="73"/>
  <c r="B49" i="82" s="1"/>
  <c r="Z47" i="73"/>
  <c r="Y47" i="73"/>
  <c r="W47" i="73"/>
  <c r="V47" i="73"/>
  <c r="O47" i="73"/>
  <c r="N47" i="73"/>
  <c r="G47" i="73"/>
  <c r="F47" i="73"/>
  <c r="B47" i="73"/>
  <c r="B48" i="82" s="1"/>
  <c r="Z46" i="73"/>
  <c r="Y46" i="73"/>
  <c r="W46" i="73"/>
  <c r="V46" i="73"/>
  <c r="O46" i="73"/>
  <c r="N46" i="73"/>
  <c r="G46" i="73"/>
  <c r="F46" i="73"/>
  <c r="B46" i="73"/>
  <c r="B47" i="82" s="1"/>
  <c r="Z45" i="73"/>
  <c r="Y45" i="73"/>
  <c r="W45" i="73"/>
  <c r="V45" i="73"/>
  <c r="O45" i="73"/>
  <c r="N45" i="73"/>
  <c r="G45" i="73"/>
  <c r="F45" i="73"/>
  <c r="B45" i="73"/>
  <c r="B46" i="82" s="1"/>
  <c r="Z44" i="73"/>
  <c r="Y44" i="73"/>
  <c r="W44" i="73"/>
  <c r="V44" i="73"/>
  <c r="O44" i="73"/>
  <c r="N44" i="73"/>
  <c r="G44" i="73"/>
  <c r="F44" i="73"/>
  <c r="B44" i="73"/>
  <c r="B45" i="82" s="1"/>
  <c r="Z43" i="73"/>
  <c r="Y43" i="73"/>
  <c r="W43" i="73"/>
  <c r="V43" i="73"/>
  <c r="O43" i="73"/>
  <c r="N43" i="73"/>
  <c r="G43" i="73"/>
  <c r="F43" i="73"/>
  <c r="B43" i="73"/>
  <c r="B44" i="82" s="1"/>
  <c r="Z42" i="73"/>
  <c r="Y42" i="73"/>
  <c r="W42" i="73"/>
  <c r="V42" i="73"/>
  <c r="O42" i="73"/>
  <c r="N42" i="73"/>
  <c r="G42" i="73"/>
  <c r="F42" i="73"/>
  <c r="B42" i="73"/>
  <c r="B43" i="82" s="1"/>
  <c r="Z41" i="73"/>
  <c r="Y41" i="73"/>
  <c r="W41" i="73"/>
  <c r="V41" i="73"/>
  <c r="O41" i="73"/>
  <c r="N41" i="73"/>
  <c r="G41" i="73"/>
  <c r="F41" i="73"/>
  <c r="B41" i="73"/>
  <c r="B42" i="82" s="1"/>
  <c r="Z40" i="73"/>
  <c r="Y40" i="73"/>
  <c r="W40" i="73"/>
  <c r="V40" i="73"/>
  <c r="O40" i="73"/>
  <c r="N40" i="73"/>
  <c r="G40" i="73"/>
  <c r="F40" i="73"/>
  <c r="B40" i="73"/>
  <c r="B41" i="82" s="1"/>
  <c r="Z39" i="73"/>
  <c r="Y39" i="73"/>
  <c r="W39" i="73"/>
  <c r="V39" i="73"/>
  <c r="O39" i="73"/>
  <c r="N39" i="73"/>
  <c r="G39" i="73"/>
  <c r="F39" i="73"/>
  <c r="B39" i="73"/>
  <c r="B40" i="82" s="1"/>
  <c r="Z38" i="73"/>
  <c r="Y38" i="73"/>
  <c r="W38" i="73"/>
  <c r="V38" i="73"/>
  <c r="O38" i="73"/>
  <c r="N38" i="73"/>
  <c r="G38" i="73"/>
  <c r="F38" i="73"/>
  <c r="B38" i="73"/>
  <c r="B39" i="82" s="1"/>
  <c r="Z37" i="73"/>
  <c r="Y37" i="73"/>
  <c r="W37" i="73"/>
  <c r="V37" i="73"/>
  <c r="O37" i="73"/>
  <c r="N37" i="73"/>
  <c r="G37" i="73"/>
  <c r="F37" i="73"/>
  <c r="B37" i="73"/>
  <c r="B38" i="82" s="1"/>
  <c r="Z36" i="73"/>
  <c r="Y36" i="73"/>
  <c r="W36" i="73"/>
  <c r="V36" i="73"/>
  <c r="O36" i="73"/>
  <c r="N36" i="73"/>
  <c r="G36" i="73"/>
  <c r="F36" i="73"/>
  <c r="B36" i="73"/>
  <c r="B37" i="82" s="1"/>
  <c r="Z35" i="73"/>
  <c r="Y35" i="73"/>
  <c r="W35" i="73"/>
  <c r="V35" i="73"/>
  <c r="O35" i="73"/>
  <c r="N35" i="73"/>
  <c r="G35" i="73"/>
  <c r="F35" i="73"/>
  <c r="B35" i="73"/>
  <c r="B36" i="82" s="1"/>
  <c r="Z34" i="73"/>
  <c r="Y34" i="73"/>
  <c r="W34" i="73"/>
  <c r="V34" i="73"/>
  <c r="O34" i="73"/>
  <c r="N34" i="73"/>
  <c r="G34" i="73"/>
  <c r="F34" i="73"/>
  <c r="B34" i="73"/>
  <c r="B35" i="82" s="1"/>
  <c r="Z33" i="73"/>
  <c r="Y33" i="73"/>
  <c r="W33" i="73"/>
  <c r="V33" i="73"/>
  <c r="O33" i="73"/>
  <c r="N33" i="73"/>
  <c r="G33" i="73"/>
  <c r="F33" i="73"/>
  <c r="B33" i="73"/>
  <c r="B34" i="82" s="1"/>
  <c r="Z32" i="73"/>
  <c r="Y32" i="73"/>
  <c r="W32" i="73"/>
  <c r="V32" i="73"/>
  <c r="O32" i="73"/>
  <c r="N32" i="73"/>
  <c r="G32" i="73"/>
  <c r="F32" i="73"/>
  <c r="B32" i="73"/>
  <c r="B33" i="82" s="1"/>
  <c r="Z31" i="73"/>
  <c r="Y31" i="73"/>
  <c r="W31" i="73"/>
  <c r="V31" i="73"/>
  <c r="O31" i="73"/>
  <c r="N31" i="73"/>
  <c r="G31" i="73"/>
  <c r="F31" i="73"/>
  <c r="B31" i="73"/>
  <c r="B32" i="82" s="1"/>
  <c r="Z30" i="73"/>
  <c r="Y30" i="73"/>
  <c r="W30" i="73"/>
  <c r="V30" i="73"/>
  <c r="O30" i="73"/>
  <c r="N30" i="73"/>
  <c r="G30" i="73"/>
  <c r="F30" i="73"/>
  <c r="B30" i="73"/>
  <c r="B31" i="82" s="1"/>
  <c r="Z29" i="73"/>
  <c r="Y29" i="73"/>
  <c r="W29" i="73"/>
  <c r="V29" i="73"/>
  <c r="O29" i="73"/>
  <c r="N29" i="73"/>
  <c r="G29" i="73"/>
  <c r="F29" i="73"/>
  <c r="B29" i="73"/>
  <c r="B30" i="82" s="1"/>
  <c r="Z28" i="73"/>
  <c r="Y28" i="73"/>
  <c r="W28" i="73"/>
  <c r="V28" i="73"/>
  <c r="O28" i="73"/>
  <c r="N28" i="73"/>
  <c r="G28" i="73"/>
  <c r="F28" i="73"/>
  <c r="B28" i="73"/>
  <c r="B29" i="82" s="1"/>
  <c r="Z27" i="73"/>
  <c r="Y27" i="73"/>
  <c r="W27" i="73"/>
  <c r="V27" i="73"/>
  <c r="O27" i="73"/>
  <c r="N27" i="73"/>
  <c r="G27" i="73"/>
  <c r="F27" i="73"/>
  <c r="B27" i="73"/>
  <c r="B28" i="82" s="1"/>
  <c r="Z26" i="73"/>
  <c r="Y26" i="73"/>
  <c r="W26" i="73"/>
  <c r="V26" i="73"/>
  <c r="O26" i="73"/>
  <c r="N26" i="73"/>
  <c r="G26" i="73"/>
  <c r="F26" i="73"/>
  <c r="B26" i="73"/>
  <c r="B27" i="82" s="1"/>
  <c r="Z25" i="73"/>
  <c r="Y25" i="73"/>
  <c r="W25" i="73"/>
  <c r="V25" i="73"/>
  <c r="O25" i="73"/>
  <c r="N25" i="73"/>
  <c r="G25" i="73"/>
  <c r="F25" i="73"/>
  <c r="B25" i="73"/>
  <c r="B26" i="82" s="1"/>
  <c r="Z24" i="73"/>
  <c r="Y24" i="73"/>
  <c r="W24" i="73"/>
  <c r="V24" i="73"/>
  <c r="O24" i="73"/>
  <c r="N24" i="73"/>
  <c r="G24" i="73"/>
  <c r="F24" i="73"/>
  <c r="B24" i="73"/>
  <c r="B25" i="82" s="1"/>
  <c r="Z23" i="73"/>
  <c r="Y23" i="73"/>
  <c r="W23" i="73"/>
  <c r="V23" i="73"/>
  <c r="O23" i="73"/>
  <c r="N23" i="73"/>
  <c r="G23" i="73"/>
  <c r="F23" i="73"/>
  <c r="B23" i="73"/>
  <c r="B24" i="82" s="1"/>
  <c r="Z22" i="73"/>
  <c r="Y22" i="73"/>
  <c r="W22" i="73"/>
  <c r="V22" i="73"/>
  <c r="O22" i="73"/>
  <c r="N22" i="73"/>
  <c r="G22" i="73"/>
  <c r="F22" i="73"/>
  <c r="B22" i="73"/>
  <c r="B23" i="82" s="1"/>
  <c r="Z21" i="73"/>
  <c r="Y21" i="73"/>
  <c r="W21" i="73"/>
  <c r="V21" i="73"/>
  <c r="O21" i="73"/>
  <c r="N21" i="73"/>
  <c r="G21" i="73"/>
  <c r="F21" i="73"/>
  <c r="B21" i="73"/>
  <c r="B22" i="82" s="1"/>
  <c r="Z20" i="73"/>
  <c r="Y20" i="73"/>
  <c r="W20" i="73"/>
  <c r="V20" i="73"/>
  <c r="O20" i="73"/>
  <c r="N20" i="73"/>
  <c r="G20" i="73"/>
  <c r="F20" i="73"/>
  <c r="B20" i="73"/>
  <c r="B21" i="82" s="1"/>
  <c r="Z19" i="73"/>
  <c r="Y19" i="73"/>
  <c r="W19" i="73"/>
  <c r="V19" i="73"/>
  <c r="O19" i="73"/>
  <c r="N19" i="73"/>
  <c r="G19" i="73"/>
  <c r="F19" i="73"/>
  <c r="B19" i="73"/>
  <c r="B20" i="82" s="1"/>
  <c r="Z18" i="73"/>
  <c r="Y18" i="73"/>
  <c r="W18" i="73"/>
  <c r="V18" i="73"/>
  <c r="O18" i="73"/>
  <c r="N18" i="73"/>
  <c r="G18" i="73"/>
  <c r="F18" i="73"/>
  <c r="B18" i="73"/>
  <c r="B19" i="82" s="1"/>
  <c r="Z17" i="73"/>
  <c r="Y17" i="73"/>
  <c r="W17" i="73"/>
  <c r="V17" i="73"/>
  <c r="O17" i="73"/>
  <c r="N17" i="73"/>
  <c r="G17" i="73"/>
  <c r="F17" i="73"/>
  <c r="B17" i="73"/>
  <c r="B18" i="82" s="1"/>
  <c r="Z16" i="73"/>
  <c r="Y16" i="73"/>
  <c r="W16" i="73"/>
  <c r="V16" i="73"/>
  <c r="O16" i="73"/>
  <c r="N16" i="73"/>
  <c r="G16" i="73"/>
  <c r="F16" i="73"/>
  <c r="B16" i="73"/>
  <c r="B17" i="82" s="1"/>
  <c r="Z15" i="73"/>
  <c r="Y15" i="73"/>
  <c r="W15" i="73"/>
  <c r="V15" i="73"/>
  <c r="O15" i="73"/>
  <c r="N15" i="73"/>
  <c r="G15" i="73"/>
  <c r="F15" i="73"/>
  <c r="B15" i="73"/>
  <c r="B16" i="82" s="1"/>
  <c r="C6" i="73"/>
  <c r="C5" i="73"/>
  <c r="Z72" i="72"/>
  <c r="Y72" i="72"/>
  <c r="W72" i="72"/>
  <c r="V72" i="72"/>
  <c r="O72" i="72"/>
  <c r="N72" i="72"/>
  <c r="F72" i="72"/>
  <c r="H72" i="72" s="1"/>
  <c r="F73" i="81" s="1"/>
  <c r="B72" i="72"/>
  <c r="B73" i="81" s="1"/>
  <c r="Z71" i="72"/>
  <c r="Y71" i="72"/>
  <c r="W71" i="72"/>
  <c r="V71" i="72"/>
  <c r="O71" i="72"/>
  <c r="N71" i="72"/>
  <c r="F71" i="72"/>
  <c r="H71" i="72" s="1"/>
  <c r="F72" i="81" s="1"/>
  <c r="B71" i="72"/>
  <c r="B72" i="81" s="1"/>
  <c r="Z70" i="72"/>
  <c r="Y70" i="72"/>
  <c r="W70" i="72"/>
  <c r="V70" i="72"/>
  <c r="O70" i="72"/>
  <c r="N70" i="72"/>
  <c r="F70" i="72"/>
  <c r="B70" i="72"/>
  <c r="B71" i="81" s="1"/>
  <c r="Z69" i="72"/>
  <c r="Y69" i="72"/>
  <c r="W69" i="72"/>
  <c r="V69" i="72"/>
  <c r="O69" i="72"/>
  <c r="N69" i="72"/>
  <c r="F69" i="72"/>
  <c r="B69" i="72"/>
  <c r="B70" i="81" s="1"/>
  <c r="Z68" i="72"/>
  <c r="Y68" i="72"/>
  <c r="W68" i="72"/>
  <c r="V68" i="72"/>
  <c r="O68" i="72"/>
  <c r="N68" i="72"/>
  <c r="F68" i="72"/>
  <c r="B68" i="72"/>
  <c r="B69" i="81" s="1"/>
  <c r="Z67" i="72"/>
  <c r="Y67" i="72"/>
  <c r="W67" i="72"/>
  <c r="V67" i="72"/>
  <c r="O67" i="72"/>
  <c r="N67" i="72"/>
  <c r="F67" i="72"/>
  <c r="H67" i="72" s="1"/>
  <c r="F68" i="81" s="1"/>
  <c r="B67" i="72"/>
  <c r="B68" i="81" s="1"/>
  <c r="Z66" i="72"/>
  <c r="Y66" i="72"/>
  <c r="W66" i="72"/>
  <c r="V66" i="72"/>
  <c r="O66" i="72"/>
  <c r="N66" i="72"/>
  <c r="F66" i="72"/>
  <c r="B66" i="72"/>
  <c r="B67" i="81" s="1"/>
  <c r="Z65" i="72"/>
  <c r="Y65" i="72"/>
  <c r="W65" i="72"/>
  <c r="V65" i="72"/>
  <c r="O65" i="72"/>
  <c r="N65" i="72"/>
  <c r="F65" i="72"/>
  <c r="B65" i="72"/>
  <c r="B66" i="81" s="1"/>
  <c r="Z64" i="72"/>
  <c r="Y64" i="72"/>
  <c r="W64" i="72"/>
  <c r="V64" i="72"/>
  <c r="O64" i="72"/>
  <c r="N64" i="72"/>
  <c r="F64" i="72"/>
  <c r="B64" i="72"/>
  <c r="B65" i="81" s="1"/>
  <c r="Z63" i="72"/>
  <c r="Y63" i="72"/>
  <c r="W63" i="72"/>
  <c r="V63" i="72"/>
  <c r="O63" i="72"/>
  <c r="N63" i="72"/>
  <c r="F63" i="72"/>
  <c r="H63" i="72" s="1"/>
  <c r="F64" i="81" s="1"/>
  <c r="B63" i="72"/>
  <c r="B64" i="81" s="1"/>
  <c r="Z62" i="72"/>
  <c r="Y62" i="72"/>
  <c r="W62" i="72"/>
  <c r="V62" i="72"/>
  <c r="O62" i="72"/>
  <c r="N62" i="72"/>
  <c r="F62" i="72"/>
  <c r="B62" i="72"/>
  <c r="B63" i="81" s="1"/>
  <c r="Z61" i="72"/>
  <c r="Y61" i="72"/>
  <c r="W61" i="72"/>
  <c r="V61" i="72"/>
  <c r="O61" i="72"/>
  <c r="N61" i="72"/>
  <c r="F61" i="72"/>
  <c r="H61" i="72" s="1"/>
  <c r="F62" i="81" s="1"/>
  <c r="B61" i="72"/>
  <c r="B62" i="81" s="1"/>
  <c r="Z60" i="72"/>
  <c r="Y60" i="72"/>
  <c r="W60" i="72"/>
  <c r="V60" i="72"/>
  <c r="O60" i="72"/>
  <c r="N60" i="72"/>
  <c r="F60" i="72"/>
  <c r="B60" i="72"/>
  <c r="B61" i="81" s="1"/>
  <c r="Z59" i="72"/>
  <c r="Y59" i="72"/>
  <c r="W59" i="72"/>
  <c r="V59" i="72"/>
  <c r="O59" i="72"/>
  <c r="N59" i="72"/>
  <c r="F59" i="72"/>
  <c r="B59" i="72"/>
  <c r="B60" i="81" s="1"/>
  <c r="Z58" i="72"/>
  <c r="Y58" i="72"/>
  <c r="W58" i="72"/>
  <c r="V58" i="72"/>
  <c r="O58" i="72"/>
  <c r="N58" i="72"/>
  <c r="F58" i="72"/>
  <c r="B58" i="72"/>
  <c r="B59" i="81" s="1"/>
  <c r="Z57" i="72"/>
  <c r="Y57" i="72"/>
  <c r="W57" i="72"/>
  <c r="V57" i="72"/>
  <c r="O57" i="72"/>
  <c r="N57" i="72"/>
  <c r="F57" i="72"/>
  <c r="B57" i="72"/>
  <c r="B58" i="81" s="1"/>
  <c r="Z56" i="72"/>
  <c r="Y56" i="72"/>
  <c r="W56" i="72"/>
  <c r="V56" i="72"/>
  <c r="O56" i="72"/>
  <c r="N56" i="72"/>
  <c r="F56" i="72"/>
  <c r="B56" i="72"/>
  <c r="B57" i="81" s="1"/>
  <c r="Z55" i="72"/>
  <c r="Y55" i="72"/>
  <c r="W55" i="72"/>
  <c r="V55" i="72"/>
  <c r="O55" i="72"/>
  <c r="N55" i="72"/>
  <c r="F55" i="72"/>
  <c r="B55" i="72"/>
  <c r="B56" i="81" s="1"/>
  <c r="Z54" i="72"/>
  <c r="Y54" i="72"/>
  <c r="W54" i="72"/>
  <c r="V54" i="72"/>
  <c r="O54" i="72"/>
  <c r="N54" i="72"/>
  <c r="F54" i="72"/>
  <c r="B54" i="72"/>
  <c r="B55" i="81" s="1"/>
  <c r="Z53" i="72"/>
  <c r="Y53" i="72"/>
  <c r="W53" i="72"/>
  <c r="V53" i="72"/>
  <c r="O53" i="72"/>
  <c r="N53" i="72"/>
  <c r="F53" i="72"/>
  <c r="B53" i="72"/>
  <c r="B54" i="81" s="1"/>
  <c r="Z52" i="72"/>
  <c r="Y52" i="72"/>
  <c r="W52" i="72"/>
  <c r="V52" i="72"/>
  <c r="O52" i="72"/>
  <c r="N52" i="72"/>
  <c r="F52" i="72"/>
  <c r="B52" i="72"/>
  <c r="B53" i="81" s="1"/>
  <c r="Z51" i="72"/>
  <c r="Y51" i="72"/>
  <c r="W51" i="72"/>
  <c r="V51" i="72"/>
  <c r="O51" i="72"/>
  <c r="N51" i="72"/>
  <c r="F51" i="72"/>
  <c r="B51" i="72"/>
  <c r="B52" i="81" s="1"/>
  <c r="Z50" i="72"/>
  <c r="Y50" i="72"/>
  <c r="W50" i="72"/>
  <c r="V50" i="72"/>
  <c r="O50" i="72"/>
  <c r="N50" i="72"/>
  <c r="F50" i="72"/>
  <c r="B50" i="72"/>
  <c r="B51" i="81" s="1"/>
  <c r="Z49" i="72"/>
  <c r="Y49" i="72"/>
  <c r="W49" i="72"/>
  <c r="V49" i="72"/>
  <c r="O49" i="72"/>
  <c r="N49" i="72"/>
  <c r="F49" i="72"/>
  <c r="B49" i="72"/>
  <c r="B50" i="81" s="1"/>
  <c r="Z48" i="72"/>
  <c r="Y48" i="72"/>
  <c r="W48" i="72"/>
  <c r="V48" i="72"/>
  <c r="O48" i="72"/>
  <c r="N48" i="72"/>
  <c r="F48" i="72"/>
  <c r="B48" i="72"/>
  <c r="B49" i="81" s="1"/>
  <c r="Z47" i="72"/>
  <c r="Y47" i="72"/>
  <c r="W47" i="72"/>
  <c r="V47" i="72"/>
  <c r="O47" i="72"/>
  <c r="N47" i="72"/>
  <c r="F47" i="72"/>
  <c r="B47" i="72"/>
  <c r="B48" i="81" s="1"/>
  <c r="Z46" i="72"/>
  <c r="Y46" i="72"/>
  <c r="W46" i="72"/>
  <c r="V46" i="72"/>
  <c r="O46" i="72"/>
  <c r="N46" i="72"/>
  <c r="F46" i="72"/>
  <c r="B46" i="72"/>
  <c r="B47" i="81" s="1"/>
  <c r="Z45" i="72"/>
  <c r="Y45" i="72"/>
  <c r="W45" i="72"/>
  <c r="V45" i="72"/>
  <c r="O45" i="72"/>
  <c r="N45" i="72"/>
  <c r="F45" i="72"/>
  <c r="B45" i="72"/>
  <c r="B46" i="81" s="1"/>
  <c r="Z44" i="72"/>
  <c r="Y44" i="72"/>
  <c r="W44" i="72"/>
  <c r="V44" i="72"/>
  <c r="O44" i="72"/>
  <c r="N44" i="72"/>
  <c r="F44" i="72"/>
  <c r="B44" i="72"/>
  <c r="B45" i="81" s="1"/>
  <c r="Z43" i="72"/>
  <c r="Y43" i="72"/>
  <c r="W43" i="72"/>
  <c r="V43" i="72"/>
  <c r="O43" i="72"/>
  <c r="N43" i="72"/>
  <c r="F43" i="72"/>
  <c r="B43" i="72"/>
  <c r="B44" i="81" s="1"/>
  <c r="Z42" i="72"/>
  <c r="Y42" i="72"/>
  <c r="W42" i="72"/>
  <c r="V42" i="72"/>
  <c r="O42" i="72"/>
  <c r="N42" i="72"/>
  <c r="F42" i="72"/>
  <c r="B42" i="72"/>
  <c r="B43" i="81" s="1"/>
  <c r="Z41" i="72"/>
  <c r="Y41" i="72"/>
  <c r="W41" i="72"/>
  <c r="V41" i="72"/>
  <c r="O41" i="72"/>
  <c r="N41" i="72"/>
  <c r="F41" i="72"/>
  <c r="B41" i="72"/>
  <c r="B42" i="81" s="1"/>
  <c r="Z40" i="72"/>
  <c r="Y40" i="72"/>
  <c r="W40" i="72"/>
  <c r="V40" i="72"/>
  <c r="O40" i="72"/>
  <c r="N40" i="72"/>
  <c r="F40" i="72"/>
  <c r="B40" i="72"/>
  <c r="B41" i="81" s="1"/>
  <c r="Z39" i="72"/>
  <c r="Y39" i="72"/>
  <c r="W39" i="72"/>
  <c r="V39" i="72"/>
  <c r="O39" i="72"/>
  <c r="N39" i="72"/>
  <c r="F39" i="72"/>
  <c r="B39" i="72"/>
  <c r="B40" i="81" s="1"/>
  <c r="Z38" i="72"/>
  <c r="Y38" i="72"/>
  <c r="W38" i="72"/>
  <c r="V38" i="72"/>
  <c r="O38" i="72"/>
  <c r="N38" i="72"/>
  <c r="F38" i="72"/>
  <c r="B38" i="72"/>
  <c r="B39" i="81" s="1"/>
  <c r="Z37" i="72"/>
  <c r="Y37" i="72"/>
  <c r="W37" i="72"/>
  <c r="V37" i="72"/>
  <c r="O37" i="72"/>
  <c r="N37" i="72"/>
  <c r="F37" i="72"/>
  <c r="B37" i="72"/>
  <c r="B38" i="81" s="1"/>
  <c r="Z36" i="72"/>
  <c r="Y36" i="72"/>
  <c r="W36" i="72"/>
  <c r="V36" i="72"/>
  <c r="O36" i="72"/>
  <c r="N36" i="72"/>
  <c r="F36" i="72"/>
  <c r="B36" i="72"/>
  <c r="B37" i="81" s="1"/>
  <c r="Z35" i="72"/>
  <c r="Y35" i="72"/>
  <c r="W35" i="72"/>
  <c r="V35" i="72"/>
  <c r="O35" i="72"/>
  <c r="N35" i="72"/>
  <c r="F35" i="72"/>
  <c r="B35" i="72"/>
  <c r="B36" i="81" s="1"/>
  <c r="Z34" i="72"/>
  <c r="Y34" i="72"/>
  <c r="W34" i="72"/>
  <c r="V34" i="72"/>
  <c r="O34" i="72"/>
  <c r="N34" i="72"/>
  <c r="F34" i="72"/>
  <c r="B34" i="72"/>
  <c r="B35" i="81" s="1"/>
  <c r="Z33" i="72"/>
  <c r="Y33" i="72"/>
  <c r="W33" i="72"/>
  <c r="V33" i="72"/>
  <c r="O33" i="72"/>
  <c r="N33" i="72"/>
  <c r="F33" i="72"/>
  <c r="B33" i="72"/>
  <c r="B34" i="81" s="1"/>
  <c r="Z32" i="72"/>
  <c r="Y32" i="72"/>
  <c r="W32" i="72"/>
  <c r="V32" i="72"/>
  <c r="O32" i="72"/>
  <c r="N32" i="72"/>
  <c r="F32" i="72"/>
  <c r="H32" i="72" s="1"/>
  <c r="F33" i="81" s="1"/>
  <c r="B32" i="72"/>
  <c r="B33" i="81" s="1"/>
  <c r="Z31" i="72"/>
  <c r="Y31" i="72"/>
  <c r="W31" i="72"/>
  <c r="V31" i="72"/>
  <c r="O31" i="72"/>
  <c r="N31" i="72"/>
  <c r="F31" i="72"/>
  <c r="B31" i="72"/>
  <c r="B32" i="81" s="1"/>
  <c r="Z30" i="72"/>
  <c r="Y30" i="72"/>
  <c r="W30" i="72"/>
  <c r="V30" i="72"/>
  <c r="O30" i="72"/>
  <c r="N30" i="72"/>
  <c r="F30" i="72"/>
  <c r="B30" i="72"/>
  <c r="B31" i="81" s="1"/>
  <c r="Z29" i="72"/>
  <c r="Y29" i="72"/>
  <c r="W29" i="72"/>
  <c r="V29" i="72"/>
  <c r="O29" i="72"/>
  <c r="N29" i="72"/>
  <c r="F29" i="72"/>
  <c r="B29" i="72"/>
  <c r="B30" i="81" s="1"/>
  <c r="Z28" i="72"/>
  <c r="Y28" i="72"/>
  <c r="W28" i="72"/>
  <c r="V28" i="72"/>
  <c r="O28" i="72"/>
  <c r="N28" i="72"/>
  <c r="F28" i="72"/>
  <c r="B28" i="72"/>
  <c r="B29" i="81" s="1"/>
  <c r="Z27" i="72"/>
  <c r="Y27" i="72"/>
  <c r="W27" i="72"/>
  <c r="V27" i="72"/>
  <c r="O27" i="72"/>
  <c r="N27" i="72"/>
  <c r="F27" i="72"/>
  <c r="B27" i="72"/>
  <c r="B28" i="81" s="1"/>
  <c r="Z26" i="72"/>
  <c r="Y26" i="72"/>
  <c r="W26" i="72"/>
  <c r="V26" i="72"/>
  <c r="O26" i="72"/>
  <c r="N26" i="72"/>
  <c r="F26" i="72"/>
  <c r="B26" i="72"/>
  <c r="B27" i="81" s="1"/>
  <c r="Z25" i="72"/>
  <c r="Y25" i="72"/>
  <c r="W25" i="72"/>
  <c r="V25" i="72"/>
  <c r="O25" i="72"/>
  <c r="N25" i="72"/>
  <c r="F25" i="72"/>
  <c r="B25" i="72"/>
  <c r="B26" i="81" s="1"/>
  <c r="Z24" i="72"/>
  <c r="Y24" i="72"/>
  <c r="W24" i="72"/>
  <c r="V24" i="72"/>
  <c r="O24" i="72"/>
  <c r="N24" i="72"/>
  <c r="F24" i="72"/>
  <c r="B24" i="72"/>
  <c r="B25" i="81" s="1"/>
  <c r="Z23" i="72"/>
  <c r="Y23" i="72"/>
  <c r="W23" i="72"/>
  <c r="X23" i="72" s="1"/>
  <c r="N24" i="81" s="1"/>
  <c r="V23" i="72"/>
  <c r="O23" i="72"/>
  <c r="N23" i="72"/>
  <c r="F23" i="72"/>
  <c r="B23" i="72"/>
  <c r="B24" i="81" s="1"/>
  <c r="Z22" i="72"/>
  <c r="Y22" i="72"/>
  <c r="W22" i="72"/>
  <c r="V22" i="72"/>
  <c r="O22" i="72"/>
  <c r="N22" i="72"/>
  <c r="F22" i="72"/>
  <c r="B22" i="72"/>
  <c r="B23" i="81" s="1"/>
  <c r="Z21" i="72"/>
  <c r="Y21" i="72"/>
  <c r="W21" i="72"/>
  <c r="V21" i="72"/>
  <c r="O21" i="72"/>
  <c r="N21" i="72"/>
  <c r="F21" i="72"/>
  <c r="B21" i="72"/>
  <c r="B22" i="81" s="1"/>
  <c r="Z20" i="72"/>
  <c r="Y20" i="72"/>
  <c r="W20" i="72"/>
  <c r="X20" i="72" s="1"/>
  <c r="N21" i="81" s="1"/>
  <c r="V20" i="72"/>
  <c r="O20" i="72"/>
  <c r="N20" i="72"/>
  <c r="F20" i="72"/>
  <c r="B20" i="72"/>
  <c r="B21" i="81" s="1"/>
  <c r="Z19" i="72"/>
  <c r="Y19" i="72"/>
  <c r="W19" i="72"/>
  <c r="V19" i="72"/>
  <c r="O19" i="72"/>
  <c r="N19" i="72"/>
  <c r="F19" i="72"/>
  <c r="B19" i="72"/>
  <c r="B20" i="81" s="1"/>
  <c r="Z18" i="72"/>
  <c r="Y18" i="72"/>
  <c r="W18" i="72"/>
  <c r="V18" i="72"/>
  <c r="O18" i="72"/>
  <c r="N18" i="72"/>
  <c r="F18" i="72"/>
  <c r="B18" i="72"/>
  <c r="B19" i="81" s="1"/>
  <c r="Z17" i="72"/>
  <c r="Y17" i="72"/>
  <c r="W17" i="72"/>
  <c r="V17" i="72"/>
  <c r="O17" i="72"/>
  <c r="N17" i="72"/>
  <c r="F17" i="72"/>
  <c r="B17" i="72"/>
  <c r="B18" i="81" s="1"/>
  <c r="Z16" i="72"/>
  <c r="Y16" i="72"/>
  <c r="W16" i="72"/>
  <c r="V16" i="72"/>
  <c r="O16" i="72"/>
  <c r="N16" i="72"/>
  <c r="F16" i="72"/>
  <c r="B16" i="72"/>
  <c r="B17" i="81" s="1"/>
  <c r="Z15" i="72"/>
  <c r="Y15" i="72"/>
  <c r="W15" i="72"/>
  <c r="V15" i="72"/>
  <c r="O15" i="72"/>
  <c r="N15" i="72"/>
  <c r="F15" i="72"/>
  <c r="B15" i="72"/>
  <c r="B16" i="81" s="1"/>
  <c r="C6" i="72"/>
  <c r="C5" i="72"/>
  <c r="Z72" i="71"/>
  <c r="Y72" i="71"/>
  <c r="W72" i="71"/>
  <c r="V72" i="71"/>
  <c r="O72" i="71"/>
  <c r="N72" i="71"/>
  <c r="G72" i="71"/>
  <c r="F72" i="71"/>
  <c r="B72" i="71"/>
  <c r="B73" i="80" s="1"/>
  <c r="Z71" i="71"/>
  <c r="Y71" i="71"/>
  <c r="W71" i="71"/>
  <c r="V71" i="71"/>
  <c r="O71" i="71"/>
  <c r="N71" i="71"/>
  <c r="G71" i="71"/>
  <c r="F71" i="71"/>
  <c r="B71" i="71"/>
  <c r="B72" i="80" s="1"/>
  <c r="Z70" i="71"/>
  <c r="Y70" i="71"/>
  <c r="W70" i="71"/>
  <c r="V70" i="71"/>
  <c r="O70" i="71"/>
  <c r="N70" i="71"/>
  <c r="G70" i="71"/>
  <c r="F70" i="71"/>
  <c r="B70" i="71"/>
  <c r="B71" i="80" s="1"/>
  <c r="Z69" i="71"/>
  <c r="Y69" i="71"/>
  <c r="W69" i="71"/>
  <c r="V69" i="71"/>
  <c r="O69" i="71"/>
  <c r="N69" i="71"/>
  <c r="G69" i="71"/>
  <c r="F69" i="71"/>
  <c r="B69" i="71"/>
  <c r="B70" i="80" s="1"/>
  <c r="Z68" i="71"/>
  <c r="Y68" i="71"/>
  <c r="W68" i="71"/>
  <c r="V68" i="71"/>
  <c r="O68" i="71"/>
  <c r="N68" i="71"/>
  <c r="G68" i="71"/>
  <c r="F68" i="71"/>
  <c r="B68" i="71"/>
  <c r="B69" i="80" s="1"/>
  <c r="Z67" i="71"/>
  <c r="Y67" i="71"/>
  <c r="W67" i="71"/>
  <c r="V67" i="71"/>
  <c r="O67" i="71"/>
  <c r="N67" i="71"/>
  <c r="G67" i="71"/>
  <c r="F67" i="71"/>
  <c r="B67" i="71"/>
  <c r="B68" i="80" s="1"/>
  <c r="Z66" i="71"/>
  <c r="Y66" i="71"/>
  <c r="W66" i="71"/>
  <c r="V66" i="71"/>
  <c r="O66" i="71"/>
  <c r="N66" i="71"/>
  <c r="G66" i="71"/>
  <c r="F66" i="71"/>
  <c r="B66" i="71"/>
  <c r="B67" i="80" s="1"/>
  <c r="Z65" i="71"/>
  <c r="Y65" i="71"/>
  <c r="W65" i="71"/>
  <c r="V65" i="71"/>
  <c r="O65" i="71"/>
  <c r="N65" i="71"/>
  <c r="G65" i="71"/>
  <c r="F65" i="71"/>
  <c r="B65" i="71"/>
  <c r="B66" i="80" s="1"/>
  <c r="Z64" i="71"/>
  <c r="Y64" i="71"/>
  <c r="W64" i="71"/>
  <c r="V64" i="71"/>
  <c r="O64" i="71"/>
  <c r="N64" i="71"/>
  <c r="G64" i="71"/>
  <c r="F64" i="71"/>
  <c r="B64" i="71"/>
  <c r="B65" i="80" s="1"/>
  <c r="Z63" i="71"/>
  <c r="Y63" i="71"/>
  <c r="W63" i="71"/>
  <c r="V63" i="71"/>
  <c r="O63" i="71"/>
  <c r="N63" i="71"/>
  <c r="G63" i="71"/>
  <c r="F63" i="71"/>
  <c r="B63" i="71"/>
  <c r="B64" i="80" s="1"/>
  <c r="Z62" i="71"/>
  <c r="Y62" i="71"/>
  <c r="W62" i="71"/>
  <c r="V62" i="71"/>
  <c r="O62" i="71"/>
  <c r="N62" i="71"/>
  <c r="G62" i="71"/>
  <c r="F62" i="71"/>
  <c r="B62" i="71"/>
  <c r="B63" i="80" s="1"/>
  <c r="Z61" i="71"/>
  <c r="Y61" i="71"/>
  <c r="W61" i="71"/>
  <c r="V61" i="71"/>
  <c r="O61" i="71"/>
  <c r="N61" i="71"/>
  <c r="G61" i="71"/>
  <c r="F61" i="71"/>
  <c r="B61" i="71"/>
  <c r="B62" i="80" s="1"/>
  <c r="Z60" i="71"/>
  <c r="Y60" i="71"/>
  <c r="W60" i="71"/>
  <c r="V60" i="71"/>
  <c r="O60" i="71"/>
  <c r="N60" i="71"/>
  <c r="G60" i="71"/>
  <c r="F60" i="71"/>
  <c r="B60" i="71"/>
  <c r="B61" i="80" s="1"/>
  <c r="Z59" i="71"/>
  <c r="Y59" i="71"/>
  <c r="W59" i="71"/>
  <c r="V59" i="71"/>
  <c r="O59" i="71"/>
  <c r="N59" i="71"/>
  <c r="G59" i="71"/>
  <c r="F59" i="71"/>
  <c r="B59" i="71"/>
  <c r="B60" i="80" s="1"/>
  <c r="Z58" i="71"/>
  <c r="Y58" i="71"/>
  <c r="W58" i="71"/>
  <c r="V58" i="71"/>
  <c r="O58" i="71"/>
  <c r="N58" i="71"/>
  <c r="G58" i="71"/>
  <c r="F58" i="71"/>
  <c r="B58" i="71"/>
  <c r="B59" i="80" s="1"/>
  <c r="Z57" i="71"/>
  <c r="Y57" i="71"/>
  <c r="W57" i="71"/>
  <c r="V57" i="71"/>
  <c r="O57" i="71"/>
  <c r="N57" i="71"/>
  <c r="G57" i="71"/>
  <c r="F57" i="71"/>
  <c r="B57" i="71"/>
  <c r="B58" i="80" s="1"/>
  <c r="Z56" i="71"/>
  <c r="Y56" i="71"/>
  <c r="W56" i="71"/>
  <c r="V56" i="71"/>
  <c r="O56" i="71"/>
  <c r="N56" i="71"/>
  <c r="G56" i="71"/>
  <c r="F56" i="71"/>
  <c r="B56" i="71"/>
  <c r="B57" i="80" s="1"/>
  <c r="Z55" i="71"/>
  <c r="Y55" i="71"/>
  <c r="W55" i="71"/>
  <c r="V55" i="71"/>
  <c r="O55" i="71"/>
  <c r="N55" i="71"/>
  <c r="G55" i="71"/>
  <c r="F55" i="71"/>
  <c r="B55" i="71"/>
  <c r="B56" i="80" s="1"/>
  <c r="Z54" i="71"/>
  <c r="Y54" i="71"/>
  <c r="W54" i="71"/>
  <c r="V54" i="71"/>
  <c r="O54" i="71"/>
  <c r="N54" i="71"/>
  <c r="G54" i="71"/>
  <c r="F54" i="71"/>
  <c r="B54" i="71"/>
  <c r="B55" i="80" s="1"/>
  <c r="Z53" i="71"/>
  <c r="Y53" i="71"/>
  <c r="W53" i="71"/>
  <c r="V53" i="71"/>
  <c r="O53" i="71"/>
  <c r="N53" i="71"/>
  <c r="G53" i="71"/>
  <c r="F53" i="71"/>
  <c r="B53" i="71"/>
  <c r="B54" i="80" s="1"/>
  <c r="Z52" i="71"/>
  <c r="Y52" i="71"/>
  <c r="W52" i="71"/>
  <c r="V52" i="71"/>
  <c r="O52" i="71"/>
  <c r="N52" i="71"/>
  <c r="G52" i="71"/>
  <c r="F52" i="71"/>
  <c r="B52" i="71"/>
  <c r="B53" i="80" s="1"/>
  <c r="Z51" i="71"/>
  <c r="Y51" i="71"/>
  <c r="W51" i="71"/>
  <c r="V51" i="71"/>
  <c r="O51" i="71"/>
  <c r="N51" i="71"/>
  <c r="G51" i="71"/>
  <c r="F51" i="71"/>
  <c r="B51" i="71"/>
  <c r="B52" i="80" s="1"/>
  <c r="Z50" i="71"/>
  <c r="Y50" i="71"/>
  <c r="W50" i="71"/>
  <c r="V50" i="71"/>
  <c r="O50" i="71"/>
  <c r="N50" i="71"/>
  <c r="G50" i="71"/>
  <c r="F50" i="71"/>
  <c r="B50" i="71"/>
  <c r="B51" i="80" s="1"/>
  <c r="Z49" i="71"/>
  <c r="Y49" i="71"/>
  <c r="W49" i="71"/>
  <c r="V49" i="71"/>
  <c r="O49" i="71"/>
  <c r="N49" i="71"/>
  <c r="G49" i="71"/>
  <c r="F49" i="71"/>
  <c r="B49" i="71"/>
  <c r="B50" i="80" s="1"/>
  <c r="Z48" i="71"/>
  <c r="Y48" i="71"/>
  <c r="W48" i="71"/>
  <c r="V48" i="71"/>
  <c r="O48" i="71"/>
  <c r="N48" i="71"/>
  <c r="G48" i="71"/>
  <c r="F48" i="71"/>
  <c r="B48" i="71"/>
  <c r="B49" i="80" s="1"/>
  <c r="Z47" i="71"/>
  <c r="Y47" i="71"/>
  <c r="W47" i="71"/>
  <c r="V47" i="71"/>
  <c r="O47" i="71"/>
  <c r="N47" i="71"/>
  <c r="G47" i="71"/>
  <c r="F47" i="71"/>
  <c r="B47" i="71"/>
  <c r="B48" i="80" s="1"/>
  <c r="Z46" i="71"/>
  <c r="Y46" i="71"/>
  <c r="W46" i="71"/>
  <c r="V46" i="71"/>
  <c r="O46" i="71"/>
  <c r="N46" i="71"/>
  <c r="G46" i="71"/>
  <c r="F46" i="71"/>
  <c r="B46" i="71"/>
  <c r="B47" i="80" s="1"/>
  <c r="Z45" i="71"/>
  <c r="Y45" i="71"/>
  <c r="W45" i="71"/>
  <c r="V45" i="71"/>
  <c r="O45" i="71"/>
  <c r="N45" i="71"/>
  <c r="G45" i="71"/>
  <c r="F45" i="71"/>
  <c r="B45" i="71"/>
  <c r="B46" i="80" s="1"/>
  <c r="Z44" i="71"/>
  <c r="Y44" i="71"/>
  <c r="W44" i="71"/>
  <c r="V44" i="71"/>
  <c r="O44" i="71"/>
  <c r="N44" i="71"/>
  <c r="G44" i="71"/>
  <c r="F44" i="71"/>
  <c r="B44" i="71"/>
  <c r="B45" i="80" s="1"/>
  <c r="Z43" i="71"/>
  <c r="Y43" i="71"/>
  <c r="W43" i="71"/>
  <c r="V43" i="71"/>
  <c r="O43" i="71"/>
  <c r="N43" i="71"/>
  <c r="G43" i="71"/>
  <c r="F43" i="71"/>
  <c r="B43" i="71"/>
  <c r="B44" i="80" s="1"/>
  <c r="Z42" i="71"/>
  <c r="Y42" i="71"/>
  <c r="W42" i="71"/>
  <c r="V42" i="71"/>
  <c r="O42" i="71"/>
  <c r="N42" i="71"/>
  <c r="G42" i="71"/>
  <c r="F42" i="71"/>
  <c r="B42" i="71"/>
  <c r="B43" i="80" s="1"/>
  <c r="Z41" i="71"/>
  <c r="Y41" i="71"/>
  <c r="W41" i="71"/>
  <c r="V41" i="71"/>
  <c r="O41" i="71"/>
  <c r="N41" i="71"/>
  <c r="G41" i="71"/>
  <c r="F41" i="71"/>
  <c r="B41" i="71"/>
  <c r="B42" i="80" s="1"/>
  <c r="Z40" i="71"/>
  <c r="Y40" i="71"/>
  <c r="W40" i="71"/>
  <c r="V40" i="71"/>
  <c r="O40" i="71"/>
  <c r="N40" i="71"/>
  <c r="G40" i="71"/>
  <c r="F40" i="71"/>
  <c r="B40" i="71"/>
  <c r="B41" i="80" s="1"/>
  <c r="Z39" i="71"/>
  <c r="Y39" i="71"/>
  <c r="W39" i="71"/>
  <c r="V39" i="71"/>
  <c r="O39" i="71"/>
  <c r="N39" i="71"/>
  <c r="G39" i="71"/>
  <c r="F39" i="71"/>
  <c r="B39" i="71"/>
  <c r="B40" i="80" s="1"/>
  <c r="Z38" i="71"/>
  <c r="Y38" i="71"/>
  <c r="W38" i="71"/>
  <c r="V38" i="71"/>
  <c r="O38" i="71"/>
  <c r="N38" i="71"/>
  <c r="G38" i="71"/>
  <c r="F38" i="71"/>
  <c r="B38" i="71"/>
  <c r="B39" i="80" s="1"/>
  <c r="Z37" i="71"/>
  <c r="Y37" i="71"/>
  <c r="W37" i="71"/>
  <c r="V37" i="71"/>
  <c r="O37" i="71"/>
  <c r="N37" i="71"/>
  <c r="G37" i="71"/>
  <c r="F37" i="71"/>
  <c r="B37" i="71"/>
  <c r="B38" i="80" s="1"/>
  <c r="Z36" i="71"/>
  <c r="Y36" i="71"/>
  <c r="W36" i="71"/>
  <c r="V36" i="71"/>
  <c r="O36" i="71"/>
  <c r="N36" i="71"/>
  <c r="G36" i="71"/>
  <c r="F36" i="71"/>
  <c r="B36" i="71"/>
  <c r="B37" i="80" s="1"/>
  <c r="Z35" i="71"/>
  <c r="Y35" i="71"/>
  <c r="W35" i="71"/>
  <c r="V35" i="71"/>
  <c r="O35" i="71"/>
  <c r="N35" i="71"/>
  <c r="G35" i="71"/>
  <c r="F35" i="71"/>
  <c r="B35" i="71"/>
  <c r="B36" i="80" s="1"/>
  <c r="Z34" i="71"/>
  <c r="Y34" i="71"/>
  <c r="W34" i="71"/>
  <c r="V34" i="71"/>
  <c r="O34" i="71"/>
  <c r="N34" i="71"/>
  <c r="G34" i="71"/>
  <c r="F34" i="71"/>
  <c r="B34" i="71"/>
  <c r="B35" i="80" s="1"/>
  <c r="Z33" i="71"/>
  <c r="Y33" i="71"/>
  <c r="W33" i="71"/>
  <c r="V33" i="71"/>
  <c r="O33" i="71"/>
  <c r="N33" i="71"/>
  <c r="G33" i="71"/>
  <c r="F33" i="71"/>
  <c r="B33" i="71"/>
  <c r="B34" i="80" s="1"/>
  <c r="Z32" i="71"/>
  <c r="Y32" i="71"/>
  <c r="W32" i="71"/>
  <c r="V32" i="71"/>
  <c r="O32" i="71"/>
  <c r="N32" i="71"/>
  <c r="G32" i="71"/>
  <c r="F32" i="71"/>
  <c r="B32" i="71"/>
  <c r="B33" i="80" s="1"/>
  <c r="Z31" i="71"/>
  <c r="Y31" i="71"/>
  <c r="W31" i="71"/>
  <c r="V31" i="71"/>
  <c r="O31" i="71"/>
  <c r="N31" i="71"/>
  <c r="G31" i="71"/>
  <c r="F31" i="71"/>
  <c r="B31" i="71"/>
  <c r="B32" i="80" s="1"/>
  <c r="Z30" i="71"/>
  <c r="Y30" i="71"/>
  <c r="W30" i="71"/>
  <c r="V30" i="71"/>
  <c r="O30" i="71"/>
  <c r="N30" i="71"/>
  <c r="G30" i="71"/>
  <c r="F30" i="71"/>
  <c r="B30" i="71"/>
  <c r="B31" i="80" s="1"/>
  <c r="Z29" i="71"/>
  <c r="Y29" i="71"/>
  <c r="W29" i="71"/>
  <c r="V29" i="71"/>
  <c r="O29" i="71"/>
  <c r="N29" i="71"/>
  <c r="G29" i="71"/>
  <c r="F29" i="71"/>
  <c r="B29" i="71"/>
  <c r="B30" i="80" s="1"/>
  <c r="Z28" i="71"/>
  <c r="Y28" i="71"/>
  <c r="W28" i="71"/>
  <c r="V28" i="71"/>
  <c r="O28" i="71"/>
  <c r="N28" i="71"/>
  <c r="G28" i="71"/>
  <c r="F28" i="71"/>
  <c r="B28" i="71"/>
  <c r="B29" i="80" s="1"/>
  <c r="Z27" i="71"/>
  <c r="Y27" i="71"/>
  <c r="W27" i="71"/>
  <c r="V27" i="71"/>
  <c r="O27" i="71"/>
  <c r="N27" i="71"/>
  <c r="G27" i="71"/>
  <c r="F27" i="71"/>
  <c r="B27" i="71"/>
  <c r="B28" i="80" s="1"/>
  <c r="Z26" i="71"/>
  <c r="Y26" i="71"/>
  <c r="W26" i="71"/>
  <c r="V26" i="71"/>
  <c r="O26" i="71"/>
  <c r="N26" i="71"/>
  <c r="G26" i="71"/>
  <c r="F26" i="71"/>
  <c r="B26" i="71"/>
  <c r="B27" i="80" s="1"/>
  <c r="Z25" i="71"/>
  <c r="Y25" i="71"/>
  <c r="W25" i="71"/>
  <c r="V25" i="71"/>
  <c r="O25" i="71"/>
  <c r="N25" i="71"/>
  <c r="G25" i="71"/>
  <c r="F25" i="71"/>
  <c r="B25" i="71"/>
  <c r="B26" i="80" s="1"/>
  <c r="Z24" i="71"/>
  <c r="Y24" i="71"/>
  <c r="W24" i="71"/>
  <c r="V24" i="71"/>
  <c r="O24" i="71"/>
  <c r="N24" i="71"/>
  <c r="G24" i="71"/>
  <c r="F24" i="71"/>
  <c r="B24" i="71"/>
  <c r="B25" i="80" s="1"/>
  <c r="Z23" i="71"/>
  <c r="Y23" i="71"/>
  <c r="W23" i="71"/>
  <c r="V23" i="71"/>
  <c r="O23" i="71"/>
  <c r="N23" i="71"/>
  <c r="G23" i="71"/>
  <c r="F23" i="71"/>
  <c r="B23" i="71"/>
  <c r="B24" i="80" s="1"/>
  <c r="Z22" i="71"/>
  <c r="Y22" i="71"/>
  <c r="W22" i="71"/>
  <c r="V22" i="71"/>
  <c r="O22" i="71"/>
  <c r="N22" i="71"/>
  <c r="G22" i="71"/>
  <c r="F22" i="71"/>
  <c r="B22" i="71"/>
  <c r="B23" i="80" s="1"/>
  <c r="Z21" i="71"/>
  <c r="Y21" i="71"/>
  <c r="W21" i="71"/>
  <c r="V21" i="71"/>
  <c r="O21" i="71"/>
  <c r="N21" i="71"/>
  <c r="G21" i="71"/>
  <c r="F21" i="71"/>
  <c r="B21" i="71"/>
  <c r="B22" i="80" s="1"/>
  <c r="Z20" i="71"/>
  <c r="Y20" i="71"/>
  <c r="W20" i="71"/>
  <c r="V20" i="71"/>
  <c r="O20" i="71"/>
  <c r="N20" i="71"/>
  <c r="G20" i="71"/>
  <c r="F20" i="71"/>
  <c r="B20" i="71"/>
  <c r="B21" i="80" s="1"/>
  <c r="Z19" i="71"/>
  <c r="Y19" i="71"/>
  <c r="W19" i="71"/>
  <c r="V19" i="71"/>
  <c r="O19" i="71"/>
  <c r="N19" i="71"/>
  <c r="G19" i="71"/>
  <c r="F19" i="71"/>
  <c r="B19" i="71"/>
  <c r="B20" i="80" s="1"/>
  <c r="Z18" i="71"/>
  <c r="Y18" i="71"/>
  <c r="W18" i="71"/>
  <c r="V18" i="71"/>
  <c r="O18" i="71"/>
  <c r="N18" i="71"/>
  <c r="G18" i="71"/>
  <c r="F18" i="71"/>
  <c r="B18" i="71"/>
  <c r="B19" i="80" s="1"/>
  <c r="Z17" i="71"/>
  <c r="Y17" i="71"/>
  <c r="W17" i="71"/>
  <c r="V17" i="71"/>
  <c r="O17" i="71"/>
  <c r="N17" i="71"/>
  <c r="G17" i="71"/>
  <c r="F17" i="71"/>
  <c r="B17" i="71"/>
  <c r="B18" i="80" s="1"/>
  <c r="Z16" i="71"/>
  <c r="Y16" i="71"/>
  <c r="W16" i="71"/>
  <c r="V16" i="71"/>
  <c r="O16" i="71"/>
  <c r="N16" i="71"/>
  <c r="G16" i="71"/>
  <c r="F16" i="71"/>
  <c r="B16" i="71"/>
  <c r="B17" i="80" s="1"/>
  <c r="Z15" i="71"/>
  <c r="Y15" i="71"/>
  <c r="W15" i="71"/>
  <c r="V15" i="71"/>
  <c r="O15" i="71"/>
  <c r="N15" i="71"/>
  <c r="G15" i="71"/>
  <c r="F15" i="71"/>
  <c r="B15" i="71"/>
  <c r="B16" i="80" s="1"/>
  <c r="C6" i="71"/>
  <c r="C5" i="71"/>
  <c r="Z72" i="70"/>
  <c r="Y72" i="70"/>
  <c r="W72" i="70"/>
  <c r="V72" i="70"/>
  <c r="O72" i="70"/>
  <c r="N72" i="70"/>
  <c r="G72" i="70"/>
  <c r="F72" i="70"/>
  <c r="B72" i="70"/>
  <c r="B73" i="79" s="1"/>
  <c r="Z71" i="70"/>
  <c r="Y71" i="70"/>
  <c r="W71" i="70"/>
  <c r="V71" i="70"/>
  <c r="O71" i="70"/>
  <c r="N71" i="70"/>
  <c r="G71" i="70"/>
  <c r="F71" i="70"/>
  <c r="B71" i="70"/>
  <c r="B72" i="79" s="1"/>
  <c r="Z70" i="70"/>
  <c r="Y70" i="70"/>
  <c r="W70" i="70"/>
  <c r="V70" i="70"/>
  <c r="O70" i="70"/>
  <c r="N70" i="70"/>
  <c r="G70" i="70"/>
  <c r="F70" i="70"/>
  <c r="B70" i="70"/>
  <c r="B71" i="79" s="1"/>
  <c r="Z69" i="70"/>
  <c r="Y69" i="70"/>
  <c r="W69" i="70"/>
  <c r="V69" i="70"/>
  <c r="O69" i="70"/>
  <c r="N69" i="70"/>
  <c r="G69" i="70"/>
  <c r="F69" i="70"/>
  <c r="B69" i="70"/>
  <c r="B70" i="79" s="1"/>
  <c r="Z68" i="70"/>
  <c r="Y68" i="70"/>
  <c r="W68" i="70"/>
  <c r="V68" i="70"/>
  <c r="O68" i="70"/>
  <c r="N68" i="70"/>
  <c r="G68" i="70"/>
  <c r="F68" i="70"/>
  <c r="B68" i="70"/>
  <c r="B69" i="79" s="1"/>
  <c r="Z67" i="70"/>
  <c r="Y67" i="70"/>
  <c r="W67" i="70"/>
  <c r="V67" i="70"/>
  <c r="O67" i="70"/>
  <c r="N67" i="70"/>
  <c r="G67" i="70"/>
  <c r="F67" i="70"/>
  <c r="B67" i="70"/>
  <c r="B68" i="79" s="1"/>
  <c r="Z66" i="70"/>
  <c r="Y66" i="70"/>
  <c r="W66" i="70"/>
  <c r="V66" i="70"/>
  <c r="O66" i="70"/>
  <c r="N66" i="70"/>
  <c r="G66" i="70"/>
  <c r="F66" i="70"/>
  <c r="B66" i="70"/>
  <c r="B67" i="79" s="1"/>
  <c r="Z65" i="70"/>
  <c r="Y65" i="70"/>
  <c r="W65" i="70"/>
  <c r="V65" i="70"/>
  <c r="O65" i="70"/>
  <c r="N65" i="70"/>
  <c r="G65" i="70"/>
  <c r="F65" i="70"/>
  <c r="B65" i="70"/>
  <c r="B66" i="79" s="1"/>
  <c r="Z64" i="70"/>
  <c r="Y64" i="70"/>
  <c r="W64" i="70"/>
  <c r="V64" i="70"/>
  <c r="O64" i="70"/>
  <c r="N64" i="70"/>
  <c r="G64" i="70"/>
  <c r="F64" i="70"/>
  <c r="B64" i="70"/>
  <c r="B65" i="79" s="1"/>
  <c r="Z63" i="70"/>
  <c r="Y63" i="70"/>
  <c r="W63" i="70"/>
  <c r="V63" i="70"/>
  <c r="O63" i="70"/>
  <c r="N63" i="70"/>
  <c r="G63" i="70"/>
  <c r="F63" i="70"/>
  <c r="B63" i="70"/>
  <c r="B64" i="79" s="1"/>
  <c r="Z62" i="70"/>
  <c r="Y62" i="70"/>
  <c r="W62" i="70"/>
  <c r="V62" i="70"/>
  <c r="O62" i="70"/>
  <c r="N62" i="70"/>
  <c r="G62" i="70"/>
  <c r="F62" i="70"/>
  <c r="B62" i="70"/>
  <c r="B63" i="79" s="1"/>
  <c r="Z61" i="70"/>
  <c r="Y61" i="70"/>
  <c r="W61" i="70"/>
  <c r="V61" i="70"/>
  <c r="O61" i="70"/>
  <c r="N61" i="70"/>
  <c r="G61" i="70"/>
  <c r="F61" i="70"/>
  <c r="B61" i="70"/>
  <c r="B62" i="79" s="1"/>
  <c r="Z60" i="70"/>
  <c r="Y60" i="70"/>
  <c r="W60" i="70"/>
  <c r="V60" i="70"/>
  <c r="O60" i="70"/>
  <c r="N60" i="70"/>
  <c r="G60" i="70"/>
  <c r="F60" i="70"/>
  <c r="B60" i="70"/>
  <c r="B61" i="79" s="1"/>
  <c r="Z59" i="70"/>
  <c r="Y59" i="70"/>
  <c r="W59" i="70"/>
  <c r="V59" i="70"/>
  <c r="O59" i="70"/>
  <c r="N59" i="70"/>
  <c r="G59" i="70"/>
  <c r="F59" i="70"/>
  <c r="B59" i="70"/>
  <c r="B60" i="79" s="1"/>
  <c r="Z58" i="70"/>
  <c r="Y58" i="70"/>
  <c r="W58" i="70"/>
  <c r="V58" i="70"/>
  <c r="O58" i="70"/>
  <c r="N58" i="70"/>
  <c r="G58" i="70"/>
  <c r="F58" i="70"/>
  <c r="B58" i="70"/>
  <c r="B59" i="79" s="1"/>
  <c r="Z57" i="70"/>
  <c r="Y57" i="70"/>
  <c r="W57" i="70"/>
  <c r="V57" i="70"/>
  <c r="O57" i="70"/>
  <c r="N57" i="70"/>
  <c r="G57" i="70"/>
  <c r="F57" i="70"/>
  <c r="B57" i="70"/>
  <c r="B58" i="79" s="1"/>
  <c r="Z56" i="70"/>
  <c r="Y56" i="70"/>
  <c r="W56" i="70"/>
  <c r="V56" i="70"/>
  <c r="O56" i="70"/>
  <c r="N56" i="70"/>
  <c r="G56" i="70"/>
  <c r="F56" i="70"/>
  <c r="B56" i="70"/>
  <c r="B57" i="79" s="1"/>
  <c r="Z55" i="70"/>
  <c r="Y55" i="70"/>
  <c r="W55" i="70"/>
  <c r="V55" i="70"/>
  <c r="O55" i="70"/>
  <c r="N55" i="70"/>
  <c r="G55" i="70"/>
  <c r="F55" i="70"/>
  <c r="B55" i="70"/>
  <c r="B56" i="79" s="1"/>
  <c r="Z54" i="70"/>
  <c r="Y54" i="70"/>
  <c r="W54" i="70"/>
  <c r="V54" i="70"/>
  <c r="O54" i="70"/>
  <c r="N54" i="70"/>
  <c r="G54" i="70"/>
  <c r="F54" i="70"/>
  <c r="B54" i="70"/>
  <c r="B55" i="79" s="1"/>
  <c r="Z53" i="70"/>
  <c r="Y53" i="70"/>
  <c r="W53" i="70"/>
  <c r="V53" i="70"/>
  <c r="O53" i="70"/>
  <c r="N53" i="70"/>
  <c r="G53" i="70"/>
  <c r="F53" i="70"/>
  <c r="B53" i="70"/>
  <c r="B54" i="79" s="1"/>
  <c r="Z52" i="70"/>
  <c r="Y52" i="70"/>
  <c r="W52" i="70"/>
  <c r="V52" i="70"/>
  <c r="O52" i="70"/>
  <c r="N52" i="70"/>
  <c r="G52" i="70"/>
  <c r="F52" i="70"/>
  <c r="B52" i="70"/>
  <c r="B53" i="79" s="1"/>
  <c r="Z51" i="70"/>
  <c r="Y51" i="70"/>
  <c r="W51" i="70"/>
  <c r="V51" i="70"/>
  <c r="O51" i="70"/>
  <c r="N51" i="70"/>
  <c r="G51" i="70"/>
  <c r="F51" i="70"/>
  <c r="B51" i="70"/>
  <c r="B52" i="79" s="1"/>
  <c r="Z50" i="70"/>
  <c r="Y50" i="70"/>
  <c r="W50" i="70"/>
  <c r="V50" i="70"/>
  <c r="O50" i="70"/>
  <c r="N50" i="70"/>
  <c r="G50" i="70"/>
  <c r="F50" i="70"/>
  <c r="B50" i="70"/>
  <c r="B51" i="79" s="1"/>
  <c r="Z49" i="70"/>
  <c r="Y49" i="70"/>
  <c r="W49" i="70"/>
  <c r="V49" i="70"/>
  <c r="O49" i="70"/>
  <c r="N49" i="70"/>
  <c r="G49" i="70"/>
  <c r="F49" i="70"/>
  <c r="B49" i="70"/>
  <c r="B50" i="79" s="1"/>
  <c r="Z48" i="70"/>
  <c r="Y48" i="70"/>
  <c r="W48" i="70"/>
  <c r="V48" i="70"/>
  <c r="O48" i="70"/>
  <c r="N48" i="70"/>
  <c r="G48" i="70"/>
  <c r="F48" i="70"/>
  <c r="B48" i="70"/>
  <c r="B49" i="79" s="1"/>
  <c r="Z47" i="70"/>
  <c r="Y47" i="70"/>
  <c r="W47" i="70"/>
  <c r="V47" i="70"/>
  <c r="O47" i="70"/>
  <c r="N47" i="70"/>
  <c r="G47" i="70"/>
  <c r="F47" i="70"/>
  <c r="B47" i="70"/>
  <c r="B48" i="79" s="1"/>
  <c r="Z46" i="70"/>
  <c r="Y46" i="70"/>
  <c r="W46" i="70"/>
  <c r="V46" i="70"/>
  <c r="O46" i="70"/>
  <c r="N46" i="70"/>
  <c r="G46" i="70"/>
  <c r="F46" i="70"/>
  <c r="B46" i="70"/>
  <c r="B47" i="79" s="1"/>
  <c r="Z45" i="70"/>
  <c r="Y45" i="70"/>
  <c r="W45" i="70"/>
  <c r="V45" i="70"/>
  <c r="O45" i="70"/>
  <c r="N45" i="70"/>
  <c r="G45" i="70"/>
  <c r="F45" i="70"/>
  <c r="B45" i="70"/>
  <c r="B46" i="79" s="1"/>
  <c r="Z44" i="70"/>
  <c r="Y44" i="70"/>
  <c r="W44" i="70"/>
  <c r="V44" i="70"/>
  <c r="O44" i="70"/>
  <c r="N44" i="70"/>
  <c r="G44" i="70"/>
  <c r="F44" i="70"/>
  <c r="B44" i="70"/>
  <c r="B45" i="79" s="1"/>
  <c r="Z43" i="70"/>
  <c r="Y43" i="70"/>
  <c r="W43" i="70"/>
  <c r="V43" i="70"/>
  <c r="O43" i="70"/>
  <c r="N43" i="70"/>
  <c r="G43" i="70"/>
  <c r="F43" i="70"/>
  <c r="B43" i="70"/>
  <c r="B44" i="79" s="1"/>
  <c r="Z42" i="70"/>
  <c r="Y42" i="70"/>
  <c r="W42" i="70"/>
  <c r="V42" i="70"/>
  <c r="O42" i="70"/>
  <c r="N42" i="70"/>
  <c r="G42" i="70"/>
  <c r="F42" i="70"/>
  <c r="B42" i="70"/>
  <c r="B43" i="79" s="1"/>
  <c r="Z41" i="70"/>
  <c r="Y41" i="70"/>
  <c r="W41" i="70"/>
  <c r="V41" i="70"/>
  <c r="O41" i="70"/>
  <c r="N41" i="70"/>
  <c r="G41" i="70"/>
  <c r="F41" i="70"/>
  <c r="B41" i="70"/>
  <c r="B42" i="79" s="1"/>
  <c r="Z40" i="70"/>
  <c r="Y40" i="70"/>
  <c r="W40" i="70"/>
  <c r="V40" i="70"/>
  <c r="O40" i="70"/>
  <c r="N40" i="70"/>
  <c r="G40" i="70"/>
  <c r="F40" i="70"/>
  <c r="B40" i="70"/>
  <c r="B41" i="79" s="1"/>
  <c r="Z39" i="70"/>
  <c r="Y39" i="70"/>
  <c r="W39" i="70"/>
  <c r="V39" i="70"/>
  <c r="O39" i="70"/>
  <c r="N39" i="70"/>
  <c r="G39" i="70"/>
  <c r="F39" i="70"/>
  <c r="B39" i="70"/>
  <c r="B40" i="79" s="1"/>
  <c r="Z38" i="70"/>
  <c r="Y38" i="70"/>
  <c r="W38" i="70"/>
  <c r="V38" i="70"/>
  <c r="O38" i="70"/>
  <c r="N38" i="70"/>
  <c r="G38" i="70"/>
  <c r="F38" i="70"/>
  <c r="B38" i="70"/>
  <c r="B39" i="79" s="1"/>
  <c r="Z37" i="70"/>
  <c r="Y37" i="70"/>
  <c r="W37" i="70"/>
  <c r="V37" i="70"/>
  <c r="O37" i="70"/>
  <c r="N37" i="70"/>
  <c r="G37" i="70"/>
  <c r="F37" i="70"/>
  <c r="B37" i="70"/>
  <c r="B38" i="79" s="1"/>
  <c r="Z36" i="70"/>
  <c r="Y36" i="70"/>
  <c r="W36" i="70"/>
  <c r="V36" i="70"/>
  <c r="O36" i="70"/>
  <c r="N36" i="70"/>
  <c r="G36" i="70"/>
  <c r="F36" i="70"/>
  <c r="B36" i="70"/>
  <c r="B37" i="79" s="1"/>
  <c r="Z35" i="70"/>
  <c r="Y35" i="70"/>
  <c r="W35" i="70"/>
  <c r="V35" i="70"/>
  <c r="O35" i="70"/>
  <c r="N35" i="70"/>
  <c r="G35" i="70"/>
  <c r="F35" i="70"/>
  <c r="B35" i="70"/>
  <c r="B36" i="79" s="1"/>
  <c r="Z34" i="70"/>
  <c r="Y34" i="70"/>
  <c r="W34" i="70"/>
  <c r="V34" i="70"/>
  <c r="O34" i="70"/>
  <c r="N34" i="70"/>
  <c r="G34" i="70"/>
  <c r="F34" i="70"/>
  <c r="B34" i="70"/>
  <c r="B35" i="79" s="1"/>
  <c r="Z33" i="70"/>
  <c r="Y33" i="70"/>
  <c r="W33" i="70"/>
  <c r="V33" i="70"/>
  <c r="O33" i="70"/>
  <c r="N33" i="70"/>
  <c r="G33" i="70"/>
  <c r="F33" i="70"/>
  <c r="B33" i="70"/>
  <c r="B34" i="79" s="1"/>
  <c r="Z32" i="70"/>
  <c r="Y32" i="70"/>
  <c r="W32" i="70"/>
  <c r="V32" i="70"/>
  <c r="O32" i="70"/>
  <c r="N32" i="70"/>
  <c r="G32" i="70"/>
  <c r="F32" i="70"/>
  <c r="B32" i="70"/>
  <c r="B33" i="79" s="1"/>
  <c r="Z31" i="70"/>
  <c r="Y31" i="70"/>
  <c r="W31" i="70"/>
  <c r="V31" i="70"/>
  <c r="O31" i="70"/>
  <c r="N31" i="70"/>
  <c r="G31" i="70"/>
  <c r="F31" i="70"/>
  <c r="B31" i="70"/>
  <c r="B32" i="79" s="1"/>
  <c r="Z30" i="70"/>
  <c r="Y30" i="70"/>
  <c r="W30" i="70"/>
  <c r="V30" i="70"/>
  <c r="O30" i="70"/>
  <c r="N30" i="70"/>
  <c r="G30" i="70"/>
  <c r="F30" i="70"/>
  <c r="B30" i="70"/>
  <c r="B31" i="79" s="1"/>
  <c r="Z29" i="70"/>
  <c r="Y29" i="70"/>
  <c r="W29" i="70"/>
  <c r="V29" i="70"/>
  <c r="O29" i="70"/>
  <c r="N29" i="70"/>
  <c r="G29" i="70"/>
  <c r="F29" i="70"/>
  <c r="B29" i="70"/>
  <c r="B30" i="79" s="1"/>
  <c r="Z28" i="70"/>
  <c r="Y28" i="70"/>
  <c r="W28" i="70"/>
  <c r="V28" i="70"/>
  <c r="O28" i="70"/>
  <c r="N28" i="70"/>
  <c r="G28" i="70"/>
  <c r="F28" i="70"/>
  <c r="B28" i="70"/>
  <c r="B29" i="79" s="1"/>
  <c r="Z27" i="70"/>
  <c r="Y27" i="70"/>
  <c r="W27" i="70"/>
  <c r="V27" i="70"/>
  <c r="O27" i="70"/>
  <c r="N27" i="70"/>
  <c r="G27" i="70"/>
  <c r="F27" i="70"/>
  <c r="B27" i="70"/>
  <c r="B28" i="79" s="1"/>
  <c r="Z26" i="70"/>
  <c r="Y26" i="70"/>
  <c r="W26" i="70"/>
  <c r="V26" i="70"/>
  <c r="O26" i="70"/>
  <c r="N26" i="70"/>
  <c r="G26" i="70"/>
  <c r="F26" i="70"/>
  <c r="B26" i="70"/>
  <c r="B27" i="79" s="1"/>
  <c r="Z25" i="70"/>
  <c r="Y25" i="70"/>
  <c r="W25" i="70"/>
  <c r="V25" i="70"/>
  <c r="O25" i="70"/>
  <c r="N25" i="70"/>
  <c r="G25" i="70"/>
  <c r="F25" i="70"/>
  <c r="B25" i="70"/>
  <c r="B26" i="79" s="1"/>
  <c r="Z24" i="70"/>
  <c r="Y24" i="70"/>
  <c r="W24" i="70"/>
  <c r="V24" i="70"/>
  <c r="O24" i="70"/>
  <c r="N24" i="70"/>
  <c r="G24" i="70"/>
  <c r="F24" i="70"/>
  <c r="B24" i="70"/>
  <c r="B25" i="79" s="1"/>
  <c r="Z23" i="70"/>
  <c r="Y23" i="70"/>
  <c r="W23" i="70"/>
  <c r="V23" i="70"/>
  <c r="O23" i="70"/>
  <c r="N23" i="70"/>
  <c r="G23" i="70"/>
  <c r="F23" i="70"/>
  <c r="B23" i="70"/>
  <c r="B24" i="79" s="1"/>
  <c r="Z22" i="70"/>
  <c r="Y22" i="70"/>
  <c r="W22" i="70"/>
  <c r="V22" i="70"/>
  <c r="O22" i="70"/>
  <c r="N22" i="70"/>
  <c r="G22" i="70"/>
  <c r="F22" i="70"/>
  <c r="B22" i="70"/>
  <c r="B23" i="79" s="1"/>
  <c r="Z21" i="70"/>
  <c r="Y21" i="70"/>
  <c r="W21" i="70"/>
  <c r="V21" i="70"/>
  <c r="O21" i="70"/>
  <c r="N21" i="70"/>
  <c r="G21" i="70"/>
  <c r="F21" i="70"/>
  <c r="B21" i="70"/>
  <c r="B22" i="79" s="1"/>
  <c r="Z20" i="70"/>
  <c r="Y20" i="70"/>
  <c r="W20" i="70"/>
  <c r="V20" i="70"/>
  <c r="O20" i="70"/>
  <c r="N20" i="70"/>
  <c r="G20" i="70"/>
  <c r="F20" i="70"/>
  <c r="B20" i="70"/>
  <c r="B21" i="79" s="1"/>
  <c r="Z19" i="70"/>
  <c r="Y19" i="70"/>
  <c r="W19" i="70"/>
  <c r="V19" i="70"/>
  <c r="O19" i="70"/>
  <c r="N19" i="70"/>
  <c r="G19" i="70"/>
  <c r="F19" i="70"/>
  <c r="B19" i="70"/>
  <c r="B20" i="79" s="1"/>
  <c r="Z18" i="70"/>
  <c r="Y18" i="70"/>
  <c r="W18" i="70"/>
  <c r="V18" i="70"/>
  <c r="O18" i="70"/>
  <c r="N18" i="70"/>
  <c r="G18" i="70"/>
  <c r="F18" i="70"/>
  <c r="B18" i="70"/>
  <c r="B19" i="79" s="1"/>
  <c r="Z17" i="70"/>
  <c r="Y17" i="70"/>
  <c r="W17" i="70"/>
  <c r="V17" i="70"/>
  <c r="O17" i="70"/>
  <c r="N17" i="70"/>
  <c r="G17" i="70"/>
  <c r="F17" i="70"/>
  <c r="B17" i="70"/>
  <c r="B18" i="79" s="1"/>
  <c r="Z16" i="70"/>
  <c r="Y16" i="70"/>
  <c r="W16" i="70"/>
  <c r="V16" i="70"/>
  <c r="O16" i="70"/>
  <c r="N16" i="70"/>
  <c r="G16" i="70"/>
  <c r="F16" i="70"/>
  <c r="B16" i="70"/>
  <c r="B17" i="79" s="1"/>
  <c r="Z15" i="70"/>
  <c r="Y15" i="70"/>
  <c r="W15" i="70"/>
  <c r="V15" i="70"/>
  <c r="O15" i="70"/>
  <c r="N15" i="70"/>
  <c r="G15" i="70"/>
  <c r="F15" i="70"/>
  <c r="B15" i="70"/>
  <c r="B16" i="79" s="1"/>
  <c r="C6" i="70"/>
  <c r="C5" i="70"/>
  <c r="Z72" i="69"/>
  <c r="Y72" i="69"/>
  <c r="W72" i="69"/>
  <c r="V72" i="69"/>
  <c r="O72" i="69"/>
  <c r="N72" i="69"/>
  <c r="G72" i="69"/>
  <c r="F72" i="69"/>
  <c r="B72" i="69"/>
  <c r="B73" i="78" s="1"/>
  <c r="Z71" i="69"/>
  <c r="Y71" i="69"/>
  <c r="W71" i="69"/>
  <c r="V71" i="69"/>
  <c r="O71" i="69"/>
  <c r="N71" i="69"/>
  <c r="G71" i="69"/>
  <c r="F71" i="69"/>
  <c r="B71" i="69"/>
  <c r="B72" i="78" s="1"/>
  <c r="Z70" i="69"/>
  <c r="Y70" i="69"/>
  <c r="W70" i="69"/>
  <c r="V70" i="69"/>
  <c r="O70" i="69"/>
  <c r="N70" i="69"/>
  <c r="G70" i="69"/>
  <c r="F70" i="69"/>
  <c r="B70" i="69"/>
  <c r="B71" i="78" s="1"/>
  <c r="Z69" i="69"/>
  <c r="Y69" i="69"/>
  <c r="W69" i="69"/>
  <c r="V69" i="69"/>
  <c r="O69" i="69"/>
  <c r="N69" i="69"/>
  <c r="G69" i="69"/>
  <c r="F69" i="69"/>
  <c r="B69" i="69"/>
  <c r="B70" i="78" s="1"/>
  <c r="Z68" i="69"/>
  <c r="Y68" i="69"/>
  <c r="W68" i="69"/>
  <c r="V68" i="69"/>
  <c r="O68" i="69"/>
  <c r="N68" i="69"/>
  <c r="G68" i="69"/>
  <c r="F68" i="69"/>
  <c r="B68" i="69"/>
  <c r="B69" i="78" s="1"/>
  <c r="Z67" i="69"/>
  <c r="Y67" i="69"/>
  <c r="W67" i="69"/>
  <c r="V67" i="69"/>
  <c r="O67" i="69"/>
  <c r="N67" i="69"/>
  <c r="G67" i="69"/>
  <c r="F67" i="69"/>
  <c r="B67" i="69"/>
  <c r="B68" i="78" s="1"/>
  <c r="Z66" i="69"/>
  <c r="Y66" i="69"/>
  <c r="W66" i="69"/>
  <c r="V66" i="69"/>
  <c r="O66" i="69"/>
  <c r="N66" i="69"/>
  <c r="G66" i="69"/>
  <c r="F66" i="69"/>
  <c r="B66" i="69"/>
  <c r="B67" i="78" s="1"/>
  <c r="Z65" i="69"/>
  <c r="Y65" i="69"/>
  <c r="W65" i="69"/>
  <c r="V65" i="69"/>
  <c r="O65" i="69"/>
  <c r="N65" i="69"/>
  <c r="G65" i="69"/>
  <c r="F65" i="69"/>
  <c r="B65" i="69"/>
  <c r="B66" i="78" s="1"/>
  <c r="Z64" i="69"/>
  <c r="Y64" i="69"/>
  <c r="W64" i="69"/>
  <c r="V64" i="69"/>
  <c r="O64" i="69"/>
  <c r="N64" i="69"/>
  <c r="G64" i="69"/>
  <c r="F64" i="69"/>
  <c r="B64" i="69"/>
  <c r="B65" i="78" s="1"/>
  <c r="Z63" i="69"/>
  <c r="Y63" i="69"/>
  <c r="W63" i="69"/>
  <c r="V63" i="69"/>
  <c r="O63" i="69"/>
  <c r="N63" i="69"/>
  <c r="G63" i="69"/>
  <c r="F63" i="69"/>
  <c r="B63" i="69"/>
  <c r="B64" i="78" s="1"/>
  <c r="Z62" i="69"/>
  <c r="Y62" i="69"/>
  <c r="W62" i="69"/>
  <c r="V62" i="69"/>
  <c r="O62" i="69"/>
  <c r="N62" i="69"/>
  <c r="G62" i="69"/>
  <c r="F62" i="69"/>
  <c r="B62" i="69"/>
  <c r="B63" i="78" s="1"/>
  <c r="Z61" i="69"/>
  <c r="Y61" i="69"/>
  <c r="W61" i="69"/>
  <c r="V61" i="69"/>
  <c r="O61" i="69"/>
  <c r="N61" i="69"/>
  <c r="G61" i="69"/>
  <c r="F61" i="69"/>
  <c r="B61" i="69"/>
  <c r="B62" i="78" s="1"/>
  <c r="Z60" i="69"/>
  <c r="Y60" i="69"/>
  <c r="W60" i="69"/>
  <c r="V60" i="69"/>
  <c r="O60" i="69"/>
  <c r="N60" i="69"/>
  <c r="G60" i="69"/>
  <c r="F60" i="69"/>
  <c r="B60" i="69"/>
  <c r="B61" i="78" s="1"/>
  <c r="Z59" i="69"/>
  <c r="Y59" i="69"/>
  <c r="W59" i="69"/>
  <c r="V59" i="69"/>
  <c r="O59" i="69"/>
  <c r="N59" i="69"/>
  <c r="G59" i="69"/>
  <c r="F59" i="69"/>
  <c r="B59" i="69"/>
  <c r="B60" i="78" s="1"/>
  <c r="Z58" i="69"/>
  <c r="Y58" i="69"/>
  <c r="W58" i="69"/>
  <c r="V58" i="69"/>
  <c r="O58" i="69"/>
  <c r="N58" i="69"/>
  <c r="G58" i="69"/>
  <c r="F58" i="69"/>
  <c r="B58" i="69"/>
  <c r="B59" i="78" s="1"/>
  <c r="Z57" i="69"/>
  <c r="Y57" i="69"/>
  <c r="W57" i="69"/>
  <c r="V57" i="69"/>
  <c r="O57" i="69"/>
  <c r="N57" i="69"/>
  <c r="G57" i="69"/>
  <c r="F57" i="69"/>
  <c r="B57" i="69"/>
  <c r="B58" i="78" s="1"/>
  <c r="Z56" i="69"/>
  <c r="Y56" i="69"/>
  <c r="W56" i="69"/>
  <c r="V56" i="69"/>
  <c r="O56" i="69"/>
  <c r="N56" i="69"/>
  <c r="G56" i="69"/>
  <c r="F56" i="69"/>
  <c r="B56" i="69"/>
  <c r="B57" i="78" s="1"/>
  <c r="Z55" i="69"/>
  <c r="Y55" i="69"/>
  <c r="W55" i="69"/>
  <c r="V55" i="69"/>
  <c r="O55" i="69"/>
  <c r="N55" i="69"/>
  <c r="G55" i="69"/>
  <c r="F55" i="69"/>
  <c r="B55" i="69"/>
  <c r="B56" i="78" s="1"/>
  <c r="Z54" i="69"/>
  <c r="Y54" i="69"/>
  <c r="W54" i="69"/>
  <c r="V54" i="69"/>
  <c r="O54" i="69"/>
  <c r="N54" i="69"/>
  <c r="G54" i="69"/>
  <c r="F54" i="69"/>
  <c r="B54" i="69"/>
  <c r="B55" i="78" s="1"/>
  <c r="Z53" i="69"/>
  <c r="Y53" i="69"/>
  <c r="W53" i="69"/>
  <c r="V53" i="69"/>
  <c r="O53" i="69"/>
  <c r="N53" i="69"/>
  <c r="G53" i="69"/>
  <c r="F53" i="69"/>
  <c r="B53" i="69"/>
  <c r="B54" i="78" s="1"/>
  <c r="Z52" i="69"/>
  <c r="Y52" i="69"/>
  <c r="W52" i="69"/>
  <c r="V52" i="69"/>
  <c r="O52" i="69"/>
  <c r="N52" i="69"/>
  <c r="G52" i="69"/>
  <c r="F52" i="69"/>
  <c r="B52" i="69"/>
  <c r="B53" i="78" s="1"/>
  <c r="Z51" i="69"/>
  <c r="Y51" i="69"/>
  <c r="W51" i="69"/>
  <c r="V51" i="69"/>
  <c r="O51" i="69"/>
  <c r="N51" i="69"/>
  <c r="G51" i="69"/>
  <c r="F51" i="69"/>
  <c r="B51" i="69"/>
  <c r="B52" i="78" s="1"/>
  <c r="Z50" i="69"/>
  <c r="Y50" i="69"/>
  <c r="W50" i="69"/>
  <c r="V50" i="69"/>
  <c r="O50" i="69"/>
  <c r="N50" i="69"/>
  <c r="G50" i="69"/>
  <c r="F50" i="69"/>
  <c r="B50" i="69"/>
  <c r="B51" i="78" s="1"/>
  <c r="Z49" i="69"/>
  <c r="Y49" i="69"/>
  <c r="W49" i="69"/>
  <c r="V49" i="69"/>
  <c r="O49" i="69"/>
  <c r="N49" i="69"/>
  <c r="G49" i="69"/>
  <c r="F49" i="69"/>
  <c r="B49" i="69"/>
  <c r="B50" i="78" s="1"/>
  <c r="Z48" i="69"/>
  <c r="Y48" i="69"/>
  <c r="W48" i="69"/>
  <c r="V48" i="69"/>
  <c r="O48" i="69"/>
  <c r="N48" i="69"/>
  <c r="G48" i="69"/>
  <c r="F48" i="69"/>
  <c r="B48" i="69"/>
  <c r="B49" i="78" s="1"/>
  <c r="Z47" i="69"/>
  <c r="Y47" i="69"/>
  <c r="W47" i="69"/>
  <c r="V47" i="69"/>
  <c r="O47" i="69"/>
  <c r="N47" i="69"/>
  <c r="G47" i="69"/>
  <c r="F47" i="69"/>
  <c r="B47" i="69"/>
  <c r="B48" i="78" s="1"/>
  <c r="Z46" i="69"/>
  <c r="Y46" i="69"/>
  <c r="W46" i="69"/>
  <c r="V46" i="69"/>
  <c r="O46" i="69"/>
  <c r="N46" i="69"/>
  <c r="G46" i="69"/>
  <c r="F46" i="69"/>
  <c r="B46" i="69"/>
  <c r="B47" i="78" s="1"/>
  <c r="Z45" i="69"/>
  <c r="Y45" i="69"/>
  <c r="W45" i="69"/>
  <c r="V45" i="69"/>
  <c r="O45" i="69"/>
  <c r="N45" i="69"/>
  <c r="G45" i="69"/>
  <c r="F45" i="69"/>
  <c r="B45" i="69"/>
  <c r="B46" i="78" s="1"/>
  <c r="Z44" i="69"/>
  <c r="Y44" i="69"/>
  <c r="W44" i="69"/>
  <c r="V44" i="69"/>
  <c r="O44" i="69"/>
  <c r="N44" i="69"/>
  <c r="G44" i="69"/>
  <c r="F44" i="69"/>
  <c r="B44" i="69"/>
  <c r="B45" i="78" s="1"/>
  <c r="Z43" i="69"/>
  <c r="Y43" i="69"/>
  <c r="W43" i="69"/>
  <c r="V43" i="69"/>
  <c r="O43" i="69"/>
  <c r="N43" i="69"/>
  <c r="G43" i="69"/>
  <c r="F43" i="69"/>
  <c r="B43" i="69"/>
  <c r="B44" i="78" s="1"/>
  <c r="Z42" i="69"/>
  <c r="Y42" i="69"/>
  <c r="W42" i="69"/>
  <c r="V42" i="69"/>
  <c r="O42" i="69"/>
  <c r="N42" i="69"/>
  <c r="G42" i="69"/>
  <c r="F42" i="69"/>
  <c r="B42" i="69"/>
  <c r="B43" i="78" s="1"/>
  <c r="Z41" i="69"/>
  <c r="Y41" i="69"/>
  <c r="W41" i="69"/>
  <c r="V41" i="69"/>
  <c r="O41" i="69"/>
  <c r="N41" i="69"/>
  <c r="G41" i="69"/>
  <c r="F41" i="69"/>
  <c r="B41" i="69"/>
  <c r="B42" i="78" s="1"/>
  <c r="Z40" i="69"/>
  <c r="Y40" i="69"/>
  <c r="W40" i="69"/>
  <c r="V40" i="69"/>
  <c r="O40" i="69"/>
  <c r="N40" i="69"/>
  <c r="G40" i="69"/>
  <c r="F40" i="69"/>
  <c r="B40" i="69"/>
  <c r="B41" i="78" s="1"/>
  <c r="Z39" i="69"/>
  <c r="Y39" i="69"/>
  <c r="W39" i="69"/>
  <c r="V39" i="69"/>
  <c r="O39" i="69"/>
  <c r="N39" i="69"/>
  <c r="G39" i="69"/>
  <c r="F39" i="69"/>
  <c r="B39" i="69"/>
  <c r="B40" i="78" s="1"/>
  <c r="Z38" i="69"/>
  <c r="Y38" i="69"/>
  <c r="W38" i="69"/>
  <c r="V38" i="69"/>
  <c r="O38" i="69"/>
  <c r="N38" i="69"/>
  <c r="G38" i="69"/>
  <c r="F38" i="69"/>
  <c r="B38" i="69"/>
  <c r="B39" i="78" s="1"/>
  <c r="Z37" i="69"/>
  <c r="Y37" i="69"/>
  <c r="W37" i="69"/>
  <c r="V37" i="69"/>
  <c r="O37" i="69"/>
  <c r="N37" i="69"/>
  <c r="G37" i="69"/>
  <c r="F37" i="69"/>
  <c r="B37" i="69"/>
  <c r="B38" i="78" s="1"/>
  <c r="Z36" i="69"/>
  <c r="Y36" i="69"/>
  <c r="W36" i="69"/>
  <c r="V36" i="69"/>
  <c r="O36" i="69"/>
  <c r="N36" i="69"/>
  <c r="G36" i="69"/>
  <c r="F36" i="69"/>
  <c r="B36" i="69"/>
  <c r="B37" i="78" s="1"/>
  <c r="Z35" i="69"/>
  <c r="Y35" i="69"/>
  <c r="W35" i="69"/>
  <c r="V35" i="69"/>
  <c r="O35" i="69"/>
  <c r="N35" i="69"/>
  <c r="G35" i="69"/>
  <c r="F35" i="69"/>
  <c r="B35" i="69"/>
  <c r="B36" i="78" s="1"/>
  <c r="Z34" i="69"/>
  <c r="Y34" i="69"/>
  <c r="W34" i="69"/>
  <c r="V34" i="69"/>
  <c r="O34" i="69"/>
  <c r="N34" i="69"/>
  <c r="G34" i="69"/>
  <c r="F34" i="69"/>
  <c r="B34" i="69"/>
  <c r="B35" i="78" s="1"/>
  <c r="Z33" i="69"/>
  <c r="Y33" i="69"/>
  <c r="W33" i="69"/>
  <c r="V33" i="69"/>
  <c r="O33" i="69"/>
  <c r="N33" i="69"/>
  <c r="G33" i="69"/>
  <c r="F33" i="69"/>
  <c r="B33" i="69"/>
  <c r="B34" i="78" s="1"/>
  <c r="Z32" i="69"/>
  <c r="Y32" i="69"/>
  <c r="W32" i="69"/>
  <c r="V32" i="69"/>
  <c r="O32" i="69"/>
  <c r="N32" i="69"/>
  <c r="G32" i="69"/>
  <c r="F32" i="69"/>
  <c r="B32" i="69"/>
  <c r="B33" i="78" s="1"/>
  <c r="Z31" i="69"/>
  <c r="Y31" i="69"/>
  <c r="W31" i="69"/>
  <c r="V31" i="69"/>
  <c r="O31" i="69"/>
  <c r="N31" i="69"/>
  <c r="G31" i="69"/>
  <c r="F31" i="69"/>
  <c r="B31" i="69"/>
  <c r="B32" i="78" s="1"/>
  <c r="Z30" i="69"/>
  <c r="Y30" i="69"/>
  <c r="W30" i="69"/>
  <c r="V30" i="69"/>
  <c r="O30" i="69"/>
  <c r="N30" i="69"/>
  <c r="G30" i="69"/>
  <c r="F30" i="69"/>
  <c r="B30" i="69"/>
  <c r="B31" i="78" s="1"/>
  <c r="Z29" i="69"/>
  <c r="Y29" i="69"/>
  <c r="W29" i="69"/>
  <c r="V29" i="69"/>
  <c r="O29" i="69"/>
  <c r="N29" i="69"/>
  <c r="G29" i="69"/>
  <c r="F29" i="69"/>
  <c r="B29" i="69"/>
  <c r="B30" i="78" s="1"/>
  <c r="Z28" i="69"/>
  <c r="Y28" i="69"/>
  <c r="W28" i="69"/>
  <c r="V28" i="69"/>
  <c r="O28" i="69"/>
  <c r="N28" i="69"/>
  <c r="G28" i="69"/>
  <c r="F28" i="69"/>
  <c r="B28" i="69"/>
  <c r="B29" i="78" s="1"/>
  <c r="Z27" i="69"/>
  <c r="Y27" i="69"/>
  <c r="W27" i="69"/>
  <c r="V27" i="69"/>
  <c r="O27" i="69"/>
  <c r="N27" i="69"/>
  <c r="G27" i="69"/>
  <c r="F27" i="69"/>
  <c r="B27" i="69"/>
  <c r="B28" i="78" s="1"/>
  <c r="Z26" i="69"/>
  <c r="Y26" i="69"/>
  <c r="W26" i="69"/>
  <c r="V26" i="69"/>
  <c r="O26" i="69"/>
  <c r="N26" i="69"/>
  <c r="G26" i="69"/>
  <c r="F26" i="69"/>
  <c r="B26" i="69"/>
  <c r="B27" i="78" s="1"/>
  <c r="Z25" i="69"/>
  <c r="Y25" i="69"/>
  <c r="W25" i="69"/>
  <c r="V25" i="69"/>
  <c r="O25" i="69"/>
  <c r="N25" i="69"/>
  <c r="G25" i="69"/>
  <c r="F25" i="69"/>
  <c r="B25" i="69"/>
  <c r="B26" i="78" s="1"/>
  <c r="Z24" i="69"/>
  <c r="Y24" i="69"/>
  <c r="W24" i="69"/>
  <c r="V24" i="69"/>
  <c r="O24" i="69"/>
  <c r="N24" i="69"/>
  <c r="G24" i="69"/>
  <c r="F24" i="69"/>
  <c r="B24" i="69"/>
  <c r="B25" i="78" s="1"/>
  <c r="Z23" i="69"/>
  <c r="Y23" i="69"/>
  <c r="W23" i="69"/>
  <c r="V23" i="69"/>
  <c r="O23" i="69"/>
  <c r="N23" i="69"/>
  <c r="G23" i="69"/>
  <c r="F23" i="69"/>
  <c r="B23" i="69"/>
  <c r="B24" i="78" s="1"/>
  <c r="Z22" i="69"/>
  <c r="Y22" i="69"/>
  <c r="W22" i="69"/>
  <c r="V22" i="69"/>
  <c r="O22" i="69"/>
  <c r="N22" i="69"/>
  <c r="G22" i="69"/>
  <c r="F22" i="69"/>
  <c r="B22" i="69"/>
  <c r="B23" i="78" s="1"/>
  <c r="Z21" i="69"/>
  <c r="Y21" i="69"/>
  <c r="W21" i="69"/>
  <c r="V21" i="69"/>
  <c r="O21" i="69"/>
  <c r="N21" i="69"/>
  <c r="G21" i="69"/>
  <c r="F21" i="69"/>
  <c r="B21" i="69"/>
  <c r="B22" i="78" s="1"/>
  <c r="Z20" i="69"/>
  <c r="Y20" i="69"/>
  <c r="W20" i="69"/>
  <c r="V20" i="69"/>
  <c r="O20" i="69"/>
  <c r="N20" i="69"/>
  <c r="G20" i="69"/>
  <c r="F20" i="69"/>
  <c r="B20" i="69"/>
  <c r="B21" i="78" s="1"/>
  <c r="Z19" i="69"/>
  <c r="Y19" i="69"/>
  <c r="W19" i="69"/>
  <c r="V19" i="69"/>
  <c r="O19" i="69"/>
  <c r="N19" i="69"/>
  <c r="G19" i="69"/>
  <c r="F19" i="69"/>
  <c r="B19" i="69"/>
  <c r="B20" i="78" s="1"/>
  <c r="Z18" i="69"/>
  <c r="Y18" i="69"/>
  <c r="W18" i="69"/>
  <c r="V18" i="69"/>
  <c r="O18" i="69"/>
  <c r="N18" i="69"/>
  <c r="G18" i="69"/>
  <c r="F18" i="69"/>
  <c r="B18" i="69"/>
  <c r="B19" i="78" s="1"/>
  <c r="Z17" i="69"/>
  <c r="Y17" i="69"/>
  <c r="W17" i="69"/>
  <c r="V17" i="69"/>
  <c r="O17" i="69"/>
  <c r="N17" i="69"/>
  <c r="G17" i="69"/>
  <c r="F17" i="69"/>
  <c r="B17" i="69"/>
  <c r="B18" i="78" s="1"/>
  <c r="Z16" i="69"/>
  <c r="Y16" i="69"/>
  <c r="W16" i="69"/>
  <c r="V16" i="69"/>
  <c r="O16" i="69"/>
  <c r="N16" i="69"/>
  <c r="G16" i="69"/>
  <c r="F16" i="69"/>
  <c r="B16" i="69"/>
  <c r="B17" i="78" s="1"/>
  <c r="Z15" i="69"/>
  <c r="Y15" i="69"/>
  <c r="W15" i="69"/>
  <c r="V15" i="69"/>
  <c r="O15" i="69"/>
  <c r="N15" i="69"/>
  <c r="G15" i="69"/>
  <c r="F15" i="69"/>
  <c r="B15" i="69"/>
  <c r="B16" i="78" s="1"/>
  <c r="F8" i="69"/>
  <c r="F9" i="78" s="1"/>
  <c r="C6" i="69"/>
  <c r="C5" i="69"/>
  <c r="Z72" i="68"/>
  <c r="Y72" i="68"/>
  <c r="W72" i="68"/>
  <c r="V72" i="68"/>
  <c r="O72" i="68"/>
  <c r="N72" i="68"/>
  <c r="G72" i="68"/>
  <c r="F72" i="68"/>
  <c r="B72" i="68"/>
  <c r="B73" i="77" s="1"/>
  <c r="Z71" i="68"/>
  <c r="Y71" i="68"/>
  <c r="W71" i="68"/>
  <c r="V71" i="68"/>
  <c r="O71" i="68"/>
  <c r="N71" i="68"/>
  <c r="G71" i="68"/>
  <c r="F71" i="68"/>
  <c r="B71" i="68"/>
  <c r="B72" i="77" s="1"/>
  <c r="Z70" i="68"/>
  <c r="Y70" i="68"/>
  <c r="W70" i="68"/>
  <c r="V70" i="68"/>
  <c r="O70" i="68"/>
  <c r="N70" i="68"/>
  <c r="G70" i="68"/>
  <c r="F70" i="68"/>
  <c r="B70" i="68"/>
  <c r="B71" i="77" s="1"/>
  <c r="Z69" i="68"/>
  <c r="Y69" i="68"/>
  <c r="W69" i="68"/>
  <c r="V69" i="68"/>
  <c r="O69" i="68"/>
  <c r="N69" i="68"/>
  <c r="G69" i="68"/>
  <c r="F69" i="68"/>
  <c r="B69" i="68"/>
  <c r="B70" i="77" s="1"/>
  <c r="Z68" i="68"/>
  <c r="Y68" i="68"/>
  <c r="W68" i="68"/>
  <c r="V68" i="68"/>
  <c r="O68" i="68"/>
  <c r="N68" i="68"/>
  <c r="G68" i="68"/>
  <c r="F68" i="68"/>
  <c r="B68" i="68"/>
  <c r="B69" i="77" s="1"/>
  <c r="Z67" i="68"/>
  <c r="Y67" i="68"/>
  <c r="W67" i="68"/>
  <c r="V67" i="68"/>
  <c r="O67" i="68"/>
  <c r="N67" i="68"/>
  <c r="G67" i="68"/>
  <c r="F67" i="68"/>
  <c r="B67" i="68"/>
  <c r="B68" i="77" s="1"/>
  <c r="Z66" i="68"/>
  <c r="Y66" i="68"/>
  <c r="W66" i="68"/>
  <c r="V66" i="68"/>
  <c r="O66" i="68"/>
  <c r="N66" i="68"/>
  <c r="G66" i="68"/>
  <c r="F66" i="68"/>
  <c r="B66" i="68"/>
  <c r="B67" i="77" s="1"/>
  <c r="Z65" i="68"/>
  <c r="Y65" i="68"/>
  <c r="W65" i="68"/>
  <c r="V65" i="68"/>
  <c r="O65" i="68"/>
  <c r="N65" i="68"/>
  <c r="G65" i="68"/>
  <c r="F65" i="68"/>
  <c r="B65" i="68"/>
  <c r="B66" i="77" s="1"/>
  <c r="Z64" i="68"/>
  <c r="Y64" i="68"/>
  <c r="W64" i="68"/>
  <c r="V64" i="68"/>
  <c r="O64" i="68"/>
  <c r="N64" i="68"/>
  <c r="G64" i="68"/>
  <c r="F64" i="68"/>
  <c r="B64" i="68"/>
  <c r="B65" i="77" s="1"/>
  <c r="Z63" i="68"/>
  <c r="Y63" i="68"/>
  <c r="W63" i="68"/>
  <c r="V63" i="68"/>
  <c r="O63" i="68"/>
  <c r="N63" i="68"/>
  <c r="G63" i="68"/>
  <c r="F63" i="68"/>
  <c r="B63" i="68"/>
  <c r="B64" i="77" s="1"/>
  <c r="Z62" i="68"/>
  <c r="Y62" i="68"/>
  <c r="W62" i="68"/>
  <c r="V62" i="68"/>
  <c r="O62" i="68"/>
  <c r="N62" i="68"/>
  <c r="G62" i="68"/>
  <c r="F62" i="68"/>
  <c r="B62" i="68"/>
  <c r="B63" i="77" s="1"/>
  <c r="Z61" i="68"/>
  <c r="Y61" i="68"/>
  <c r="W61" i="68"/>
  <c r="V61" i="68"/>
  <c r="O61" i="68"/>
  <c r="N61" i="68"/>
  <c r="G61" i="68"/>
  <c r="F61" i="68"/>
  <c r="B61" i="68"/>
  <c r="B62" i="77" s="1"/>
  <c r="Z60" i="68"/>
  <c r="Y60" i="68"/>
  <c r="W60" i="68"/>
  <c r="V60" i="68"/>
  <c r="O60" i="68"/>
  <c r="N60" i="68"/>
  <c r="G60" i="68"/>
  <c r="F60" i="68"/>
  <c r="B60" i="68"/>
  <c r="B61" i="77" s="1"/>
  <c r="Z59" i="68"/>
  <c r="Y59" i="68"/>
  <c r="W59" i="68"/>
  <c r="V59" i="68"/>
  <c r="O59" i="68"/>
  <c r="N59" i="68"/>
  <c r="G59" i="68"/>
  <c r="F59" i="68"/>
  <c r="B59" i="68"/>
  <c r="B60" i="77" s="1"/>
  <c r="Z58" i="68"/>
  <c r="Y58" i="68"/>
  <c r="W58" i="68"/>
  <c r="V58" i="68"/>
  <c r="O58" i="68"/>
  <c r="N58" i="68"/>
  <c r="G58" i="68"/>
  <c r="F58" i="68"/>
  <c r="B58" i="68"/>
  <c r="B59" i="77" s="1"/>
  <c r="Z57" i="68"/>
  <c r="Y57" i="68"/>
  <c r="W57" i="68"/>
  <c r="V57" i="68"/>
  <c r="O57" i="68"/>
  <c r="N57" i="68"/>
  <c r="G57" i="68"/>
  <c r="F57" i="68"/>
  <c r="B57" i="68"/>
  <c r="B58" i="77" s="1"/>
  <c r="Z56" i="68"/>
  <c r="Y56" i="68"/>
  <c r="W56" i="68"/>
  <c r="V56" i="68"/>
  <c r="O56" i="68"/>
  <c r="N56" i="68"/>
  <c r="G56" i="68"/>
  <c r="F56" i="68"/>
  <c r="B56" i="68"/>
  <c r="B57" i="77" s="1"/>
  <c r="Z55" i="68"/>
  <c r="Y55" i="68"/>
  <c r="W55" i="68"/>
  <c r="V55" i="68"/>
  <c r="O55" i="68"/>
  <c r="N55" i="68"/>
  <c r="G55" i="68"/>
  <c r="F55" i="68"/>
  <c r="B55" i="68"/>
  <c r="B56" i="77" s="1"/>
  <c r="Z54" i="68"/>
  <c r="Y54" i="68"/>
  <c r="W54" i="68"/>
  <c r="V54" i="68"/>
  <c r="O54" i="68"/>
  <c r="N54" i="68"/>
  <c r="G54" i="68"/>
  <c r="F54" i="68"/>
  <c r="B54" i="68"/>
  <c r="B55" i="77" s="1"/>
  <c r="Z53" i="68"/>
  <c r="Y53" i="68"/>
  <c r="W53" i="68"/>
  <c r="V53" i="68"/>
  <c r="O53" i="68"/>
  <c r="N53" i="68"/>
  <c r="G53" i="68"/>
  <c r="F53" i="68"/>
  <c r="B53" i="68"/>
  <c r="B54" i="77" s="1"/>
  <c r="Z52" i="68"/>
  <c r="Y52" i="68"/>
  <c r="W52" i="68"/>
  <c r="V52" i="68"/>
  <c r="O52" i="68"/>
  <c r="N52" i="68"/>
  <c r="G52" i="68"/>
  <c r="F52" i="68"/>
  <c r="B52" i="68"/>
  <c r="B53" i="77" s="1"/>
  <c r="Z51" i="68"/>
  <c r="Y51" i="68"/>
  <c r="W51" i="68"/>
  <c r="V51" i="68"/>
  <c r="O51" i="68"/>
  <c r="N51" i="68"/>
  <c r="G51" i="68"/>
  <c r="F51" i="68"/>
  <c r="B51" i="68"/>
  <c r="B52" i="77" s="1"/>
  <c r="Z50" i="68"/>
  <c r="Y50" i="68"/>
  <c r="W50" i="68"/>
  <c r="V50" i="68"/>
  <c r="O50" i="68"/>
  <c r="N50" i="68"/>
  <c r="G50" i="68"/>
  <c r="F50" i="68"/>
  <c r="B50" i="68"/>
  <c r="B51" i="77" s="1"/>
  <c r="Z49" i="68"/>
  <c r="Y49" i="68"/>
  <c r="W49" i="68"/>
  <c r="V49" i="68"/>
  <c r="O49" i="68"/>
  <c r="N49" i="68"/>
  <c r="G49" i="68"/>
  <c r="F49" i="68"/>
  <c r="B49" i="68"/>
  <c r="B50" i="77" s="1"/>
  <c r="Z48" i="68"/>
  <c r="Y48" i="68"/>
  <c r="W48" i="68"/>
  <c r="V48" i="68"/>
  <c r="O48" i="68"/>
  <c r="N48" i="68"/>
  <c r="G48" i="68"/>
  <c r="F48" i="68"/>
  <c r="B48" i="68"/>
  <c r="B49" i="77" s="1"/>
  <c r="Z47" i="68"/>
  <c r="Y47" i="68"/>
  <c r="W47" i="68"/>
  <c r="V47" i="68"/>
  <c r="O47" i="68"/>
  <c r="N47" i="68"/>
  <c r="G47" i="68"/>
  <c r="F47" i="68"/>
  <c r="B47" i="68"/>
  <c r="B48" i="77" s="1"/>
  <c r="Z46" i="68"/>
  <c r="Y46" i="68"/>
  <c r="W46" i="68"/>
  <c r="V46" i="68"/>
  <c r="O46" i="68"/>
  <c r="N46" i="68"/>
  <c r="G46" i="68"/>
  <c r="F46" i="68"/>
  <c r="B46" i="68"/>
  <c r="B47" i="77" s="1"/>
  <c r="Z45" i="68"/>
  <c r="Y45" i="68"/>
  <c r="W45" i="68"/>
  <c r="V45" i="68"/>
  <c r="O45" i="68"/>
  <c r="N45" i="68"/>
  <c r="G45" i="68"/>
  <c r="F45" i="68"/>
  <c r="B45" i="68"/>
  <c r="B46" i="77" s="1"/>
  <c r="Z44" i="68"/>
  <c r="Y44" i="68"/>
  <c r="W44" i="68"/>
  <c r="V44" i="68"/>
  <c r="O44" i="68"/>
  <c r="N44" i="68"/>
  <c r="G44" i="68"/>
  <c r="F44" i="68"/>
  <c r="B44" i="68"/>
  <c r="B45" i="77" s="1"/>
  <c r="Z43" i="68"/>
  <c r="Y43" i="68"/>
  <c r="W43" i="68"/>
  <c r="V43" i="68"/>
  <c r="O43" i="68"/>
  <c r="N43" i="68"/>
  <c r="G43" i="68"/>
  <c r="F43" i="68"/>
  <c r="B43" i="68"/>
  <c r="B44" i="77" s="1"/>
  <c r="Z42" i="68"/>
  <c r="Y42" i="68"/>
  <c r="W42" i="68"/>
  <c r="V42" i="68"/>
  <c r="O42" i="68"/>
  <c r="N42" i="68"/>
  <c r="G42" i="68"/>
  <c r="F42" i="68"/>
  <c r="B42" i="68"/>
  <c r="B43" i="77" s="1"/>
  <c r="Z41" i="68"/>
  <c r="Y41" i="68"/>
  <c r="W41" i="68"/>
  <c r="V41" i="68"/>
  <c r="O41" i="68"/>
  <c r="N41" i="68"/>
  <c r="G41" i="68"/>
  <c r="F41" i="68"/>
  <c r="B41" i="68"/>
  <c r="B42" i="77" s="1"/>
  <c r="Z40" i="68"/>
  <c r="Y40" i="68"/>
  <c r="W40" i="68"/>
  <c r="V40" i="68"/>
  <c r="O40" i="68"/>
  <c r="N40" i="68"/>
  <c r="G40" i="68"/>
  <c r="F40" i="68"/>
  <c r="B40" i="68"/>
  <c r="B41" i="77" s="1"/>
  <c r="Z39" i="68"/>
  <c r="Y39" i="68"/>
  <c r="W39" i="68"/>
  <c r="V39" i="68"/>
  <c r="O39" i="68"/>
  <c r="N39" i="68"/>
  <c r="G39" i="68"/>
  <c r="F39" i="68"/>
  <c r="B39" i="68"/>
  <c r="B40" i="77" s="1"/>
  <c r="Z38" i="68"/>
  <c r="Y38" i="68"/>
  <c r="W38" i="68"/>
  <c r="V38" i="68"/>
  <c r="O38" i="68"/>
  <c r="N38" i="68"/>
  <c r="G38" i="68"/>
  <c r="F38" i="68"/>
  <c r="B38" i="68"/>
  <c r="B39" i="77" s="1"/>
  <c r="Z37" i="68"/>
  <c r="Y37" i="68"/>
  <c r="W37" i="68"/>
  <c r="V37" i="68"/>
  <c r="O37" i="68"/>
  <c r="N37" i="68"/>
  <c r="G37" i="68"/>
  <c r="F37" i="68"/>
  <c r="B37" i="68"/>
  <c r="B38" i="77" s="1"/>
  <c r="Z36" i="68"/>
  <c r="Y36" i="68"/>
  <c r="W36" i="68"/>
  <c r="V36" i="68"/>
  <c r="O36" i="68"/>
  <c r="N36" i="68"/>
  <c r="G36" i="68"/>
  <c r="F36" i="68"/>
  <c r="B36" i="68"/>
  <c r="B37" i="77" s="1"/>
  <c r="Z35" i="68"/>
  <c r="Y35" i="68"/>
  <c r="W35" i="68"/>
  <c r="V35" i="68"/>
  <c r="O35" i="68"/>
  <c r="N35" i="68"/>
  <c r="G35" i="68"/>
  <c r="F35" i="68"/>
  <c r="B35" i="68"/>
  <c r="B36" i="77" s="1"/>
  <c r="Z34" i="68"/>
  <c r="Y34" i="68"/>
  <c r="W34" i="68"/>
  <c r="V34" i="68"/>
  <c r="O34" i="68"/>
  <c r="N34" i="68"/>
  <c r="G34" i="68"/>
  <c r="F34" i="68"/>
  <c r="B34" i="68"/>
  <c r="B35" i="77" s="1"/>
  <c r="Z33" i="68"/>
  <c r="Y33" i="68"/>
  <c r="W33" i="68"/>
  <c r="V33" i="68"/>
  <c r="O33" i="68"/>
  <c r="N33" i="68"/>
  <c r="G33" i="68"/>
  <c r="F33" i="68"/>
  <c r="B33" i="68"/>
  <c r="B34" i="77" s="1"/>
  <c r="Z32" i="68"/>
  <c r="Y32" i="68"/>
  <c r="W32" i="68"/>
  <c r="V32" i="68"/>
  <c r="O32" i="68"/>
  <c r="N32" i="68"/>
  <c r="G32" i="68"/>
  <c r="F32" i="68"/>
  <c r="B32" i="68"/>
  <c r="B33" i="77" s="1"/>
  <c r="Z31" i="68"/>
  <c r="Y31" i="68"/>
  <c r="W31" i="68"/>
  <c r="V31" i="68"/>
  <c r="O31" i="68"/>
  <c r="N31" i="68"/>
  <c r="G31" i="68"/>
  <c r="F31" i="68"/>
  <c r="B31" i="68"/>
  <c r="B32" i="77" s="1"/>
  <c r="Z30" i="68"/>
  <c r="Y30" i="68"/>
  <c r="W30" i="68"/>
  <c r="V30" i="68"/>
  <c r="O30" i="68"/>
  <c r="N30" i="68"/>
  <c r="G30" i="68"/>
  <c r="F30" i="68"/>
  <c r="B30" i="68"/>
  <c r="B31" i="77" s="1"/>
  <c r="Z29" i="68"/>
  <c r="Y29" i="68"/>
  <c r="W29" i="68"/>
  <c r="V29" i="68"/>
  <c r="O29" i="68"/>
  <c r="N29" i="68"/>
  <c r="G29" i="68"/>
  <c r="F29" i="68"/>
  <c r="B29" i="68"/>
  <c r="B30" i="77" s="1"/>
  <c r="Z28" i="68"/>
  <c r="Y28" i="68"/>
  <c r="W28" i="68"/>
  <c r="V28" i="68"/>
  <c r="O28" i="68"/>
  <c r="N28" i="68"/>
  <c r="G28" i="68"/>
  <c r="F28" i="68"/>
  <c r="B28" i="68"/>
  <c r="B29" i="77" s="1"/>
  <c r="Z27" i="68"/>
  <c r="Y27" i="68"/>
  <c r="W27" i="68"/>
  <c r="V27" i="68"/>
  <c r="O27" i="68"/>
  <c r="N27" i="68"/>
  <c r="G27" i="68"/>
  <c r="F27" i="68"/>
  <c r="B27" i="68"/>
  <c r="B28" i="77" s="1"/>
  <c r="Z26" i="68"/>
  <c r="Y26" i="68"/>
  <c r="W26" i="68"/>
  <c r="V26" i="68"/>
  <c r="O26" i="68"/>
  <c r="N26" i="68"/>
  <c r="G26" i="68"/>
  <c r="F26" i="68"/>
  <c r="B26" i="68"/>
  <c r="B27" i="77" s="1"/>
  <c r="Z25" i="68"/>
  <c r="Y25" i="68"/>
  <c r="W25" i="68"/>
  <c r="V25" i="68"/>
  <c r="O25" i="68"/>
  <c r="N25" i="68"/>
  <c r="G25" i="68"/>
  <c r="F25" i="68"/>
  <c r="B25" i="68"/>
  <c r="B26" i="77" s="1"/>
  <c r="Z24" i="68"/>
  <c r="Y24" i="68"/>
  <c r="W24" i="68"/>
  <c r="V24" i="68"/>
  <c r="O24" i="68"/>
  <c r="N24" i="68"/>
  <c r="G24" i="68"/>
  <c r="F24" i="68"/>
  <c r="B24" i="68"/>
  <c r="B25" i="77" s="1"/>
  <c r="Z23" i="68"/>
  <c r="Y23" i="68"/>
  <c r="W23" i="68"/>
  <c r="V23" i="68"/>
  <c r="O23" i="68"/>
  <c r="N23" i="68"/>
  <c r="G23" i="68"/>
  <c r="F23" i="68"/>
  <c r="B23" i="68"/>
  <c r="B24" i="77" s="1"/>
  <c r="Z22" i="68"/>
  <c r="Y22" i="68"/>
  <c r="W22" i="68"/>
  <c r="V22" i="68"/>
  <c r="O22" i="68"/>
  <c r="N22" i="68"/>
  <c r="G22" i="68"/>
  <c r="F22" i="68"/>
  <c r="B22" i="68"/>
  <c r="B23" i="77" s="1"/>
  <c r="Z21" i="68"/>
  <c r="Y21" i="68"/>
  <c r="W21" i="68"/>
  <c r="V21" i="68"/>
  <c r="O21" i="68"/>
  <c r="N21" i="68"/>
  <c r="G21" i="68"/>
  <c r="F21" i="68"/>
  <c r="B21" i="68"/>
  <c r="B22" i="77" s="1"/>
  <c r="Z20" i="68"/>
  <c r="Y20" i="68"/>
  <c r="W20" i="68"/>
  <c r="V20" i="68"/>
  <c r="O20" i="68"/>
  <c r="N20" i="68"/>
  <c r="G20" i="68"/>
  <c r="F20" i="68"/>
  <c r="B20" i="68"/>
  <c r="B21" i="77" s="1"/>
  <c r="Z19" i="68"/>
  <c r="Y19" i="68"/>
  <c r="W19" i="68"/>
  <c r="V19" i="68"/>
  <c r="O19" i="68"/>
  <c r="N19" i="68"/>
  <c r="G19" i="68"/>
  <c r="F19" i="68"/>
  <c r="B19" i="68"/>
  <c r="B20" i="77" s="1"/>
  <c r="Z18" i="68"/>
  <c r="Y18" i="68"/>
  <c r="W18" i="68"/>
  <c r="V18" i="68"/>
  <c r="O18" i="68"/>
  <c r="N18" i="68"/>
  <c r="G18" i="68"/>
  <c r="F18" i="68"/>
  <c r="B18" i="68"/>
  <c r="B19" i="77" s="1"/>
  <c r="Z17" i="68"/>
  <c r="Y17" i="68"/>
  <c r="W17" i="68"/>
  <c r="V17" i="68"/>
  <c r="O17" i="68"/>
  <c r="N17" i="68"/>
  <c r="G17" i="68"/>
  <c r="F17" i="68"/>
  <c r="B17" i="68"/>
  <c r="B18" i="77" s="1"/>
  <c r="Z16" i="68"/>
  <c r="Y16" i="68"/>
  <c r="W16" i="68"/>
  <c r="V16" i="68"/>
  <c r="O16" i="68"/>
  <c r="N16" i="68"/>
  <c r="G16" i="68"/>
  <c r="F16" i="68"/>
  <c r="B16" i="68"/>
  <c r="B17" i="77" s="1"/>
  <c r="Z15" i="68"/>
  <c r="Y15" i="68"/>
  <c r="W15" i="68"/>
  <c r="V15" i="68"/>
  <c r="O15" i="68"/>
  <c r="N15" i="68"/>
  <c r="G15" i="68"/>
  <c r="F15" i="68"/>
  <c r="B15" i="68"/>
  <c r="B16" i="77" s="1"/>
  <c r="F8" i="68"/>
  <c r="F9" i="77" s="1"/>
  <c r="C6" i="68"/>
  <c r="C5" i="68"/>
  <c r="Z72" i="67"/>
  <c r="Y72" i="67"/>
  <c r="W72" i="67"/>
  <c r="V72" i="67"/>
  <c r="O72" i="67"/>
  <c r="N72" i="67"/>
  <c r="G72" i="67"/>
  <c r="F72" i="67"/>
  <c r="B72" i="67"/>
  <c r="B73" i="76" s="1"/>
  <c r="Z71" i="67"/>
  <c r="Y71" i="67"/>
  <c r="W71" i="67"/>
  <c r="V71" i="67"/>
  <c r="O71" i="67"/>
  <c r="N71" i="67"/>
  <c r="G71" i="67"/>
  <c r="F71" i="67"/>
  <c r="B71" i="67"/>
  <c r="B72" i="76" s="1"/>
  <c r="Z70" i="67"/>
  <c r="Y70" i="67"/>
  <c r="W70" i="67"/>
  <c r="V70" i="67"/>
  <c r="O70" i="67"/>
  <c r="N70" i="67"/>
  <c r="G70" i="67"/>
  <c r="F70" i="67"/>
  <c r="B70" i="67"/>
  <c r="B71" i="76" s="1"/>
  <c r="Z69" i="67"/>
  <c r="Y69" i="67"/>
  <c r="W69" i="67"/>
  <c r="V69" i="67"/>
  <c r="O69" i="67"/>
  <c r="N69" i="67"/>
  <c r="G69" i="67"/>
  <c r="F69" i="67"/>
  <c r="B69" i="67"/>
  <c r="B70" i="76" s="1"/>
  <c r="Z68" i="67"/>
  <c r="Y68" i="67"/>
  <c r="W68" i="67"/>
  <c r="V68" i="67"/>
  <c r="O68" i="67"/>
  <c r="N68" i="67"/>
  <c r="G68" i="67"/>
  <c r="F68" i="67"/>
  <c r="B68" i="67"/>
  <c r="B69" i="76" s="1"/>
  <c r="Z67" i="67"/>
  <c r="Y67" i="67"/>
  <c r="W67" i="67"/>
  <c r="V67" i="67"/>
  <c r="O67" i="67"/>
  <c r="N67" i="67"/>
  <c r="G67" i="67"/>
  <c r="F67" i="67"/>
  <c r="B67" i="67"/>
  <c r="B68" i="76" s="1"/>
  <c r="Z66" i="67"/>
  <c r="Y66" i="67"/>
  <c r="W66" i="67"/>
  <c r="V66" i="67"/>
  <c r="O66" i="67"/>
  <c r="N66" i="67"/>
  <c r="G66" i="67"/>
  <c r="F66" i="67"/>
  <c r="B66" i="67"/>
  <c r="B67" i="76" s="1"/>
  <c r="Z65" i="67"/>
  <c r="Y65" i="67"/>
  <c r="W65" i="67"/>
  <c r="V65" i="67"/>
  <c r="O65" i="67"/>
  <c r="N65" i="67"/>
  <c r="G65" i="67"/>
  <c r="F65" i="67"/>
  <c r="B65" i="67"/>
  <c r="B66" i="76" s="1"/>
  <c r="Z64" i="67"/>
  <c r="Y64" i="67"/>
  <c r="W64" i="67"/>
  <c r="V64" i="67"/>
  <c r="O64" i="67"/>
  <c r="N64" i="67"/>
  <c r="G64" i="67"/>
  <c r="F64" i="67"/>
  <c r="B64" i="67"/>
  <c r="B65" i="76" s="1"/>
  <c r="Z63" i="67"/>
  <c r="Y63" i="67"/>
  <c r="W63" i="67"/>
  <c r="V63" i="67"/>
  <c r="O63" i="67"/>
  <c r="N63" i="67"/>
  <c r="G63" i="67"/>
  <c r="F63" i="67"/>
  <c r="B63" i="67"/>
  <c r="B64" i="76" s="1"/>
  <c r="Z62" i="67"/>
  <c r="Y62" i="67"/>
  <c r="W62" i="67"/>
  <c r="V62" i="67"/>
  <c r="O62" i="67"/>
  <c r="N62" i="67"/>
  <c r="G62" i="67"/>
  <c r="F62" i="67"/>
  <c r="B62" i="67"/>
  <c r="B63" i="76" s="1"/>
  <c r="Z61" i="67"/>
  <c r="Y61" i="67"/>
  <c r="W61" i="67"/>
  <c r="V61" i="67"/>
  <c r="O61" i="67"/>
  <c r="N61" i="67"/>
  <c r="G61" i="67"/>
  <c r="F61" i="67"/>
  <c r="B61" i="67"/>
  <c r="B62" i="76" s="1"/>
  <c r="Z60" i="67"/>
  <c r="Y60" i="67"/>
  <c r="W60" i="67"/>
  <c r="V60" i="67"/>
  <c r="O60" i="67"/>
  <c r="N60" i="67"/>
  <c r="G60" i="67"/>
  <c r="F60" i="67"/>
  <c r="B60" i="67"/>
  <c r="B61" i="76" s="1"/>
  <c r="Z59" i="67"/>
  <c r="Y59" i="67"/>
  <c r="W59" i="67"/>
  <c r="V59" i="67"/>
  <c r="O59" i="67"/>
  <c r="N59" i="67"/>
  <c r="G59" i="67"/>
  <c r="F59" i="67"/>
  <c r="B59" i="67"/>
  <c r="B60" i="76" s="1"/>
  <c r="Z58" i="67"/>
  <c r="Y58" i="67"/>
  <c r="W58" i="67"/>
  <c r="V58" i="67"/>
  <c r="O58" i="67"/>
  <c r="N58" i="67"/>
  <c r="G58" i="67"/>
  <c r="F58" i="67"/>
  <c r="B58" i="67"/>
  <c r="B59" i="76" s="1"/>
  <c r="Z57" i="67"/>
  <c r="Y57" i="67"/>
  <c r="W57" i="67"/>
  <c r="V57" i="67"/>
  <c r="O57" i="67"/>
  <c r="N57" i="67"/>
  <c r="G57" i="67"/>
  <c r="F57" i="67"/>
  <c r="B57" i="67"/>
  <c r="B58" i="76" s="1"/>
  <c r="Z56" i="67"/>
  <c r="Y56" i="67"/>
  <c r="W56" i="67"/>
  <c r="V56" i="67"/>
  <c r="O56" i="67"/>
  <c r="N56" i="67"/>
  <c r="G56" i="67"/>
  <c r="F56" i="67"/>
  <c r="B56" i="67"/>
  <c r="B57" i="76" s="1"/>
  <c r="Z55" i="67"/>
  <c r="Y55" i="67"/>
  <c r="W55" i="67"/>
  <c r="V55" i="67"/>
  <c r="O55" i="67"/>
  <c r="N55" i="67"/>
  <c r="G55" i="67"/>
  <c r="F55" i="67"/>
  <c r="B55" i="67"/>
  <c r="B56" i="76" s="1"/>
  <c r="Z54" i="67"/>
  <c r="Y54" i="67"/>
  <c r="W54" i="67"/>
  <c r="V54" i="67"/>
  <c r="O54" i="67"/>
  <c r="N54" i="67"/>
  <c r="G54" i="67"/>
  <c r="F54" i="67"/>
  <c r="B54" i="67"/>
  <c r="B55" i="76" s="1"/>
  <c r="Z53" i="67"/>
  <c r="Y53" i="67"/>
  <c r="W53" i="67"/>
  <c r="V53" i="67"/>
  <c r="O53" i="67"/>
  <c r="N53" i="67"/>
  <c r="G53" i="67"/>
  <c r="F53" i="67"/>
  <c r="B53" i="67"/>
  <c r="B54" i="76" s="1"/>
  <c r="Z52" i="67"/>
  <c r="Y52" i="67"/>
  <c r="W52" i="67"/>
  <c r="V52" i="67"/>
  <c r="O52" i="67"/>
  <c r="N52" i="67"/>
  <c r="G52" i="67"/>
  <c r="F52" i="67"/>
  <c r="B52" i="67"/>
  <c r="B53" i="76" s="1"/>
  <c r="Z51" i="67"/>
  <c r="Y51" i="67"/>
  <c r="W51" i="67"/>
  <c r="V51" i="67"/>
  <c r="O51" i="67"/>
  <c r="N51" i="67"/>
  <c r="G51" i="67"/>
  <c r="F51" i="67"/>
  <c r="B51" i="67"/>
  <c r="B52" i="76" s="1"/>
  <c r="Z50" i="67"/>
  <c r="Y50" i="67"/>
  <c r="W50" i="67"/>
  <c r="V50" i="67"/>
  <c r="O50" i="67"/>
  <c r="N50" i="67"/>
  <c r="G50" i="67"/>
  <c r="F50" i="67"/>
  <c r="B50" i="67"/>
  <c r="B51" i="76" s="1"/>
  <c r="Z49" i="67"/>
  <c r="Y49" i="67"/>
  <c r="W49" i="67"/>
  <c r="V49" i="67"/>
  <c r="O49" i="67"/>
  <c r="N49" i="67"/>
  <c r="G49" i="67"/>
  <c r="F49" i="67"/>
  <c r="B49" i="67"/>
  <c r="B50" i="76" s="1"/>
  <c r="Z48" i="67"/>
  <c r="Y48" i="67"/>
  <c r="W48" i="67"/>
  <c r="V48" i="67"/>
  <c r="O48" i="67"/>
  <c r="N48" i="67"/>
  <c r="G48" i="67"/>
  <c r="F48" i="67"/>
  <c r="B48" i="67"/>
  <c r="B49" i="76" s="1"/>
  <c r="Z47" i="67"/>
  <c r="Y47" i="67"/>
  <c r="W47" i="67"/>
  <c r="V47" i="67"/>
  <c r="O47" i="67"/>
  <c r="N47" i="67"/>
  <c r="G47" i="67"/>
  <c r="F47" i="67"/>
  <c r="B47" i="67"/>
  <c r="B48" i="76" s="1"/>
  <c r="Z46" i="67"/>
  <c r="Y46" i="67"/>
  <c r="W46" i="67"/>
  <c r="V46" i="67"/>
  <c r="O46" i="67"/>
  <c r="N46" i="67"/>
  <c r="G46" i="67"/>
  <c r="F46" i="67"/>
  <c r="B46" i="67"/>
  <c r="B47" i="76" s="1"/>
  <c r="Z45" i="67"/>
  <c r="Y45" i="67"/>
  <c r="W45" i="67"/>
  <c r="V45" i="67"/>
  <c r="O45" i="67"/>
  <c r="N45" i="67"/>
  <c r="G45" i="67"/>
  <c r="F45" i="67"/>
  <c r="B45" i="67"/>
  <c r="B46" i="76" s="1"/>
  <c r="Z44" i="67"/>
  <c r="Y44" i="67"/>
  <c r="W44" i="67"/>
  <c r="V44" i="67"/>
  <c r="O44" i="67"/>
  <c r="N44" i="67"/>
  <c r="G44" i="67"/>
  <c r="F44" i="67"/>
  <c r="B44" i="67"/>
  <c r="B45" i="76" s="1"/>
  <c r="Z43" i="67"/>
  <c r="Y43" i="67"/>
  <c r="W43" i="67"/>
  <c r="V43" i="67"/>
  <c r="O43" i="67"/>
  <c r="N43" i="67"/>
  <c r="G43" i="67"/>
  <c r="F43" i="67"/>
  <c r="B43" i="67"/>
  <c r="B44" i="76" s="1"/>
  <c r="Z42" i="67"/>
  <c r="Y42" i="67"/>
  <c r="W42" i="67"/>
  <c r="V42" i="67"/>
  <c r="O42" i="67"/>
  <c r="N42" i="67"/>
  <c r="G42" i="67"/>
  <c r="F42" i="67"/>
  <c r="B42" i="67"/>
  <c r="B43" i="76" s="1"/>
  <c r="Z41" i="67"/>
  <c r="Y41" i="67"/>
  <c r="W41" i="67"/>
  <c r="V41" i="67"/>
  <c r="O41" i="67"/>
  <c r="N41" i="67"/>
  <c r="G41" i="67"/>
  <c r="F41" i="67"/>
  <c r="B41" i="67"/>
  <c r="B42" i="76" s="1"/>
  <c r="Z40" i="67"/>
  <c r="Y40" i="67"/>
  <c r="W40" i="67"/>
  <c r="V40" i="67"/>
  <c r="O40" i="67"/>
  <c r="N40" i="67"/>
  <c r="G40" i="67"/>
  <c r="F40" i="67"/>
  <c r="B40" i="67"/>
  <c r="B41" i="76" s="1"/>
  <c r="Z39" i="67"/>
  <c r="Y39" i="67"/>
  <c r="W39" i="67"/>
  <c r="V39" i="67"/>
  <c r="O39" i="67"/>
  <c r="N39" i="67"/>
  <c r="G39" i="67"/>
  <c r="F39" i="67"/>
  <c r="B39" i="67"/>
  <c r="B40" i="76" s="1"/>
  <c r="Z38" i="67"/>
  <c r="Y38" i="67"/>
  <c r="W38" i="67"/>
  <c r="V38" i="67"/>
  <c r="O38" i="67"/>
  <c r="N38" i="67"/>
  <c r="G38" i="67"/>
  <c r="F38" i="67"/>
  <c r="B38" i="67"/>
  <c r="B39" i="76" s="1"/>
  <c r="Z37" i="67"/>
  <c r="Y37" i="67"/>
  <c r="W37" i="67"/>
  <c r="V37" i="67"/>
  <c r="O37" i="67"/>
  <c r="N37" i="67"/>
  <c r="G37" i="67"/>
  <c r="F37" i="67"/>
  <c r="B37" i="67"/>
  <c r="B38" i="76" s="1"/>
  <c r="Z36" i="67"/>
  <c r="Y36" i="67"/>
  <c r="W36" i="67"/>
  <c r="V36" i="67"/>
  <c r="O36" i="67"/>
  <c r="N36" i="67"/>
  <c r="G36" i="67"/>
  <c r="F36" i="67"/>
  <c r="B36" i="67"/>
  <c r="B37" i="76" s="1"/>
  <c r="Z35" i="67"/>
  <c r="Y35" i="67"/>
  <c r="W35" i="67"/>
  <c r="V35" i="67"/>
  <c r="O35" i="67"/>
  <c r="N35" i="67"/>
  <c r="G35" i="67"/>
  <c r="F35" i="67"/>
  <c r="B35" i="67"/>
  <c r="B36" i="76" s="1"/>
  <c r="Z34" i="67"/>
  <c r="Y34" i="67"/>
  <c r="W34" i="67"/>
  <c r="V34" i="67"/>
  <c r="O34" i="67"/>
  <c r="N34" i="67"/>
  <c r="G34" i="67"/>
  <c r="F34" i="67"/>
  <c r="B34" i="67"/>
  <c r="B35" i="76" s="1"/>
  <c r="Z33" i="67"/>
  <c r="Y33" i="67"/>
  <c r="W33" i="67"/>
  <c r="V33" i="67"/>
  <c r="O33" i="67"/>
  <c r="N33" i="67"/>
  <c r="G33" i="67"/>
  <c r="F33" i="67"/>
  <c r="B33" i="67"/>
  <c r="B34" i="76" s="1"/>
  <c r="Z32" i="67"/>
  <c r="Y32" i="67"/>
  <c r="W32" i="67"/>
  <c r="V32" i="67"/>
  <c r="O32" i="67"/>
  <c r="N32" i="67"/>
  <c r="G32" i="67"/>
  <c r="F32" i="67"/>
  <c r="B32" i="67"/>
  <c r="B33" i="76" s="1"/>
  <c r="Z31" i="67"/>
  <c r="Y31" i="67"/>
  <c r="W31" i="67"/>
  <c r="V31" i="67"/>
  <c r="O31" i="67"/>
  <c r="N31" i="67"/>
  <c r="G31" i="67"/>
  <c r="F31" i="67"/>
  <c r="B31" i="67"/>
  <c r="B32" i="76" s="1"/>
  <c r="Z30" i="67"/>
  <c r="Y30" i="67"/>
  <c r="W30" i="67"/>
  <c r="V30" i="67"/>
  <c r="O30" i="67"/>
  <c r="N30" i="67"/>
  <c r="G30" i="67"/>
  <c r="F30" i="67"/>
  <c r="B30" i="67"/>
  <c r="B31" i="76" s="1"/>
  <c r="Z29" i="67"/>
  <c r="Y29" i="67"/>
  <c r="W29" i="67"/>
  <c r="V29" i="67"/>
  <c r="O29" i="67"/>
  <c r="N29" i="67"/>
  <c r="G29" i="67"/>
  <c r="F29" i="67"/>
  <c r="B29" i="67"/>
  <c r="B30" i="76" s="1"/>
  <c r="Z28" i="67"/>
  <c r="Y28" i="67"/>
  <c r="W28" i="67"/>
  <c r="V28" i="67"/>
  <c r="O28" i="67"/>
  <c r="N28" i="67"/>
  <c r="G28" i="67"/>
  <c r="F28" i="67"/>
  <c r="B28" i="67"/>
  <c r="B29" i="76" s="1"/>
  <c r="Z27" i="67"/>
  <c r="Y27" i="67"/>
  <c r="W27" i="67"/>
  <c r="V27" i="67"/>
  <c r="O27" i="67"/>
  <c r="N27" i="67"/>
  <c r="G27" i="67"/>
  <c r="F27" i="67"/>
  <c r="B27" i="67"/>
  <c r="B28" i="76" s="1"/>
  <c r="Z26" i="67"/>
  <c r="Y26" i="67"/>
  <c r="W26" i="67"/>
  <c r="V26" i="67"/>
  <c r="O26" i="67"/>
  <c r="N26" i="67"/>
  <c r="G26" i="67"/>
  <c r="F26" i="67"/>
  <c r="B26" i="67"/>
  <c r="B27" i="76" s="1"/>
  <c r="Z25" i="67"/>
  <c r="Y25" i="67"/>
  <c r="W25" i="67"/>
  <c r="V25" i="67"/>
  <c r="O25" i="67"/>
  <c r="N25" i="67"/>
  <c r="G25" i="67"/>
  <c r="F25" i="67"/>
  <c r="B25" i="67"/>
  <c r="B26" i="76" s="1"/>
  <c r="Z24" i="67"/>
  <c r="Y24" i="67"/>
  <c r="W24" i="67"/>
  <c r="V24" i="67"/>
  <c r="O24" i="67"/>
  <c r="N24" i="67"/>
  <c r="G24" i="67"/>
  <c r="F24" i="67"/>
  <c r="B24" i="67"/>
  <c r="B25" i="76" s="1"/>
  <c r="Z23" i="67"/>
  <c r="Y23" i="67"/>
  <c r="W23" i="67"/>
  <c r="V23" i="67"/>
  <c r="O23" i="67"/>
  <c r="N23" i="67"/>
  <c r="G23" i="67"/>
  <c r="F23" i="67"/>
  <c r="B23" i="67"/>
  <c r="B24" i="76" s="1"/>
  <c r="Z22" i="67"/>
  <c r="Y22" i="67"/>
  <c r="W22" i="67"/>
  <c r="V22" i="67"/>
  <c r="O22" i="67"/>
  <c r="N22" i="67"/>
  <c r="G22" i="67"/>
  <c r="F22" i="67"/>
  <c r="B22" i="67"/>
  <c r="B23" i="76" s="1"/>
  <c r="Z21" i="67"/>
  <c r="Y21" i="67"/>
  <c r="W21" i="67"/>
  <c r="V21" i="67"/>
  <c r="O21" i="67"/>
  <c r="N21" i="67"/>
  <c r="G21" i="67"/>
  <c r="F21" i="67"/>
  <c r="B21" i="67"/>
  <c r="B22" i="76" s="1"/>
  <c r="Z20" i="67"/>
  <c r="Y20" i="67"/>
  <c r="W20" i="67"/>
  <c r="V20" i="67"/>
  <c r="O20" i="67"/>
  <c r="N20" i="67"/>
  <c r="G20" i="67"/>
  <c r="F20" i="67"/>
  <c r="B20" i="67"/>
  <c r="B21" i="76" s="1"/>
  <c r="Z19" i="67"/>
  <c r="Y19" i="67"/>
  <c r="W19" i="67"/>
  <c r="V19" i="67"/>
  <c r="O19" i="67"/>
  <c r="N19" i="67"/>
  <c r="G19" i="67"/>
  <c r="F19" i="67"/>
  <c r="B19" i="67"/>
  <c r="B20" i="76" s="1"/>
  <c r="Z18" i="67"/>
  <c r="Y18" i="67"/>
  <c r="W18" i="67"/>
  <c r="V18" i="67"/>
  <c r="O18" i="67"/>
  <c r="N18" i="67"/>
  <c r="G18" i="67"/>
  <c r="F18" i="67"/>
  <c r="B18" i="67"/>
  <c r="B19" i="76" s="1"/>
  <c r="Z17" i="67"/>
  <c r="Y17" i="67"/>
  <c r="W17" i="67"/>
  <c r="V17" i="67"/>
  <c r="O17" i="67"/>
  <c r="N17" i="67"/>
  <c r="G17" i="67"/>
  <c r="F17" i="67"/>
  <c r="B17" i="67"/>
  <c r="B18" i="76" s="1"/>
  <c r="Z16" i="67"/>
  <c r="Y16" i="67"/>
  <c r="W16" i="67"/>
  <c r="V16" i="67"/>
  <c r="O16" i="67"/>
  <c r="N16" i="67"/>
  <c r="G16" i="67"/>
  <c r="F16" i="67"/>
  <c r="B16" i="67"/>
  <c r="B17" i="76" s="1"/>
  <c r="Z15" i="67"/>
  <c r="Y15" i="67"/>
  <c r="W15" i="67"/>
  <c r="V15" i="67"/>
  <c r="O15" i="67"/>
  <c r="N15" i="67"/>
  <c r="G15" i="67"/>
  <c r="F15" i="67"/>
  <c r="B15" i="67"/>
  <c r="B16" i="76" s="1"/>
  <c r="F8" i="67"/>
  <c r="F9" i="76" s="1"/>
  <c r="C6" i="67"/>
  <c r="C5" i="67"/>
  <c r="Y72" i="66"/>
  <c r="V72" i="66"/>
  <c r="N72" i="66"/>
  <c r="F72" i="66"/>
  <c r="B72" i="66"/>
  <c r="B73" i="75" s="1"/>
  <c r="Y71" i="66"/>
  <c r="V71" i="66"/>
  <c r="N71" i="66"/>
  <c r="F71" i="66"/>
  <c r="H71" i="66" s="1"/>
  <c r="F72" i="75" s="1"/>
  <c r="B71" i="66"/>
  <c r="B72" i="75" s="1"/>
  <c r="Y70" i="66"/>
  <c r="V70" i="66"/>
  <c r="N70" i="66"/>
  <c r="F70" i="66"/>
  <c r="B70" i="66"/>
  <c r="B71" i="75" s="1"/>
  <c r="Y69" i="66"/>
  <c r="V69" i="66"/>
  <c r="N69" i="66"/>
  <c r="F69" i="66"/>
  <c r="B69" i="66"/>
  <c r="B70" i="75" s="1"/>
  <c r="Y68" i="66"/>
  <c r="V68" i="66"/>
  <c r="N68" i="66"/>
  <c r="F68" i="66"/>
  <c r="B68" i="66"/>
  <c r="B69" i="75" s="1"/>
  <c r="Y67" i="66"/>
  <c r="V67" i="66"/>
  <c r="X67" i="66" s="1"/>
  <c r="N68" i="75" s="1"/>
  <c r="N67" i="66"/>
  <c r="F67" i="66"/>
  <c r="B67" i="66"/>
  <c r="B68" i="75" s="1"/>
  <c r="Y66" i="66"/>
  <c r="V66" i="66"/>
  <c r="N66" i="66"/>
  <c r="F66" i="66"/>
  <c r="B66" i="66"/>
  <c r="B67" i="75" s="1"/>
  <c r="Y65" i="66"/>
  <c r="V65" i="66"/>
  <c r="X65" i="66" s="1"/>
  <c r="N66" i="75" s="1"/>
  <c r="N65" i="66"/>
  <c r="F65" i="66"/>
  <c r="B65" i="66"/>
  <c r="B66" i="75" s="1"/>
  <c r="Y64" i="66"/>
  <c r="V64" i="66"/>
  <c r="N64" i="66"/>
  <c r="F64" i="66"/>
  <c r="B64" i="66"/>
  <c r="B65" i="75" s="1"/>
  <c r="Y63" i="66"/>
  <c r="V63" i="66"/>
  <c r="X63" i="66" s="1"/>
  <c r="N64" i="75" s="1"/>
  <c r="N63" i="66"/>
  <c r="F63" i="66"/>
  <c r="B63" i="66"/>
  <c r="B64" i="75" s="1"/>
  <c r="Y62" i="66"/>
  <c r="V62" i="66"/>
  <c r="X62" i="66" s="1"/>
  <c r="N63" i="75" s="1"/>
  <c r="N62" i="66"/>
  <c r="P62" i="66" s="1"/>
  <c r="J63" i="75" s="1"/>
  <c r="F62" i="66"/>
  <c r="B62" i="66"/>
  <c r="B63" i="75" s="1"/>
  <c r="Y61" i="66"/>
  <c r="V61" i="66"/>
  <c r="N61" i="66"/>
  <c r="F61" i="66"/>
  <c r="B61" i="66"/>
  <c r="B62" i="75" s="1"/>
  <c r="Y60" i="66"/>
  <c r="V60" i="66"/>
  <c r="N60" i="66"/>
  <c r="F60" i="66"/>
  <c r="B60" i="66"/>
  <c r="B61" i="75" s="1"/>
  <c r="Y59" i="66"/>
  <c r="V59" i="66"/>
  <c r="N59" i="66"/>
  <c r="F59" i="66"/>
  <c r="H59" i="66" s="1"/>
  <c r="F60" i="75" s="1"/>
  <c r="B59" i="66"/>
  <c r="B60" i="75" s="1"/>
  <c r="Y58" i="66"/>
  <c r="V58" i="66"/>
  <c r="N58" i="66"/>
  <c r="F58" i="66"/>
  <c r="B58" i="66"/>
  <c r="B59" i="75" s="1"/>
  <c r="Y57" i="66"/>
  <c r="V57" i="66"/>
  <c r="N57" i="66"/>
  <c r="F57" i="66"/>
  <c r="B57" i="66"/>
  <c r="B58" i="75" s="1"/>
  <c r="Y56" i="66"/>
  <c r="V56" i="66"/>
  <c r="N56" i="66"/>
  <c r="F56" i="66"/>
  <c r="B56" i="66"/>
  <c r="B57" i="75" s="1"/>
  <c r="Y55" i="66"/>
  <c r="V55" i="66"/>
  <c r="N55" i="66"/>
  <c r="F55" i="66"/>
  <c r="B55" i="66"/>
  <c r="B56" i="75" s="1"/>
  <c r="Y54" i="66"/>
  <c r="V54" i="66"/>
  <c r="X54" i="66" s="1"/>
  <c r="N55" i="75" s="1"/>
  <c r="N54" i="66"/>
  <c r="P54" i="66" s="1"/>
  <c r="F54" i="66"/>
  <c r="B54" i="66"/>
  <c r="B55" i="75" s="1"/>
  <c r="Y53" i="66"/>
  <c r="V53" i="66"/>
  <c r="N53" i="66"/>
  <c r="F53" i="66"/>
  <c r="B53" i="66"/>
  <c r="B54" i="75" s="1"/>
  <c r="Y52" i="66"/>
  <c r="V52" i="66"/>
  <c r="N52" i="66"/>
  <c r="F52" i="66"/>
  <c r="B52" i="66"/>
  <c r="B53" i="75" s="1"/>
  <c r="Y51" i="66"/>
  <c r="V51" i="66"/>
  <c r="N51" i="66"/>
  <c r="F51" i="66"/>
  <c r="H51" i="66" s="1"/>
  <c r="F52" i="75" s="1"/>
  <c r="B51" i="66"/>
  <c r="B52" i="75" s="1"/>
  <c r="Y50" i="66"/>
  <c r="V50" i="66"/>
  <c r="X50" i="66" s="1"/>
  <c r="N51" i="75" s="1"/>
  <c r="N50" i="66"/>
  <c r="F50" i="66"/>
  <c r="B50" i="66"/>
  <c r="B51" i="75" s="1"/>
  <c r="Y49" i="66"/>
  <c r="V49" i="66"/>
  <c r="N49" i="66"/>
  <c r="F49" i="66"/>
  <c r="B49" i="66"/>
  <c r="B50" i="75" s="1"/>
  <c r="Y48" i="66"/>
  <c r="V48" i="66"/>
  <c r="N48" i="66"/>
  <c r="F48" i="66"/>
  <c r="B48" i="66"/>
  <c r="B49" i="75" s="1"/>
  <c r="Y47" i="66"/>
  <c r="V47" i="66"/>
  <c r="N47" i="66"/>
  <c r="F47" i="66"/>
  <c r="H47" i="66" s="1"/>
  <c r="F48" i="75" s="1"/>
  <c r="B47" i="66"/>
  <c r="B48" i="75" s="1"/>
  <c r="Y46" i="66"/>
  <c r="V46" i="66"/>
  <c r="X46" i="66" s="1"/>
  <c r="N47" i="75" s="1"/>
  <c r="N46" i="66"/>
  <c r="F46" i="66"/>
  <c r="B46" i="66"/>
  <c r="B47" i="75" s="1"/>
  <c r="Y45" i="66"/>
  <c r="V45" i="66"/>
  <c r="N45" i="66"/>
  <c r="F45" i="66"/>
  <c r="B45" i="66"/>
  <c r="B46" i="75" s="1"/>
  <c r="Y44" i="66"/>
  <c r="V44" i="66"/>
  <c r="N44" i="66"/>
  <c r="F44" i="66"/>
  <c r="B44" i="66"/>
  <c r="B45" i="75" s="1"/>
  <c r="Y43" i="66"/>
  <c r="V43" i="66"/>
  <c r="X43" i="66" s="1"/>
  <c r="N44" i="75" s="1"/>
  <c r="N43" i="66"/>
  <c r="F43" i="66"/>
  <c r="B43" i="66"/>
  <c r="B44" i="75" s="1"/>
  <c r="Y42" i="66"/>
  <c r="V42" i="66"/>
  <c r="N42" i="66"/>
  <c r="F42" i="66"/>
  <c r="B42" i="66"/>
  <c r="B43" i="75" s="1"/>
  <c r="Y41" i="66"/>
  <c r="V41" i="66"/>
  <c r="N41" i="66"/>
  <c r="F41" i="66"/>
  <c r="B41" i="66"/>
  <c r="B42" i="75" s="1"/>
  <c r="Y40" i="66"/>
  <c r="V40" i="66"/>
  <c r="N40" i="66"/>
  <c r="F40" i="66"/>
  <c r="B40" i="66"/>
  <c r="B41" i="75" s="1"/>
  <c r="Y39" i="66"/>
  <c r="V39" i="66"/>
  <c r="N39" i="66"/>
  <c r="F39" i="66"/>
  <c r="B39" i="66"/>
  <c r="B40" i="75" s="1"/>
  <c r="Y38" i="66"/>
  <c r="V38" i="66"/>
  <c r="N38" i="66"/>
  <c r="F38" i="66"/>
  <c r="B38" i="66"/>
  <c r="B39" i="75" s="1"/>
  <c r="Y37" i="66"/>
  <c r="V37" i="66"/>
  <c r="N37" i="66"/>
  <c r="F37" i="66"/>
  <c r="B37" i="66"/>
  <c r="B38" i="75" s="1"/>
  <c r="Y36" i="66"/>
  <c r="V36" i="66"/>
  <c r="N36" i="66"/>
  <c r="F36" i="66"/>
  <c r="B36" i="66"/>
  <c r="B37" i="75" s="1"/>
  <c r="Y35" i="66"/>
  <c r="V35" i="66"/>
  <c r="N35" i="66"/>
  <c r="F35" i="66"/>
  <c r="B35" i="66"/>
  <c r="B36" i="75" s="1"/>
  <c r="Y34" i="66"/>
  <c r="V34" i="66"/>
  <c r="N34" i="66"/>
  <c r="F34" i="66"/>
  <c r="B34" i="66"/>
  <c r="B35" i="75" s="1"/>
  <c r="Y33" i="66"/>
  <c r="V33" i="66"/>
  <c r="N33" i="66"/>
  <c r="F33" i="66"/>
  <c r="B33" i="66"/>
  <c r="B34" i="75" s="1"/>
  <c r="Y32" i="66"/>
  <c r="V32" i="66"/>
  <c r="N32" i="66"/>
  <c r="F32" i="66"/>
  <c r="B32" i="66"/>
  <c r="B33" i="75" s="1"/>
  <c r="Y31" i="66"/>
  <c r="V31" i="66"/>
  <c r="N31" i="66"/>
  <c r="F31" i="66"/>
  <c r="B31" i="66"/>
  <c r="B32" i="75" s="1"/>
  <c r="Y30" i="66"/>
  <c r="V30" i="66"/>
  <c r="N30" i="66"/>
  <c r="F30" i="66"/>
  <c r="B30" i="66"/>
  <c r="B31" i="75" s="1"/>
  <c r="Y29" i="66"/>
  <c r="V29" i="66"/>
  <c r="N29" i="66"/>
  <c r="F29" i="66"/>
  <c r="B29" i="66"/>
  <c r="B30" i="75" s="1"/>
  <c r="Y28" i="66"/>
  <c r="V28" i="66"/>
  <c r="N28" i="66"/>
  <c r="F28" i="66"/>
  <c r="B28" i="66"/>
  <c r="B29" i="75" s="1"/>
  <c r="Y27" i="66"/>
  <c r="V27" i="66"/>
  <c r="N27" i="66"/>
  <c r="F27" i="66"/>
  <c r="B27" i="66"/>
  <c r="B28" i="75" s="1"/>
  <c r="Y26" i="66"/>
  <c r="V26" i="66"/>
  <c r="N26" i="66"/>
  <c r="F26" i="66"/>
  <c r="B26" i="66"/>
  <c r="B27" i="75" s="1"/>
  <c r="Y25" i="66"/>
  <c r="V25" i="66"/>
  <c r="N25" i="66"/>
  <c r="F25" i="66"/>
  <c r="B25" i="66"/>
  <c r="B26" i="75" s="1"/>
  <c r="Y24" i="66"/>
  <c r="V24" i="66"/>
  <c r="N24" i="66"/>
  <c r="F24" i="66"/>
  <c r="B24" i="66"/>
  <c r="B25" i="75" s="1"/>
  <c r="Y23" i="66"/>
  <c r="V23" i="66"/>
  <c r="N23" i="66"/>
  <c r="F23" i="66"/>
  <c r="B23" i="66"/>
  <c r="B24" i="75" s="1"/>
  <c r="Y22" i="66"/>
  <c r="V22" i="66"/>
  <c r="N22" i="66"/>
  <c r="F22" i="66"/>
  <c r="B22" i="66"/>
  <c r="B23" i="75" s="1"/>
  <c r="Y21" i="66"/>
  <c r="V21" i="66"/>
  <c r="N21" i="66"/>
  <c r="F21" i="66"/>
  <c r="B21" i="66"/>
  <c r="B22" i="75" s="1"/>
  <c r="Y20" i="66"/>
  <c r="V20" i="66"/>
  <c r="N20" i="66"/>
  <c r="F20" i="66"/>
  <c r="B20" i="66"/>
  <c r="B21" i="75" s="1"/>
  <c r="Y19" i="66"/>
  <c r="V19" i="66"/>
  <c r="N19" i="66"/>
  <c r="F19" i="66"/>
  <c r="B19" i="66"/>
  <c r="B20" i="75" s="1"/>
  <c r="Y18" i="66"/>
  <c r="V18" i="66"/>
  <c r="N18" i="66"/>
  <c r="F18" i="66"/>
  <c r="B18" i="66"/>
  <c r="B19" i="75" s="1"/>
  <c r="Y17" i="66"/>
  <c r="V17" i="66"/>
  <c r="N17" i="66"/>
  <c r="F17" i="66"/>
  <c r="B17" i="66"/>
  <c r="B18" i="75" s="1"/>
  <c r="Y16" i="66"/>
  <c r="V16" i="66"/>
  <c r="N16" i="66"/>
  <c r="F16" i="66"/>
  <c r="B16" i="66"/>
  <c r="B17" i="75" s="1"/>
  <c r="Y15" i="66"/>
  <c r="V15" i="66"/>
  <c r="N15" i="66"/>
  <c r="F15" i="66"/>
  <c r="B15" i="66"/>
  <c r="B16" i="75" s="1"/>
  <c r="F8" i="66"/>
  <c r="F9" i="75" s="1"/>
  <c r="B72" i="65"/>
  <c r="B73" i="74" s="1"/>
  <c r="B71" i="65"/>
  <c r="B72" i="74" s="1"/>
  <c r="B70" i="65"/>
  <c r="B71" i="74" s="1"/>
  <c r="B69" i="65"/>
  <c r="B70" i="74" s="1"/>
  <c r="B68" i="65"/>
  <c r="B69" i="74" s="1"/>
  <c r="B67" i="65"/>
  <c r="B68" i="74" s="1"/>
  <c r="B66" i="65"/>
  <c r="B67" i="74" s="1"/>
  <c r="B65" i="65"/>
  <c r="B66" i="74" s="1"/>
  <c r="B64" i="65"/>
  <c r="B65" i="74" s="1"/>
  <c r="B63" i="65"/>
  <c r="B64" i="74" s="1"/>
  <c r="B62" i="65"/>
  <c r="B63" i="74" s="1"/>
  <c r="B61" i="65"/>
  <c r="B62" i="74" s="1"/>
  <c r="B60" i="65"/>
  <c r="B61" i="74" s="1"/>
  <c r="B59" i="65"/>
  <c r="B60" i="74" s="1"/>
  <c r="B58" i="65"/>
  <c r="B59" i="74" s="1"/>
  <c r="B57" i="65"/>
  <c r="B58" i="74" s="1"/>
  <c r="B56" i="65"/>
  <c r="B57" i="74" s="1"/>
  <c r="B55" i="65"/>
  <c r="B56" i="74" s="1"/>
  <c r="B54" i="65"/>
  <c r="B55" i="74" s="1"/>
  <c r="B53" i="65"/>
  <c r="B54" i="74" s="1"/>
  <c r="B52" i="65"/>
  <c r="B53" i="74" s="1"/>
  <c r="B51" i="65"/>
  <c r="B52" i="74" s="1"/>
  <c r="B50" i="65"/>
  <c r="B51" i="74" s="1"/>
  <c r="B49" i="65"/>
  <c r="B50" i="74" s="1"/>
  <c r="B48" i="65"/>
  <c r="B49" i="74" s="1"/>
  <c r="B47" i="65"/>
  <c r="B48" i="74" s="1"/>
  <c r="B46" i="65"/>
  <c r="B47" i="74" s="1"/>
  <c r="B45" i="65"/>
  <c r="B46" i="74" s="1"/>
  <c r="B44" i="65"/>
  <c r="B45" i="74" s="1"/>
  <c r="B43" i="65"/>
  <c r="B44" i="74" s="1"/>
  <c r="B42" i="65"/>
  <c r="B43" i="74" s="1"/>
  <c r="B41" i="65"/>
  <c r="B42" i="74" s="1"/>
  <c r="B40" i="65"/>
  <c r="B41" i="74" s="1"/>
  <c r="B39" i="65"/>
  <c r="B40" i="74" s="1"/>
  <c r="B38" i="65"/>
  <c r="B39" i="74" s="1"/>
  <c r="B37" i="65"/>
  <c r="B38" i="74" s="1"/>
  <c r="B36" i="65"/>
  <c r="B37" i="74" s="1"/>
  <c r="B35" i="65"/>
  <c r="B36" i="74" s="1"/>
  <c r="B34" i="65"/>
  <c r="B35" i="74" s="1"/>
  <c r="B33" i="65"/>
  <c r="B34" i="74" s="1"/>
  <c r="B32" i="65"/>
  <c r="B33" i="74" s="1"/>
  <c r="B31" i="65"/>
  <c r="B32" i="74" s="1"/>
  <c r="B30" i="65"/>
  <c r="B31" i="74" s="1"/>
  <c r="B29" i="65"/>
  <c r="B30" i="74" s="1"/>
  <c r="B28" i="65"/>
  <c r="B29" i="74" s="1"/>
  <c r="B27" i="65"/>
  <c r="B28" i="74" s="1"/>
  <c r="B26" i="65"/>
  <c r="B27" i="74" s="1"/>
  <c r="B25" i="65"/>
  <c r="B26" i="74" s="1"/>
  <c r="B24" i="65"/>
  <c r="B25" i="74" s="1"/>
  <c r="B23" i="65"/>
  <c r="B24" i="74" s="1"/>
  <c r="B22" i="65"/>
  <c r="B23" i="74" s="1"/>
  <c r="B21" i="65"/>
  <c r="B22" i="74" s="1"/>
  <c r="B20" i="65"/>
  <c r="B21" i="74" s="1"/>
  <c r="B19" i="65"/>
  <c r="B20" i="74" s="1"/>
  <c r="B18" i="65"/>
  <c r="B19" i="74" s="1"/>
  <c r="B17" i="65"/>
  <c r="B18" i="74" s="1"/>
  <c r="B16" i="65"/>
  <c r="B17" i="74" s="1"/>
  <c r="B15" i="65"/>
  <c r="B16" i="74" s="1"/>
  <c r="C6" i="66"/>
  <c r="C5" i="66"/>
  <c r="Y72" i="65"/>
  <c r="V72" i="65"/>
  <c r="N72" i="65"/>
  <c r="Y71" i="65"/>
  <c r="V71" i="65"/>
  <c r="N71" i="65"/>
  <c r="Y70" i="65"/>
  <c r="V70" i="65"/>
  <c r="N70" i="65"/>
  <c r="Y69" i="65"/>
  <c r="V69" i="65"/>
  <c r="N69" i="65"/>
  <c r="Y68" i="65"/>
  <c r="V68" i="65"/>
  <c r="N68" i="65"/>
  <c r="Y67" i="65"/>
  <c r="V67" i="65"/>
  <c r="N67" i="65"/>
  <c r="Y66" i="65"/>
  <c r="V66" i="65"/>
  <c r="N66" i="65"/>
  <c r="Y65" i="65"/>
  <c r="V65" i="65"/>
  <c r="N65" i="65"/>
  <c r="Y64" i="65"/>
  <c r="V64" i="65"/>
  <c r="N64" i="65"/>
  <c r="Y63" i="65"/>
  <c r="V63" i="65"/>
  <c r="N63" i="65"/>
  <c r="Y62" i="65"/>
  <c r="V62" i="65"/>
  <c r="N62" i="65"/>
  <c r="Y61" i="65"/>
  <c r="V61" i="65"/>
  <c r="N61" i="65"/>
  <c r="Y60" i="65"/>
  <c r="V60" i="65"/>
  <c r="N60" i="65"/>
  <c r="Y59" i="65"/>
  <c r="V59" i="65"/>
  <c r="N59" i="65"/>
  <c r="Y58" i="65"/>
  <c r="V58" i="65"/>
  <c r="N58" i="65"/>
  <c r="Y57" i="65"/>
  <c r="V57" i="65"/>
  <c r="N57" i="65"/>
  <c r="Y56" i="65"/>
  <c r="V56" i="65"/>
  <c r="N56" i="65"/>
  <c r="Y55" i="65"/>
  <c r="V55" i="65"/>
  <c r="N55" i="65"/>
  <c r="Y54" i="65"/>
  <c r="V54" i="65"/>
  <c r="N54" i="65"/>
  <c r="Y53" i="65"/>
  <c r="V53" i="65"/>
  <c r="N53" i="65"/>
  <c r="Y52" i="65"/>
  <c r="V52" i="65"/>
  <c r="N52" i="65"/>
  <c r="Y51" i="65"/>
  <c r="V51" i="65"/>
  <c r="N51" i="65"/>
  <c r="Y50" i="65"/>
  <c r="V50" i="65"/>
  <c r="N50" i="65"/>
  <c r="Y49" i="65"/>
  <c r="V49" i="65"/>
  <c r="N49" i="65"/>
  <c r="Y48" i="65"/>
  <c r="V48" i="65"/>
  <c r="N48" i="65"/>
  <c r="Y47" i="65"/>
  <c r="V47" i="65"/>
  <c r="N47" i="65"/>
  <c r="Y46" i="65"/>
  <c r="V46" i="65"/>
  <c r="N46" i="65"/>
  <c r="Y45" i="65"/>
  <c r="V45" i="65"/>
  <c r="N45" i="65"/>
  <c r="Y44" i="65"/>
  <c r="V44" i="65"/>
  <c r="N44" i="65"/>
  <c r="Y43" i="65"/>
  <c r="V43" i="65"/>
  <c r="N43" i="65"/>
  <c r="Y42" i="65"/>
  <c r="V42" i="65"/>
  <c r="N42" i="65"/>
  <c r="Y41" i="65"/>
  <c r="V41" i="65"/>
  <c r="N41" i="65"/>
  <c r="Y40" i="65"/>
  <c r="V40" i="65"/>
  <c r="N40" i="65"/>
  <c r="Y39" i="65"/>
  <c r="V39" i="65"/>
  <c r="N39" i="65"/>
  <c r="Y38" i="65"/>
  <c r="V38" i="65"/>
  <c r="N38" i="65"/>
  <c r="Y37" i="65"/>
  <c r="V37" i="65"/>
  <c r="N37" i="65"/>
  <c r="Y36" i="65"/>
  <c r="V36" i="65"/>
  <c r="N36" i="65"/>
  <c r="Y35" i="65"/>
  <c r="V35" i="65"/>
  <c r="N35" i="65"/>
  <c r="Y34" i="65"/>
  <c r="V34" i="65"/>
  <c r="N34" i="65"/>
  <c r="Y33" i="65"/>
  <c r="V33" i="65"/>
  <c r="N33" i="65"/>
  <c r="Y32" i="65"/>
  <c r="V32" i="65"/>
  <c r="N32" i="65"/>
  <c r="Y31" i="65"/>
  <c r="V31" i="65"/>
  <c r="N31" i="65"/>
  <c r="Y30" i="65"/>
  <c r="V30" i="65"/>
  <c r="N30" i="65"/>
  <c r="Y29" i="65"/>
  <c r="V29" i="65"/>
  <c r="N29" i="65"/>
  <c r="Y28" i="65"/>
  <c r="V28" i="65"/>
  <c r="N28" i="65"/>
  <c r="Y27" i="65"/>
  <c r="V27" i="65"/>
  <c r="N27" i="65"/>
  <c r="Y26" i="65"/>
  <c r="V26" i="65"/>
  <c r="N26" i="65"/>
  <c r="Y25" i="65"/>
  <c r="V25" i="65"/>
  <c r="N25" i="65"/>
  <c r="Y24" i="65"/>
  <c r="V24" i="65"/>
  <c r="N24" i="65"/>
  <c r="Y23" i="65"/>
  <c r="V23" i="65"/>
  <c r="N23" i="65"/>
  <c r="Y22" i="65"/>
  <c r="V22" i="65"/>
  <c r="N22" i="65"/>
  <c r="Y21" i="65"/>
  <c r="V21" i="65"/>
  <c r="N21" i="65"/>
  <c r="Y20" i="65"/>
  <c r="V20" i="65"/>
  <c r="N20" i="65"/>
  <c r="Y19" i="65"/>
  <c r="V19" i="65"/>
  <c r="N19" i="65"/>
  <c r="Y18" i="65"/>
  <c r="V18" i="65"/>
  <c r="N18" i="65"/>
  <c r="Y17" i="65"/>
  <c r="V17" i="65"/>
  <c r="N17" i="65"/>
  <c r="Y16" i="65"/>
  <c r="V16" i="65"/>
  <c r="X51" i="69" l="1"/>
  <c r="N52" i="78" s="1"/>
  <c r="X59" i="69"/>
  <c r="N60" i="78" s="1"/>
  <c r="X63" i="69"/>
  <c r="N64" i="78" s="1"/>
  <c r="X67" i="69"/>
  <c r="N68" i="78" s="1"/>
  <c r="H27" i="71"/>
  <c r="F28" i="80" s="1"/>
  <c r="H31" i="71"/>
  <c r="F32" i="80" s="1"/>
  <c r="H35" i="71"/>
  <c r="F36" i="80" s="1"/>
  <c r="H39" i="71"/>
  <c r="F40" i="80" s="1"/>
  <c r="H43" i="71"/>
  <c r="F44" i="80" s="1"/>
  <c r="H47" i="71"/>
  <c r="F48" i="80" s="1"/>
  <c r="H51" i="71"/>
  <c r="F52" i="80" s="1"/>
  <c r="H55" i="71"/>
  <c r="F56" i="80" s="1"/>
  <c r="H59" i="71"/>
  <c r="F60" i="80" s="1"/>
  <c r="H63" i="71"/>
  <c r="F64" i="80" s="1"/>
  <c r="H67" i="71"/>
  <c r="F68" i="80" s="1"/>
  <c r="X63" i="72"/>
  <c r="N64" i="81" s="1"/>
  <c r="H39" i="69"/>
  <c r="F40" i="78" s="1"/>
  <c r="H43" i="69"/>
  <c r="F44" i="78" s="1"/>
  <c r="H31" i="69"/>
  <c r="F32" i="78" s="1"/>
  <c r="H35" i="69"/>
  <c r="F36" i="78" s="1"/>
  <c r="X48" i="68"/>
  <c r="N49" i="77" s="1"/>
  <c r="X52" i="68"/>
  <c r="N53" i="77" s="1"/>
  <c r="X56" i="68"/>
  <c r="N57" i="77" s="1"/>
  <c r="X60" i="68"/>
  <c r="N61" i="77" s="1"/>
  <c r="X64" i="68"/>
  <c r="N65" i="77" s="1"/>
  <c r="X68" i="68"/>
  <c r="N69" i="77" s="1"/>
  <c r="P29" i="72"/>
  <c r="J30" i="81" s="1"/>
  <c r="X27" i="72"/>
  <c r="N28" i="81" s="1"/>
  <c r="P71" i="71"/>
  <c r="J72" i="80" s="1"/>
  <c r="H51" i="69"/>
  <c r="F52" i="78" s="1"/>
  <c r="X71" i="69"/>
  <c r="N72" i="78" s="1"/>
  <c r="H19" i="67"/>
  <c r="F20" i="76" s="1"/>
  <c r="P25" i="72"/>
  <c r="J26" i="81" s="1"/>
  <c r="X63" i="71"/>
  <c r="N64" i="80" s="1"/>
  <c r="X67" i="71"/>
  <c r="N68" i="80" s="1"/>
  <c r="X64" i="70"/>
  <c r="N65" i="79" s="1"/>
  <c r="X60" i="70"/>
  <c r="N61" i="79" s="1"/>
  <c r="X31" i="70"/>
  <c r="N32" i="79" s="1"/>
  <c r="X59" i="70"/>
  <c r="N60" i="79" s="1"/>
  <c r="X71" i="70"/>
  <c r="N72" i="79" s="1"/>
  <c r="X32" i="70"/>
  <c r="N33" i="79" s="1"/>
  <c r="X43" i="70"/>
  <c r="N44" i="79" s="1"/>
  <c r="X67" i="70"/>
  <c r="N68" i="79" s="1"/>
  <c r="X35" i="70"/>
  <c r="N36" i="79" s="1"/>
  <c r="X47" i="70"/>
  <c r="N48" i="79" s="1"/>
  <c r="X63" i="70"/>
  <c r="N64" i="79" s="1"/>
  <c r="X48" i="70"/>
  <c r="N49" i="79" s="1"/>
  <c r="X72" i="70"/>
  <c r="N73" i="79" s="1"/>
  <c r="X27" i="70"/>
  <c r="N28" i="79" s="1"/>
  <c r="X39" i="70"/>
  <c r="N40" i="79" s="1"/>
  <c r="X51" i="70"/>
  <c r="N52" i="79" s="1"/>
  <c r="X55" i="70"/>
  <c r="N56" i="79" s="1"/>
  <c r="X24" i="70"/>
  <c r="N25" i="79" s="1"/>
  <c r="X36" i="70"/>
  <c r="N37" i="79" s="1"/>
  <c r="X56" i="70"/>
  <c r="N57" i="79" s="1"/>
  <c r="X68" i="70"/>
  <c r="N69" i="79" s="1"/>
  <c r="X23" i="69"/>
  <c r="N24" i="78" s="1"/>
  <c r="X27" i="69"/>
  <c r="N28" i="78" s="1"/>
  <c r="X35" i="69"/>
  <c r="N36" i="78" s="1"/>
  <c r="X39" i="69"/>
  <c r="N40" i="78" s="1"/>
  <c r="X43" i="69"/>
  <c r="N44" i="78" s="1"/>
  <c r="X47" i="69"/>
  <c r="N48" i="78" s="1"/>
  <c r="X55" i="69"/>
  <c r="N56" i="78" s="1"/>
  <c r="X15" i="69"/>
  <c r="N16" i="78" s="1"/>
  <c r="X19" i="69"/>
  <c r="N20" i="78" s="1"/>
  <c r="X31" i="69"/>
  <c r="N32" i="78" s="1"/>
  <c r="X28" i="68"/>
  <c r="N29" i="77" s="1"/>
  <c r="X32" i="68"/>
  <c r="N33" i="77" s="1"/>
  <c r="X36" i="68"/>
  <c r="N37" i="77" s="1"/>
  <c r="X40" i="68"/>
  <c r="N41" i="77" s="1"/>
  <c r="X44" i="68"/>
  <c r="N45" i="77" s="1"/>
  <c r="X24" i="68"/>
  <c r="N25" i="77" s="1"/>
  <c r="P71" i="67"/>
  <c r="J72" i="76" s="1"/>
  <c r="X22" i="73"/>
  <c r="N23" i="82" s="1"/>
  <c r="X54" i="73"/>
  <c r="N55" i="82" s="1"/>
  <c r="X66" i="73"/>
  <c r="N67" i="82" s="1"/>
  <c r="P56" i="73"/>
  <c r="J57" i="82" s="1"/>
  <c r="P60" i="73"/>
  <c r="J61" i="82" s="1"/>
  <c r="P64" i="73"/>
  <c r="J65" i="82" s="1"/>
  <c r="P68" i="73"/>
  <c r="J69" i="82" s="1"/>
  <c r="X60" i="73"/>
  <c r="N61" i="82" s="1"/>
  <c r="X68" i="73"/>
  <c r="N69" i="82" s="1"/>
  <c r="X55" i="73"/>
  <c r="N56" i="82" s="1"/>
  <c r="X59" i="73"/>
  <c r="N60" i="82" s="1"/>
  <c r="X63" i="73"/>
  <c r="N64" i="82" s="1"/>
  <c r="X67" i="73"/>
  <c r="N68" i="82" s="1"/>
  <c r="X71" i="73"/>
  <c r="N72" i="82" s="1"/>
  <c r="X52" i="72"/>
  <c r="N53" i="81" s="1"/>
  <c r="X71" i="72"/>
  <c r="N72" i="81" s="1"/>
  <c r="X68" i="72"/>
  <c r="N69" i="81" s="1"/>
  <c r="X55" i="72"/>
  <c r="N56" i="81" s="1"/>
  <c r="X67" i="72"/>
  <c r="N68" i="81" s="1"/>
  <c r="X43" i="72"/>
  <c r="N44" i="81" s="1"/>
  <c r="X36" i="72"/>
  <c r="N37" i="81" s="1"/>
  <c r="X39" i="72"/>
  <c r="N40" i="81" s="1"/>
  <c r="X51" i="72"/>
  <c r="N52" i="81" s="1"/>
  <c r="X60" i="72"/>
  <c r="N61" i="81" s="1"/>
  <c r="X19" i="72"/>
  <c r="N20" i="81" s="1"/>
  <c r="X35" i="72"/>
  <c r="N36" i="81" s="1"/>
  <c r="X44" i="72"/>
  <c r="N45" i="81" s="1"/>
  <c r="X47" i="72"/>
  <c r="N48" i="81" s="1"/>
  <c r="X59" i="72"/>
  <c r="N60" i="81" s="1"/>
  <c r="P17" i="71"/>
  <c r="J18" i="80" s="1"/>
  <c r="P21" i="71"/>
  <c r="J22" i="80" s="1"/>
  <c r="P25" i="71"/>
  <c r="J26" i="80" s="1"/>
  <c r="P29" i="71"/>
  <c r="J30" i="80" s="1"/>
  <c r="P33" i="71"/>
  <c r="J34" i="80" s="1"/>
  <c r="P37" i="71"/>
  <c r="J38" i="80" s="1"/>
  <c r="P41" i="71"/>
  <c r="J42" i="80" s="1"/>
  <c r="P45" i="71"/>
  <c r="J46" i="80" s="1"/>
  <c r="P49" i="71"/>
  <c r="J50" i="80" s="1"/>
  <c r="P53" i="71"/>
  <c r="J54" i="80" s="1"/>
  <c r="P57" i="71"/>
  <c r="J58" i="80" s="1"/>
  <c r="P61" i="71"/>
  <c r="J62" i="80" s="1"/>
  <c r="P65" i="71"/>
  <c r="J66" i="80" s="1"/>
  <c r="P69" i="71"/>
  <c r="J70" i="80" s="1"/>
  <c r="P20" i="71"/>
  <c r="J21" i="80" s="1"/>
  <c r="P28" i="71"/>
  <c r="P36" i="71"/>
  <c r="P52" i="71"/>
  <c r="J53" i="80" s="1"/>
  <c r="P60" i="71"/>
  <c r="P68" i="71"/>
  <c r="J69" i="80" s="1"/>
  <c r="P15" i="71"/>
  <c r="J16" i="80" s="1"/>
  <c r="P31" i="71"/>
  <c r="J32" i="80" s="1"/>
  <c r="P39" i="71"/>
  <c r="J40" i="80" s="1"/>
  <c r="P47" i="71"/>
  <c r="J48" i="80" s="1"/>
  <c r="P55" i="71"/>
  <c r="J56" i="80" s="1"/>
  <c r="P63" i="71"/>
  <c r="J64" i="80" s="1"/>
  <c r="X71" i="71"/>
  <c r="N72" i="80" s="1"/>
  <c r="X65" i="70"/>
  <c r="N66" i="79" s="1"/>
  <c r="X38" i="70"/>
  <c r="N39" i="79" s="1"/>
  <c r="X46" i="70"/>
  <c r="N47" i="79" s="1"/>
  <c r="X54" i="70"/>
  <c r="N55" i="79" s="1"/>
  <c r="X62" i="70"/>
  <c r="N63" i="79" s="1"/>
  <c r="X70" i="70"/>
  <c r="N71" i="79" s="1"/>
  <c r="P21" i="70"/>
  <c r="J22" i="79" s="1"/>
  <c r="P65" i="70"/>
  <c r="J66" i="79" s="1"/>
  <c r="X33" i="70"/>
  <c r="N34" i="79" s="1"/>
  <c r="X41" i="70"/>
  <c r="N42" i="79" s="1"/>
  <c r="P33" i="70"/>
  <c r="J34" i="79" s="1"/>
  <c r="P37" i="70"/>
  <c r="P41" i="70"/>
  <c r="J42" i="79" s="1"/>
  <c r="P45" i="70"/>
  <c r="P49" i="70"/>
  <c r="J50" i="79" s="1"/>
  <c r="P53" i="70"/>
  <c r="J54" i="79" s="1"/>
  <c r="P57" i="70"/>
  <c r="J58" i="79" s="1"/>
  <c r="P61" i="70"/>
  <c r="J62" i="79" s="1"/>
  <c r="P69" i="70"/>
  <c r="J70" i="79" s="1"/>
  <c r="X49" i="70"/>
  <c r="N50" i="79" s="1"/>
  <c r="X57" i="70"/>
  <c r="N58" i="79" s="1"/>
  <c r="X36" i="69"/>
  <c r="N37" i="78" s="1"/>
  <c r="X48" i="69"/>
  <c r="N49" i="78" s="1"/>
  <c r="X52" i="69"/>
  <c r="N53" i="78" s="1"/>
  <c r="X56" i="69"/>
  <c r="N57" i="78" s="1"/>
  <c r="X16" i="69"/>
  <c r="N17" i="78" s="1"/>
  <c r="X32" i="69"/>
  <c r="N33" i="78" s="1"/>
  <c r="X40" i="69"/>
  <c r="N41" i="78" s="1"/>
  <c r="X44" i="69"/>
  <c r="N45" i="78" s="1"/>
  <c r="X60" i="69"/>
  <c r="N61" i="78" s="1"/>
  <c r="X64" i="69"/>
  <c r="N65" i="78" s="1"/>
  <c r="X68" i="69"/>
  <c r="N69" i="78" s="1"/>
  <c r="X72" i="69"/>
  <c r="N73" i="78" s="1"/>
  <c r="H30" i="69"/>
  <c r="F31" i="78" s="1"/>
  <c r="H38" i="69"/>
  <c r="F39" i="78" s="1"/>
  <c r="X45" i="68"/>
  <c r="N46" i="77" s="1"/>
  <c r="X49" i="68"/>
  <c r="N50" i="77" s="1"/>
  <c r="X69" i="68"/>
  <c r="N70" i="77" s="1"/>
  <c r="H40" i="68"/>
  <c r="F41" i="77" s="1"/>
  <c r="X29" i="68"/>
  <c r="N30" i="77" s="1"/>
  <c r="H44" i="68"/>
  <c r="F45" i="77" s="1"/>
  <c r="H27" i="68"/>
  <c r="F28" i="77" s="1"/>
  <c r="H35" i="68"/>
  <c r="F36" i="77" s="1"/>
  <c r="H43" i="68"/>
  <c r="F44" i="77" s="1"/>
  <c r="H51" i="68"/>
  <c r="F52" i="77" s="1"/>
  <c r="H59" i="68"/>
  <c r="F60" i="77" s="1"/>
  <c r="H67" i="68"/>
  <c r="F68" i="77" s="1"/>
  <c r="H56" i="68"/>
  <c r="F57" i="77" s="1"/>
  <c r="X72" i="68"/>
  <c r="N73" i="77" s="1"/>
  <c r="X54" i="67"/>
  <c r="N55" i="76" s="1"/>
  <c r="X26" i="67"/>
  <c r="N27" i="76" s="1"/>
  <c r="X70" i="67"/>
  <c r="N71" i="76" s="1"/>
  <c r="P19" i="67"/>
  <c r="J20" i="76" s="1"/>
  <c r="P23" i="67"/>
  <c r="J24" i="76" s="1"/>
  <c r="P27" i="67"/>
  <c r="J28" i="76" s="1"/>
  <c r="P35" i="67"/>
  <c r="J36" i="76" s="1"/>
  <c r="P39" i="67"/>
  <c r="J40" i="76" s="1"/>
  <c r="P43" i="67"/>
  <c r="J44" i="76" s="1"/>
  <c r="P47" i="67"/>
  <c r="J48" i="76" s="1"/>
  <c r="P51" i="67"/>
  <c r="J52" i="76" s="1"/>
  <c r="P55" i="67"/>
  <c r="J56" i="76" s="1"/>
  <c r="P59" i="67"/>
  <c r="J60" i="76" s="1"/>
  <c r="P63" i="67"/>
  <c r="J64" i="76" s="1"/>
  <c r="P67" i="67"/>
  <c r="J68" i="76" s="1"/>
  <c r="AA20" i="73"/>
  <c r="O21" i="82" s="1"/>
  <c r="AA28" i="73"/>
  <c r="O29" i="82" s="1"/>
  <c r="AA60" i="73"/>
  <c r="O61" i="82" s="1"/>
  <c r="AA68" i="73"/>
  <c r="O69" i="82" s="1"/>
  <c r="AA42" i="72"/>
  <c r="O43" i="81" s="1"/>
  <c r="AA50" i="67"/>
  <c r="O51" i="76" s="1"/>
  <c r="AA58" i="67"/>
  <c r="O59" i="76" s="1"/>
  <c r="AA66" i="67"/>
  <c r="O67" i="76" s="1"/>
  <c r="AA16" i="69"/>
  <c r="O17" i="78" s="1"/>
  <c r="AA32" i="69"/>
  <c r="O33" i="78" s="1"/>
  <c r="AA40" i="69"/>
  <c r="O41" i="78" s="1"/>
  <c r="AA48" i="69"/>
  <c r="O49" i="78" s="1"/>
  <c r="AA56" i="69"/>
  <c r="O57" i="78" s="1"/>
  <c r="AA20" i="72"/>
  <c r="O21" i="81" s="1"/>
  <c r="AA28" i="72"/>
  <c r="O29" i="81" s="1"/>
  <c r="AA36" i="72"/>
  <c r="O37" i="81" s="1"/>
  <c r="AA44" i="72"/>
  <c r="O45" i="81" s="1"/>
  <c r="AA52" i="72"/>
  <c r="O53" i="81" s="1"/>
  <c r="AA60" i="72"/>
  <c r="O61" i="81" s="1"/>
  <c r="AA68" i="72"/>
  <c r="O69" i="81" s="1"/>
  <c r="AA16" i="73"/>
  <c r="O17" i="82" s="1"/>
  <c r="AA24" i="73"/>
  <c r="O25" i="82" s="1"/>
  <c r="AA32" i="73"/>
  <c r="O33" i="82" s="1"/>
  <c r="AA40" i="73"/>
  <c r="O41" i="82" s="1"/>
  <c r="AA64" i="73"/>
  <c r="O65" i="82" s="1"/>
  <c r="AA72" i="73"/>
  <c r="O73" i="82" s="1"/>
  <c r="AA26" i="67"/>
  <c r="O27" i="76" s="1"/>
  <c r="AA34" i="67"/>
  <c r="O35" i="76" s="1"/>
  <c r="AA42" i="67"/>
  <c r="O43" i="76" s="1"/>
  <c r="AA43" i="67"/>
  <c r="O44" i="76" s="1"/>
  <c r="AA67" i="67"/>
  <c r="O68" i="76" s="1"/>
  <c r="AA22" i="68"/>
  <c r="O23" i="77" s="1"/>
  <c r="AA54" i="68"/>
  <c r="O55" i="77" s="1"/>
  <c r="AA62" i="68"/>
  <c r="O63" i="77" s="1"/>
  <c r="AA57" i="69"/>
  <c r="O58" i="78" s="1"/>
  <c r="AA17" i="71"/>
  <c r="O18" i="80" s="1"/>
  <c r="AA25" i="71"/>
  <c r="O26" i="80" s="1"/>
  <c r="AA33" i="71"/>
  <c r="O34" i="80" s="1"/>
  <c r="AA41" i="71"/>
  <c r="O42" i="80" s="1"/>
  <c r="AA49" i="71"/>
  <c r="O50" i="80" s="1"/>
  <c r="AA57" i="71"/>
  <c r="O58" i="80" s="1"/>
  <c r="AA65" i="71"/>
  <c r="O66" i="80" s="1"/>
  <c r="AA21" i="72"/>
  <c r="O22" i="81" s="1"/>
  <c r="AA29" i="72"/>
  <c r="O30" i="81" s="1"/>
  <c r="AA37" i="72"/>
  <c r="O38" i="81" s="1"/>
  <c r="AA45" i="72"/>
  <c r="O46" i="81" s="1"/>
  <c r="AA53" i="72"/>
  <c r="O54" i="81" s="1"/>
  <c r="AA61" i="72"/>
  <c r="O62" i="81" s="1"/>
  <c r="AA69" i="72"/>
  <c r="O70" i="81" s="1"/>
  <c r="AA57" i="73"/>
  <c r="O58" i="82" s="1"/>
  <c r="AA65" i="73"/>
  <c r="O66" i="82" s="1"/>
  <c r="AA50" i="68"/>
  <c r="O51" i="77" s="1"/>
  <c r="AA53" i="69"/>
  <c r="O54" i="78" s="1"/>
  <c r="AA21" i="71"/>
  <c r="O22" i="80" s="1"/>
  <c r="AA29" i="71"/>
  <c r="O30" i="80" s="1"/>
  <c r="AA37" i="71"/>
  <c r="O38" i="80" s="1"/>
  <c r="AA45" i="71"/>
  <c r="O46" i="80" s="1"/>
  <c r="AA53" i="71"/>
  <c r="O54" i="80" s="1"/>
  <c r="AA61" i="71"/>
  <c r="O62" i="80" s="1"/>
  <c r="AA69" i="71"/>
  <c r="O70" i="80" s="1"/>
  <c r="AA17" i="72"/>
  <c r="O18" i="81" s="1"/>
  <c r="AA25" i="72"/>
  <c r="O26" i="81" s="1"/>
  <c r="AA33" i="72"/>
  <c r="O34" i="81" s="1"/>
  <c r="AA41" i="72"/>
  <c r="O42" i="81" s="1"/>
  <c r="AA49" i="72"/>
  <c r="O50" i="81" s="1"/>
  <c r="AA57" i="72"/>
  <c r="O58" i="81" s="1"/>
  <c r="AA65" i="72"/>
  <c r="O66" i="81" s="1"/>
  <c r="AA21" i="73"/>
  <c r="O22" i="82" s="1"/>
  <c r="AA29" i="73"/>
  <c r="O30" i="82" s="1"/>
  <c r="AA37" i="73"/>
  <c r="O38" i="82" s="1"/>
  <c r="AA45" i="73"/>
  <c r="O46" i="82" s="1"/>
  <c r="AA53" i="73"/>
  <c r="O54" i="82" s="1"/>
  <c r="AA61" i="73"/>
  <c r="O62" i="82" s="1"/>
  <c r="AA69" i="73"/>
  <c r="O70" i="82" s="1"/>
  <c r="AA46" i="69"/>
  <c r="O47" i="78" s="1"/>
  <c r="AA70" i="69"/>
  <c r="O71" i="78" s="1"/>
  <c r="AA26" i="71"/>
  <c r="O27" i="80" s="1"/>
  <c r="AA66" i="71"/>
  <c r="O67" i="80" s="1"/>
  <c r="AA49" i="66"/>
  <c r="O50" i="75" s="1"/>
  <c r="AA21" i="68"/>
  <c r="O22" i="77" s="1"/>
  <c r="AA29" i="68"/>
  <c r="O30" i="77" s="1"/>
  <c r="AA37" i="68"/>
  <c r="O38" i="77" s="1"/>
  <c r="AA45" i="68"/>
  <c r="O46" i="77" s="1"/>
  <c r="AA53" i="68"/>
  <c r="O54" i="77" s="1"/>
  <c r="AA61" i="68"/>
  <c r="O62" i="77" s="1"/>
  <c r="AA69" i="68"/>
  <c r="O70" i="77" s="1"/>
  <c r="AA64" i="69"/>
  <c r="O65" i="78" s="1"/>
  <c r="AA72" i="69"/>
  <c r="O73" i="78" s="1"/>
  <c r="AA48" i="73"/>
  <c r="O49" i="82" s="1"/>
  <c r="AA56" i="73"/>
  <c r="O57" i="82" s="1"/>
  <c r="AA57" i="66"/>
  <c r="O58" i="75" s="1"/>
  <c r="AA65" i="66"/>
  <c r="O66" i="75" s="1"/>
  <c r="AA42" i="71"/>
  <c r="O43" i="80" s="1"/>
  <c r="AA21" i="67"/>
  <c r="O22" i="76" s="1"/>
  <c r="AA37" i="67"/>
  <c r="O38" i="76" s="1"/>
  <c r="AA45" i="67"/>
  <c r="O46" i="76" s="1"/>
  <c r="AA53" i="67"/>
  <c r="O54" i="76" s="1"/>
  <c r="AA61" i="67"/>
  <c r="O62" i="76" s="1"/>
  <c r="AA69" i="67"/>
  <c r="O70" i="76" s="1"/>
  <c r="AA24" i="68"/>
  <c r="O25" i="77" s="1"/>
  <c r="AA32" i="68"/>
  <c r="O33" i="77" s="1"/>
  <c r="AA40" i="68"/>
  <c r="O41" i="77" s="1"/>
  <c r="AA48" i="68"/>
  <c r="O49" i="77" s="1"/>
  <c r="AA56" i="68"/>
  <c r="O57" i="77" s="1"/>
  <c r="AA64" i="68"/>
  <c r="O65" i="77" s="1"/>
  <c r="AA72" i="68"/>
  <c r="O73" i="77" s="1"/>
  <c r="AA27" i="69"/>
  <c r="O28" i="78" s="1"/>
  <c r="AA51" i="69"/>
  <c r="O52" i="78" s="1"/>
  <c r="AA34" i="71"/>
  <c r="O35" i="80" s="1"/>
  <c r="AA58" i="71"/>
  <c r="O59" i="80" s="1"/>
  <c r="AA36" i="73"/>
  <c r="O37" i="82" s="1"/>
  <c r="AA44" i="73"/>
  <c r="O45" i="82" s="1"/>
  <c r="AA52" i="73"/>
  <c r="O53" i="82" s="1"/>
  <c r="AA18" i="71"/>
  <c r="O19" i="80" s="1"/>
  <c r="AA50" i="71"/>
  <c r="O51" i="80" s="1"/>
  <c r="AA42" i="69"/>
  <c r="O43" i="78" s="1"/>
  <c r="AA45" i="66"/>
  <c r="O46" i="75" s="1"/>
  <c r="AA53" i="66"/>
  <c r="O54" i="75" s="1"/>
  <c r="AA61" i="66"/>
  <c r="O62" i="75" s="1"/>
  <c r="AA69" i="66"/>
  <c r="O70" i="75" s="1"/>
  <c r="AA22" i="71"/>
  <c r="O23" i="80" s="1"/>
  <c r="AA30" i="71"/>
  <c r="O31" i="80" s="1"/>
  <c r="AA38" i="71"/>
  <c r="O39" i="80" s="1"/>
  <c r="AA46" i="71"/>
  <c r="O47" i="80" s="1"/>
  <c r="AA54" i="71"/>
  <c r="O55" i="80" s="1"/>
  <c r="AA62" i="71"/>
  <c r="O63" i="80" s="1"/>
  <c r="AA70" i="71"/>
  <c r="O71" i="80" s="1"/>
  <c r="AA70" i="73"/>
  <c r="O71" i="82" s="1"/>
  <c r="N73" i="67"/>
  <c r="P44" i="71"/>
  <c r="J45" i="80" s="1"/>
  <c r="P31" i="67"/>
  <c r="J32" i="76" s="1"/>
  <c r="X16" i="72"/>
  <c r="N17" i="81" s="1"/>
  <c r="X24" i="72"/>
  <c r="N25" i="81" s="1"/>
  <c r="X32" i="72"/>
  <c r="N33" i="81" s="1"/>
  <c r="H36" i="72"/>
  <c r="F37" i="81" s="1"/>
  <c r="AA38" i="72"/>
  <c r="O39" i="81" s="1"/>
  <c r="X40" i="72"/>
  <c r="N41" i="81" s="1"/>
  <c r="AA46" i="72"/>
  <c r="O47" i="81" s="1"/>
  <c r="X48" i="72"/>
  <c r="N49" i="81" s="1"/>
  <c r="X56" i="72"/>
  <c r="N57" i="81" s="1"/>
  <c r="X64" i="72"/>
  <c r="N65" i="81" s="1"/>
  <c r="H68" i="72"/>
  <c r="F69" i="81" s="1"/>
  <c r="AA70" i="72"/>
  <c r="O71" i="81" s="1"/>
  <c r="X72" i="72"/>
  <c r="N73" i="81" s="1"/>
  <c r="AA17" i="73"/>
  <c r="O18" i="82" s="1"/>
  <c r="X19" i="73"/>
  <c r="N20" i="82" s="1"/>
  <c r="AA25" i="73"/>
  <c r="O26" i="82" s="1"/>
  <c r="AA33" i="73"/>
  <c r="O34" i="82" s="1"/>
  <c r="AA41" i="73"/>
  <c r="O42" i="82" s="1"/>
  <c r="AA49" i="73"/>
  <c r="O50" i="82" s="1"/>
  <c r="X51" i="73"/>
  <c r="N52" i="82" s="1"/>
  <c r="X45" i="66"/>
  <c r="N46" i="75" s="1"/>
  <c r="X61" i="66"/>
  <c r="N62" i="75" s="1"/>
  <c r="X69" i="66"/>
  <c r="N70" i="75" s="1"/>
  <c r="H20" i="67"/>
  <c r="F21" i="76" s="1"/>
  <c r="AA30" i="67"/>
  <c r="O31" i="76" s="1"/>
  <c r="AA38" i="67"/>
  <c r="O39" i="76" s="1"/>
  <c r="AA46" i="67"/>
  <c r="O47" i="76" s="1"/>
  <c r="AA54" i="67"/>
  <c r="O55" i="76" s="1"/>
  <c r="AA62" i="67"/>
  <c r="O63" i="76" s="1"/>
  <c r="AA70" i="67"/>
  <c r="O71" i="76" s="1"/>
  <c r="H23" i="68"/>
  <c r="F24" i="77" s="1"/>
  <c r="AA25" i="68"/>
  <c r="O26" i="77" s="1"/>
  <c r="H31" i="68"/>
  <c r="F32" i="77" s="1"/>
  <c r="AA33" i="68"/>
  <c r="O34" i="77" s="1"/>
  <c r="H39" i="68"/>
  <c r="F40" i="77" s="1"/>
  <c r="AA41" i="68"/>
  <c r="O42" i="77" s="1"/>
  <c r="H47" i="68"/>
  <c r="F48" i="77" s="1"/>
  <c r="AA49" i="68"/>
  <c r="O50" i="77" s="1"/>
  <c r="H55" i="68"/>
  <c r="F56" i="77" s="1"/>
  <c r="AA57" i="68"/>
  <c r="O58" i="77" s="1"/>
  <c r="H63" i="68"/>
  <c r="F64" i="77" s="1"/>
  <c r="AA65" i="68"/>
  <c r="O66" i="77" s="1"/>
  <c r="H71" i="68"/>
  <c r="F72" i="77" s="1"/>
  <c r="AA20" i="69"/>
  <c r="O21" i="78" s="1"/>
  <c r="H26" i="69"/>
  <c r="F27" i="78" s="1"/>
  <c r="AA28" i="69"/>
  <c r="O29" i="78" s="1"/>
  <c r="H34" i="69"/>
  <c r="F35" i="78" s="1"/>
  <c r="AA36" i="69"/>
  <c r="O37" i="78" s="1"/>
  <c r="AA44" i="69"/>
  <c r="O45" i="78" s="1"/>
  <c r="AA52" i="69"/>
  <c r="O53" i="78" s="1"/>
  <c r="AA60" i="69"/>
  <c r="O61" i="78" s="1"/>
  <c r="AA68" i="69"/>
  <c r="O69" i="78" s="1"/>
  <c r="X26" i="70"/>
  <c r="N27" i="79" s="1"/>
  <c r="X42" i="70"/>
  <c r="N43" i="79" s="1"/>
  <c r="X50" i="70"/>
  <c r="N51" i="79" s="1"/>
  <c r="X58" i="70"/>
  <c r="N59" i="79" s="1"/>
  <c r="X66" i="70"/>
  <c r="N67" i="79" s="1"/>
  <c r="P16" i="71"/>
  <c r="J17" i="80" s="1"/>
  <c r="P24" i="71"/>
  <c r="J25" i="80" s="1"/>
  <c r="P32" i="71"/>
  <c r="J33" i="80" s="1"/>
  <c r="P40" i="71"/>
  <c r="J41" i="80" s="1"/>
  <c r="P48" i="71"/>
  <c r="J49" i="80" s="1"/>
  <c r="P56" i="71"/>
  <c r="J57" i="80" s="1"/>
  <c r="P64" i="71"/>
  <c r="J65" i="80" s="1"/>
  <c r="AA16" i="72"/>
  <c r="O17" i="81" s="1"/>
  <c r="AA24" i="72"/>
  <c r="O25" i="81" s="1"/>
  <c r="AA32" i="72"/>
  <c r="O33" i="81" s="1"/>
  <c r="AA40" i="72"/>
  <c r="O41" i="81" s="1"/>
  <c r="AA48" i="72"/>
  <c r="O49" i="81" s="1"/>
  <c r="AA56" i="72"/>
  <c r="O57" i="81" s="1"/>
  <c r="AA64" i="72"/>
  <c r="O65" i="81" s="1"/>
  <c r="AA72" i="72"/>
  <c r="O73" i="81" s="1"/>
  <c r="AA59" i="73"/>
  <c r="O60" i="82" s="1"/>
  <c r="P58" i="66"/>
  <c r="J59" i="75" s="1"/>
  <c r="P66" i="66"/>
  <c r="J67" i="75" s="1"/>
  <c r="AA17" i="67"/>
  <c r="O18" i="76" s="1"/>
  <c r="AA33" i="67"/>
  <c r="O34" i="76" s="1"/>
  <c r="AA57" i="67"/>
  <c r="O58" i="76" s="1"/>
  <c r="AA65" i="67"/>
  <c r="O66" i="76" s="1"/>
  <c r="AA20" i="68"/>
  <c r="O21" i="77" s="1"/>
  <c r="AA28" i="68"/>
  <c r="O29" i="77" s="1"/>
  <c r="AA36" i="68"/>
  <c r="O37" i="77" s="1"/>
  <c r="AA44" i="68"/>
  <c r="O45" i="77" s="1"/>
  <c r="AA52" i="68"/>
  <c r="O53" i="77" s="1"/>
  <c r="AA60" i="68"/>
  <c r="O61" i="77" s="1"/>
  <c r="AA68" i="68"/>
  <c r="O69" i="77" s="1"/>
  <c r="X29" i="70"/>
  <c r="N30" i="79" s="1"/>
  <c r="X37" i="70"/>
  <c r="N38" i="79" s="1"/>
  <c r="X45" i="70"/>
  <c r="N46" i="79" s="1"/>
  <c r="X53" i="70"/>
  <c r="N54" i="79" s="1"/>
  <c r="X61" i="70"/>
  <c r="N62" i="79" s="1"/>
  <c r="X69" i="70"/>
  <c r="N70" i="79" s="1"/>
  <c r="P19" i="71"/>
  <c r="J20" i="80" s="1"/>
  <c r="P35" i="71"/>
  <c r="J36" i="80" s="1"/>
  <c r="P43" i="71"/>
  <c r="J44" i="80" s="1"/>
  <c r="P51" i="71"/>
  <c r="J52" i="80" s="1"/>
  <c r="P59" i="71"/>
  <c r="J60" i="80" s="1"/>
  <c r="P67" i="71"/>
  <c r="J68" i="80" s="1"/>
  <c r="H25" i="72"/>
  <c r="F26" i="81" s="1"/>
  <c r="AA27" i="72"/>
  <c r="O28" i="81" s="1"/>
  <c r="H65" i="72"/>
  <c r="F66" i="81" s="1"/>
  <c r="X64" i="73"/>
  <c r="N65" i="82" s="1"/>
  <c r="X72" i="73"/>
  <c r="N73" i="82" s="1"/>
  <c r="X52" i="66"/>
  <c r="N53" i="75" s="1"/>
  <c r="X64" i="66"/>
  <c r="N65" i="75" s="1"/>
  <c r="X72" i="66"/>
  <c r="N73" i="75" s="1"/>
  <c r="AA20" i="67"/>
  <c r="O21" i="76" s="1"/>
  <c r="H26" i="67"/>
  <c r="F27" i="76" s="1"/>
  <c r="H30" i="67"/>
  <c r="F31" i="76" s="1"/>
  <c r="H34" i="67"/>
  <c r="F35" i="76" s="1"/>
  <c r="AA36" i="67"/>
  <c r="O37" i="76" s="1"/>
  <c r="H38" i="67"/>
  <c r="F39" i="76" s="1"/>
  <c r="AA40" i="67"/>
  <c r="O41" i="76" s="1"/>
  <c r="H42" i="67"/>
  <c r="F43" i="76" s="1"/>
  <c r="AA44" i="67"/>
  <c r="O45" i="76" s="1"/>
  <c r="H46" i="67"/>
  <c r="F47" i="76" s="1"/>
  <c r="AA48" i="67"/>
  <c r="O49" i="76" s="1"/>
  <c r="H50" i="67"/>
  <c r="F51" i="76" s="1"/>
  <c r="AA52" i="67"/>
  <c r="O53" i="76" s="1"/>
  <c r="H54" i="67"/>
  <c r="F55" i="76" s="1"/>
  <c r="AA56" i="67"/>
  <c r="O57" i="76" s="1"/>
  <c r="AA60" i="67"/>
  <c r="O61" i="76" s="1"/>
  <c r="AA64" i="67"/>
  <c r="O65" i="76" s="1"/>
  <c r="AA68" i="67"/>
  <c r="O69" i="76" s="1"/>
  <c r="AA72" i="67"/>
  <c r="O73" i="76" s="1"/>
  <c r="H29" i="68"/>
  <c r="F30" i="77" s="1"/>
  <c r="AA39" i="68"/>
  <c r="O40" i="77" s="1"/>
  <c r="AA43" i="68"/>
  <c r="O44" i="77" s="1"/>
  <c r="AA47" i="68"/>
  <c r="O48" i="77" s="1"/>
  <c r="AA51" i="68"/>
  <c r="O52" i="77" s="1"/>
  <c r="H65" i="68"/>
  <c r="F66" i="77" s="1"/>
  <c r="H69" i="68"/>
  <c r="F70" i="77" s="1"/>
  <c r="AA71" i="68"/>
  <c r="O72" i="77" s="1"/>
  <c r="X56" i="66"/>
  <c r="N57" i="75" s="1"/>
  <c r="X68" i="66"/>
  <c r="N69" i="75" s="1"/>
  <c r="AA24" i="67"/>
  <c r="O25" i="76" s="1"/>
  <c r="AA32" i="67"/>
  <c r="O33" i="76" s="1"/>
  <c r="P15" i="66"/>
  <c r="J16" i="75" s="1"/>
  <c r="P19" i="66"/>
  <c r="J20" i="75" s="1"/>
  <c r="P23" i="66"/>
  <c r="J24" i="75" s="1"/>
  <c r="P27" i="66"/>
  <c r="J28" i="75" s="1"/>
  <c r="P31" i="66"/>
  <c r="J32" i="75" s="1"/>
  <c r="P35" i="66"/>
  <c r="J36" i="75" s="1"/>
  <c r="P39" i="66"/>
  <c r="J40" i="75" s="1"/>
  <c r="P43" i="66"/>
  <c r="J44" i="75" s="1"/>
  <c r="P47" i="66"/>
  <c r="J48" i="75" s="1"/>
  <c r="P51" i="66"/>
  <c r="J52" i="75" s="1"/>
  <c r="P55" i="66"/>
  <c r="J56" i="75" s="1"/>
  <c r="P59" i="66"/>
  <c r="J60" i="75" s="1"/>
  <c r="P63" i="66"/>
  <c r="J64" i="75" s="1"/>
  <c r="P67" i="66"/>
  <c r="J68" i="75" s="1"/>
  <c r="P71" i="66"/>
  <c r="J72" i="75" s="1"/>
  <c r="X19" i="67"/>
  <c r="N20" i="76" s="1"/>
  <c r="X23" i="67"/>
  <c r="N24" i="76" s="1"/>
  <c r="X27" i="67"/>
  <c r="N28" i="76" s="1"/>
  <c r="X31" i="67"/>
  <c r="N32" i="76" s="1"/>
  <c r="X35" i="67"/>
  <c r="N36" i="76" s="1"/>
  <c r="X39" i="67"/>
  <c r="N40" i="76" s="1"/>
  <c r="X43" i="67"/>
  <c r="N44" i="76" s="1"/>
  <c r="X47" i="67"/>
  <c r="N48" i="76" s="1"/>
  <c r="X51" i="67"/>
  <c r="N52" i="76" s="1"/>
  <c r="X55" i="67"/>
  <c r="N56" i="76" s="1"/>
  <c r="X59" i="67"/>
  <c r="N60" i="76" s="1"/>
  <c r="X63" i="67"/>
  <c r="N64" i="76" s="1"/>
  <c r="X67" i="67"/>
  <c r="N68" i="76" s="1"/>
  <c r="X71" i="67"/>
  <c r="N72" i="76" s="1"/>
  <c r="X22" i="68"/>
  <c r="N23" i="77" s="1"/>
  <c r="X34" i="68"/>
  <c r="N35" i="77" s="1"/>
  <c r="X38" i="68"/>
  <c r="N39" i="77" s="1"/>
  <c r="X42" i="68"/>
  <c r="N43" i="77" s="1"/>
  <c r="X46" i="68"/>
  <c r="N47" i="77" s="1"/>
  <c r="X50" i="68"/>
  <c r="N51" i="77" s="1"/>
  <c r="X54" i="68"/>
  <c r="N55" i="77" s="1"/>
  <c r="X58" i="68"/>
  <c r="N59" i="77" s="1"/>
  <c r="X62" i="68"/>
  <c r="N63" i="77" s="1"/>
  <c r="X66" i="68"/>
  <c r="N67" i="77" s="1"/>
  <c r="X70" i="68"/>
  <c r="N71" i="77" s="1"/>
  <c r="X48" i="66"/>
  <c r="N49" i="75" s="1"/>
  <c r="X60" i="66"/>
  <c r="N61" i="75" s="1"/>
  <c r="AA28" i="67"/>
  <c r="O29" i="76" s="1"/>
  <c r="AA44" i="66"/>
  <c r="O45" i="75" s="1"/>
  <c r="H54" i="66"/>
  <c r="F55" i="75" s="1"/>
  <c r="AA68" i="66"/>
  <c r="O69" i="75" s="1"/>
  <c r="P22" i="67"/>
  <c r="J23" i="76" s="1"/>
  <c r="P26" i="67"/>
  <c r="J27" i="76" s="1"/>
  <c r="P30" i="67"/>
  <c r="J31" i="76" s="1"/>
  <c r="P34" i="67"/>
  <c r="J35" i="76" s="1"/>
  <c r="P38" i="67"/>
  <c r="J39" i="76" s="1"/>
  <c r="P42" i="67"/>
  <c r="J43" i="76" s="1"/>
  <c r="P46" i="67"/>
  <c r="J47" i="76" s="1"/>
  <c r="P50" i="67"/>
  <c r="J51" i="76" s="1"/>
  <c r="P54" i="67"/>
  <c r="J55" i="76" s="1"/>
  <c r="P58" i="67"/>
  <c r="J59" i="76" s="1"/>
  <c r="P62" i="67"/>
  <c r="J63" i="76" s="1"/>
  <c r="P66" i="67"/>
  <c r="J67" i="76" s="1"/>
  <c r="P70" i="67"/>
  <c r="J71" i="76" s="1"/>
  <c r="P16" i="69"/>
  <c r="J17" i="78" s="1"/>
  <c r="P20" i="69"/>
  <c r="J21" i="78" s="1"/>
  <c r="P30" i="66"/>
  <c r="J31" i="75" s="1"/>
  <c r="P26" i="66"/>
  <c r="J27" i="75" s="1"/>
  <c r="AA15" i="66"/>
  <c r="O16" i="75" s="1"/>
  <c r="AA23" i="66"/>
  <c r="O24" i="75" s="1"/>
  <c r="AA27" i="66"/>
  <c r="O28" i="75" s="1"/>
  <c r="AA31" i="66"/>
  <c r="O32" i="75" s="1"/>
  <c r="H41" i="66"/>
  <c r="F42" i="75" s="1"/>
  <c r="H45" i="66"/>
  <c r="F46" i="75" s="1"/>
  <c r="AA71" i="66"/>
  <c r="O72" i="75" s="1"/>
  <c r="P17" i="67"/>
  <c r="J18" i="76" s="1"/>
  <c r="P21" i="67"/>
  <c r="J22" i="76" s="1"/>
  <c r="P25" i="67"/>
  <c r="J26" i="76" s="1"/>
  <c r="P29" i="67"/>
  <c r="J30" i="76" s="1"/>
  <c r="P33" i="67"/>
  <c r="J34" i="76" s="1"/>
  <c r="P37" i="67"/>
  <c r="J38" i="76" s="1"/>
  <c r="P41" i="67"/>
  <c r="J42" i="76" s="1"/>
  <c r="P45" i="67"/>
  <c r="J46" i="76" s="1"/>
  <c r="P49" i="67"/>
  <c r="J50" i="76" s="1"/>
  <c r="P53" i="67"/>
  <c r="J54" i="76" s="1"/>
  <c r="P57" i="67"/>
  <c r="J58" i="76" s="1"/>
  <c r="P61" i="67"/>
  <c r="J62" i="76" s="1"/>
  <c r="P65" i="67"/>
  <c r="J66" i="76" s="1"/>
  <c r="P69" i="67"/>
  <c r="J70" i="76" s="1"/>
  <c r="P16" i="68"/>
  <c r="J17" i="77" s="1"/>
  <c r="P20" i="68"/>
  <c r="J21" i="77" s="1"/>
  <c r="P24" i="68"/>
  <c r="J25" i="77" s="1"/>
  <c r="P28" i="68"/>
  <c r="J29" i="77" s="1"/>
  <c r="P32" i="68"/>
  <c r="J33" i="77" s="1"/>
  <c r="P36" i="68"/>
  <c r="J37" i="77" s="1"/>
  <c r="P40" i="68"/>
  <c r="J41" i="77" s="1"/>
  <c r="P44" i="68"/>
  <c r="J45" i="77" s="1"/>
  <c r="P48" i="68"/>
  <c r="J49" i="77" s="1"/>
  <c r="P52" i="68"/>
  <c r="J53" i="77" s="1"/>
  <c r="P56" i="68"/>
  <c r="J57" i="77" s="1"/>
  <c r="P60" i="68"/>
  <c r="J61" i="77" s="1"/>
  <c r="P64" i="68"/>
  <c r="J65" i="77" s="1"/>
  <c r="P68" i="68"/>
  <c r="J69" i="77" s="1"/>
  <c r="P19" i="69"/>
  <c r="J20" i="78" s="1"/>
  <c r="P18" i="66"/>
  <c r="J19" i="75" s="1"/>
  <c r="P33" i="66"/>
  <c r="J34" i="75" s="1"/>
  <c r="P41" i="66"/>
  <c r="J42" i="75" s="1"/>
  <c r="P49" i="66"/>
  <c r="J50" i="75" s="1"/>
  <c r="P65" i="66"/>
  <c r="J66" i="75" s="1"/>
  <c r="X29" i="67"/>
  <c r="N30" i="76" s="1"/>
  <c r="X33" i="67"/>
  <c r="N34" i="76" s="1"/>
  <c r="X37" i="67"/>
  <c r="N38" i="76" s="1"/>
  <c r="X41" i="67"/>
  <c r="N42" i="76" s="1"/>
  <c r="X45" i="67"/>
  <c r="N46" i="76" s="1"/>
  <c r="X49" i="67"/>
  <c r="N50" i="76" s="1"/>
  <c r="X53" i="67"/>
  <c r="N54" i="76" s="1"/>
  <c r="X57" i="67"/>
  <c r="N58" i="76" s="1"/>
  <c r="X61" i="67"/>
  <c r="N62" i="76" s="1"/>
  <c r="X65" i="67"/>
  <c r="N66" i="76" s="1"/>
  <c r="X69" i="67"/>
  <c r="N70" i="76" s="1"/>
  <c r="X20" i="68"/>
  <c r="N21" i="77" s="1"/>
  <c r="P34" i="66"/>
  <c r="J35" i="75" s="1"/>
  <c r="P29" i="66"/>
  <c r="J30" i="75" s="1"/>
  <c r="P37" i="66"/>
  <c r="J38" i="75" s="1"/>
  <c r="P45" i="66"/>
  <c r="J46" i="75" s="1"/>
  <c r="P61" i="66"/>
  <c r="J62" i="75" s="1"/>
  <c r="H44" i="66"/>
  <c r="F45" i="75" s="1"/>
  <c r="AA50" i="66"/>
  <c r="O51" i="75" s="1"/>
  <c r="AA54" i="66"/>
  <c r="O55" i="75" s="1"/>
  <c r="AA58" i="66"/>
  <c r="O59" i="75" s="1"/>
  <c r="AA62" i="66"/>
  <c r="O63" i="75" s="1"/>
  <c r="AA66" i="66"/>
  <c r="O67" i="75" s="1"/>
  <c r="H68" i="66"/>
  <c r="F69" i="75" s="1"/>
  <c r="P15" i="68"/>
  <c r="J16" i="77" s="1"/>
  <c r="P19" i="68"/>
  <c r="J20" i="77" s="1"/>
  <c r="P23" i="68"/>
  <c r="J24" i="77" s="1"/>
  <c r="P27" i="68"/>
  <c r="J28" i="77" s="1"/>
  <c r="P31" i="68"/>
  <c r="J32" i="77" s="1"/>
  <c r="P35" i="68"/>
  <c r="J36" i="77" s="1"/>
  <c r="P39" i="68"/>
  <c r="J40" i="77" s="1"/>
  <c r="P43" i="68"/>
  <c r="J44" i="77" s="1"/>
  <c r="P47" i="68"/>
  <c r="J48" i="77" s="1"/>
  <c r="P51" i="68"/>
  <c r="J52" i="77" s="1"/>
  <c r="P55" i="68"/>
  <c r="J56" i="77" s="1"/>
  <c r="P59" i="68"/>
  <c r="J60" i="77" s="1"/>
  <c r="P63" i="68"/>
  <c r="J64" i="77" s="1"/>
  <c r="P67" i="68"/>
  <c r="J68" i="77" s="1"/>
  <c r="P71" i="68"/>
  <c r="J72" i="77" s="1"/>
  <c r="P42" i="66"/>
  <c r="J43" i="75" s="1"/>
  <c r="P22" i="66"/>
  <c r="J23" i="75" s="1"/>
  <c r="P50" i="66"/>
  <c r="J51" i="75" s="1"/>
  <c r="P20" i="66"/>
  <c r="J21" i="75" s="1"/>
  <c r="P24" i="66"/>
  <c r="J25" i="75" s="1"/>
  <c r="P28" i="66"/>
  <c r="J29" i="75" s="1"/>
  <c r="P32" i="66"/>
  <c r="J33" i="75" s="1"/>
  <c r="P36" i="66"/>
  <c r="J37" i="75" s="1"/>
  <c r="P40" i="66"/>
  <c r="J41" i="75" s="1"/>
  <c r="P48" i="66"/>
  <c r="J49" i="75" s="1"/>
  <c r="P52" i="66"/>
  <c r="J53" i="75" s="1"/>
  <c r="P56" i="66"/>
  <c r="J57" i="75" s="1"/>
  <c r="P60" i="66"/>
  <c r="J61" i="75" s="1"/>
  <c r="P64" i="66"/>
  <c r="J65" i="75" s="1"/>
  <c r="X20" i="67"/>
  <c r="N21" i="76" s="1"/>
  <c r="X48" i="67"/>
  <c r="N49" i="76" s="1"/>
  <c r="X56" i="67"/>
  <c r="N57" i="76" s="1"/>
  <c r="X60" i="67"/>
  <c r="N61" i="76" s="1"/>
  <c r="X64" i="67"/>
  <c r="N65" i="76" s="1"/>
  <c r="X68" i="67"/>
  <c r="N69" i="76" s="1"/>
  <c r="X72" i="67"/>
  <c r="N73" i="76" s="1"/>
  <c r="X19" i="68"/>
  <c r="N20" i="77" s="1"/>
  <c r="X23" i="68"/>
  <c r="N24" i="77" s="1"/>
  <c r="X27" i="68"/>
  <c r="N28" i="77" s="1"/>
  <c r="X31" i="68"/>
  <c r="N32" i="77" s="1"/>
  <c r="X35" i="68"/>
  <c r="N36" i="77" s="1"/>
  <c r="X39" i="68"/>
  <c r="N40" i="77" s="1"/>
  <c r="X43" i="68"/>
  <c r="N44" i="77" s="1"/>
  <c r="X47" i="68"/>
  <c r="N48" i="77" s="1"/>
  <c r="X51" i="68"/>
  <c r="N52" i="77" s="1"/>
  <c r="X55" i="68"/>
  <c r="N56" i="77" s="1"/>
  <c r="X59" i="68"/>
  <c r="N60" i="77" s="1"/>
  <c r="X63" i="68"/>
  <c r="N64" i="77" s="1"/>
  <c r="X67" i="68"/>
  <c r="N68" i="77" s="1"/>
  <c r="X71" i="68"/>
  <c r="N72" i="77" s="1"/>
  <c r="P23" i="69"/>
  <c r="J24" i="78" s="1"/>
  <c r="P31" i="69"/>
  <c r="J32" i="78" s="1"/>
  <c r="P35" i="69"/>
  <c r="J36" i="78" s="1"/>
  <c r="P39" i="69"/>
  <c r="J40" i="78" s="1"/>
  <c r="P43" i="69"/>
  <c r="J44" i="78" s="1"/>
  <c r="P47" i="69"/>
  <c r="J48" i="78" s="1"/>
  <c r="P51" i="69"/>
  <c r="J52" i="78" s="1"/>
  <c r="P55" i="69"/>
  <c r="J56" i="78" s="1"/>
  <c r="P59" i="69"/>
  <c r="J60" i="78" s="1"/>
  <c r="P63" i="69"/>
  <c r="J64" i="78" s="1"/>
  <c r="P67" i="69"/>
  <c r="J68" i="78" s="1"/>
  <c r="P71" i="69"/>
  <c r="J72" i="78" s="1"/>
  <c r="AA43" i="70"/>
  <c r="O44" i="79" s="1"/>
  <c r="AA47" i="70"/>
  <c r="O48" i="79" s="1"/>
  <c r="H53" i="70"/>
  <c r="F54" i="79" s="1"/>
  <c r="H65" i="70"/>
  <c r="F66" i="79" s="1"/>
  <c r="X29" i="71"/>
  <c r="N30" i="80" s="1"/>
  <c r="X33" i="71"/>
  <c r="N34" i="80" s="1"/>
  <c r="X37" i="71"/>
  <c r="N38" i="80" s="1"/>
  <c r="X41" i="71"/>
  <c r="N42" i="80" s="1"/>
  <c r="X45" i="71"/>
  <c r="N46" i="80" s="1"/>
  <c r="X49" i="71"/>
  <c r="N50" i="80" s="1"/>
  <c r="X53" i="71"/>
  <c r="N54" i="80" s="1"/>
  <c r="X57" i="71"/>
  <c r="N58" i="80" s="1"/>
  <c r="X61" i="71"/>
  <c r="N62" i="80" s="1"/>
  <c r="X65" i="71"/>
  <c r="N66" i="80" s="1"/>
  <c r="X69" i="71"/>
  <c r="N70" i="80" s="1"/>
  <c r="P35" i="72"/>
  <c r="J36" i="81" s="1"/>
  <c r="P39" i="72"/>
  <c r="J40" i="81" s="1"/>
  <c r="P43" i="72"/>
  <c r="J44" i="81" s="1"/>
  <c r="P47" i="72"/>
  <c r="J48" i="81" s="1"/>
  <c r="P51" i="72"/>
  <c r="J52" i="81" s="1"/>
  <c r="P55" i="72"/>
  <c r="J56" i="81" s="1"/>
  <c r="P59" i="72"/>
  <c r="J60" i="81" s="1"/>
  <c r="P63" i="72"/>
  <c r="J64" i="81" s="1"/>
  <c r="P67" i="72"/>
  <c r="J68" i="81" s="1"/>
  <c r="P71" i="72"/>
  <c r="J72" i="81" s="1"/>
  <c r="AA71" i="73"/>
  <c r="O72" i="82" s="1"/>
  <c r="AA18" i="70"/>
  <c r="O19" i="79" s="1"/>
  <c r="AA22" i="70"/>
  <c r="O23" i="79" s="1"/>
  <c r="H24" i="70"/>
  <c r="F25" i="79" s="1"/>
  <c r="AA26" i="70"/>
  <c r="O27" i="79" s="1"/>
  <c r="H28" i="70"/>
  <c r="F29" i="79" s="1"/>
  <c r="AA30" i="70"/>
  <c r="O31" i="79" s="1"/>
  <c r="H32" i="70"/>
  <c r="F33" i="79" s="1"/>
  <c r="AA34" i="70"/>
  <c r="O35" i="79" s="1"/>
  <c r="AA38" i="70"/>
  <c r="O39" i="79" s="1"/>
  <c r="AA42" i="70"/>
  <c r="O43" i="79" s="1"/>
  <c r="AA46" i="70"/>
  <c r="O47" i="79" s="1"/>
  <c r="AA50" i="70"/>
  <c r="O51" i="79" s="1"/>
  <c r="H52" i="70"/>
  <c r="F53" i="79" s="1"/>
  <c r="AA54" i="70"/>
  <c r="O55" i="79" s="1"/>
  <c r="H56" i="70"/>
  <c r="F57" i="79" s="1"/>
  <c r="AA58" i="70"/>
  <c r="O59" i="79" s="1"/>
  <c r="AA62" i="70"/>
  <c r="O63" i="79" s="1"/>
  <c r="H64" i="70"/>
  <c r="F65" i="79" s="1"/>
  <c r="AA66" i="70"/>
  <c r="O67" i="79" s="1"/>
  <c r="AA70" i="70"/>
  <c r="O71" i="79" s="1"/>
  <c r="H72" i="70"/>
  <c r="F73" i="79" s="1"/>
  <c r="X16" i="71"/>
  <c r="N17" i="80" s="1"/>
  <c r="X24" i="71"/>
  <c r="N25" i="80" s="1"/>
  <c r="X28" i="71"/>
  <c r="N29" i="80" s="1"/>
  <c r="X32" i="71"/>
  <c r="N33" i="80" s="1"/>
  <c r="X36" i="71"/>
  <c r="N37" i="80" s="1"/>
  <c r="X40" i="71"/>
  <c r="N41" i="80" s="1"/>
  <c r="X44" i="71"/>
  <c r="N45" i="80" s="1"/>
  <c r="X48" i="71"/>
  <c r="N49" i="80" s="1"/>
  <c r="X52" i="71"/>
  <c r="N53" i="80" s="1"/>
  <c r="X56" i="71"/>
  <c r="N57" i="80" s="1"/>
  <c r="X60" i="71"/>
  <c r="N61" i="80" s="1"/>
  <c r="X64" i="71"/>
  <c r="N65" i="80" s="1"/>
  <c r="X68" i="71"/>
  <c r="N69" i="80" s="1"/>
  <c r="X72" i="71"/>
  <c r="N73" i="80" s="1"/>
  <c r="H16" i="73"/>
  <c r="F17" i="82" s="1"/>
  <c r="AA18" i="73"/>
  <c r="O19" i="82" s="1"/>
  <c r="H20" i="73"/>
  <c r="F21" i="82" s="1"/>
  <c r="AA22" i="73"/>
  <c r="O23" i="82" s="1"/>
  <c r="AA26" i="73"/>
  <c r="O27" i="82" s="1"/>
  <c r="AA30" i="73"/>
  <c r="O31" i="82" s="1"/>
  <c r="AA34" i="73"/>
  <c r="O35" i="82" s="1"/>
  <c r="AA38" i="73"/>
  <c r="O39" i="82" s="1"/>
  <c r="AA42" i="73"/>
  <c r="O43" i="82" s="1"/>
  <c r="AA46" i="73"/>
  <c r="O47" i="82" s="1"/>
  <c r="AA50" i="73"/>
  <c r="O51" i="82" s="1"/>
  <c r="AA54" i="73"/>
  <c r="O55" i="82" s="1"/>
  <c r="AA58" i="73"/>
  <c r="O59" i="82" s="1"/>
  <c r="AA62" i="73"/>
  <c r="O63" i="82" s="1"/>
  <c r="AA66" i="73"/>
  <c r="O67" i="82" s="1"/>
  <c r="X30" i="69"/>
  <c r="N31" i="78" s="1"/>
  <c r="X34" i="69"/>
  <c r="N35" i="78" s="1"/>
  <c r="X38" i="69"/>
  <c r="N39" i="78" s="1"/>
  <c r="X42" i="69"/>
  <c r="N43" i="78" s="1"/>
  <c r="X50" i="69"/>
  <c r="N51" i="78" s="1"/>
  <c r="X66" i="69"/>
  <c r="N67" i="78" s="1"/>
  <c r="P16" i="70"/>
  <c r="J17" i="79" s="1"/>
  <c r="P20" i="70"/>
  <c r="J21" i="79" s="1"/>
  <c r="P24" i="70"/>
  <c r="J25" i="79" s="1"/>
  <c r="P28" i="70"/>
  <c r="J29" i="79" s="1"/>
  <c r="P32" i="70"/>
  <c r="J33" i="79" s="1"/>
  <c r="P36" i="70"/>
  <c r="J37" i="79" s="1"/>
  <c r="P40" i="70"/>
  <c r="J41" i="79" s="1"/>
  <c r="P44" i="70"/>
  <c r="J45" i="79" s="1"/>
  <c r="AA16" i="71"/>
  <c r="O17" i="80" s="1"/>
  <c r="AA24" i="71"/>
  <c r="O25" i="80" s="1"/>
  <c r="AA28" i="71"/>
  <c r="O29" i="80" s="1"/>
  <c r="AA32" i="71"/>
  <c r="O33" i="80" s="1"/>
  <c r="AA40" i="71"/>
  <c r="O41" i="80" s="1"/>
  <c r="AA44" i="71"/>
  <c r="O45" i="80" s="1"/>
  <c r="AA48" i="71"/>
  <c r="O49" i="80" s="1"/>
  <c r="AA52" i="71"/>
  <c r="O53" i="80" s="1"/>
  <c r="AA56" i="71"/>
  <c r="O57" i="80" s="1"/>
  <c r="AA60" i="71"/>
  <c r="O61" i="80" s="1"/>
  <c r="AA64" i="71"/>
  <c r="O65" i="80" s="1"/>
  <c r="AA68" i="71"/>
  <c r="O69" i="80" s="1"/>
  <c r="AA72" i="71"/>
  <c r="O73" i="80" s="1"/>
  <c r="X18" i="72"/>
  <c r="N19" i="81" s="1"/>
  <c r="X30" i="72"/>
  <c r="N31" i="81" s="1"/>
  <c r="X34" i="72"/>
  <c r="N35" i="81" s="1"/>
  <c r="X38" i="72"/>
  <c r="N39" i="81" s="1"/>
  <c r="X42" i="72"/>
  <c r="N43" i="81" s="1"/>
  <c r="X46" i="72"/>
  <c r="N47" i="81" s="1"/>
  <c r="X54" i="72"/>
  <c r="N55" i="81" s="1"/>
  <c r="X58" i="72"/>
  <c r="N59" i="81" s="1"/>
  <c r="X62" i="72"/>
  <c r="N63" i="81" s="1"/>
  <c r="X66" i="72"/>
  <c r="N67" i="81" s="1"/>
  <c r="X70" i="72"/>
  <c r="N71" i="81" s="1"/>
  <c r="X29" i="73"/>
  <c r="N30" i="82" s="1"/>
  <c r="X33" i="73"/>
  <c r="N34" i="82" s="1"/>
  <c r="X37" i="73"/>
  <c r="N38" i="82" s="1"/>
  <c r="X41" i="73"/>
  <c r="N42" i="82" s="1"/>
  <c r="X45" i="73"/>
  <c r="N46" i="82" s="1"/>
  <c r="X49" i="73"/>
  <c r="N50" i="82" s="1"/>
  <c r="X53" i="73"/>
  <c r="N54" i="82" s="1"/>
  <c r="X57" i="73"/>
  <c r="N58" i="82" s="1"/>
  <c r="X61" i="73"/>
  <c r="N62" i="82" s="1"/>
  <c r="X65" i="73"/>
  <c r="N66" i="82" s="1"/>
  <c r="X69" i="73"/>
  <c r="N70" i="82" s="1"/>
  <c r="AA41" i="70"/>
  <c r="O42" i="79" s="1"/>
  <c r="AA45" i="70"/>
  <c r="O46" i="79" s="1"/>
  <c r="AA49" i="70"/>
  <c r="O50" i="79" s="1"/>
  <c r="AA53" i="70"/>
  <c r="O54" i="79" s="1"/>
  <c r="AA57" i="70"/>
  <c r="O58" i="79" s="1"/>
  <c r="AA61" i="70"/>
  <c r="O62" i="79" s="1"/>
  <c r="AA65" i="70"/>
  <c r="O66" i="79" s="1"/>
  <c r="AA69" i="70"/>
  <c r="O70" i="79" s="1"/>
  <c r="X23" i="71"/>
  <c r="N24" i="80" s="1"/>
  <c r="X27" i="71"/>
  <c r="N28" i="80" s="1"/>
  <c r="X35" i="71"/>
  <c r="N36" i="80" s="1"/>
  <c r="X39" i="71"/>
  <c r="N40" i="80" s="1"/>
  <c r="X43" i="71"/>
  <c r="N44" i="80" s="1"/>
  <c r="X47" i="71"/>
  <c r="N48" i="80" s="1"/>
  <c r="X51" i="71"/>
  <c r="N52" i="80" s="1"/>
  <c r="X55" i="71"/>
  <c r="N56" i="80" s="1"/>
  <c r="X59" i="71"/>
  <c r="N60" i="80" s="1"/>
  <c r="P33" i="72"/>
  <c r="J34" i="81" s="1"/>
  <c r="P41" i="72"/>
  <c r="J42" i="81" s="1"/>
  <c r="P45" i="72"/>
  <c r="J46" i="81" s="1"/>
  <c r="P49" i="72"/>
  <c r="J50" i="81" s="1"/>
  <c r="P53" i="72"/>
  <c r="J54" i="81" s="1"/>
  <c r="P57" i="72"/>
  <c r="J58" i="81" s="1"/>
  <c r="P61" i="72"/>
  <c r="J62" i="81" s="1"/>
  <c r="P65" i="72"/>
  <c r="J66" i="81" s="1"/>
  <c r="P16" i="73"/>
  <c r="J17" i="82" s="1"/>
  <c r="P20" i="73"/>
  <c r="J21" i="82" s="1"/>
  <c r="P28" i="73"/>
  <c r="J29" i="82" s="1"/>
  <c r="P32" i="73"/>
  <c r="J33" i="82" s="1"/>
  <c r="P36" i="73"/>
  <c r="J37" i="82" s="1"/>
  <c r="P40" i="73"/>
  <c r="J41" i="82" s="1"/>
  <c r="P44" i="73"/>
  <c r="J45" i="82" s="1"/>
  <c r="P48" i="73"/>
  <c r="J49" i="82" s="1"/>
  <c r="P52" i="73"/>
  <c r="J53" i="82" s="1"/>
  <c r="X53" i="69"/>
  <c r="N54" i="78" s="1"/>
  <c r="X61" i="69"/>
  <c r="N62" i="78" s="1"/>
  <c r="X65" i="69"/>
  <c r="N66" i="78" s="1"/>
  <c r="P15" i="70"/>
  <c r="J16" i="79" s="1"/>
  <c r="P19" i="70"/>
  <c r="J20" i="79" s="1"/>
  <c r="P23" i="70"/>
  <c r="J24" i="79" s="1"/>
  <c r="P27" i="70"/>
  <c r="J28" i="79" s="1"/>
  <c r="P31" i="70"/>
  <c r="J32" i="79" s="1"/>
  <c r="P39" i="70"/>
  <c r="J40" i="79" s="1"/>
  <c r="P47" i="70"/>
  <c r="J48" i="79" s="1"/>
  <c r="P51" i="70"/>
  <c r="J52" i="79" s="1"/>
  <c r="P55" i="70"/>
  <c r="J56" i="79" s="1"/>
  <c r="P59" i="70"/>
  <c r="J60" i="79" s="1"/>
  <c r="P63" i="70"/>
  <c r="J64" i="79" s="1"/>
  <c r="P67" i="70"/>
  <c r="J68" i="79" s="1"/>
  <c r="P71" i="70"/>
  <c r="J72" i="79" s="1"/>
  <c r="AA19" i="71"/>
  <c r="O20" i="80" s="1"/>
  <c r="AA35" i="71"/>
  <c r="O36" i="80" s="1"/>
  <c r="AA55" i="71"/>
  <c r="O56" i="80" s="1"/>
  <c r="H61" i="71"/>
  <c r="F62" i="80" s="1"/>
  <c r="H69" i="71"/>
  <c r="F70" i="80" s="1"/>
  <c r="N73" i="72"/>
  <c r="X17" i="72"/>
  <c r="N18" i="81" s="1"/>
  <c r="X21" i="72"/>
  <c r="N22" i="81" s="1"/>
  <c r="X25" i="72"/>
  <c r="N26" i="81" s="1"/>
  <c r="X29" i="72"/>
  <c r="N30" i="81" s="1"/>
  <c r="X33" i="72"/>
  <c r="N34" i="81" s="1"/>
  <c r="X37" i="72"/>
  <c r="N38" i="81" s="1"/>
  <c r="X45" i="72"/>
  <c r="N46" i="81" s="1"/>
  <c r="X49" i="72"/>
  <c r="N50" i="81" s="1"/>
  <c r="X53" i="72"/>
  <c r="N54" i="81" s="1"/>
  <c r="X57" i="72"/>
  <c r="N58" i="81" s="1"/>
  <c r="X61" i="72"/>
  <c r="N62" i="81" s="1"/>
  <c r="X65" i="72"/>
  <c r="N66" i="81" s="1"/>
  <c r="X69" i="72"/>
  <c r="N70" i="81" s="1"/>
  <c r="X20" i="73"/>
  <c r="N21" i="82" s="1"/>
  <c r="X24" i="73"/>
  <c r="N25" i="82" s="1"/>
  <c r="X28" i="73"/>
  <c r="N29" i="82" s="1"/>
  <c r="X32" i="73"/>
  <c r="N33" i="82" s="1"/>
  <c r="X40" i="73"/>
  <c r="N41" i="82" s="1"/>
  <c r="X48" i="73"/>
  <c r="N49" i="82" s="1"/>
  <c r="X52" i="73"/>
  <c r="N53" i="82" s="1"/>
  <c r="X56" i="73"/>
  <c r="N57" i="82" s="1"/>
  <c r="P24" i="69"/>
  <c r="J25" i="78" s="1"/>
  <c r="P28" i="69"/>
  <c r="J29" i="78" s="1"/>
  <c r="P32" i="69"/>
  <c r="J33" i="78" s="1"/>
  <c r="P36" i="69"/>
  <c r="J37" i="78" s="1"/>
  <c r="P40" i="69"/>
  <c r="J41" i="78" s="1"/>
  <c r="P44" i="69"/>
  <c r="J45" i="78" s="1"/>
  <c r="P48" i="69"/>
  <c r="J49" i="78" s="1"/>
  <c r="P52" i="69"/>
  <c r="J53" i="78" s="1"/>
  <c r="P56" i="69"/>
  <c r="J57" i="78" s="1"/>
  <c r="P60" i="69"/>
  <c r="J61" i="78" s="1"/>
  <c r="P64" i="69"/>
  <c r="J65" i="78" s="1"/>
  <c r="P68" i="69"/>
  <c r="J69" i="78" s="1"/>
  <c r="AA24" i="70"/>
  <c r="O25" i="79" s="1"/>
  <c r="AA28" i="70"/>
  <c r="O29" i="79" s="1"/>
  <c r="AA32" i="70"/>
  <c r="O33" i="79" s="1"/>
  <c r="AA36" i="70"/>
  <c r="O37" i="79" s="1"/>
  <c r="AA40" i="70"/>
  <c r="O41" i="79" s="1"/>
  <c r="AA44" i="70"/>
  <c r="O45" i="79" s="1"/>
  <c r="AA48" i="70"/>
  <c r="O49" i="79" s="1"/>
  <c r="AA52" i="70"/>
  <c r="O53" i="79" s="1"/>
  <c r="AA56" i="70"/>
  <c r="O57" i="79" s="1"/>
  <c r="AA60" i="70"/>
  <c r="O61" i="79" s="1"/>
  <c r="AA64" i="70"/>
  <c r="O65" i="79" s="1"/>
  <c r="AA68" i="70"/>
  <c r="O69" i="79" s="1"/>
  <c r="AA72" i="70"/>
  <c r="O73" i="79" s="1"/>
  <c r="X22" i="71"/>
  <c r="N23" i="80" s="1"/>
  <c r="X38" i="71"/>
  <c r="N39" i="80" s="1"/>
  <c r="X66" i="71"/>
  <c r="N67" i="80" s="1"/>
  <c r="P16" i="72"/>
  <c r="J17" i="81" s="1"/>
  <c r="P20" i="72"/>
  <c r="J21" i="81" s="1"/>
  <c r="P28" i="72"/>
  <c r="J29" i="81" s="1"/>
  <c r="P32" i="72"/>
  <c r="J33" i="81" s="1"/>
  <c r="P36" i="72"/>
  <c r="J37" i="81" s="1"/>
  <c r="P40" i="72"/>
  <c r="J41" i="81" s="1"/>
  <c r="P44" i="72"/>
  <c r="J45" i="81" s="1"/>
  <c r="P48" i="72"/>
  <c r="J49" i="81" s="1"/>
  <c r="P56" i="72"/>
  <c r="J57" i="81" s="1"/>
  <c r="P60" i="72"/>
  <c r="J61" i="81" s="1"/>
  <c r="P15" i="73"/>
  <c r="J16" i="82" s="1"/>
  <c r="P19" i="73"/>
  <c r="J20" i="82" s="1"/>
  <c r="P23" i="73"/>
  <c r="J24" i="82" s="1"/>
  <c r="P27" i="73"/>
  <c r="J28" i="82" s="1"/>
  <c r="P31" i="73"/>
  <c r="J32" i="82" s="1"/>
  <c r="P35" i="73"/>
  <c r="J36" i="82" s="1"/>
  <c r="P39" i="73"/>
  <c r="J40" i="82" s="1"/>
  <c r="P43" i="73"/>
  <c r="J44" i="82" s="1"/>
  <c r="P47" i="73"/>
  <c r="J48" i="82" s="1"/>
  <c r="P51" i="73"/>
  <c r="J52" i="82" s="1"/>
  <c r="P55" i="73"/>
  <c r="J56" i="82" s="1"/>
  <c r="P59" i="73"/>
  <c r="J60" i="82" s="1"/>
  <c r="P63" i="73"/>
  <c r="J64" i="82" s="1"/>
  <c r="P67" i="73"/>
  <c r="J68" i="82" s="1"/>
  <c r="P71" i="73"/>
  <c r="J72" i="82" s="1"/>
  <c r="AA15" i="72"/>
  <c r="O16" i="81" s="1"/>
  <c r="X22" i="70"/>
  <c r="N23" i="79" s="1"/>
  <c r="X25" i="69"/>
  <c r="N26" i="78" s="1"/>
  <c r="AA25" i="69"/>
  <c r="O26" i="78" s="1"/>
  <c r="X20" i="69"/>
  <c r="N21" i="78" s="1"/>
  <c r="X24" i="69"/>
  <c r="N25" i="78" s="1"/>
  <c r="X18" i="68"/>
  <c r="N19" i="77" s="1"/>
  <c r="AA18" i="68"/>
  <c r="O19" i="77" s="1"/>
  <c r="H15" i="67"/>
  <c r="F16" i="76" s="1"/>
  <c r="AA15" i="67"/>
  <c r="O16" i="76" s="1"/>
  <c r="H28" i="66"/>
  <c r="F29" i="75" s="1"/>
  <c r="H32" i="66"/>
  <c r="F33" i="75" s="1"/>
  <c r="H36" i="66"/>
  <c r="F37" i="75" s="1"/>
  <c r="AA22" i="66"/>
  <c r="O23" i="75" s="1"/>
  <c r="X41" i="66"/>
  <c r="N42" i="75" s="1"/>
  <c r="AA37" i="66"/>
  <c r="O38" i="75" s="1"/>
  <c r="AA21" i="66"/>
  <c r="O22" i="75" s="1"/>
  <c r="X23" i="66"/>
  <c r="N24" i="75" s="1"/>
  <c r="X35" i="66"/>
  <c r="N36" i="75" s="1"/>
  <c r="AA38" i="66"/>
  <c r="O39" i="75" s="1"/>
  <c r="AA41" i="66"/>
  <c r="O42" i="75" s="1"/>
  <c r="AA17" i="66"/>
  <c r="O18" i="75" s="1"/>
  <c r="AA25" i="66"/>
  <c r="O26" i="75" s="1"/>
  <c r="AA29" i="66"/>
  <c r="O30" i="75" s="1"/>
  <c r="AA33" i="66"/>
  <c r="O34" i="75" s="1"/>
  <c r="F43" i="84"/>
  <c r="F46" i="84" s="1"/>
  <c r="X15" i="72"/>
  <c r="N16" i="81" s="1"/>
  <c r="F73" i="72"/>
  <c r="AA16" i="70"/>
  <c r="O17" i="79" s="1"/>
  <c r="AA20" i="70"/>
  <c r="O21" i="79" s="1"/>
  <c r="X18" i="70"/>
  <c r="N19" i="79" s="1"/>
  <c r="X17" i="70"/>
  <c r="N18" i="79" s="1"/>
  <c r="X21" i="70"/>
  <c r="N22" i="79" s="1"/>
  <c r="H16" i="70"/>
  <c r="F17" i="79" s="1"/>
  <c r="H20" i="70"/>
  <c r="F21" i="79" s="1"/>
  <c r="AA17" i="69"/>
  <c r="O18" i="78" s="1"/>
  <c r="AA21" i="69"/>
  <c r="O22" i="78" s="1"/>
  <c r="AA24" i="69"/>
  <c r="O25" i="78" s="1"/>
  <c r="AA15" i="69"/>
  <c r="O16" i="78" s="1"/>
  <c r="H15" i="69"/>
  <c r="F16" i="78" s="1"/>
  <c r="H18" i="69"/>
  <c r="F19" i="78" s="1"/>
  <c r="H22" i="69"/>
  <c r="F23" i="78" s="1"/>
  <c r="X16" i="68"/>
  <c r="N17" i="77" s="1"/>
  <c r="AA17" i="68"/>
  <c r="O18" i="77" s="1"/>
  <c r="AA16" i="68"/>
  <c r="O17" i="77" s="1"/>
  <c r="H19" i="68"/>
  <c r="F20" i="77" s="1"/>
  <c r="AA16" i="67"/>
  <c r="O17" i="76" s="1"/>
  <c r="H16" i="67"/>
  <c r="F17" i="76" s="1"/>
  <c r="X18" i="66"/>
  <c r="N19" i="75" s="1"/>
  <c r="X22" i="66"/>
  <c r="N23" i="75" s="1"/>
  <c r="X37" i="66"/>
  <c r="N38" i="75" s="1"/>
  <c r="X16" i="66"/>
  <c r="N17" i="75" s="1"/>
  <c r="X20" i="66"/>
  <c r="N21" i="75" s="1"/>
  <c r="X24" i="66"/>
  <c r="N25" i="75" s="1"/>
  <c r="X28" i="66"/>
  <c r="N29" i="75" s="1"/>
  <c r="X36" i="66"/>
  <c r="N37" i="75" s="1"/>
  <c r="X40" i="66"/>
  <c r="N41" i="75" s="1"/>
  <c r="X39" i="66"/>
  <c r="N40" i="75" s="1"/>
  <c r="H15" i="66"/>
  <c r="F16" i="75" s="1"/>
  <c r="H19" i="66"/>
  <c r="F20" i="75" s="1"/>
  <c r="H23" i="66"/>
  <c r="F24" i="75" s="1"/>
  <c r="H31" i="66"/>
  <c r="F32" i="75" s="1"/>
  <c r="H35" i="66"/>
  <c r="F36" i="75" s="1"/>
  <c r="H39" i="66"/>
  <c r="F40" i="75" s="1"/>
  <c r="D44" i="85"/>
  <c r="D47" i="85" s="1"/>
  <c r="E47" i="85" s="1"/>
  <c r="X17" i="73"/>
  <c r="N18" i="82" s="1"/>
  <c r="X15" i="73"/>
  <c r="N16" i="82" s="1"/>
  <c r="X23" i="73"/>
  <c r="N24" i="82" s="1"/>
  <c r="X27" i="73"/>
  <c r="N28" i="82" s="1"/>
  <c r="X31" i="73"/>
  <c r="N32" i="82" s="1"/>
  <c r="X35" i="73"/>
  <c r="N36" i="82" s="1"/>
  <c r="X39" i="73"/>
  <c r="N40" i="82" s="1"/>
  <c r="X43" i="73"/>
  <c r="N44" i="82" s="1"/>
  <c r="X17" i="68"/>
  <c r="N18" i="77" s="1"/>
  <c r="X21" i="68"/>
  <c r="N22" i="77" s="1"/>
  <c r="X25" i="68"/>
  <c r="N26" i="77" s="1"/>
  <c r="X21" i="73"/>
  <c r="N22" i="82" s="1"/>
  <c r="X25" i="73"/>
  <c r="N26" i="82" s="1"/>
  <c r="X33" i="68"/>
  <c r="N34" i="77" s="1"/>
  <c r="X37" i="68"/>
  <c r="N38" i="77" s="1"/>
  <c r="X41" i="68"/>
  <c r="N42" i="77" s="1"/>
  <c r="X53" i="68"/>
  <c r="N54" i="77" s="1"/>
  <c r="X57" i="68"/>
  <c r="N58" i="77" s="1"/>
  <c r="X17" i="69"/>
  <c r="N18" i="78" s="1"/>
  <c r="X21" i="69"/>
  <c r="N22" i="78" s="1"/>
  <c r="X15" i="71"/>
  <c r="N16" i="80" s="1"/>
  <c r="X19" i="71"/>
  <c r="N20" i="80" s="1"/>
  <c r="X31" i="71"/>
  <c r="N32" i="80" s="1"/>
  <c r="X18" i="67"/>
  <c r="N19" i="76" s="1"/>
  <c r="X22" i="67"/>
  <c r="N23" i="76" s="1"/>
  <c r="X30" i="67"/>
  <c r="N31" i="76" s="1"/>
  <c r="X34" i="67"/>
  <c r="N35" i="76" s="1"/>
  <c r="X38" i="67"/>
  <c r="N39" i="76" s="1"/>
  <c r="X42" i="67"/>
  <c r="N43" i="76" s="1"/>
  <c r="X46" i="67"/>
  <c r="N47" i="76" s="1"/>
  <c r="X50" i="67"/>
  <c r="N51" i="76" s="1"/>
  <c r="AA51" i="70"/>
  <c r="O52" i="79" s="1"/>
  <c r="AA55" i="70"/>
  <c r="O56" i="79" s="1"/>
  <c r="H57" i="70"/>
  <c r="F58" i="79" s="1"/>
  <c r="AA59" i="70"/>
  <c r="O60" i="79" s="1"/>
  <c r="AA63" i="70"/>
  <c r="O64" i="79" s="1"/>
  <c r="AA67" i="70"/>
  <c r="O68" i="79" s="1"/>
  <c r="AA71" i="70"/>
  <c r="O72" i="79" s="1"/>
  <c r="P16" i="66"/>
  <c r="J17" i="75" s="1"/>
  <c r="P44" i="66"/>
  <c r="J45" i="75" s="1"/>
  <c r="P68" i="66"/>
  <c r="J69" i="75" s="1"/>
  <c r="X20" i="71"/>
  <c r="N21" i="80" s="1"/>
  <c r="X31" i="72"/>
  <c r="N32" i="81" s="1"/>
  <c r="AA19" i="67"/>
  <c r="O20" i="76" s="1"/>
  <c r="AA23" i="67"/>
  <c r="O24" i="76" s="1"/>
  <c r="AA27" i="67"/>
  <c r="O28" i="76" s="1"/>
  <c r="H29" i="67"/>
  <c r="F30" i="76" s="1"/>
  <c r="AA31" i="67"/>
  <c r="O32" i="76" s="1"/>
  <c r="AA35" i="67"/>
  <c r="O36" i="76" s="1"/>
  <c r="AA39" i="67"/>
  <c r="O40" i="76" s="1"/>
  <c r="AA47" i="67"/>
  <c r="O48" i="76" s="1"/>
  <c r="AA51" i="67"/>
  <c r="O52" i="76" s="1"/>
  <c r="AA55" i="67"/>
  <c r="O56" i="76" s="1"/>
  <c r="AA59" i="67"/>
  <c r="O60" i="76" s="1"/>
  <c r="AA63" i="67"/>
  <c r="O64" i="76" s="1"/>
  <c r="H65" i="67"/>
  <c r="F66" i="76" s="1"/>
  <c r="AA71" i="67"/>
  <c r="O72" i="76" s="1"/>
  <c r="X17" i="71"/>
  <c r="N18" i="80" s="1"/>
  <c r="X21" i="71"/>
  <c r="N22" i="80" s="1"/>
  <c r="X25" i="71"/>
  <c r="N26" i="80" s="1"/>
  <c r="P17" i="66"/>
  <c r="J18" i="75" s="1"/>
  <c r="P21" i="66"/>
  <c r="J22" i="75" s="1"/>
  <c r="X21" i="67"/>
  <c r="N22" i="76" s="1"/>
  <c r="AA35" i="70"/>
  <c r="O36" i="79" s="1"/>
  <c r="AA39" i="70"/>
  <c r="O40" i="79" s="1"/>
  <c r="P17" i="72"/>
  <c r="J18" i="81" s="1"/>
  <c r="P21" i="72"/>
  <c r="J22" i="81" s="1"/>
  <c r="P37" i="72"/>
  <c r="J38" i="81" s="1"/>
  <c r="X26" i="66"/>
  <c r="N27" i="75" s="1"/>
  <c r="X30" i="66"/>
  <c r="N31" i="75" s="1"/>
  <c r="X34" i="66"/>
  <c r="N35" i="75" s="1"/>
  <c r="X38" i="66"/>
  <c r="N39" i="75" s="1"/>
  <c r="X42" i="66"/>
  <c r="N43" i="75" s="1"/>
  <c r="X58" i="66"/>
  <c r="N59" i="75" s="1"/>
  <c r="X66" i="66"/>
  <c r="N67" i="75" s="1"/>
  <c r="X70" i="66"/>
  <c r="N71" i="75" s="1"/>
  <c r="AA59" i="71"/>
  <c r="O60" i="80" s="1"/>
  <c r="AA63" i="71"/>
  <c r="O64" i="80" s="1"/>
  <c r="AA67" i="71"/>
  <c r="O68" i="80" s="1"/>
  <c r="AA71" i="71"/>
  <c r="O72" i="80" s="1"/>
  <c r="X47" i="73"/>
  <c r="N48" i="82" s="1"/>
  <c r="X16" i="67"/>
  <c r="N17" i="76" s="1"/>
  <c r="X29" i="69"/>
  <c r="N30" i="78" s="1"/>
  <c r="X33" i="69"/>
  <c r="N34" i="78" s="1"/>
  <c r="X37" i="69"/>
  <c r="N38" i="78" s="1"/>
  <c r="X41" i="69"/>
  <c r="N42" i="78" s="1"/>
  <c r="X45" i="69"/>
  <c r="N46" i="78" s="1"/>
  <c r="X19" i="66"/>
  <c r="N20" i="75" s="1"/>
  <c r="X27" i="66"/>
  <c r="N28" i="75" s="1"/>
  <c r="X31" i="66"/>
  <c r="N32" i="75" s="1"/>
  <c r="X47" i="66"/>
  <c r="N48" i="75" s="1"/>
  <c r="X51" i="66"/>
  <c r="N52" i="75" s="1"/>
  <c r="X55" i="66"/>
  <c r="N56" i="75" s="1"/>
  <c r="X59" i="66"/>
  <c r="N60" i="75" s="1"/>
  <c r="X71" i="66"/>
  <c r="N72" i="75" s="1"/>
  <c r="X24" i="67"/>
  <c r="N25" i="76" s="1"/>
  <c r="X32" i="67"/>
  <c r="N33" i="76" s="1"/>
  <c r="X36" i="67"/>
  <c r="N37" i="76" s="1"/>
  <c r="X40" i="67"/>
  <c r="N41" i="76" s="1"/>
  <c r="X15" i="68"/>
  <c r="N16" i="77" s="1"/>
  <c r="X15" i="70"/>
  <c r="N16" i="79" s="1"/>
  <c r="X19" i="70"/>
  <c r="N20" i="79" s="1"/>
  <c r="X23" i="70"/>
  <c r="N24" i="79" s="1"/>
  <c r="X17" i="66"/>
  <c r="N18" i="75" s="1"/>
  <c r="X21" i="66"/>
  <c r="N22" i="75" s="1"/>
  <c r="X25" i="66"/>
  <c r="N26" i="75" s="1"/>
  <c r="X29" i="66"/>
  <c r="N30" i="75" s="1"/>
  <c r="X33" i="66"/>
  <c r="N34" i="75" s="1"/>
  <c r="X49" i="66"/>
  <c r="N50" i="75" s="1"/>
  <c r="X53" i="66"/>
  <c r="N54" i="75" s="1"/>
  <c r="X57" i="66"/>
  <c r="N58" i="75" s="1"/>
  <c r="AA19" i="69"/>
  <c r="O20" i="78" s="1"/>
  <c r="AA23" i="69"/>
  <c r="O24" i="78" s="1"/>
  <c r="AA31" i="69"/>
  <c r="O32" i="78" s="1"/>
  <c r="AA35" i="69"/>
  <c r="O36" i="78" s="1"/>
  <c r="AA39" i="69"/>
  <c r="O40" i="78" s="1"/>
  <c r="AA43" i="69"/>
  <c r="O44" i="78" s="1"/>
  <c r="AA47" i="69"/>
  <c r="O48" i="78" s="1"/>
  <c r="AA55" i="69"/>
  <c r="O56" i="78" s="1"/>
  <c r="AA59" i="69"/>
  <c r="O60" i="78" s="1"/>
  <c r="H61" i="69"/>
  <c r="F62" i="78" s="1"/>
  <c r="AA63" i="69"/>
  <c r="O64" i="78" s="1"/>
  <c r="H65" i="69"/>
  <c r="F66" i="78" s="1"/>
  <c r="AA67" i="69"/>
  <c r="O68" i="78" s="1"/>
  <c r="AA71" i="69"/>
  <c r="O72" i="78" s="1"/>
  <c r="X25" i="70"/>
  <c r="N26" i="79" s="1"/>
  <c r="X58" i="67"/>
  <c r="N59" i="76" s="1"/>
  <c r="X62" i="67"/>
  <c r="N63" i="76" s="1"/>
  <c r="X66" i="67"/>
  <c r="N67" i="76" s="1"/>
  <c r="AA19" i="72"/>
  <c r="O20" i="81" s="1"/>
  <c r="H21" i="72"/>
  <c r="F22" i="81" s="1"/>
  <c r="AA23" i="72"/>
  <c r="O24" i="81" s="1"/>
  <c r="AA31" i="72"/>
  <c r="O32" i="81" s="1"/>
  <c r="AA35" i="72"/>
  <c r="O36" i="81" s="1"/>
  <c r="AA39" i="72"/>
  <c r="O40" i="81" s="1"/>
  <c r="AA43" i="72"/>
  <c r="O44" i="81" s="1"/>
  <c r="AA47" i="72"/>
  <c r="O48" i="81" s="1"/>
  <c r="H49" i="72"/>
  <c r="F50" i="81" s="1"/>
  <c r="AA51" i="72"/>
  <c r="O52" i="81" s="1"/>
  <c r="AA55" i="72"/>
  <c r="O56" i="81" s="1"/>
  <c r="AA59" i="72"/>
  <c r="O60" i="81" s="1"/>
  <c r="AA63" i="72"/>
  <c r="O64" i="81" s="1"/>
  <c r="AA67" i="72"/>
  <c r="O68" i="81" s="1"/>
  <c r="AA71" i="72"/>
  <c r="O72" i="81" s="1"/>
  <c r="X16" i="73"/>
  <c r="N17" i="82" s="1"/>
  <c r="X36" i="73"/>
  <c r="N37" i="82" s="1"/>
  <c r="X44" i="73"/>
  <c r="N45" i="82" s="1"/>
  <c r="X18" i="69"/>
  <c r="N19" i="78" s="1"/>
  <c r="X22" i="69"/>
  <c r="N23" i="78" s="1"/>
  <c r="X26" i="69"/>
  <c r="N27" i="78" s="1"/>
  <c r="X46" i="69"/>
  <c r="N47" i="78" s="1"/>
  <c r="X54" i="69"/>
  <c r="N55" i="78" s="1"/>
  <c r="X58" i="69"/>
  <c r="N59" i="78" s="1"/>
  <c r="X62" i="69"/>
  <c r="N63" i="78" s="1"/>
  <c r="X70" i="69"/>
  <c r="N71" i="78" s="1"/>
  <c r="O73" i="71"/>
  <c r="X32" i="66"/>
  <c r="N33" i="75" s="1"/>
  <c r="X44" i="66"/>
  <c r="N45" i="75" s="1"/>
  <c r="X46" i="71"/>
  <c r="N47" i="80" s="1"/>
  <c r="X50" i="71"/>
  <c r="N51" i="80" s="1"/>
  <c r="X54" i="71"/>
  <c r="N55" i="80" s="1"/>
  <c r="X58" i="71"/>
  <c r="N59" i="80" s="1"/>
  <c r="P52" i="72"/>
  <c r="J53" i="81" s="1"/>
  <c r="P64" i="72"/>
  <c r="J65" i="81" s="1"/>
  <c r="P68" i="72"/>
  <c r="J69" i="81" s="1"/>
  <c r="X49" i="69"/>
  <c r="N50" i="78" s="1"/>
  <c r="X57" i="69"/>
  <c r="N58" i="78" s="1"/>
  <c r="X69" i="69"/>
  <c r="N70" i="78" s="1"/>
  <c r="AA16" i="66"/>
  <c r="O17" i="75" s="1"/>
  <c r="H18" i="66"/>
  <c r="F19" i="75" s="1"/>
  <c r="AA20" i="66"/>
  <c r="O21" i="75" s="1"/>
  <c r="H22" i="66"/>
  <c r="F23" i="75" s="1"/>
  <c r="AA24" i="66"/>
  <c r="O25" i="75" s="1"/>
  <c r="AA28" i="66"/>
  <c r="O29" i="75" s="1"/>
  <c r="H30" i="66"/>
  <c r="F31" i="75" s="1"/>
  <c r="AA32" i="66"/>
  <c r="O33" i="75" s="1"/>
  <c r="AA36" i="66"/>
  <c r="O37" i="75" s="1"/>
  <c r="AA40" i="66"/>
  <c r="O41" i="75" s="1"/>
  <c r="H46" i="66"/>
  <c r="F47" i="75" s="1"/>
  <c r="AA48" i="66"/>
  <c r="O49" i="75" s="1"/>
  <c r="AA52" i="66"/>
  <c r="O53" i="75" s="1"/>
  <c r="AA56" i="66"/>
  <c r="O57" i="75" s="1"/>
  <c r="AA60" i="66"/>
  <c r="O61" i="75" s="1"/>
  <c r="AA64" i="66"/>
  <c r="O65" i="75" s="1"/>
  <c r="AA72" i="66"/>
  <c r="O73" i="75" s="1"/>
  <c r="X26" i="68"/>
  <c r="N27" i="77" s="1"/>
  <c r="X30" i="68"/>
  <c r="N31" i="77" s="1"/>
  <c r="X28" i="72"/>
  <c r="N29" i="81" s="1"/>
  <c r="X18" i="73"/>
  <c r="N19" i="82" s="1"/>
  <c r="X26" i="73"/>
  <c r="N27" i="82" s="1"/>
  <c r="X30" i="73"/>
  <c r="N31" i="82" s="1"/>
  <c r="X34" i="73"/>
  <c r="N35" i="82" s="1"/>
  <c r="X38" i="73"/>
  <c r="N39" i="82" s="1"/>
  <c r="X42" i="73"/>
  <c r="N43" i="82" s="1"/>
  <c r="X46" i="73"/>
  <c r="N47" i="82" s="1"/>
  <c r="X50" i="73"/>
  <c r="N51" i="82" s="1"/>
  <c r="X58" i="73"/>
  <c r="N59" i="82" s="1"/>
  <c r="X62" i="73"/>
  <c r="N63" i="82" s="1"/>
  <c r="X70" i="73"/>
  <c r="N71" i="82" s="1"/>
  <c r="P38" i="66"/>
  <c r="J39" i="75" s="1"/>
  <c r="P46" i="66"/>
  <c r="J47" i="75" s="1"/>
  <c r="X15" i="67"/>
  <c r="N16" i="76" s="1"/>
  <c r="X28" i="69"/>
  <c r="N29" i="78" s="1"/>
  <c r="X61" i="68"/>
  <c r="N62" i="77" s="1"/>
  <c r="X65" i="68"/>
  <c r="N66" i="77" s="1"/>
  <c r="P15" i="69"/>
  <c r="J16" i="78" s="1"/>
  <c r="P27" i="69"/>
  <c r="J28" i="78" s="1"/>
  <c r="AA15" i="70"/>
  <c r="O16" i="79" s="1"/>
  <c r="AA19" i="70"/>
  <c r="O20" i="79" s="1"/>
  <c r="AA23" i="70"/>
  <c r="O24" i="79" s="1"/>
  <c r="AA27" i="70"/>
  <c r="O28" i="79" s="1"/>
  <c r="AA31" i="70"/>
  <c r="O32" i="79" s="1"/>
  <c r="O73" i="67"/>
  <c r="J38" i="79"/>
  <c r="J46" i="79"/>
  <c r="J29" i="80"/>
  <c r="X18" i="71"/>
  <c r="N19" i="80" s="1"/>
  <c r="X26" i="71"/>
  <c r="N27" i="80" s="1"/>
  <c r="X30" i="71"/>
  <c r="N31" i="80" s="1"/>
  <c r="X34" i="71"/>
  <c r="N35" i="80" s="1"/>
  <c r="X42" i="71"/>
  <c r="N43" i="80" s="1"/>
  <c r="X16" i="70"/>
  <c r="N17" i="79" s="1"/>
  <c r="X20" i="70"/>
  <c r="N21" i="79" s="1"/>
  <c r="X28" i="70"/>
  <c r="N29" i="79" s="1"/>
  <c r="X40" i="70"/>
  <c r="N41" i="79" s="1"/>
  <c r="X44" i="70"/>
  <c r="N45" i="79" s="1"/>
  <c r="X52" i="70"/>
  <c r="N53" i="79" s="1"/>
  <c r="J37" i="80"/>
  <c r="AA15" i="73"/>
  <c r="O16" i="82" s="1"/>
  <c r="H17" i="73"/>
  <c r="AA19" i="73"/>
  <c r="O20" i="82" s="1"/>
  <c r="AA23" i="73"/>
  <c r="O24" i="82" s="1"/>
  <c r="AA27" i="73"/>
  <c r="O28" i="82" s="1"/>
  <c r="H29" i="73"/>
  <c r="AA31" i="73"/>
  <c r="O32" i="82" s="1"/>
  <c r="AA35" i="73"/>
  <c r="O36" i="82" s="1"/>
  <c r="AA39" i="73"/>
  <c r="O40" i="82" s="1"/>
  <c r="AA43" i="73"/>
  <c r="O44" i="82" s="1"/>
  <c r="AA47" i="73"/>
  <c r="O48" i="82" s="1"/>
  <c r="AA51" i="73"/>
  <c r="O52" i="82" s="1"/>
  <c r="H53" i="73"/>
  <c r="AA55" i="73"/>
  <c r="O56" i="82" s="1"/>
  <c r="H57" i="73"/>
  <c r="F58" i="82" s="1"/>
  <c r="AA63" i="73"/>
  <c r="O64" i="82" s="1"/>
  <c r="H65" i="73"/>
  <c r="F66" i="82" s="1"/>
  <c r="AA67" i="73"/>
  <c r="O68" i="82" s="1"/>
  <c r="H69" i="73"/>
  <c r="F70" i="82" s="1"/>
  <c r="H17" i="66"/>
  <c r="F18" i="75" s="1"/>
  <c r="AA19" i="66"/>
  <c r="O20" i="75" s="1"/>
  <c r="H21" i="66"/>
  <c r="F22" i="75" s="1"/>
  <c r="H33" i="66"/>
  <c r="F34" i="75" s="1"/>
  <c r="AA35" i="66"/>
  <c r="O36" i="75" s="1"/>
  <c r="H37" i="66"/>
  <c r="F38" i="75" s="1"/>
  <c r="AA39" i="66"/>
  <c r="O40" i="75" s="1"/>
  <c r="AA43" i="66"/>
  <c r="O44" i="75" s="1"/>
  <c r="AA47" i="66"/>
  <c r="O48" i="75" s="1"/>
  <c r="AA51" i="66"/>
  <c r="O52" i="75" s="1"/>
  <c r="J55" i="75"/>
  <c r="AA55" i="66"/>
  <c r="O56" i="75" s="1"/>
  <c r="H57" i="66"/>
  <c r="F58" i="75" s="1"/>
  <c r="AA59" i="66"/>
  <c r="O60" i="75" s="1"/>
  <c r="AA63" i="66"/>
  <c r="O64" i="75" s="1"/>
  <c r="H65" i="66"/>
  <c r="F66" i="75" s="1"/>
  <c r="AA67" i="66"/>
  <c r="O68" i="75" s="1"/>
  <c r="AA18" i="69"/>
  <c r="O19" i="78" s="1"/>
  <c r="AA22" i="69"/>
  <c r="O23" i="78" s="1"/>
  <c r="AA26" i="69"/>
  <c r="O27" i="78" s="1"/>
  <c r="AA30" i="69"/>
  <c r="O31" i="78" s="1"/>
  <c r="AA34" i="69"/>
  <c r="O35" i="78" s="1"/>
  <c r="AA38" i="69"/>
  <c r="O39" i="78" s="1"/>
  <c r="AA50" i="69"/>
  <c r="O51" i="78" s="1"/>
  <c r="AA54" i="69"/>
  <c r="O55" i="78" s="1"/>
  <c r="AA58" i="69"/>
  <c r="O59" i="78" s="1"/>
  <c r="AA62" i="69"/>
  <c r="O63" i="78" s="1"/>
  <c r="AA66" i="69"/>
  <c r="O67" i="78" s="1"/>
  <c r="G73" i="66"/>
  <c r="AA18" i="66"/>
  <c r="O19" i="75" s="1"/>
  <c r="AA26" i="66"/>
  <c r="O27" i="75" s="1"/>
  <c r="AA30" i="66"/>
  <c r="O31" i="75" s="1"/>
  <c r="AA34" i="66"/>
  <c r="O35" i="75" s="1"/>
  <c r="H40" i="66"/>
  <c r="AA42" i="66"/>
  <c r="O43" i="75" s="1"/>
  <c r="AA46" i="66"/>
  <c r="O47" i="75" s="1"/>
  <c r="AA70" i="66"/>
  <c r="O71" i="75" s="1"/>
  <c r="AA15" i="68"/>
  <c r="O16" i="77" s="1"/>
  <c r="AA19" i="68"/>
  <c r="O20" i="77" s="1"/>
  <c r="AA23" i="68"/>
  <c r="O24" i="77" s="1"/>
  <c r="H25" i="68"/>
  <c r="AA27" i="68"/>
  <c r="O28" i="77" s="1"/>
  <c r="AA31" i="68"/>
  <c r="O32" i="77" s="1"/>
  <c r="H33" i="68"/>
  <c r="AA35" i="68"/>
  <c r="O36" i="77" s="1"/>
  <c r="AA55" i="68"/>
  <c r="O56" i="77" s="1"/>
  <c r="AA59" i="68"/>
  <c r="O60" i="77" s="1"/>
  <c r="AA63" i="68"/>
  <c r="O64" i="77" s="1"/>
  <c r="AA67" i="68"/>
  <c r="O68" i="77" s="1"/>
  <c r="O73" i="69"/>
  <c r="AA29" i="69"/>
  <c r="O30" i="78" s="1"/>
  <c r="AA33" i="69"/>
  <c r="O34" i="78" s="1"/>
  <c r="AA37" i="69"/>
  <c r="O38" i="78" s="1"/>
  <c r="AA41" i="69"/>
  <c r="O42" i="78" s="1"/>
  <c r="AA45" i="69"/>
  <c r="O46" i="78" s="1"/>
  <c r="H47" i="69"/>
  <c r="F48" i="78" s="1"/>
  <c r="AA49" i="69"/>
  <c r="O50" i="78" s="1"/>
  <c r="H59" i="69"/>
  <c r="F60" i="78" s="1"/>
  <c r="AA61" i="69"/>
  <c r="O62" i="78" s="1"/>
  <c r="AA65" i="69"/>
  <c r="O66" i="78" s="1"/>
  <c r="AA69" i="69"/>
  <c r="O70" i="78" s="1"/>
  <c r="H71" i="69"/>
  <c r="F72" i="78" s="1"/>
  <c r="P17" i="70"/>
  <c r="P25" i="70"/>
  <c r="J26" i="79" s="1"/>
  <c r="P29" i="70"/>
  <c r="J30" i="79" s="1"/>
  <c r="O73" i="68"/>
  <c r="H20" i="68"/>
  <c r="H24" i="68"/>
  <c r="F25" i="77" s="1"/>
  <c r="AA26" i="68"/>
  <c r="O27" i="77" s="1"/>
  <c r="AA30" i="68"/>
  <c r="O31" i="77" s="1"/>
  <c r="AA34" i="68"/>
  <c r="O35" i="77" s="1"/>
  <c r="AA38" i="68"/>
  <c r="O39" i="77" s="1"/>
  <c r="AA42" i="68"/>
  <c r="O43" i="77" s="1"/>
  <c r="AA46" i="68"/>
  <c r="O47" i="77" s="1"/>
  <c r="AA58" i="68"/>
  <c r="O59" i="77" s="1"/>
  <c r="H60" i="68"/>
  <c r="F61" i="77" s="1"/>
  <c r="AA66" i="68"/>
  <c r="O67" i="77" s="1"/>
  <c r="AA70" i="68"/>
  <c r="O71" i="77" s="1"/>
  <c r="AA15" i="71"/>
  <c r="O16" i="80" s="1"/>
  <c r="H17" i="71"/>
  <c r="AA23" i="71"/>
  <c r="O24" i="80" s="1"/>
  <c r="AA27" i="71"/>
  <c r="O28" i="80" s="1"/>
  <c r="H29" i="71"/>
  <c r="AA31" i="71"/>
  <c r="O32" i="80" s="1"/>
  <c r="AA39" i="71"/>
  <c r="O40" i="80" s="1"/>
  <c r="AA43" i="71"/>
  <c r="O44" i="80" s="1"/>
  <c r="AA47" i="71"/>
  <c r="O48" i="80" s="1"/>
  <c r="AA51" i="71"/>
  <c r="O52" i="80" s="1"/>
  <c r="H53" i="71"/>
  <c r="F54" i="80" s="1"/>
  <c r="AA20" i="71"/>
  <c r="O21" i="80" s="1"/>
  <c r="AA36" i="71"/>
  <c r="O37" i="80" s="1"/>
  <c r="X62" i="71"/>
  <c r="N63" i="80" s="1"/>
  <c r="X70" i="71"/>
  <c r="N71" i="80" s="1"/>
  <c r="X22" i="72"/>
  <c r="N23" i="81" s="1"/>
  <c r="X26" i="72"/>
  <c r="N27" i="81" s="1"/>
  <c r="X50" i="72"/>
  <c r="N51" i="81" s="1"/>
  <c r="X30" i="70"/>
  <c r="N31" i="79" s="1"/>
  <c r="X34" i="70"/>
  <c r="N35" i="79" s="1"/>
  <c r="O73" i="72"/>
  <c r="AA18" i="72"/>
  <c r="O19" i="81" s="1"/>
  <c r="H20" i="72"/>
  <c r="F21" i="81" s="1"/>
  <c r="AA22" i="72"/>
  <c r="O23" i="81" s="1"/>
  <c r="AA26" i="72"/>
  <c r="O27" i="81" s="1"/>
  <c r="H28" i="72"/>
  <c r="AA30" i="72"/>
  <c r="O31" i="81" s="1"/>
  <c r="AA34" i="72"/>
  <c r="O35" i="81" s="1"/>
  <c r="H40" i="72"/>
  <c r="F41" i="81" s="1"/>
  <c r="AA50" i="72"/>
  <c r="O51" i="81" s="1"/>
  <c r="AA54" i="72"/>
  <c r="O55" i="81" s="1"/>
  <c r="AA58" i="72"/>
  <c r="O59" i="81" s="1"/>
  <c r="AA62" i="72"/>
  <c r="O63" i="81" s="1"/>
  <c r="AA66" i="72"/>
  <c r="O67" i="81" s="1"/>
  <c r="P24" i="73"/>
  <c r="X41" i="72"/>
  <c r="N42" i="81" s="1"/>
  <c r="J61" i="80"/>
  <c r="H37" i="73"/>
  <c r="H45" i="73"/>
  <c r="F46" i="82" s="1"/>
  <c r="H25" i="73"/>
  <c r="F26" i="82" s="1"/>
  <c r="H33" i="73"/>
  <c r="H41" i="73"/>
  <c r="H49" i="73"/>
  <c r="F50" i="82" s="1"/>
  <c r="H61" i="73"/>
  <c r="H21" i="73"/>
  <c r="F22" i="82" s="1"/>
  <c r="P42" i="73"/>
  <c r="J43" i="82" s="1"/>
  <c r="H68" i="73"/>
  <c r="F69" i="82" s="1"/>
  <c r="F73" i="73"/>
  <c r="P30" i="73"/>
  <c r="J31" i="82" s="1"/>
  <c r="P34" i="73"/>
  <c r="J35" i="82" s="1"/>
  <c r="G73" i="73"/>
  <c r="H64" i="73"/>
  <c r="F65" i="82" s="1"/>
  <c r="P38" i="73"/>
  <c r="J39" i="82" s="1"/>
  <c r="H52" i="73"/>
  <c r="F53" i="82" s="1"/>
  <c r="P66" i="73"/>
  <c r="J67" i="82" s="1"/>
  <c r="P26" i="73"/>
  <c r="J27" i="82" s="1"/>
  <c r="H72" i="73"/>
  <c r="F73" i="82" s="1"/>
  <c r="H60" i="73"/>
  <c r="F61" i="82" s="1"/>
  <c r="N73" i="73"/>
  <c r="H48" i="73"/>
  <c r="F49" i="82" s="1"/>
  <c r="P62" i="73"/>
  <c r="J63" i="82" s="1"/>
  <c r="P18" i="73"/>
  <c r="J19" i="82" s="1"/>
  <c r="H44" i="73"/>
  <c r="F45" i="82" s="1"/>
  <c r="P58" i="73"/>
  <c r="J59" i="82" s="1"/>
  <c r="O73" i="73"/>
  <c r="H24" i="73"/>
  <c r="F25" i="82" s="1"/>
  <c r="H40" i="73"/>
  <c r="F41" i="82" s="1"/>
  <c r="P54" i="73"/>
  <c r="J55" i="82" s="1"/>
  <c r="H56" i="73"/>
  <c r="F57" i="82" s="1"/>
  <c r="P22" i="73"/>
  <c r="J23" i="82" s="1"/>
  <c r="H36" i="73"/>
  <c r="F37" i="82" s="1"/>
  <c r="P50" i="73"/>
  <c r="J51" i="82" s="1"/>
  <c r="P70" i="73"/>
  <c r="J71" i="82" s="1"/>
  <c r="H28" i="73"/>
  <c r="F29" i="82" s="1"/>
  <c r="H32" i="73"/>
  <c r="F33" i="82" s="1"/>
  <c r="P46" i="73"/>
  <c r="J47" i="82" s="1"/>
  <c r="H15" i="73"/>
  <c r="F16" i="82" s="1"/>
  <c r="H19" i="73"/>
  <c r="F20" i="82" s="1"/>
  <c r="H23" i="73"/>
  <c r="F24" i="82" s="1"/>
  <c r="H27" i="73"/>
  <c r="F28" i="82" s="1"/>
  <c r="H31" i="73"/>
  <c r="F32" i="82" s="1"/>
  <c r="H35" i="73"/>
  <c r="F36" i="82" s="1"/>
  <c r="H39" i="73"/>
  <c r="F40" i="82" s="1"/>
  <c r="H43" i="73"/>
  <c r="F44" i="82" s="1"/>
  <c r="H47" i="73"/>
  <c r="F48" i="82" s="1"/>
  <c r="H51" i="73"/>
  <c r="F52" i="82" s="1"/>
  <c r="H55" i="73"/>
  <c r="F56" i="82" s="1"/>
  <c r="H59" i="73"/>
  <c r="F60" i="82" s="1"/>
  <c r="H63" i="73"/>
  <c r="F64" i="82" s="1"/>
  <c r="H67" i="73"/>
  <c r="F68" i="82" s="1"/>
  <c r="H71" i="73"/>
  <c r="F72" i="82" s="1"/>
  <c r="P17" i="73"/>
  <c r="J18" i="82" s="1"/>
  <c r="P21" i="73"/>
  <c r="J22" i="82" s="1"/>
  <c r="P25" i="73"/>
  <c r="J26" i="82" s="1"/>
  <c r="P29" i="73"/>
  <c r="J30" i="82" s="1"/>
  <c r="P33" i="73"/>
  <c r="J34" i="82" s="1"/>
  <c r="P37" i="73"/>
  <c r="J38" i="82" s="1"/>
  <c r="P41" i="73"/>
  <c r="J42" i="82" s="1"/>
  <c r="P45" i="73"/>
  <c r="J46" i="82" s="1"/>
  <c r="P49" i="73"/>
  <c r="J50" i="82" s="1"/>
  <c r="P53" i="73"/>
  <c r="J54" i="82" s="1"/>
  <c r="P57" i="73"/>
  <c r="J58" i="82" s="1"/>
  <c r="P61" i="73"/>
  <c r="J62" i="82" s="1"/>
  <c r="P65" i="73"/>
  <c r="J66" i="82" s="1"/>
  <c r="P69" i="73"/>
  <c r="J70" i="82" s="1"/>
  <c r="H18" i="73"/>
  <c r="F19" i="82" s="1"/>
  <c r="H22" i="73"/>
  <c r="F23" i="82" s="1"/>
  <c r="H26" i="73"/>
  <c r="F27" i="82" s="1"/>
  <c r="H30" i="73"/>
  <c r="F31" i="82" s="1"/>
  <c r="H34" i="73"/>
  <c r="F35" i="82" s="1"/>
  <c r="H38" i="73"/>
  <c r="F39" i="82" s="1"/>
  <c r="H42" i="73"/>
  <c r="F43" i="82" s="1"/>
  <c r="H46" i="73"/>
  <c r="F47" i="82" s="1"/>
  <c r="H50" i="73"/>
  <c r="F51" i="82" s="1"/>
  <c r="H54" i="73"/>
  <c r="F55" i="82" s="1"/>
  <c r="H58" i="73"/>
  <c r="F59" i="82" s="1"/>
  <c r="H62" i="73"/>
  <c r="F63" i="82" s="1"/>
  <c r="H66" i="73"/>
  <c r="F67" i="82" s="1"/>
  <c r="H70" i="73"/>
  <c r="F71" i="82" s="1"/>
  <c r="P72" i="73"/>
  <c r="J73" i="82" s="1"/>
  <c r="H57" i="72"/>
  <c r="H53" i="72"/>
  <c r="H45" i="72"/>
  <c r="F46" i="81" s="1"/>
  <c r="H64" i="72"/>
  <c r="F65" i="81" s="1"/>
  <c r="H41" i="72"/>
  <c r="H60" i="72"/>
  <c r="F61" i="81" s="1"/>
  <c r="H24" i="72"/>
  <c r="F25" i="81" s="1"/>
  <c r="H33" i="72"/>
  <c r="H37" i="72"/>
  <c r="F38" i="81" s="1"/>
  <c r="H56" i="72"/>
  <c r="H17" i="72"/>
  <c r="H52" i="72"/>
  <c r="F53" i="81" s="1"/>
  <c r="P24" i="72"/>
  <c r="H29" i="72"/>
  <c r="H48" i="72"/>
  <c r="H44" i="72"/>
  <c r="F45" i="81" s="1"/>
  <c r="H69" i="72"/>
  <c r="G73" i="72"/>
  <c r="P15" i="72"/>
  <c r="J16" i="81" s="1"/>
  <c r="P19" i="72"/>
  <c r="J20" i="81" s="1"/>
  <c r="P23" i="72"/>
  <c r="J24" i="81" s="1"/>
  <c r="P27" i="72"/>
  <c r="J28" i="81" s="1"/>
  <c r="P31" i="72"/>
  <c r="J32" i="81" s="1"/>
  <c r="H16" i="72"/>
  <c r="F17" i="81" s="1"/>
  <c r="P18" i="72"/>
  <c r="J19" i="81" s="1"/>
  <c r="P22" i="72"/>
  <c r="J23" i="81" s="1"/>
  <c r="P26" i="72"/>
  <c r="J27" i="81" s="1"/>
  <c r="P30" i="72"/>
  <c r="J31" i="81" s="1"/>
  <c r="P34" i="72"/>
  <c r="J35" i="81" s="1"/>
  <c r="P38" i="72"/>
  <c r="J39" i="81" s="1"/>
  <c r="P42" i="72"/>
  <c r="J43" i="81" s="1"/>
  <c r="P46" i="72"/>
  <c r="J47" i="81" s="1"/>
  <c r="P50" i="72"/>
  <c r="J51" i="81" s="1"/>
  <c r="P54" i="72"/>
  <c r="J55" i="81" s="1"/>
  <c r="P58" i="72"/>
  <c r="J59" i="81" s="1"/>
  <c r="P62" i="72"/>
  <c r="J63" i="81" s="1"/>
  <c r="P66" i="72"/>
  <c r="J67" i="81" s="1"/>
  <c r="P70" i="72"/>
  <c r="J71" i="81" s="1"/>
  <c r="H15" i="72"/>
  <c r="F16" i="81" s="1"/>
  <c r="H19" i="72"/>
  <c r="F20" i="81" s="1"/>
  <c r="H23" i="72"/>
  <c r="F24" i="81" s="1"/>
  <c r="H27" i="72"/>
  <c r="F28" i="81" s="1"/>
  <c r="H31" i="72"/>
  <c r="F32" i="81" s="1"/>
  <c r="H35" i="72"/>
  <c r="F36" i="81" s="1"/>
  <c r="H39" i="72"/>
  <c r="F40" i="81" s="1"/>
  <c r="H43" i="72"/>
  <c r="F44" i="81" s="1"/>
  <c r="H47" i="72"/>
  <c r="F48" i="81" s="1"/>
  <c r="H51" i="72"/>
  <c r="F52" i="81" s="1"/>
  <c r="H55" i="72"/>
  <c r="F56" i="81" s="1"/>
  <c r="H59" i="72"/>
  <c r="F60" i="81" s="1"/>
  <c r="P69" i="72"/>
  <c r="J70" i="81" s="1"/>
  <c r="H18" i="72"/>
  <c r="F19" i="81" s="1"/>
  <c r="H22" i="72"/>
  <c r="F23" i="81" s="1"/>
  <c r="H26" i="72"/>
  <c r="F27" i="81" s="1"/>
  <c r="H30" i="72"/>
  <c r="F31" i="81" s="1"/>
  <c r="H34" i="72"/>
  <c r="F35" i="81" s="1"/>
  <c r="H38" i="72"/>
  <c r="F39" i="81" s="1"/>
  <c r="H42" i="72"/>
  <c r="F43" i="81" s="1"/>
  <c r="H46" i="72"/>
  <c r="F47" i="81" s="1"/>
  <c r="H50" i="72"/>
  <c r="F51" i="81" s="1"/>
  <c r="H54" i="72"/>
  <c r="F55" i="81" s="1"/>
  <c r="H58" i="72"/>
  <c r="F59" i="81" s="1"/>
  <c r="H62" i="72"/>
  <c r="F63" i="81" s="1"/>
  <c r="H66" i="72"/>
  <c r="F67" i="81" s="1"/>
  <c r="H70" i="72"/>
  <c r="F71" i="81" s="1"/>
  <c r="P72" i="72"/>
  <c r="J73" i="81" s="1"/>
  <c r="N73" i="71"/>
  <c r="H25" i="71"/>
  <c r="F26" i="80" s="1"/>
  <c r="P27" i="71"/>
  <c r="H41" i="71"/>
  <c r="F42" i="80" s="1"/>
  <c r="H49" i="71"/>
  <c r="P23" i="71"/>
  <c r="J24" i="80" s="1"/>
  <c r="H57" i="71"/>
  <c r="H65" i="71"/>
  <c r="H21" i="71"/>
  <c r="H37" i="71"/>
  <c r="F38" i="80" s="1"/>
  <c r="H33" i="71"/>
  <c r="H45" i="71"/>
  <c r="G73" i="71"/>
  <c r="H28" i="71"/>
  <c r="F29" i="80" s="1"/>
  <c r="H56" i="71"/>
  <c r="F57" i="80" s="1"/>
  <c r="H72" i="71"/>
  <c r="F73" i="80" s="1"/>
  <c r="P18" i="71"/>
  <c r="H52" i="71"/>
  <c r="F53" i="80" s="1"/>
  <c r="P62" i="71"/>
  <c r="J63" i="80" s="1"/>
  <c r="H44" i="71"/>
  <c r="F45" i="80" s="1"/>
  <c r="P58" i="71"/>
  <c r="J59" i="80" s="1"/>
  <c r="H32" i="71"/>
  <c r="F33" i="80" s="1"/>
  <c r="H48" i="71"/>
  <c r="F49" i="80" s="1"/>
  <c r="P26" i="71"/>
  <c r="J27" i="80" s="1"/>
  <c r="H36" i="71"/>
  <c r="F37" i="80" s="1"/>
  <c r="H40" i="71"/>
  <c r="F41" i="80" s="1"/>
  <c r="P54" i="71"/>
  <c r="J55" i="80" s="1"/>
  <c r="H68" i="71"/>
  <c r="F69" i="80" s="1"/>
  <c r="P50" i="71"/>
  <c r="J51" i="80" s="1"/>
  <c r="H24" i="71"/>
  <c r="F25" i="80" s="1"/>
  <c r="H60" i="71"/>
  <c r="F61" i="80" s="1"/>
  <c r="P30" i="71"/>
  <c r="J31" i="80" s="1"/>
  <c r="P46" i="71"/>
  <c r="J47" i="80" s="1"/>
  <c r="P42" i="71"/>
  <c r="J43" i="80" s="1"/>
  <c r="P22" i="71"/>
  <c r="J23" i="80" s="1"/>
  <c r="P34" i="71"/>
  <c r="J35" i="80" s="1"/>
  <c r="P38" i="71"/>
  <c r="J39" i="80" s="1"/>
  <c r="F73" i="71"/>
  <c r="H16" i="71"/>
  <c r="F17" i="80" s="1"/>
  <c r="H20" i="71"/>
  <c r="F21" i="80" s="1"/>
  <c r="H64" i="71"/>
  <c r="F65" i="80" s="1"/>
  <c r="P66" i="71"/>
  <c r="J67" i="80" s="1"/>
  <c r="P70" i="71"/>
  <c r="J71" i="80" s="1"/>
  <c r="H15" i="71"/>
  <c r="F16" i="80" s="1"/>
  <c r="H19" i="71"/>
  <c r="F20" i="80" s="1"/>
  <c r="H23" i="71"/>
  <c r="F24" i="80" s="1"/>
  <c r="H71" i="71"/>
  <c r="F72" i="80" s="1"/>
  <c r="H18" i="71"/>
  <c r="F19" i="80" s="1"/>
  <c r="H22" i="71"/>
  <c r="F23" i="80" s="1"/>
  <c r="H26" i="71"/>
  <c r="F27" i="80" s="1"/>
  <c r="H30" i="71"/>
  <c r="F31" i="80" s="1"/>
  <c r="H34" i="71"/>
  <c r="F35" i="80" s="1"/>
  <c r="H38" i="71"/>
  <c r="F39" i="80" s="1"/>
  <c r="H42" i="71"/>
  <c r="F43" i="80" s="1"/>
  <c r="H46" i="71"/>
  <c r="F47" i="80" s="1"/>
  <c r="H50" i="71"/>
  <c r="F51" i="80" s="1"/>
  <c r="H54" i="71"/>
  <c r="F55" i="80" s="1"/>
  <c r="H58" i="71"/>
  <c r="F59" i="80" s="1"/>
  <c r="H62" i="71"/>
  <c r="F63" i="80" s="1"/>
  <c r="H66" i="71"/>
  <c r="F67" i="80" s="1"/>
  <c r="H70" i="71"/>
  <c r="F71" i="80" s="1"/>
  <c r="P72" i="71"/>
  <c r="J73" i="80" s="1"/>
  <c r="H29" i="70"/>
  <c r="F30" i="79" s="1"/>
  <c r="H45" i="70"/>
  <c r="H69" i="70"/>
  <c r="H25" i="70"/>
  <c r="F26" i="79" s="1"/>
  <c r="H61" i="70"/>
  <c r="H21" i="70"/>
  <c r="F22" i="79" s="1"/>
  <c r="H49" i="70"/>
  <c r="H17" i="70"/>
  <c r="F18" i="79" s="1"/>
  <c r="H41" i="70"/>
  <c r="H33" i="70"/>
  <c r="F34" i="79" s="1"/>
  <c r="H23" i="70"/>
  <c r="F24" i="79" s="1"/>
  <c r="H31" i="70"/>
  <c r="F32" i="79" s="1"/>
  <c r="H37" i="70"/>
  <c r="F38" i="79" s="1"/>
  <c r="P48" i="70"/>
  <c r="J49" i="79" s="1"/>
  <c r="P54" i="70"/>
  <c r="J55" i="79" s="1"/>
  <c r="G73" i="70"/>
  <c r="H18" i="70"/>
  <c r="F19" i="79" s="1"/>
  <c r="P22" i="70"/>
  <c r="J23" i="79" s="1"/>
  <c r="H26" i="70"/>
  <c r="F27" i="79" s="1"/>
  <c r="P30" i="70"/>
  <c r="J31" i="79" s="1"/>
  <c r="AA37" i="70"/>
  <c r="O38" i="79" s="1"/>
  <c r="H40" i="70"/>
  <c r="F41" i="79" s="1"/>
  <c r="P43" i="70"/>
  <c r="J44" i="79" s="1"/>
  <c r="H44" i="70"/>
  <c r="F45" i="79" s="1"/>
  <c r="P62" i="70"/>
  <c r="J63" i="79" s="1"/>
  <c r="P70" i="70"/>
  <c r="J71" i="79" s="1"/>
  <c r="N73" i="70"/>
  <c r="P50" i="70"/>
  <c r="J51" i="79" s="1"/>
  <c r="P56" i="70"/>
  <c r="J57" i="79" s="1"/>
  <c r="P64" i="70"/>
  <c r="J65" i="79" s="1"/>
  <c r="F73" i="70"/>
  <c r="H15" i="70"/>
  <c r="F16" i="79" s="1"/>
  <c r="O73" i="70"/>
  <c r="AA21" i="70"/>
  <c r="O22" i="79" s="1"/>
  <c r="AA29" i="70"/>
  <c r="O30" i="79" s="1"/>
  <c r="H35" i="70"/>
  <c r="F36" i="79" s="1"/>
  <c r="H19" i="70"/>
  <c r="F20" i="79" s="1"/>
  <c r="H27" i="70"/>
  <c r="F28" i="79" s="1"/>
  <c r="P18" i="70"/>
  <c r="J19" i="79" s="1"/>
  <c r="H22" i="70"/>
  <c r="F23" i="79" s="1"/>
  <c r="P26" i="70"/>
  <c r="J27" i="79" s="1"/>
  <c r="H30" i="70"/>
  <c r="F31" i="79" s="1"/>
  <c r="P34" i="70"/>
  <c r="J35" i="79" s="1"/>
  <c r="H39" i="70"/>
  <c r="F40" i="79" s="1"/>
  <c r="P46" i="70"/>
  <c r="J47" i="79" s="1"/>
  <c r="P52" i="70"/>
  <c r="J53" i="79" s="1"/>
  <c r="P58" i="70"/>
  <c r="J59" i="79" s="1"/>
  <c r="P66" i="70"/>
  <c r="J67" i="79" s="1"/>
  <c r="H60" i="70"/>
  <c r="F61" i="79" s="1"/>
  <c r="H68" i="70"/>
  <c r="F69" i="79" s="1"/>
  <c r="P35" i="70"/>
  <c r="J36" i="79" s="1"/>
  <c r="P60" i="70"/>
  <c r="J61" i="79" s="1"/>
  <c r="P68" i="70"/>
  <c r="J69" i="79" s="1"/>
  <c r="AA17" i="70"/>
  <c r="O18" i="79" s="1"/>
  <c r="AA25" i="70"/>
  <c r="O26" i="79" s="1"/>
  <c r="AA33" i="70"/>
  <c r="O34" i="79" s="1"/>
  <c r="H36" i="70"/>
  <c r="F37" i="79" s="1"/>
  <c r="P38" i="70"/>
  <c r="J39" i="79" s="1"/>
  <c r="P42" i="70"/>
  <c r="J43" i="79" s="1"/>
  <c r="H48" i="70"/>
  <c r="F49" i="79" s="1"/>
  <c r="H43" i="70"/>
  <c r="F44" i="79" s="1"/>
  <c r="H47" i="70"/>
  <c r="F48" i="79" s="1"/>
  <c r="H51" i="70"/>
  <c r="F52" i="79" s="1"/>
  <c r="H55" i="70"/>
  <c r="F56" i="79" s="1"/>
  <c r="H59" i="70"/>
  <c r="F60" i="79" s="1"/>
  <c r="H63" i="70"/>
  <c r="F64" i="79" s="1"/>
  <c r="H67" i="70"/>
  <c r="F68" i="79" s="1"/>
  <c r="H71" i="70"/>
  <c r="F72" i="79" s="1"/>
  <c r="H34" i="70"/>
  <c r="F35" i="79" s="1"/>
  <c r="H38" i="70"/>
  <c r="F39" i="79" s="1"/>
  <c r="H42" i="70"/>
  <c r="F43" i="79" s="1"/>
  <c r="H46" i="70"/>
  <c r="F47" i="79" s="1"/>
  <c r="H50" i="70"/>
  <c r="F51" i="79" s="1"/>
  <c r="H54" i="70"/>
  <c r="F55" i="79" s="1"/>
  <c r="H58" i="70"/>
  <c r="F59" i="79" s="1"/>
  <c r="H62" i="70"/>
  <c r="F63" i="79" s="1"/>
  <c r="H66" i="70"/>
  <c r="F67" i="79" s="1"/>
  <c r="H70" i="70"/>
  <c r="F71" i="79" s="1"/>
  <c r="P72" i="70"/>
  <c r="J73" i="79" s="1"/>
  <c r="H57" i="69"/>
  <c r="F58" i="78" s="1"/>
  <c r="H63" i="69"/>
  <c r="H33" i="69"/>
  <c r="F34" i="78" s="1"/>
  <c r="H37" i="69"/>
  <c r="F38" i="78" s="1"/>
  <c r="H41" i="69"/>
  <c r="F42" i="78" s="1"/>
  <c r="H45" i="69"/>
  <c r="H27" i="69"/>
  <c r="H29" i="69"/>
  <c r="H49" i="69"/>
  <c r="F50" i="78" s="1"/>
  <c r="H69" i="69"/>
  <c r="F70" i="78" s="1"/>
  <c r="H17" i="69"/>
  <c r="F18" i="78" s="1"/>
  <c r="H19" i="69"/>
  <c r="H21" i="69"/>
  <c r="H23" i="69"/>
  <c r="H55" i="69"/>
  <c r="H67" i="69"/>
  <c r="H25" i="69"/>
  <c r="H53" i="69"/>
  <c r="F54" i="78" s="1"/>
  <c r="P26" i="69"/>
  <c r="J27" i="78" s="1"/>
  <c r="P61" i="69"/>
  <c r="J62" i="78" s="1"/>
  <c r="P49" i="69"/>
  <c r="J50" i="78" s="1"/>
  <c r="P21" i="69"/>
  <c r="J22" i="78" s="1"/>
  <c r="P65" i="69"/>
  <c r="J66" i="78" s="1"/>
  <c r="P22" i="69"/>
  <c r="J23" i="78" s="1"/>
  <c r="H24" i="69"/>
  <c r="F25" i="78" s="1"/>
  <c r="H48" i="69"/>
  <c r="F49" i="78" s="1"/>
  <c r="H60" i="69"/>
  <c r="F61" i="78" s="1"/>
  <c r="P69" i="69"/>
  <c r="J70" i="78" s="1"/>
  <c r="H16" i="69"/>
  <c r="F17" i="78" s="1"/>
  <c r="P18" i="69"/>
  <c r="J19" i="78" s="1"/>
  <c r="H20" i="69"/>
  <c r="F21" i="78" s="1"/>
  <c r="F73" i="69"/>
  <c r="P17" i="69"/>
  <c r="J18" i="78" s="1"/>
  <c r="P45" i="69"/>
  <c r="J46" i="78" s="1"/>
  <c r="P57" i="69"/>
  <c r="J58" i="78" s="1"/>
  <c r="P33" i="69"/>
  <c r="J34" i="78" s="1"/>
  <c r="P37" i="69"/>
  <c r="J38" i="78" s="1"/>
  <c r="P41" i="69"/>
  <c r="J42" i="78" s="1"/>
  <c r="P42" i="69"/>
  <c r="J43" i="78" s="1"/>
  <c r="H44" i="69"/>
  <c r="F45" i="78" s="1"/>
  <c r="H56" i="69"/>
  <c r="F57" i="78" s="1"/>
  <c r="H28" i="69"/>
  <c r="F29" i="78" s="1"/>
  <c r="G73" i="69"/>
  <c r="N73" i="69"/>
  <c r="P29" i="69"/>
  <c r="J30" i="78" s="1"/>
  <c r="H64" i="69"/>
  <c r="F65" i="78" s="1"/>
  <c r="P30" i="69"/>
  <c r="J31" i="78" s="1"/>
  <c r="H32" i="69"/>
  <c r="F33" i="78" s="1"/>
  <c r="P34" i="69"/>
  <c r="J35" i="78" s="1"/>
  <c r="H36" i="69"/>
  <c r="F37" i="78" s="1"/>
  <c r="P38" i="69"/>
  <c r="J39" i="78" s="1"/>
  <c r="H40" i="69"/>
  <c r="F41" i="78" s="1"/>
  <c r="P53" i="69"/>
  <c r="J54" i="78" s="1"/>
  <c r="H68" i="69"/>
  <c r="F69" i="78" s="1"/>
  <c r="P25" i="69"/>
  <c r="J26" i="78" s="1"/>
  <c r="H52" i="69"/>
  <c r="F53" i="78" s="1"/>
  <c r="H72" i="69"/>
  <c r="F73" i="78" s="1"/>
  <c r="P46" i="69"/>
  <c r="J47" i="78" s="1"/>
  <c r="P50" i="69"/>
  <c r="J51" i="78" s="1"/>
  <c r="P54" i="69"/>
  <c r="J55" i="78" s="1"/>
  <c r="P58" i="69"/>
  <c r="J59" i="78" s="1"/>
  <c r="P62" i="69"/>
  <c r="J63" i="78" s="1"/>
  <c r="P66" i="69"/>
  <c r="J67" i="78" s="1"/>
  <c r="P70" i="69"/>
  <c r="J71" i="78" s="1"/>
  <c r="H42" i="69"/>
  <c r="F43" i="78" s="1"/>
  <c r="H46" i="69"/>
  <c r="F47" i="78" s="1"/>
  <c r="H50" i="69"/>
  <c r="F51" i="78" s="1"/>
  <c r="H54" i="69"/>
  <c r="F55" i="78" s="1"/>
  <c r="H58" i="69"/>
  <c r="F59" i="78" s="1"/>
  <c r="H62" i="69"/>
  <c r="F63" i="78" s="1"/>
  <c r="H66" i="69"/>
  <c r="F67" i="78" s="1"/>
  <c r="H70" i="69"/>
  <c r="F71" i="78" s="1"/>
  <c r="P72" i="69"/>
  <c r="J73" i="78" s="1"/>
  <c r="H17" i="68"/>
  <c r="F18" i="77" s="1"/>
  <c r="H61" i="68"/>
  <c r="H21" i="68"/>
  <c r="F22" i="77" s="1"/>
  <c r="H49" i="68"/>
  <c r="H53" i="68"/>
  <c r="H57" i="68"/>
  <c r="H37" i="68"/>
  <c r="H41" i="68"/>
  <c r="H45" i="68"/>
  <c r="P37" i="68"/>
  <c r="J38" i="77" s="1"/>
  <c r="P38" i="68"/>
  <c r="J39" i="77" s="1"/>
  <c r="H52" i="68"/>
  <c r="F53" i="77" s="1"/>
  <c r="P33" i="68"/>
  <c r="J34" i="77" s="1"/>
  <c r="P34" i="68"/>
  <c r="J35" i="77" s="1"/>
  <c r="H48" i="68"/>
  <c r="F49" i="77" s="1"/>
  <c r="P25" i="68"/>
  <c r="J26" i="77" s="1"/>
  <c r="P26" i="68"/>
  <c r="J27" i="77" s="1"/>
  <c r="P21" i="68"/>
  <c r="J22" i="77" s="1"/>
  <c r="P22" i="68"/>
  <c r="J23" i="77" s="1"/>
  <c r="H36" i="68"/>
  <c r="F37" i="77" s="1"/>
  <c r="G73" i="68"/>
  <c r="P17" i="68"/>
  <c r="J18" i="77" s="1"/>
  <c r="P18" i="68"/>
  <c r="J19" i="77" s="1"/>
  <c r="H32" i="68"/>
  <c r="F33" i="77" s="1"/>
  <c r="P65" i="68"/>
  <c r="J66" i="77" s="1"/>
  <c r="P66" i="68"/>
  <c r="J67" i="77" s="1"/>
  <c r="P46" i="68"/>
  <c r="J47" i="77" s="1"/>
  <c r="P41" i="68"/>
  <c r="J42" i="77" s="1"/>
  <c r="P42" i="68"/>
  <c r="J43" i="77" s="1"/>
  <c r="P29" i="68"/>
  <c r="J30" i="77" s="1"/>
  <c r="P30" i="68"/>
  <c r="J31" i="77" s="1"/>
  <c r="H68" i="68"/>
  <c r="F69" i="77" s="1"/>
  <c r="F73" i="68"/>
  <c r="H15" i="68"/>
  <c r="F16" i="77" s="1"/>
  <c r="H28" i="68"/>
  <c r="F29" i="77" s="1"/>
  <c r="P61" i="68"/>
  <c r="J62" i="77" s="1"/>
  <c r="P62" i="68"/>
  <c r="J63" i="77" s="1"/>
  <c r="P45" i="68"/>
  <c r="J46" i="77" s="1"/>
  <c r="P57" i="68"/>
  <c r="J58" i="77" s="1"/>
  <c r="P58" i="68"/>
  <c r="J59" i="77" s="1"/>
  <c r="H72" i="68"/>
  <c r="F73" i="77" s="1"/>
  <c r="N73" i="68"/>
  <c r="P53" i="68"/>
  <c r="J54" i="77" s="1"/>
  <c r="P54" i="68"/>
  <c r="J55" i="77" s="1"/>
  <c r="H16" i="68"/>
  <c r="F17" i="77" s="1"/>
  <c r="P49" i="68"/>
  <c r="J50" i="77" s="1"/>
  <c r="P50" i="68"/>
  <c r="J51" i="77" s="1"/>
  <c r="H64" i="68"/>
  <c r="F65" i="77" s="1"/>
  <c r="P69" i="68"/>
  <c r="J70" i="77" s="1"/>
  <c r="P70" i="68"/>
  <c r="J71" i="77" s="1"/>
  <c r="H18" i="68"/>
  <c r="F19" i="77" s="1"/>
  <c r="H22" i="68"/>
  <c r="F23" i="77" s="1"/>
  <c r="H26" i="68"/>
  <c r="F27" i="77" s="1"/>
  <c r="H30" i="68"/>
  <c r="F31" i="77" s="1"/>
  <c r="H34" i="68"/>
  <c r="F35" i="77" s="1"/>
  <c r="H38" i="68"/>
  <c r="F39" i="77" s="1"/>
  <c r="H42" i="68"/>
  <c r="F43" i="77" s="1"/>
  <c r="H46" i="68"/>
  <c r="F47" i="77" s="1"/>
  <c r="H50" i="68"/>
  <c r="F51" i="77" s="1"/>
  <c r="H54" i="68"/>
  <c r="F55" i="77" s="1"/>
  <c r="H58" i="68"/>
  <c r="F59" i="77" s="1"/>
  <c r="H62" i="68"/>
  <c r="F63" i="77" s="1"/>
  <c r="H66" i="68"/>
  <c r="F67" i="77" s="1"/>
  <c r="H70" i="68"/>
  <c r="F71" i="77" s="1"/>
  <c r="P72" i="68"/>
  <c r="J73" i="77" s="1"/>
  <c r="H61" i="67"/>
  <c r="H57" i="67"/>
  <c r="P18" i="67"/>
  <c r="J19" i="76" s="1"/>
  <c r="H25" i="67"/>
  <c r="H53" i="67"/>
  <c r="H21" i="67"/>
  <c r="F22" i="76" s="1"/>
  <c r="H17" i="67"/>
  <c r="F18" i="76" s="1"/>
  <c r="H45" i="67"/>
  <c r="H49" i="67"/>
  <c r="H69" i="67"/>
  <c r="H33" i="67"/>
  <c r="H37" i="67"/>
  <c r="H41" i="67"/>
  <c r="F42" i="76" s="1"/>
  <c r="H23" i="67"/>
  <c r="F24" i="76" s="1"/>
  <c r="P15" i="67"/>
  <c r="J16" i="76" s="1"/>
  <c r="P16" i="67"/>
  <c r="J17" i="76" s="1"/>
  <c r="AA18" i="67"/>
  <c r="O19" i="76" s="1"/>
  <c r="AA29" i="67"/>
  <c r="O30" i="76" s="1"/>
  <c r="AA49" i="67"/>
  <c r="O50" i="76" s="1"/>
  <c r="H27" i="67"/>
  <c r="F28" i="76" s="1"/>
  <c r="H28" i="67"/>
  <c r="F29" i="76" s="1"/>
  <c r="AA41" i="67"/>
  <c r="O42" i="76" s="1"/>
  <c r="H24" i="67"/>
  <c r="F25" i="76" s="1"/>
  <c r="H43" i="67"/>
  <c r="F44" i="76" s="1"/>
  <c r="H47" i="67"/>
  <c r="F48" i="76" s="1"/>
  <c r="F73" i="67"/>
  <c r="X17" i="67"/>
  <c r="N18" i="76" s="1"/>
  <c r="H39" i="67"/>
  <c r="F40" i="76" s="1"/>
  <c r="G73" i="67"/>
  <c r="AA22" i="67"/>
  <c r="O23" i="76" s="1"/>
  <c r="X25" i="67"/>
  <c r="N26" i="76" s="1"/>
  <c r="H35" i="67"/>
  <c r="F36" i="76" s="1"/>
  <c r="X52" i="67"/>
  <c r="N53" i="76" s="1"/>
  <c r="X28" i="67"/>
  <c r="N29" i="76" s="1"/>
  <c r="H51" i="67"/>
  <c r="F52" i="76" s="1"/>
  <c r="H31" i="67"/>
  <c r="F32" i="76" s="1"/>
  <c r="H32" i="67"/>
  <c r="F33" i="76" s="1"/>
  <c r="P20" i="67"/>
  <c r="J21" i="76" s="1"/>
  <c r="AA25" i="67"/>
  <c r="O26" i="76" s="1"/>
  <c r="X44" i="67"/>
  <c r="N45" i="76" s="1"/>
  <c r="H36" i="67"/>
  <c r="F37" i="76" s="1"/>
  <c r="H40" i="67"/>
  <c r="F41" i="76" s="1"/>
  <c r="H44" i="67"/>
  <c r="F45" i="76" s="1"/>
  <c r="H48" i="67"/>
  <c r="F49" i="76" s="1"/>
  <c r="H52" i="67"/>
  <c r="F53" i="76" s="1"/>
  <c r="H56" i="67"/>
  <c r="F57" i="76" s="1"/>
  <c r="H60" i="67"/>
  <c r="F61" i="76" s="1"/>
  <c r="H64" i="67"/>
  <c r="F65" i="76" s="1"/>
  <c r="H68" i="67"/>
  <c r="F69" i="76" s="1"/>
  <c r="H72" i="67"/>
  <c r="F73" i="76" s="1"/>
  <c r="H55" i="67"/>
  <c r="F56" i="76" s="1"/>
  <c r="H59" i="67"/>
  <c r="F60" i="76" s="1"/>
  <c r="H63" i="67"/>
  <c r="F64" i="76" s="1"/>
  <c r="H67" i="67"/>
  <c r="F68" i="76" s="1"/>
  <c r="H71" i="67"/>
  <c r="F72" i="76" s="1"/>
  <c r="H18" i="67"/>
  <c r="F19" i="76" s="1"/>
  <c r="H22" i="67"/>
  <c r="F23" i="76" s="1"/>
  <c r="H58" i="67"/>
  <c r="F59" i="76" s="1"/>
  <c r="H62" i="67"/>
  <c r="F63" i="76" s="1"/>
  <c r="H66" i="67"/>
  <c r="F67" i="76" s="1"/>
  <c r="H70" i="67"/>
  <c r="F71" i="76" s="1"/>
  <c r="P24" i="67"/>
  <c r="J25" i="76" s="1"/>
  <c r="P28" i="67"/>
  <c r="J29" i="76" s="1"/>
  <c r="P32" i="67"/>
  <c r="J33" i="76" s="1"/>
  <c r="P36" i="67"/>
  <c r="J37" i="76" s="1"/>
  <c r="P40" i="67"/>
  <c r="J41" i="76" s="1"/>
  <c r="P44" i="67"/>
  <c r="J45" i="76" s="1"/>
  <c r="P48" i="67"/>
  <c r="J49" i="76" s="1"/>
  <c r="P52" i="67"/>
  <c r="J53" i="76" s="1"/>
  <c r="P56" i="67"/>
  <c r="J57" i="76" s="1"/>
  <c r="P60" i="67"/>
  <c r="J61" i="76" s="1"/>
  <c r="P64" i="67"/>
  <c r="J65" i="76" s="1"/>
  <c r="P68" i="67"/>
  <c r="J69" i="76" s="1"/>
  <c r="P72" i="67"/>
  <c r="J73" i="76" s="1"/>
  <c r="H34" i="66"/>
  <c r="F35" i="75" s="1"/>
  <c r="H38" i="66"/>
  <c r="F39" i="75" s="1"/>
  <c r="P53" i="66"/>
  <c r="J54" i="75" s="1"/>
  <c r="P57" i="66"/>
  <c r="P25" i="66"/>
  <c r="H62" i="66"/>
  <c r="H26" i="66"/>
  <c r="F27" i="75" s="1"/>
  <c r="H53" i="66"/>
  <c r="F54" i="75" s="1"/>
  <c r="H25" i="66"/>
  <c r="H16" i="66"/>
  <c r="F17" i="75" s="1"/>
  <c r="H29" i="66"/>
  <c r="F30" i="75" s="1"/>
  <c r="H20" i="66"/>
  <c r="H50" i="66"/>
  <c r="F51" i="75" s="1"/>
  <c r="H56" i="66"/>
  <c r="F57" i="75" s="1"/>
  <c r="X15" i="66"/>
  <c r="N16" i="75" s="1"/>
  <c r="O73" i="66"/>
  <c r="H24" i="66"/>
  <c r="F25" i="75" s="1"/>
  <c r="H27" i="66"/>
  <c r="F28" i="75" s="1"/>
  <c r="H42" i="66"/>
  <c r="F43" i="75" s="1"/>
  <c r="H48" i="66"/>
  <c r="F49" i="75" s="1"/>
  <c r="H60" i="66"/>
  <c r="F61" i="75" s="1"/>
  <c r="H63" i="66"/>
  <c r="F64" i="75" s="1"/>
  <c r="N73" i="66"/>
  <c r="H66" i="66"/>
  <c r="F67" i="75" s="1"/>
  <c r="H69" i="66"/>
  <c r="F70" i="75" s="1"/>
  <c r="H72" i="66"/>
  <c r="F73" i="75" s="1"/>
  <c r="P70" i="66"/>
  <c r="J71" i="75" s="1"/>
  <c r="F73" i="66"/>
  <c r="P69" i="66"/>
  <c r="J70" i="75" s="1"/>
  <c r="P72" i="66"/>
  <c r="J73" i="75" s="1"/>
  <c r="H43" i="66"/>
  <c r="F44" i="75" s="1"/>
  <c r="H49" i="66"/>
  <c r="F50" i="75" s="1"/>
  <c r="H52" i="66"/>
  <c r="F53" i="75" s="1"/>
  <c r="H55" i="66"/>
  <c r="F56" i="75" s="1"/>
  <c r="H58" i="66"/>
  <c r="F59" i="75" s="1"/>
  <c r="H61" i="66"/>
  <c r="F62" i="75" s="1"/>
  <c r="H64" i="66"/>
  <c r="F65" i="75" s="1"/>
  <c r="H67" i="66"/>
  <c r="F68" i="75" s="1"/>
  <c r="H70" i="66"/>
  <c r="F71" i="75" s="1"/>
  <c r="N16" i="65"/>
  <c r="Y15" i="65"/>
  <c r="V15" i="65"/>
  <c r="N15" i="65"/>
  <c r="AA72" i="65"/>
  <c r="O73" i="74" s="1"/>
  <c r="X72" i="65"/>
  <c r="N73" i="74" s="1"/>
  <c r="AA71" i="65"/>
  <c r="O72" i="74" s="1"/>
  <c r="X71" i="65"/>
  <c r="N72" i="74" s="1"/>
  <c r="AA70" i="65"/>
  <c r="O71" i="74" s="1"/>
  <c r="X70" i="65"/>
  <c r="N71" i="74" s="1"/>
  <c r="AA69" i="65"/>
  <c r="O70" i="74" s="1"/>
  <c r="X69" i="65"/>
  <c r="N70" i="74" s="1"/>
  <c r="P69" i="65"/>
  <c r="J70" i="74" s="1"/>
  <c r="AA68" i="65"/>
  <c r="O69" i="74" s="1"/>
  <c r="X68" i="65"/>
  <c r="N69" i="74" s="1"/>
  <c r="P68" i="65"/>
  <c r="J69" i="74" s="1"/>
  <c r="AA67" i="65"/>
  <c r="O68" i="74" s="1"/>
  <c r="X67" i="65"/>
  <c r="N68" i="74" s="1"/>
  <c r="P67" i="65"/>
  <c r="J68" i="74" s="1"/>
  <c r="AA66" i="65"/>
  <c r="O67" i="74" s="1"/>
  <c r="X66" i="65"/>
  <c r="N67" i="74" s="1"/>
  <c r="P66" i="65"/>
  <c r="J67" i="74" s="1"/>
  <c r="AA65" i="65"/>
  <c r="O66" i="74" s="1"/>
  <c r="X65" i="65"/>
  <c r="N66" i="74" s="1"/>
  <c r="P65" i="65"/>
  <c r="AA64" i="65"/>
  <c r="O65" i="74" s="1"/>
  <c r="X64" i="65"/>
  <c r="N65" i="74" s="1"/>
  <c r="P64" i="65"/>
  <c r="J65" i="74" s="1"/>
  <c r="AA63" i="65"/>
  <c r="O64" i="74" s="1"/>
  <c r="X63" i="65"/>
  <c r="N64" i="74" s="1"/>
  <c r="AA62" i="65"/>
  <c r="O63" i="74" s="1"/>
  <c r="X62" i="65"/>
  <c r="N63" i="74" s="1"/>
  <c r="P62" i="65"/>
  <c r="J63" i="74" s="1"/>
  <c r="AA61" i="65"/>
  <c r="O62" i="74" s="1"/>
  <c r="X61" i="65"/>
  <c r="N62" i="74" s="1"/>
  <c r="AA60" i="65"/>
  <c r="O61" i="74" s="1"/>
  <c r="X60" i="65"/>
  <c r="N61" i="74" s="1"/>
  <c r="AA59" i="65"/>
  <c r="O60" i="74" s="1"/>
  <c r="X59" i="65"/>
  <c r="N60" i="74" s="1"/>
  <c r="AA58" i="65"/>
  <c r="O59" i="74" s="1"/>
  <c r="X58" i="65"/>
  <c r="N59" i="74" s="1"/>
  <c r="AA57" i="65"/>
  <c r="O58" i="74" s="1"/>
  <c r="X57" i="65"/>
  <c r="N58" i="74" s="1"/>
  <c r="P57" i="65"/>
  <c r="J58" i="74" s="1"/>
  <c r="AA56" i="65"/>
  <c r="O57" i="74" s="1"/>
  <c r="X56" i="65"/>
  <c r="N57" i="74" s="1"/>
  <c r="P56" i="65"/>
  <c r="J57" i="74" s="1"/>
  <c r="AA55" i="65"/>
  <c r="O56" i="74" s="1"/>
  <c r="X55" i="65"/>
  <c r="N56" i="74" s="1"/>
  <c r="P55" i="65"/>
  <c r="J56" i="74" s="1"/>
  <c r="AA54" i="65"/>
  <c r="O55" i="74" s="1"/>
  <c r="X54" i="65"/>
  <c r="N55" i="74" s="1"/>
  <c r="P54" i="65"/>
  <c r="J55" i="74" s="1"/>
  <c r="AA53" i="65"/>
  <c r="O54" i="74" s="1"/>
  <c r="X53" i="65"/>
  <c r="N54" i="74" s="1"/>
  <c r="P53" i="65"/>
  <c r="AA52" i="65"/>
  <c r="O53" i="74" s="1"/>
  <c r="X52" i="65"/>
  <c r="N53" i="74" s="1"/>
  <c r="P52" i="65"/>
  <c r="J53" i="74" s="1"/>
  <c r="AA51" i="65"/>
  <c r="O52" i="74" s="1"/>
  <c r="X51" i="65"/>
  <c r="N52" i="74" s="1"/>
  <c r="AA50" i="65"/>
  <c r="O51" i="74" s="1"/>
  <c r="X50" i="65"/>
  <c r="N51" i="74" s="1"/>
  <c r="P50" i="65"/>
  <c r="AA49" i="65"/>
  <c r="O50" i="74" s="1"/>
  <c r="X49" i="65"/>
  <c r="N50" i="74" s="1"/>
  <c r="AA48" i="65"/>
  <c r="O49" i="74" s="1"/>
  <c r="X48" i="65"/>
  <c r="N49" i="74" s="1"/>
  <c r="AA47" i="65"/>
  <c r="O48" i="74" s="1"/>
  <c r="X47" i="65"/>
  <c r="N48" i="74" s="1"/>
  <c r="AA46" i="65"/>
  <c r="O47" i="74" s="1"/>
  <c r="X46" i="65"/>
  <c r="N47" i="74" s="1"/>
  <c r="AA45" i="65"/>
  <c r="O46" i="74" s="1"/>
  <c r="X45" i="65"/>
  <c r="N46" i="74" s="1"/>
  <c r="P45" i="65"/>
  <c r="J46" i="74" s="1"/>
  <c r="AA44" i="65"/>
  <c r="O45" i="74" s="1"/>
  <c r="X44" i="65"/>
  <c r="N45" i="74" s="1"/>
  <c r="P44" i="65"/>
  <c r="J45" i="74" s="1"/>
  <c r="AA43" i="65"/>
  <c r="O44" i="74" s="1"/>
  <c r="X43" i="65"/>
  <c r="N44" i="74" s="1"/>
  <c r="P43" i="65"/>
  <c r="J44" i="74" s="1"/>
  <c r="AA42" i="65"/>
  <c r="O43" i="74" s="1"/>
  <c r="X42" i="65"/>
  <c r="N43" i="74" s="1"/>
  <c r="P42" i="65"/>
  <c r="J43" i="74" s="1"/>
  <c r="AA41" i="65"/>
  <c r="O42" i="74" s="1"/>
  <c r="X41" i="65"/>
  <c r="N42" i="74" s="1"/>
  <c r="P41" i="65"/>
  <c r="AA40" i="65"/>
  <c r="O41" i="74" s="1"/>
  <c r="X40" i="65"/>
  <c r="N41" i="74" s="1"/>
  <c r="P40" i="65"/>
  <c r="J41" i="74" s="1"/>
  <c r="AA39" i="65"/>
  <c r="O40" i="74" s="1"/>
  <c r="X39" i="65"/>
  <c r="N40" i="74" s="1"/>
  <c r="AA38" i="65"/>
  <c r="O39" i="74" s="1"/>
  <c r="X38" i="65"/>
  <c r="N39" i="74" s="1"/>
  <c r="P38" i="65"/>
  <c r="AA37" i="65"/>
  <c r="O38" i="74" s="1"/>
  <c r="X37" i="65"/>
  <c r="N38" i="74" s="1"/>
  <c r="AA36" i="65"/>
  <c r="O37" i="74" s="1"/>
  <c r="X36" i="65"/>
  <c r="N37" i="74" s="1"/>
  <c r="AA35" i="65"/>
  <c r="O36" i="74" s="1"/>
  <c r="X35" i="65"/>
  <c r="N36" i="74" s="1"/>
  <c r="P35" i="65"/>
  <c r="J36" i="74" s="1"/>
  <c r="AA34" i="65"/>
  <c r="O35" i="74" s="1"/>
  <c r="X34" i="65"/>
  <c r="N35" i="74" s="1"/>
  <c r="AA33" i="65"/>
  <c r="O34" i="74" s="1"/>
  <c r="X33" i="65"/>
  <c r="N34" i="74" s="1"/>
  <c r="P33" i="65"/>
  <c r="J34" i="74" s="1"/>
  <c r="AA32" i="65"/>
  <c r="O33" i="74" s="1"/>
  <c r="X32" i="65"/>
  <c r="N33" i="74" s="1"/>
  <c r="P32" i="65"/>
  <c r="AA31" i="65"/>
  <c r="O32" i="74" s="1"/>
  <c r="X31" i="65"/>
  <c r="N32" i="74" s="1"/>
  <c r="P31" i="65"/>
  <c r="J32" i="74" s="1"/>
  <c r="AA30" i="65"/>
  <c r="O31" i="74" s="1"/>
  <c r="X30" i="65"/>
  <c r="N31" i="74" s="1"/>
  <c r="P30" i="65"/>
  <c r="J31" i="74" s="1"/>
  <c r="AA29" i="65"/>
  <c r="O30" i="74" s="1"/>
  <c r="X29" i="65"/>
  <c r="N30" i="74" s="1"/>
  <c r="P29" i="65"/>
  <c r="AA28" i="65"/>
  <c r="O29" i="74" s="1"/>
  <c r="X28" i="65"/>
  <c r="N29" i="74" s="1"/>
  <c r="P28" i="65"/>
  <c r="J29" i="74" s="1"/>
  <c r="AA27" i="65"/>
  <c r="O28" i="74" s="1"/>
  <c r="X27" i="65"/>
  <c r="N28" i="74" s="1"/>
  <c r="AA26" i="65"/>
  <c r="O27" i="74" s="1"/>
  <c r="X26" i="65"/>
  <c r="N27" i="74" s="1"/>
  <c r="AA25" i="65"/>
  <c r="O26" i="74" s="1"/>
  <c r="X25" i="65"/>
  <c r="N26" i="74" s="1"/>
  <c r="AA24" i="65"/>
  <c r="O25" i="74" s="1"/>
  <c r="X24" i="65"/>
  <c r="N25" i="74" s="1"/>
  <c r="AA23" i="65"/>
  <c r="O24" i="74" s="1"/>
  <c r="X23" i="65"/>
  <c r="N24" i="74" s="1"/>
  <c r="P23" i="65"/>
  <c r="J24" i="74" s="1"/>
  <c r="AA22" i="65"/>
  <c r="O23" i="74" s="1"/>
  <c r="X22" i="65"/>
  <c r="N23" i="74" s="1"/>
  <c r="AA21" i="65"/>
  <c r="O22" i="74" s="1"/>
  <c r="X21" i="65"/>
  <c r="N22" i="74" s="1"/>
  <c r="P21" i="65"/>
  <c r="J22" i="74" s="1"/>
  <c r="AA20" i="65"/>
  <c r="O21" i="74" s="1"/>
  <c r="X20" i="65"/>
  <c r="N21" i="74" s="1"/>
  <c r="P20" i="65"/>
  <c r="J21" i="74" s="1"/>
  <c r="AA19" i="65"/>
  <c r="O20" i="74" s="1"/>
  <c r="X19" i="65"/>
  <c r="N20" i="74" s="1"/>
  <c r="AA18" i="65"/>
  <c r="O19" i="74" s="1"/>
  <c r="X18" i="65"/>
  <c r="N19" i="74" s="1"/>
  <c r="P18" i="65"/>
  <c r="J19" i="74" s="1"/>
  <c r="AA17" i="65"/>
  <c r="O18" i="74" s="1"/>
  <c r="X17" i="65"/>
  <c r="N18" i="74" s="1"/>
  <c r="P17" i="65"/>
  <c r="AA16" i="65"/>
  <c r="O17" i="74" s="1"/>
  <c r="X16" i="65"/>
  <c r="N17" i="74" s="1"/>
  <c r="F16" i="65"/>
  <c r="F17" i="65"/>
  <c r="F18" i="65"/>
  <c r="F19" i="65"/>
  <c r="F20" i="65"/>
  <c r="F21" i="65"/>
  <c r="F22" i="65"/>
  <c r="F23" i="65"/>
  <c r="F24" i="65"/>
  <c r="H24" i="65" s="1"/>
  <c r="F25" i="74" s="1"/>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H54" i="65" s="1"/>
  <c r="F55" i="74" s="1"/>
  <c r="F55" i="65"/>
  <c r="F56" i="65"/>
  <c r="F57" i="65"/>
  <c r="F58" i="65"/>
  <c r="F59" i="65"/>
  <c r="F60" i="65"/>
  <c r="F61" i="65"/>
  <c r="F62" i="65"/>
  <c r="F63" i="65"/>
  <c r="F64" i="65"/>
  <c r="F65" i="65"/>
  <c r="F66" i="65"/>
  <c r="H66" i="65" s="1"/>
  <c r="F67" i="74" s="1"/>
  <c r="F67" i="65"/>
  <c r="F68" i="65"/>
  <c r="F69" i="65"/>
  <c r="F70" i="65"/>
  <c r="F71" i="65"/>
  <c r="F72" i="65"/>
  <c r="F15" i="65"/>
  <c r="N73" i="65" l="1"/>
  <c r="H42" i="65"/>
  <c r="F43" i="74" s="1"/>
  <c r="H69" i="65"/>
  <c r="F70" i="74" s="1"/>
  <c r="H65" i="65"/>
  <c r="F66" i="74" s="1"/>
  <c r="H53" i="65"/>
  <c r="F54" i="74" s="1"/>
  <c r="H45" i="65"/>
  <c r="F46" i="74" s="1"/>
  <c r="H41" i="65"/>
  <c r="F42" i="74" s="1"/>
  <c r="H29" i="65"/>
  <c r="F30" i="74" s="1"/>
  <c r="H21" i="65"/>
  <c r="F22" i="74" s="1"/>
  <c r="F73" i="65"/>
  <c r="X15" i="65"/>
  <c r="N16" i="74" s="1"/>
  <c r="H28" i="65"/>
  <c r="F29" i="74" s="1"/>
  <c r="H22" i="65"/>
  <c r="F23" i="74" s="1"/>
  <c r="H16" i="65"/>
  <c r="F17" i="74" s="1"/>
  <c r="F42" i="77"/>
  <c r="F22" i="80"/>
  <c r="F22" i="78"/>
  <c r="F42" i="81"/>
  <c r="F21" i="77"/>
  <c r="F50" i="80"/>
  <c r="J74" i="78"/>
  <c r="G24" i="33" s="1"/>
  <c r="J74" i="77"/>
  <c r="G23" i="33" s="1"/>
  <c r="F70" i="76"/>
  <c r="F26" i="76"/>
  <c r="F41" i="75"/>
  <c r="F66" i="80"/>
  <c r="P73" i="66"/>
  <c r="J26" i="75"/>
  <c r="F54" i="77"/>
  <c r="J51" i="74"/>
  <c r="F63" i="75"/>
  <c r="F42" i="79"/>
  <c r="F46" i="79"/>
  <c r="J18" i="79"/>
  <c r="J30" i="74"/>
  <c r="J33" i="74"/>
  <c r="F50" i="76"/>
  <c r="F58" i="76"/>
  <c r="F50" i="77"/>
  <c r="F20" i="78"/>
  <c r="F58" i="80"/>
  <c r="J66" i="74"/>
  <c r="F46" i="77"/>
  <c r="F57" i="81"/>
  <c r="F29" i="81"/>
  <c r="F34" i="77"/>
  <c r="F21" i="75"/>
  <c r="F49" i="81"/>
  <c r="F62" i="82"/>
  <c r="F38" i="82"/>
  <c r="J58" i="75"/>
  <c r="J42" i="74"/>
  <c r="F62" i="79"/>
  <c r="F42" i="82"/>
  <c r="F30" i="80"/>
  <c r="J74" i="76"/>
  <c r="G22" i="33" s="1"/>
  <c r="F38" i="76"/>
  <c r="F34" i="82"/>
  <c r="J39" i="74"/>
  <c r="F26" i="75"/>
  <c r="F34" i="76"/>
  <c r="F68" i="78"/>
  <c r="G73" i="65"/>
  <c r="J18" i="74"/>
  <c r="J54" i="74"/>
  <c r="F58" i="77"/>
  <c r="F56" i="78"/>
  <c r="F70" i="79"/>
  <c r="P73" i="71"/>
  <c r="J19" i="80"/>
  <c r="F54" i="81"/>
  <c r="F18" i="80"/>
  <c r="F54" i="76"/>
  <c r="F46" i="78"/>
  <c r="F70" i="81"/>
  <c r="F54" i="82"/>
  <c r="F26" i="77"/>
  <c r="F46" i="80"/>
  <c r="J28" i="80"/>
  <c r="F30" i="81"/>
  <c r="F34" i="81"/>
  <c r="F50" i="79"/>
  <c r="F34" i="80"/>
  <c r="J25" i="81"/>
  <c r="J74" i="81" s="1"/>
  <c r="G27" i="33" s="1"/>
  <c r="F30" i="78"/>
  <c r="J25" i="82"/>
  <c r="J74" i="82" s="1"/>
  <c r="G28" i="33" s="1"/>
  <c r="F38" i="77"/>
  <c r="F26" i="78"/>
  <c r="F28" i="78"/>
  <c r="F30" i="82"/>
  <c r="F46" i="76"/>
  <c r="F62" i="76"/>
  <c r="F62" i="77"/>
  <c r="F24" i="78"/>
  <c r="F64" i="78"/>
  <c r="F18" i="81"/>
  <c r="F58" i="81"/>
  <c r="F18" i="82"/>
  <c r="P73" i="73"/>
  <c r="H73" i="73"/>
  <c r="H73" i="72"/>
  <c r="P73" i="72"/>
  <c r="H73" i="71"/>
  <c r="AA15" i="65"/>
  <c r="O16" i="74" s="1"/>
  <c r="H46" i="65"/>
  <c r="H26" i="65"/>
  <c r="H19" i="65"/>
  <c r="F20" i="74" s="1"/>
  <c r="H17" i="65"/>
  <c r="P73" i="70"/>
  <c r="H73" i="70"/>
  <c r="H73" i="69"/>
  <c r="P73" i="69"/>
  <c r="P73" i="68"/>
  <c r="H73" i="68"/>
  <c r="H73" i="67"/>
  <c r="P73" i="67"/>
  <c r="H73" i="66"/>
  <c r="P16" i="65"/>
  <c r="P22" i="65"/>
  <c r="J23" i="74" s="1"/>
  <c r="P19" i="65"/>
  <c r="J20" i="74" s="1"/>
  <c r="P46" i="65"/>
  <c r="J47" i="74" s="1"/>
  <c r="P58" i="65"/>
  <c r="J59" i="74" s="1"/>
  <c r="P70" i="65"/>
  <c r="J71" i="74" s="1"/>
  <c r="P71" i="65"/>
  <c r="J72" i="74" s="1"/>
  <c r="P36" i="65"/>
  <c r="J37" i="74" s="1"/>
  <c r="P48" i="65"/>
  <c r="J49" i="74" s="1"/>
  <c r="P60" i="65"/>
  <c r="J61" i="74" s="1"/>
  <c r="P72" i="65"/>
  <c r="J73" i="74" s="1"/>
  <c r="P47" i="65"/>
  <c r="J48" i="74" s="1"/>
  <c r="P37" i="65"/>
  <c r="J38" i="74" s="1"/>
  <c r="P49" i="65"/>
  <c r="J50" i="74" s="1"/>
  <c r="P61" i="65"/>
  <c r="J62" i="74" s="1"/>
  <c r="P59" i="65"/>
  <c r="J60" i="74" s="1"/>
  <c r="P34" i="65"/>
  <c r="J35" i="74" s="1"/>
  <c r="P24" i="65"/>
  <c r="J25" i="74" s="1"/>
  <c r="P25" i="65"/>
  <c r="J26" i="74" s="1"/>
  <c r="P26" i="65"/>
  <c r="J27" i="74" s="1"/>
  <c r="P15" i="65"/>
  <c r="J16" i="74" s="1"/>
  <c r="P27" i="65"/>
  <c r="J28" i="74" s="1"/>
  <c r="P39" i="65"/>
  <c r="J40" i="74" s="1"/>
  <c r="P51" i="65"/>
  <c r="J52" i="74" s="1"/>
  <c r="P63" i="65"/>
  <c r="J64" i="74" s="1"/>
  <c r="H43" i="65"/>
  <c r="H55" i="65"/>
  <c r="H34" i="65"/>
  <c r="H57" i="65"/>
  <c r="H67" i="65"/>
  <c r="H36" i="65"/>
  <c r="H58" i="65"/>
  <c r="H50" i="65"/>
  <c r="H62" i="65"/>
  <c r="H31" i="65"/>
  <c r="H37" i="65"/>
  <c r="F38" i="74" s="1"/>
  <c r="H48" i="65"/>
  <c r="H49" i="65"/>
  <c r="H38" i="65"/>
  <c r="H60" i="65"/>
  <c r="H25" i="65"/>
  <c r="H33" i="65"/>
  <c r="H61" i="65"/>
  <c r="H52" i="65"/>
  <c r="F53" i="74" s="1"/>
  <c r="H64" i="65"/>
  <c r="F65" i="74" s="1"/>
  <c r="H23" i="65"/>
  <c r="F24" i="74" s="1"/>
  <c r="H35" i="65"/>
  <c r="F36" i="74" s="1"/>
  <c r="H47" i="65"/>
  <c r="F48" i="74" s="1"/>
  <c r="H59" i="65"/>
  <c r="F60" i="74" s="1"/>
  <c r="H71" i="65"/>
  <c r="F72" i="74" s="1"/>
  <c r="H30" i="65"/>
  <c r="F31" i="74" s="1"/>
  <c r="H20" i="65"/>
  <c r="F21" i="74" s="1"/>
  <c r="H32" i="65"/>
  <c r="F33" i="74" s="1"/>
  <c r="H44" i="65"/>
  <c r="F45" i="74" s="1"/>
  <c r="H56" i="65"/>
  <c r="F57" i="74" s="1"/>
  <c r="H68" i="65"/>
  <c r="F69" i="74" s="1"/>
  <c r="H40" i="65"/>
  <c r="F41" i="74" s="1"/>
  <c r="H18" i="65"/>
  <c r="F19" i="74" s="1"/>
  <c r="H15" i="65"/>
  <c r="F16" i="74" s="1"/>
  <c r="H27" i="65"/>
  <c r="F28" i="74" s="1"/>
  <c r="H39" i="65"/>
  <c r="F40" i="74" s="1"/>
  <c r="H51" i="65"/>
  <c r="F52" i="74" s="1"/>
  <c r="H63" i="65"/>
  <c r="F64" i="74" s="1"/>
  <c r="H70" i="65"/>
  <c r="F71" i="74" s="1"/>
  <c r="H72" i="65"/>
  <c r="F73" i="74" s="1"/>
  <c r="C6" i="65"/>
  <c r="C5" i="65"/>
  <c r="E19" i="19"/>
  <c r="C6" i="64"/>
  <c r="C5" i="64"/>
  <c r="J73" i="64"/>
  <c r="G27" i="19" s="1"/>
  <c r="F73" i="64"/>
  <c r="E27" i="19" s="1"/>
  <c r="C6" i="63"/>
  <c r="C5" i="63"/>
  <c r="J73" i="63"/>
  <c r="G26" i="19" s="1"/>
  <c r="F73" i="63"/>
  <c r="E26" i="19" s="1"/>
  <c r="C6" i="62"/>
  <c r="C5" i="62"/>
  <c r="J73" i="62"/>
  <c r="G25" i="19" s="1"/>
  <c r="F73" i="62"/>
  <c r="E25" i="19" s="1"/>
  <c r="C6" i="61"/>
  <c r="C5" i="61"/>
  <c r="J73" i="61"/>
  <c r="G24" i="19" s="1"/>
  <c r="F73" i="61"/>
  <c r="E24" i="19" s="1"/>
  <c r="C6" i="60"/>
  <c r="C5" i="60"/>
  <c r="J73" i="60"/>
  <c r="G23" i="19" s="1"/>
  <c r="F73" i="60"/>
  <c r="E23" i="19" s="1"/>
  <c r="C6" i="59"/>
  <c r="C5" i="59"/>
  <c r="J73" i="59"/>
  <c r="G22" i="19" s="1"/>
  <c r="F73" i="59"/>
  <c r="E22" i="19" s="1"/>
  <c r="C6" i="58"/>
  <c r="C5" i="58"/>
  <c r="J73" i="58"/>
  <c r="G21" i="19" s="1"/>
  <c r="F73" i="58"/>
  <c r="E21" i="19" s="1"/>
  <c r="C6" i="57"/>
  <c r="C5" i="57"/>
  <c r="J73" i="57"/>
  <c r="G20" i="19" s="1"/>
  <c r="F73" i="57"/>
  <c r="E20" i="19" s="1"/>
  <c r="C6" i="56"/>
  <c r="C5" i="56"/>
  <c r="F73" i="56"/>
  <c r="J73" i="56"/>
  <c r="G19" i="19" s="1"/>
  <c r="J151" i="22"/>
  <c r="F151" i="22"/>
  <c r="J17" i="22"/>
  <c r="F17" i="22"/>
  <c r="D151" i="51"/>
  <c r="H151" i="51" s="1"/>
  <c r="E151" i="51"/>
  <c r="L151" i="51"/>
  <c r="M151" i="51"/>
  <c r="D17" i="51"/>
  <c r="E17" i="51"/>
  <c r="L17" i="51"/>
  <c r="P17" i="51" s="1"/>
  <c r="F151" i="51" l="1"/>
  <c r="I151" i="51" s="1"/>
  <c r="N17" i="51"/>
  <c r="Q17" i="51" s="1"/>
  <c r="F74" i="79"/>
  <c r="E25" i="33" s="1"/>
  <c r="F74" i="80"/>
  <c r="E26" i="33" s="1"/>
  <c r="F44" i="74"/>
  <c r="F27" i="74"/>
  <c r="F74" i="77"/>
  <c r="E23" i="33" s="1"/>
  <c r="F32" i="74"/>
  <c r="F34" i="74"/>
  <c r="F63" i="74"/>
  <c r="F74" i="82"/>
  <c r="E28" i="33" s="1"/>
  <c r="F74" i="75"/>
  <c r="E21" i="33" s="1"/>
  <c r="J17" i="74"/>
  <c r="J74" i="79"/>
  <c r="G25" i="33" s="1"/>
  <c r="F47" i="74"/>
  <c r="F56" i="74"/>
  <c r="F62" i="74"/>
  <c r="F74" i="76"/>
  <c r="E22" i="33" s="1"/>
  <c r="F74" i="78"/>
  <c r="E24" i="33" s="1"/>
  <c r="F74" i="81"/>
  <c r="E27" i="33" s="1"/>
  <c r="F61" i="74"/>
  <c r="F51" i="74"/>
  <c r="F39" i="74"/>
  <c r="F59" i="74"/>
  <c r="J74" i="75"/>
  <c r="G21" i="33" s="1"/>
  <c r="F37" i="74"/>
  <c r="J74" i="80"/>
  <c r="G26" i="33" s="1"/>
  <c r="F26" i="74"/>
  <c r="F68" i="74"/>
  <c r="F50" i="74"/>
  <c r="F58" i="74"/>
  <c r="F18" i="74"/>
  <c r="F49" i="74"/>
  <c r="F35" i="74"/>
  <c r="F17" i="51"/>
  <c r="N151" i="51"/>
  <c r="P73" i="65"/>
  <c r="H73" i="65"/>
  <c r="P151" i="51"/>
  <c r="H17" i="51"/>
  <c r="H18" i="39" l="1"/>
  <c r="J18" i="39" s="1"/>
  <c r="F74" i="74"/>
  <c r="E20" i="33" s="1"/>
  <c r="J74" i="74"/>
  <c r="G20" i="33" s="1"/>
  <c r="I17" i="51"/>
  <c r="D18" i="39"/>
  <c r="F18" i="39" s="1"/>
  <c r="Q151" i="51"/>
  <c r="H152" i="39"/>
  <c r="J152" i="39" s="1"/>
  <c r="G49" i="40" l="1"/>
  <c r="H49" i="40"/>
  <c r="J49" i="40"/>
  <c r="K49" i="40"/>
  <c r="M49" i="40"/>
  <c r="N49" i="40"/>
  <c r="P49" i="40"/>
  <c r="Q49" i="40"/>
  <c r="S49" i="40"/>
  <c r="T49" i="40"/>
  <c r="J48" i="2"/>
  <c r="R49" i="40" l="1"/>
  <c r="H49" i="29" s="1"/>
  <c r="O49" i="40"/>
  <c r="G49" i="29" s="1"/>
  <c r="U49" i="40"/>
  <c r="I49" i="29" s="1"/>
  <c r="V49" i="40"/>
  <c r="L49" i="40"/>
  <c r="F49" i="29" s="1"/>
  <c r="I49" i="40"/>
  <c r="E49" i="29" s="1"/>
  <c r="W49" i="40"/>
  <c r="J49" i="29" l="1"/>
  <c r="X49" i="40"/>
  <c r="A40" i="31" l="1"/>
  <c r="B32" i="31"/>
  <c r="B27" i="31"/>
  <c r="B11" i="31"/>
  <c r="C6" i="40" l="1"/>
  <c r="A3" i="53"/>
  <c r="L18" i="38" l="1"/>
  <c r="D8" i="41"/>
  <c r="C6" i="22"/>
  <c r="C5" i="22"/>
  <c r="C6" i="12"/>
  <c r="C5" i="12"/>
  <c r="C6" i="16"/>
  <c r="C5" i="16"/>
  <c r="C6" i="23"/>
  <c r="C5" i="23"/>
  <c r="C6" i="18"/>
  <c r="C5" i="18"/>
  <c r="C6" i="17"/>
  <c r="C5" i="17"/>
  <c r="C6" i="19"/>
  <c r="C5" i="19"/>
  <c r="C6" i="28"/>
  <c r="C5" i="28"/>
  <c r="C6" i="24"/>
  <c r="C5" i="24"/>
  <c r="C6" i="20"/>
  <c r="C5" i="20"/>
  <c r="E9" i="51" l="1"/>
  <c r="D9" i="51" l="1"/>
  <c r="F9" i="51" s="1"/>
  <c r="D10" i="39" s="1"/>
  <c r="D35" i="52" s="1"/>
  <c r="F8" i="49"/>
  <c r="F9" i="37" s="1"/>
  <c r="D8" i="48"/>
  <c r="D9" i="36" s="1"/>
  <c r="F8" i="47"/>
  <c r="F9" i="35" s="1"/>
  <c r="D8" i="46"/>
  <c r="D9" i="34" s="1"/>
  <c r="V162" i="38" l="1"/>
  <c r="V157" i="38"/>
  <c r="V152" i="38"/>
  <c r="V147" i="38"/>
  <c r="V142" i="38"/>
  <c r="V137" i="38"/>
  <c r="V132" i="38"/>
  <c r="V127" i="38"/>
  <c r="V122" i="38"/>
  <c r="V117" i="38"/>
  <c r="V112" i="38"/>
  <c r="V107" i="38"/>
  <c r="V102" i="38"/>
  <c r="V97" i="38"/>
  <c r="V92" i="38"/>
  <c r="V87" i="38"/>
  <c r="V82" i="38"/>
  <c r="V77" i="38"/>
  <c r="V72" i="38"/>
  <c r="V67" i="38"/>
  <c r="V62" i="38"/>
  <c r="V57" i="38"/>
  <c r="V52" i="38"/>
  <c r="V47" i="38"/>
  <c r="V42" i="38"/>
  <c r="V37" i="38"/>
  <c r="V32" i="38"/>
  <c r="V27" i="38"/>
  <c r="V22" i="38"/>
  <c r="V17" i="38"/>
  <c r="Q22" i="38"/>
  <c r="Q17" i="38"/>
  <c r="C6" i="51"/>
  <c r="C5" i="51"/>
  <c r="C6" i="38"/>
  <c r="C5" i="38"/>
  <c r="C6" i="49"/>
  <c r="C5" i="49"/>
  <c r="C6" i="48"/>
  <c r="C5" i="48"/>
  <c r="C6" i="47"/>
  <c r="C5" i="47"/>
  <c r="C6" i="46"/>
  <c r="C5" i="46"/>
  <c r="C6" i="43"/>
  <c r="C5" i="43"/>
  <c r="C6" i="41"/>
  <c r="C5" i="41"/>
  <c r="C7" i="40"/>
  <c r="C7" i="39"/>
  <c r="C6" i="39"/>
  <c r="C7" i="50"/>
  <c r="C6" i="50"/>
  <c r="C7" i="37"/>
  <c r="C6" i="37"/>
  <c r="C7" i="36"/>
  <c r="C6" i="36"/>
  <c r="C7" i="35"/>
  <c r="C6" i="35"/>
  <c r="C7" i="34"/>
  <c r="C6" i="34"/>
  <c r="C7" i="33"/>
  <c r="C6" i="33"/>
  <c r="C7" i="32"/>
  <c r="C6" i="32"/>
  <c r="C7" i="31"/>
  <c r="C6" i="31"/>
  <c r="C7" i="30"/>
  <c r="C6" i="30"/>
  <c r="C7" i="29"/>
  <c r="C6" i="29"/>
  <c r="D6" i="53"/>
  <c r="D5" i="53"/>
  <c r="A4" i="39" l="1"/>
  <c r="A4" i="50"/>
  <c r="A4" i="37"/>
  <c r="A4" i="36"/>
  <c r="A4" i="35"/>
  <c r="A4" i="34"/>
  <c r="A4" i="33"/>
  <c r="A4" i="32"/>
  <c r="A4" i="31"/>
  <c r="A4" i="30"/>
  <c r="A4" i="29"/>
  <c r="E239" i="52"/>
  <c r="E230" i="52"/>
  <c r="E221" i="52"/>
  <c r="E212" i="52"/>
  <c r="E203" i="52"/>
  <c r="E194" i="52"/>
  <c r="E185" i="52"/>
  <c r="E176" i="52"/>
  <c r="E167" i="52"/>
  <c r="E158" i="52"/>
  <c r="E149" i="52"/>
  <c r="E140" i="52"/>
  <c r="E131" i="52"/>
  <c r="E122" i="52"/>
  <c r="E113" i="52"/>
  <c r="E104" i="52"/>
  <c r="E95" i="52"/>
  <c r="E86" i="52"/>
  <c r="E77" i="52"/>
  <c r="E68" i="52"/>
  <c r="E59" i="52"/>
  <c r="E50" i="52"/>
  <c r="E240" i="52"/>
  <c r="E231" i="52"/>
  <c r="E222" i="52"/>
  <c r="E213" i="52"/>
  <c r="E204" i="52"/>
  <c r="E195" i="52"/>
  <c r="E186" i="52"/>
  <c r="E177" i="52"/>
  <c r="E168" i="52"/>
  <c r="E159" i="52"/>
  <c r="E150" i="52"/>
  <c r="E141" i="52"/>
  <c r="E132" i="52"/>
  <c r="E123" i="52"/>
  <c r="E114" i="52"/>
  <c r="E105" i="52"/>
  <c r="E96" i="52"/>
  <c r="E87" i="52"/>
  <c r="E78" i="52"/>
  <c r="E69" i="52"/>
  <c r="E60" i="52"/>
  <c r="E51" i="52"/>
  <c r="E85" i="52"/>
  <c r="M19" i="51"/>
  <c r="M20" i="51"/>
  <c r="M21" i="51"/>
  <c r="M22" i="51"/>
  <c r="M23" i="51"/>
  <c r="M24" i="51"/>
  <c r="M25" i="51"/>
  <c r="M26" i="51"/>
  <c r="M27" i="51"/>
  <c r="M28" i="51"/>
  <c r="M29" i="51"/>
  <c r="M30" i="51"/>
  <c r="M31" i="51"/>
  <c r="M32" i="5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62" i="51"/>
  <c r="M63" i="51"/>
  <c r="M64" i="51"/>
  <c r="M65" i="51"/>
  <c r="M66" i="51"/>
  <c r="M67" i="51"/>
  <c r="M68" i="51"/>
  <c r="M69" i="51"/>
  <c r="M70" i="51"/>
  <c r="M71" i="51"/>
  <c r="M72" i="51"/>
  <c r="M73" i="51"/>
  <c r="M74" i="51"/>
  <c r="M75"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6" i="51"/>
  <c r="M107" i="51"/>
  <c r="M108" i="51"/>
  <c r="M109" i="51"/>
  <c r="M110" i="51"/>
  <c r="M111" i="51"/>
  <c r="M112" i="51"/>
  <c r="M113" i="51"/>
  <c r="M114" i="51"/>
  <c r="M115" i="51"/>
  <c r="M116" i="51"/>
  <c r="M117" i="51"/>
  <c r="M118" i="51"/>
  <c r="M119"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145" i="51"/>
  <c r="M146" i="51"/>
  <c r="M147" i="51"/>
  <c r="M148" i="51"/>
  <c r="M149" i="51"/>
  <c r="M150" i="51"/>
  <c r="M152" i="51"/>
  <c r="M153" i="51"/>
  <c r="M154" i="51"/>
  <c r="M155" i="51"/>
  <c r="M156" i="51"/>
  <c r="M157" i="51"/>
  <c r="M158" i="51"/>
  <c r="M159" i="51"/>
  <c r="M160" i="51"/>
  <c r="M161" i="51"/>
  <c r="M162" i="51"/>
  <c r="M163" i="51"/>
  <c r="M164" i="51"/>
  <c r="M165" i="51"/>
  <c r="M166" i="51"/>
  <c r="M167" i="51"/>
  <c r="M168" i="51"/>
  <c r="M169" i="51"/>
  <c r="M170" i="51"/>
  <c r="M171" i="51"/>
  <c r="M172" i="51"/>
  <c r="M173" i="51"/>
  <c r="M174" i="51"/>
  <c r="M175" i="51"/>
  <c r="M176" i="51"/>
  <c r="M177" i="51"/>
  <c r="M178" i="51"/>
  <c r="M179" i="51"/>
  <c r="M180" i="51"/>
  <c r="M181" i="51"/>
  <c r="M182" i="51"/>
  <c r="M183" i="51"/>
  <c r="M184" i="51"/>
  <c r="M185" i="51"/>
  <c r="M186" i="51"/>
  <c r="M187" i="51"/>
  <c r="M188" i="51"/>
  <c r="M189" i="51"/>
  <c r="M190" i="51"/>
  <c r="M191" i="51"/>
  <c r="M192" i="51"/>
  <c r="M193" i="51"/>
  <c r="M194" i="51"/>
  <c r="M195" i="51"/>
  <c r="M196" i="51"/>
  <c r="M18" i="51"/>
  <c r="L19" i="51"/>
  <c r="P19" i="51" s="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12" i="51"/>
  <c r="L113" i="51"/>
  <c r="L114" i="51"/>
  <c r="L115" i="51"/>
  <c r="L116" i="51"/>
  <c r="L117" i="51"/>
  <c r="L118" i="51"/>
  <c r="L119" i="51"/>
  <c r="L120" i="51"/>
  <c r="L121" i="51"/>
  <c r="L122" i="51"/>
  <c r="L123" i="51"/>
  <c r="L124" i="51"/>
  <c r="L125" i="51"/>
  <c r="L126" i="51"/>
  <c r="L127" i="51"/>
  <c r="L128" i="51"/>
  <c r="L129" i="51"/>
  <c r="L130" i="51"/>
  <c r="L131" i="51"/>
  <c r="L132" i="51"/>
  <c r="L133" i="51"/>
  <c r="L134" i="51"/>
  <c r="L135" i="51"/>
  <c r="L136" i="51"/>
  <c r="L137" i="51"/>
  <c r="L138" i="51"/>
  <c r="L139" i="51"/>
  <c r="L140" i="51"/>
  <c r="L141" i="51"/>
  <c r="L142" i="51"/>
  <c r="L143" i="51"/>
  <c r="L144" i="51"/>
  <c r="L145" i="51"/>
  <c r="L146" i="51"/>
  <c r="L147" i="51"/>
  <c r="L148" i="51"/>
  <c r="L149" i="51"/>
  <c r="L150" i="51"/>
  <c r="L152" i="51"/>
  <c r="L153" i="51"/>
  <c r="L154" i="51"/>
  <c r="L155" i="51"/>
  <c r="L156" i="51"/>
  <c r="L157" i="51"/>
  <c r="L158" i="51"/>
  <c r="L159" i="51"/>
  <c r="L160" i="51"/>
  <c r="L161" i="51"/>
  <c r="L162" i="51"/>
  <c r="L163" i="51"/>
  <c r="L164" i="51"/>
  <c r="L165" i="51"/>
  <c r="L166" i="51"/>
  <c r="L167" i="51"/>
  <c r="L168" i="51"/>
  <c r="L169" i="51"/>
  <c r="L170" i="51"/>
  <c r="L171" i="51"/>
  <c r="L172" i="51"/>
  <c r="L173" i="51"/>
  <c r="L174" i="51"/>
  <c r="L175" i="51"/>
  <c r="L176" i="51"/>
  <c r="L177" i="51"/>
  <c r="L178" i="51"/>
  <c r="L179" i="51"/>
  <c r="L180" i="51"/>
  <c r="L181" i="51"/>
  <c r="L182" i="51"/>
  <c r="L183" i="51"/>
  <c r="L184" i="51"/>
  <c r="L185" i="51"/>
  <c r="L186" i="51"/>
  <c r="L187" i="51"/>
  <c r="L188" i="51"/>
  <c r="L189" i="51"/>
  <c r="L190" i="51"/>
  <c r="L191" i="51"/>
  <c r="L192" i="51"/>
  <c r="L193" i="51"/>
  <c r="L194" i="51"/>
  <c r="L195" i="51"/>
  <c r="L196" i="51"/>
  <c r="L18" i="51"/>
  <c r="P18" i="51" s="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8" i="51"/>
  <c r="H18" i="51" s="1"/>
  <c r="N183" i="38"/>
  <c r="M175" i="38"/>
  <c r="U162" i="38"/>
  <c r="U157" i="38"/>
  <c r="W157" i="38" s="1"/>
  <c r="O158" i="50" s="1"/>
  <c r="U152" i="38"/>
  <c r="U147" i="38"/>
  <c r="U142" i="38"/>
  <c r="U137" i="38"/>
  <c r="U132" i="38"/>
  <c r="W132" i="38" s="1"/>
  <c r="O133" i="50" s="1"/>
  <c r="U127" i="38"/>
  <c r="U122" i="38"/>
  <c r="U117" i="38"/>
  <c r="U112" i="38"/>
  <c r="W112" i="38" s="1"/>
  <c r="O113" i="50" s="1"/>
  <c r="D222" i="52" s="1"/>
  <c r="U107" i="38"/>
  <c r="W107" i="38" s="1"/>
  <c r="O108" i="50" s="1"/>
  <c r="D213" i="52" s="1"/>
  <c r="U102" i="38"/>
  <c r="U97" i="38"/>
  <c r="U92" i="38"/>
  <c r="U87" i="38"/>
  <c r="U82" i="38"/>
  <c r="U77" i="38"/>
  <c r="W77" i="38" s="1"/>
  <c r="O78" i="50" s="1"/>
  <c r="D159" i="52" s="1"/>
  <c r="U72" i="38"/>
  <c r="W72" i="38" s="1"/>
  <c r="O73" i="50" s="1"/>
  <c r="D150" i="52" s="1"/>
  <c r="U67" i="38"/>
  <c r="U62" i="38"/>
  <c r="U57" i="38"/>
  <c r="W57" i="38" s="1"/>
  <c r="O58" i="50" s="1"/>
  <c r="D123" i="52" s="1"/>
  <c r="U52" i="38"/>
  <c r="U47" i="38"/>
  <c r="W47" i="38" s="1"/>
  <c r="O48" i="50" s="1"/>
  <c r="D105" i="52" s="1"/>
  <c r="U42" i="38"/>
  <c r="U37" i="38"/>
  <c r="U32" i="38"/>
  <c r="U27" i="38"/>
  <c r="U22" i="38"/>
  <c r="Q162" i="38"/>
  <c r="P162" i="38"/>
  <c r="Z162" i="38" s="1"/>
  <c r="Q157" i="38"/>
  <c r="P157" i="38"/>
  <c r="Z157" i="38" s="1"/>
  <c r="Q152" i="38"/>
  <c r="P152" i="38"/>
  <c r="Q147" i="38"/>
  <c r="P147" i="38"/>
  <c r="Q142" i="38"/>
  <c r="P142" i="38"/>
  <c r="Z142" i="38" s="1"/>
  <c r="Q137" i="38"/>
  <c r="P137" i="38"/>
  <c r="Q132" i="38"/>
  <c r="P132" i="38"/>
  <c r="Z132" i="38" s="1"/>
  <c r="Q127" i="38"/>
  <c r="P127" i="38"/>
  <c r="Q122" i="38"/>
  <c r="P122" i="38"/>
  <c r="Q117" i="38"/>
  <c r="P117" i="38"/>
  <c r="Q112" i="38"/>
  <c r="P112" i="38"/>
  <c r="Q107" i="38"/>
  <c r="P107" i="38"/>
  <c r="Q102" i="38"/>
  <c r="P102" i="38"/>
  <c r="Q97" i="38"/>
  <c r="P97" i="38"/>
  <c r="Q92" i="38"/>
  <c r="P92" i="38"/>
  <c r="Q87" i="38"/>
  <c r="P87" i="38"/>
  <c r="Q82" i="38"/>
  <c r="P82" i="38"/>
  <c r="Q77" i="38"/>
  <c r="P77" i="38"/>
  <c r="Q72" i="38"/>
  <c r="P72" i="38"/>
  <c r="Z72" i="38" s="1"/>
  <c r="Q67" i="38"/>
  <c r="P67" i="38"/>
  <c r="Q62" i="38"/>
  <c r="P62" i="38"/>
  <c r="Q57" i="38"/>
  <c r="P57" i="38"/>
  <c r="Q52" i="38"/>
  <c r="P52" i="38"/>
  <c r="Q47" i="38"/>
  <c r="P47" i="38"/>
  <c r="Q42" i="38"/>
  <c r="P42" i="38"/>
  <c r="Z42" i="38" s="1"/>
  <c r="Q37" i="38"/>
  <c r="P37" i="38"/>
  <c r="Q32" i="38"/>
  <c r="P32" i="38"/>
  <c r="Q27" i="38"/>
  <c r="P27" i="38"/>
  <c r="P22" i="38"/>
  <c r="U17" i="38"/>
  <c r="P17" i="38"/>
  <c r="Z17" i="38" s="1"/>
  <c r="Z22" i="38" l="1"/>
  <c r="Z82" i="38"/>
  <c r="Z27" i="38"/>
  <c r="Z97" i="38"/>
  <c r="Z77" i="38"/>
  <c r="Z122" i="38"/>
  <c r="Z37" i="38"/>
  <c r="F20" i="51"/>
  <c r="I20" i="51" s="1"/>
  <c r="F188" i="51"/>
  <c r="D189" i="39" s="1"/>
  <c r="F164" i="51"/>
  <c r="D165" i="39" s="1"/>
  <c r="F139" i="51"/>
  <c r="D140" i="39" s="1"/>
  <c r="N193" i="51"/>
  <c r="H194" i="39" s="1"/>
  <c r="N169" i="51"/>
  <c r="H170" i="39" s="1"/>
  <c r="N144" i="51"/>
  <c r="H145" i="39" s="1"/>
  <c r="N120" i="51"/>
  <c r="H121" i="39" s="1"/>
  <c r="N96" i="51"/>
  <c r="H97" i="39" s="1"/>
  <c r="N72" i="51"/>
  <c r="H73" i="39" s="1"/>
  <c r="N48" i="51"/>
  <c r="H49" i="39" s="1"/>
  <c r="N24" i="51"/>
  <c r="H25" i="39" s="1"/>
  <c r="N196" i="51"/>
  <c r="H197" i="39" s="1"/>
  <c r="N195" i="51"/>
  <c r="H196" i="39" s="1"/>
  <c r="N171" i="51"/>
  <c r="H172" i="39" s="1"/>
  <c r="N146" i="51"/>
  <c r="H147" i="39" s="1"/>
  <c r="F174" i="51"/>
  <c r="D175" i="39" s="1"/>
  <c r="F149" i="51"/>
  <c r="D150" i="39" s="1"/>
  <c r="F125" i="51"/>
  <c r="I125" i="51" s="1"/>
  <c r="F196" i="51"/>
  <c r="D197" i="39" s="1"/>
  <c r="F172" i="51"/>
  <c r="D173" i="39" s="1"/>
  <c r="F147" i="51"/>
  <c r="D148" i="39" s="1"/>
  <c r="F183" i="51"/>
  <c r="D184" i="39" s="1"/>
  <c r="N179" i="51"/>
  <c r="H180" i="39" s="1"/>
  <c r="N155" i="51"/>
  <c r="H156" i="39" s="1"/>
  <c r="F182" i="51"/>
  <c r="I182" i="51" s="1"/>
  <c r="F158" i="51"/>
  <c r="D159" i="39" s="1"/>
  <c r="F133" i="51"/>
  <c r="D134" i="39" s="1"/>
  <c r="F193" i="51"/>
  <c r="D194" i="39" s="1"/>
  <c r="N177" i="51"/>
  <c r="H178" i="39" s="1"/>
  <c r="N153" i="51"/>
  <c r="H154" i="39" s="1"/>
  <c r="N128" i="51"/>
  <c r="H129" i="39" s="1"/>
  <c r="N104" i="51"/>
  <c r="H105" i="39" s="1"/>
  <c r="N80" i="51"/>
  <c r="H81" i="39" s="1"/>
  <c r="N56" i="51"/>
  <c r="H57" i="39" s="1"/>
  <c r="N32" i="51"/>
  <c r="H33" i="39" s="1"/>
  <c r="F180" i="51"/>
  <c r="D181" i="39" s="1"/>
  <c r="F156" i="51"/>
  <c r="D157" i="39" s="1"/>
  <c r="F131" i="51"/>
  <c r="D132" i="39" s="1"/>
  <c r="F191" i="51"/>
  <c r="D192" i="39" s="1"/>
  <c r="N187" i="51"/>
  <c r="H188" i="39" s="1"/>
  <c r="N163" i="51"/>
  <c r="H164" i="39" s="1"/>
  <c r="N138" i="51"/>
  <c r="H139" i="39" s="1"/>
  <c r="F190" i="51"/>
  <c r="D191" i="39" s="1"/>
  <c r="F166" i="51"/>
  <c r="D167" i="39" s="1"/>
  <c r="F141" i="51"/>
  <c r="I141" i="51" s="1"/>
  <c r="F117" i="51"/>
  <c r="D118" i="39" s="1"/>
  <c r="N185" i="51"/>
  <c r="H186" i="39" s="1"/>
  <c r="N161" i="51"/>
  <c r="H162" i="39" s="1"/>
  <c r="N136" i="51"/>
  <c r="H137" i="39" s="1"/>
  <c r="N112" i="51"/>
  <c r="H113" i="39" s="1"/>
  <c r="N88" i="51"/>
  <c r="H89" i="39" s="1"/>
  <c r="N64" i="51"/>
  <c r="H65" i="39" s="1"/>
  <c r="N40" i="51"/>
  <c r="H41" i="39" s="1"/>
  <c r="R22" i="38"/>
  <c r="F18" i="51"/>
  <c r="D19" i="39" s="1"/>
  <c r="F35" i="52" s="1"/>
  <c r="F115" i="51"/>
  <c r="D116" i="39" s="1"/>
  <c r="F99" i="51"/>
  <c r="D100" i="39" s="1"/>
  <c r="F83" i="51"/>
  <c r="D84" i="39" s="1"/>
  <c r="F67" i="51"/>
  <c r="D68" i="39" s="1"/>
  <c r="F51" i="51"/>
  <c r="D52" i="39" s="1"/>
  <c r="F35" i="51"/>
  <c r="D36" i="39" s="1"/>
  <c r="F27" i="51"/>
  <c r="D28" i="39" s="1"/>
  <c r="F19" i="51"/>
  <c r="D20" i="39" s="1"/>
  <c r="F123" i="51"/>
  <c r="D124" i="39" s="1"/>
  <c r="F107" i="51"/>
  <c r="D108" i="39" s="1"/>
  <c r="F91" i="51"/>
  <c r="D92" i="39" s="1"/>
  <c r="F75" i="51"/>
  <c r="D76" i="39" s="1"/>
  <c r="F59" i="51"/>
  <c r="D60" i="39" s="1"/>
  <c r="F43" i="51"/>
  <c r="D44" i="39" s="1"/>
  <c r="F195" i="51"/>
  <c r="D196" i="39" s="1"/>
  <c r="F189" i="51"/>
  <c r="D190" i="39" s="1"/>
  <c r="F194" i="51"/>
  <c r="D195" i="39" s="1"/>
  <c r="F109" i="51"/>
  <c r="I109" i="51" s="1"/>
  <c r="F101" i="51"/>
  <c r="D102" i="39" s="1"/>
  <c r="F93" i="51"/>
  <c r="D94" i="39" s="1"/>
  <c r="F85" i="51"/>
  <c r="D86" i="39" s="1"/>
  <c r="F77" i="51"/>
  <c r="D78" i="39" s="1"/>
  <c r="F69" i="51"/>
  <c r="D70" i="39" s="1"/>
  <c r="F61" i="51"/>
  <c r="I61" i="51" s="1"/>
  <c r="F53" i="51"/>
  <c r="I53" i="51" s="1"/>
  <c r="F45" i="51"/>
  <c r="D46" i="39" s="1"/>
  <c r="F37" i="51"/>
  <c r="I37" i="51" s="1"/>
  <c r="F29" i="51"/>
  <c r="I29" i="51" s="1"/>
  <c r="F21" i="51"/>
  <c r="I21" i="51" s="1"/>
  <c r="N130" i="51"/>
  <c r="H131" i="39" s="1"/>
  <c r="N122" i="51"/>
  <c r="H123" i="39" s="1"/>
  <c r="N114" i="51"/>
  <c r="H115" i="39" s="1"/>
  <c r="N106" i="51"/>
  <c r="H107" i="39" s="1"/>
  <c r="N98" i="51"/>
  <c r="H99" i="39" s="1"/>
  <c r="N90" i="51"/>
  <c r="H91" i="39" s="1"/>
  <c r="N82" i="51"/>
  <c r="H83" i="39" s="1"/>
  <c r="N74" i="51"/>
  <c r="H75" i="39" s="1"/>
  <c r="N66" i="51"/>
  <c r="H67" i="39" s="1"/>
  <c r="N58" i="51"/>
  <c r="H59" i="39" s="1"/>
  <c r="N50" i="51"/>
  <c r="H51" i="39" s="1"/>
  <c r="N42" i="51"/>
  <c r="H43" i="39" s="1"/>
  <c r="N34" i="51"/>
  <c r="H35" i="39" s="1"/>
  <c r="N26" i="51"/>
  <c r="H27" i="39" s="1"/>
  <c r="F181" i="51"/>
  <c r="I181" i="51" s="1"/>
  <c r="F173" i="51"/>
  <c r="I173" i="51" s="1"/>
  <c r="F165" i="51"/>
  <c r="I165" i="51" s="1"/>
  <c r="F157" i="51"/>
  <c r="I157" i="51" s="1"/>
  <c r="F148" i="51"/>
  <c r="I148" i="51" s="1"/>
  <c r="F140" i="51"/>
  <c r="I140" i="51" s="1"/>
  <c r="F132" i="51"/>
  <c r="D133" i="39" s="1"/>
  <c r="F124" i="51"/>
  <c r="I124" i="51" s="1"/>
  <c r="F116" i="51"/>
  <c r="I116" i="51" s="1"/>
  <c r="F108" i="51"/>
  <c r="I108" i="51" s="1"/>
  <c r="F100" i="51"/>
  <c r="D101" i="39" s="1"/>
  <c r="F92" i="51"/>
  <c r="I92" i="51" s="1"/>
  <c r="F84" i="51"/>
  <c r="I84" i="51" s="1"/>
  <c r="F76" i="51"/>
  <c r="I76" i="51" s="1"/>
  <c r="F68" i="51"/>
  <c r="D69" i="39" s="1"/>
  <c r="F60" i="51"/>
  <c r="I60" i="51" s="1"/>
  <c r="F52" i="51"/>
  <c r="D53" i="39" s="1"/>
  <c r="F44" i="51"/>
  <c r="I44" i="51" s="1"/>
  <c r="F36" i="51"/>
  <c r="I36" i="51" s="1"/>
  <c r="F28" i="51"/>
  <c r="I28" i="51" s="1"/>
  <c r="N194" i="51"/>
  <c r="H195" i="39" s="1"/>
  <c r="N186" i="51"/>
  <c r="H187" i="39" s="1"/>
  <c r="N178" i="51"/>
  <c r="H179" i="39" s="1"/>
  <c r="N170" i="51"/>
  <c r="H171" i="39" s="1"/>
  <c r="N162" i="51"/>
  <c r="H163" i="39" s="1"/>
  <c r="N154" i="51"/>
  <c r="H155" i="39" s="1"/>
  <c r="N145" i="51"/>
  <c r="H146" i="39" s="1"/>
  <c r="N137" i="51"/>
  <c r="Q137" i="51" s="1"/>
  <c r="N129" i="51"/>
  <c r="Q129" i="51" s="1"/>
  <c r="N121" i="51"/>
  <c r="Q121" i="51" s="1"/>
  <c r="N113" i="51"/>
  <c r="Q113" i="51" s="1"/>
  <c r="N105" i="51"/>
  <c r="Q105" i="51" s="1"/>
  <c r="N97" i="51"/>
  <c r="Q97" i="51" s="1"/>
  <c r="N89" i="51"/>
  <c r="Q89" i="51" s="1"/>
  <c r="N81" i="51"/>
  <c r="H82" i="39" s="1"/>
  <c r="N73" i="51"/>
  <c r="Q73" i="51" s="1"/>
  <c r="N65" i="51"/>
  <c r="Q65" i="51" s="1"/>
  <c r="N57" i="51"/>
  <c r="Q57" i="51" s="1"/>
  <c r="N49" i="51"/>
  <c r="Q49" i="51" s="1"/>
  <c r="N41" i="51"/>
  <c r="Q41" i="51" s="1"/>
  <c r="N33" i="51"/>
  <c r="Q33" i="51" s="1"/>
  <c r="N25" i="51"/>
  <c r="H26" i="39" s="1"/>
  <c r="F187" i="51"/>
  <c r="D188" i="39" s="1"/>
  <c r="F179" i="51"/>
  <c r="D180" i="39" s="1"/>
  <c r="F171" i="51"/>
  <c r="D172" i="39" s="1"/>
  <c r="F163" i="51"/>
  <c r="D164" i="39" s="1"/>
  <c r="F155" i="51"/>
  <c r="D156" i="39" s="1"/>
  <c r="F146" i="51"/>
  <c r="D147" i="39" s="1"/>
  <c r="F138" i="51"/>
  <c r="D139" i="39" s="1"/>
  <c r="F130" i="51"/>
  <c r="D131" i="39" s="1"/>
  <c r="F122" i="51"/>
  <c r="D123" i="39" s="1"/>
  <c r="F114" i="51"/>
  <c r="D115" i="39" s="1"/>
  <c r="F106" i="51"/>
  <c r="D107" i="39" s="1"/>
  <c r="F98" i="51"/>
  <c r="D99" i="39" s="1"/>
  <c r="F90" i="51"/>
  <c r="D91" i="39" s="1"/>
  <c r="F82" i="51"/>
  <c r="I82" i="51" s="1"/>
  <c r="F74" i="51"/>
  <c r="D75" i="39" s="1"/>
  <c r="F66" i="51"/>
  <c r="D67" i="39" s="1"/>
  <c r="F58" i="51"/>
  <c r="I58" i="51" s="1"/>
  <c r="F50" i="51"/>
  <c r="D51" i="39" s="1"/>
  <c r="F42" i="51"/>
  <c r="D43" i="39" s="1"/>
  <c r="F34" i="51"/>
  <c r="D35" i="39" s="1"/>
  <c r="F26" i="51"/>
  <c r="D27" i="39" s="1"/>
  <c r="N192" i="51"/>
  <c r="H193" i="39" s="1"/>
  <c r="N184" i="51"/>
  <c r="H185" i="39" s="1"/>
  <c r="N176" i="51"/>
  <c r="H177" i="39" s="1"/>
  <c r="N168" i="51"/>
  <c r="H169" i="39" s="1"/>
  <c r="N160" i="51"/>
  <c r="H161" i="39" s="1"/>
  <c r="N152" i="51"/>
  <c r="H153" i="39" s="1"/>
  <c r="N143" i="51"/>
  <c r="H144" i="39" s="1"/>
  <c r="N135" i="51"/>
  <c r="H136" i="39" s="1"/>
  <c r="N127" i="51"/>
  <c r="H128" i="39" s="1"/>
  <c r="N119" i="51"/>
  <c r="H120" i="39" s="1"/>
  <c r="N111" i="51"/>
  <c r="H112" i="39" s="1"/>
  <c r="N103" i="51"/>
  <c r="H104" i="39" s="1"/>
  <c r="N95" i="51"/>
  <c r="H96" i="39" s="1"/>
  <c r="N87" i="51"/>
  <c r="H88" i="39" s="1"/>
  <c r="N79" i="51"/>
  <c r="H80" i="39" s="1"/>
  <c r="N71" i="51"/>
  <c r="H72" i="39" s="1"/>
  <c r="N63" i="51"/>
  <c r="Q63" i="51" s="1"/>
  <c r="N55" i="51"/>
  <c r="H56" i="39" s="1"/>
  <c r="N47" i="51"/>
  <c r="H48" i="39" s="1"/>
  <c r="N39" i="51"/>
  <c r="H40" i="39" s="1"/>
  <c r="N31" i="51"/>
  <c r="H32" i="39" s="1"/>
  <c r="N23" i="51"/>
  <c r="Q23" i="51" s="1"/>
  <c r="F186" i="51"/>
  <c r="D187" i="39" s="1"/>
  <c r="F178" i="51"/>
  <c r="D179" i="39" s="1"/>
  <c r="F170" i="51"/>
  <c r="D171" i="39" s="1"/>
  <c r="F162" i="51"/>
  <c r="D163" i="39" s="1"/>
  <c r="F154" i="51"/>
  <c r="D155" i="39" s="1"/>
  <c r="F145" i="51"/>
  <c r="D146" i="39" s="1"/>
  <c r="F137" i="51"/>
  <c r="D138" i="39" s="1"/>
  <c r="F129" i="51"/>
  <c r="D130" i="39" s="1"/>
  <c r="F121" i="51"/>
  <c r="D122" i="39" s="1"/>
  <c r="F113" i="51"/>
  <c r="D114" i="39" s="1"/>
  <c r="F105" i="51"/>
  <c r="D106" i="39" s="1"/>
  <c r="F97" i="51"/>
  <c r="D98" i="39" s="1"/>
  <c r="F89" i="51"/>
  <c r="D90" i="39" s="1"/>
  <c r="F81" i="51"/>
  <c r="D82" i="39" s="1"/>
  <c r="F73" i="51"/>
  <c r="D74" i="39" s="1"/>
  <c r="F65" i="51"/>
  <c r="D66" i="39" s="1"/>
  <c r="F57" i="51"/>
  <c r="D58" i="39" s="1"/>
  <c r="F49" i="51"/>
  <c r="D50" i="39" s="1"/>
  <c r="F41" i="51"/>
  <c r="D42" i="39" s="1"/>
  <c r="F33" i="51"/>
  <c r="D34" i="39" s="1"/>
  <c r="F25" i="51"/>
  <c r="D26" i="39" s="1"/>
  <c r="N191" i="51"/>
  <c r="H192" i="39" s="1"/>
  <c r="N183" i="51"/>
  <c r="H184" i="39" s="1"/>
  <c r="N175" i="51"/>
  <c r="H176" i="39" s="1"/>
  <c r="N167" i="51"/>
  <c r="H168" i="39" s="1"/>
  <c r="N159" i="51"/>
  <c r="H160" i="39" s="1"/>
  <c r="N150" i="51"/>
  <c r="H151" i="39" s="1"/>
  <c r="N142" i="51"/>
  <c r="Q142" i="51" s="1"/>
  <c r="N134" i="51"/>
  <c r="H135" i="39" s="1"/>
  <c r="N126" i="51"/>
  <c r="H127" i="39" s="1"/>
  <c r="N118" i="51"/>
  <c r="Q118" i="51" s="1"/>
  <c r="N110" i="51"/>
  <c r="Q110" i="51" s="1"/>
  <c r="N102" i="51"/>
  <c r="H103" i="39" s="1"/>
  <c r="N94" i="51"/>
  <c r="H95" i="39" s="1"/>
  <c r="N86" i="51"/>
  <c r="H87" i="39" s="1"/>
  <c r="N78" i="51"/>
  <c r="Q78" i="51" s="1"/>
  <c r="N70" i="51"/>
  <c r="H71" i="39" s="1"/>
  <c r="N62" i="51"/>
  <c r="H63" i="39" s="1"/>
  <c r="N54" i="51"/>
  <c r="Q54" i="51" s="1"/>
  <c r="N46" i="51"/>
  <c r="Q46" i="51" s="1"/>
  <c r="N38" i="51"/>
  <c r="H39" i="39" s="1"/>
  <c r="N30" i="51"/>
  <c r="H31" i="39" s="1"/>
  <c r="N22" i="51"/>
  <c r="Q22" i="51" s="1"/>
  <c r="F185" i="51"/>
  <c r="D186" i="39" s="1"/>
  <c r="F177" i="51"/>
  <c r="D178" i="39" s="1"/>
  <c r="F169" i="51"/>
  <c r="D170" i="39" s="1"/>
  <c r="F161" i="51"/>
  <c r="I161" i="51" s="1"/>
  <c r="F153" i="51"/>
  <c r="D154" i="39" s="1"/>
  <c r="F144" i="51"/>
  <c r="D145" i="39" s="1"/>
  <c r="F136" i="51"/>
  <c r="D137" i="39" s="1"/>
  <c r="F128" i="51"/>
  <c r="D129" i="39" s="1"/>
  <c r="F120" i="51"/>
  <c r="I120" i="51" s="1"/>
  <c r="F112" i="51"/>
  <c r="D113" i="39" s="1"/>
  <c r="F104" i="51"/>
  <c r="D105" i="39" s="1"/>
  <c r="F96" i="51"/>
  <c r="D97" i="39" s="1"/>
  <c r="F88" i="51"/>
  <c r="D89" i="39" s="1"/>
  <c r="F80" i="51"/>
  <c r="I80" i="51" s="1"/>
  <c r="F72" i="51"/>
  <c r="D73" i="39" s="1"/>
  <c r="F64" i="51"/>
  <c r="I64" i="51" s="1"/>
  <c r="F56" i="51"/>
  <c r="D57" i="39" s="1"/>
  <c r="F48" i="51"/>
  <c r="D49" i="39" s="1"/>
  <c r="F40" i="51"/>
  <c r="D41" i="39" s="1"/>
  <c r="F32" i="51"/>
  <c r="D33" i="39" s="1"/>
  <c r="F24" i="51"/>
  <c r="D25" i="39" s="1"/>
  <c r="N190" i="51"/>
  <c r="H191" i="39" s="1"/>
  <c r="N182" i="51"/>
  <c r="Q182" i="51" s="1"/>
  <c r="N174" i="51"/>
  <c r="H175" i="39" s="1"/>
  <c r="N166" i="51"/>
  <c r="H167" i="39" s="1"/>
  <c r="N158" i="51"/>
  <c r="H159" i="39" s="1"/>
  <c r="N149" i="51"/>
  <c r="Q149" i="51" s="1"/>
  <c r="N141" i="51"/>
  <c r="Q141" i="51" s="1"/>
  <c r="N133" i="51"/>
  <c r="Q133" i="51" s="1"/>
  <c r="N125" i="51"/>
  <c r="Q125" i="51" s="1"/>
  <c r="N117" i="51"/>
  <c r="Q117" i="51" s="1"/>
  <c r="N109" i="51"/>
  <c r="Q109" i="51" s="1"/>
  <c r="N101" i="51"/>
  <c r="Q101" i="51" s="1"/>
  <c r="N93" i="51"/>
  <c r="Q93" i="51" s="1"/>
  <c r="N85" i="51"/>
  <c r="Q85" i="51" s="1"/>
  <c r="N77" i="51"/>
  <c r="Q77" i="51" s="1"/>
  <c r="N69" i="51"/>
  <c r="Q69" i="51" s="1"/>
  <c r="N61" i="51"/>
  <c r="Q61" i="51" s="1"/>
  <c r="N53" i="51"/>
  <c r="Q53" i="51" s="1"/>
  <c r="N45" i="51"/>
  <c r="Q45" i="51" s="1"/>
  <c r="N37" i="51"/>
  <c r="Q37" i="51" s="1"/>
  <c r="N29" i="51"/>
  <c r="H30" i="39" s="1"/>
  <c r="N21" i="51"/>
  <c r="Q21" i="51" s="1"/>
  <c r="F192" i="51"/>
  <c r="I192" i="51" s="1"/>
  <c r="F184" i="51"/>
  <c r="D185" i="39" s="1"/>
  <c r="F176" i="51"/>
  <c r="D177" i="39" s="1"/>
  <c r="F168" i="51"/>
  <c r="I168" i="51" s="1"/>
  <c r="F160" i="51"/>
  <c r="D161" i="39" s="1"/>
  <c r="F152" i="51"/>
  <c r="F143" i="51"/>
  <c r="D144" i="39" s="1"/>
  <c r="F135" i="51"/>
  <c r="D136" i="39" s="1"/>
  <c r="F127" i="51"/>
  <c r="D128" i="39" s="1"/>
  <c r="F119" i="51"/>
  <c r="I119" i="51" s="1"/>
  <c r="F111" i="51"/>
  <c r="I111" i="51" s="1"/>
  <c r="F103" i="51"/>
  <c r="D104" i="39" s="1"/>
  <c r="F95" i="51"/>
  <c r="D96" i="39" s="1"/>
  <c r="F87" i="51"/>
  <c r="D88" i="39" s="1"/>
  <c r="F79" i="51"/>
  <c r="D80" i="39" s="1"/>
  <c r="F71" i="51"/>
  <c r="D72" i="39" s="1"/>
  <c r="F63" i="51"/>
  <c r="D64" i="39" s="1"/>
  <c r="F55" i="51"/>
  <c r="D56" i="39" s="1"/>
  <c r="F47" i="51"/>
  <c r="D48" i="39" s="1"/>
  <c r="F39" i="51"/>
  <c r="D40" i="39" s="1"/>
  <c r="F31" i="51"/>
  <c r="D32" i="39" s="1"/>
  <c r="F23" i="51"/>
  <c r="D24" i="39" s="1"/>
  <c r="N189" i="51"/>
  <c r="H190" i="39" s="1"/>
  <c r="N181" i="51"/>
  <c r="H182" i="39" s="1"/>
  <c r="N173" i="51"/>
  <c r="Q173" i="51" s="1"/>
  <c r="N165" i="51"/>
  <c r="Q165" i="51" s="1"/>
  <c r="N157" i="51"/>
  <c r="H158" i="39" s="1"/>
  <c r="N148" i="51"/>
  <c r="Q148" i="51" s="1"/>
  <c r="N140" i="51"/>
  <c r="Q140" i="51" s="1"/>
  <c r="N132" i="51"/>
  <c r="Q132" i="51" s="1"/>
  <c r="N124" i="51"/>
  <c r="Q124" i="51" s="1"/>
  <c r="N116" i="51"/>
  <c r="Q116" i="51" s="1"/>
  <c r="N108" i="51"/>
  <c r="Q108" i="51" s="1"/>
  <c r="N100" i="51"/>
  <c r="Q100" i="51" s="1"/>
  <c r="N92" i="51"/>
  <c r="Q92" i="51" s="1"/>
  <c r="N84" i="51"/>
  <c r="Q84" i="51" s="1"/>
  <c r="N76" i="51"/>
  <c r="Q76" i="51" s="1"/>
  <c r="N68" i="51"/>
  <c r="Q68" i="51" s="1"/>
  <c r="N60" i="51"/>
  <c r="Q60" i="51" s="1"/>
  <c r="N52" i="51"/>
  <c r="Q52" i="51" s="1"/>
  <c r="N44" i="51"/>
  <c r="Q44" i="51" s="1"/>
  <c r="N36" i="51"/>
  <c r="Q36" i="51" s="1"/>
  <c r="N28" i="51"/>
  <c r="Q28" i="51" s="1"/>
  <c r="N20" i="51"/>
  <c r="Q20" i="51" s="1"/>
  <c r="F175" i="51"/>
  <c r="D176" i="39" s="1"/>
  <c r="F167" i="51"/>
  <c r="D168" i="39" s="1"/>
  <c r="F159" i="51"/>
  <c r="D160" i="39" s="1"/>
  <c r="F150" i="51"/>
  <c r="D151" i="39" s="1"/>
  <c r="F142" i="51"/>
  <c r="D143" i="39" s="1"/>
  <c r="F134" i="51"/>
  <c r="D135" i="39" s="1"/>
  <c r="F126" i="51"/>
  <c r="D127" i="39" s="1"/>
  <c r="F118" i="51"/>
  <c r="D119" i="39" s="1"/>
  <c r="F110" i="51"/>
  <c r="D111" i="39" s="1"/>
  <c r="F102" i="51"/>
  <c r="D103" i="39" s="1"/>
  <c r="F94" i="51"/>
  <c r="D95" i="39" s="1"/>
  <c r="F86" i="51"/>
  <c r="D87" i="39" s="1"/>
  <c r="F78" i="51"/>
  <c r="D79" i="39" s="1"/>
  <c r="F70" i="51"/>
  <c r="I70" i="51" s="1"/>
  <c r="F62" i="51"/>
  <c r="D63" i="39" s="1"/>
  <c r="F54" i="51"/>
  <c r="I54" i="51" s="1"/>
  <c r="F46" i="51"/>
  <c r="D47" i="39" s="1"/>
  <c r="F38" i="51"/>
  <c r="D39" i="39" s="1"/>
  <c r="F30" i="51"/>
  <c r="D31" i="39" s="1"/>
  <c r="F22" i="51"/>
  <c r="D23" i="39" s="1"/>
  <c r="N188" i="51"/>
  <c r="H189" i="39" s="1"/>
  <c r="N180" i="51"/>
  <c r="H181" i="39" s="1"/>
  <c r="N172" i="51"/>
  <c r="H173" i="39" s="1"/>
  <c r="N164" i="51"/>
  <c r="H165" i="39" s="1"/>
  <c r="N156" i="51"/>
  <c r="H157" i="39" s="1"/>
  <c r="N147" i="51"/>
  <c r="Q147" i="51" s="1"/>
  <c r="N139" i="51"/>
  <c r="Q139" i="51" s="1"/>
  <c r="N131" i="51"/>
  <c r="H132" i="39" s="1"/>
  <c r="N123" i="51"/>
  <c r="H124" i="39" s="1"/>
  <c r="N115" i="51"/>
  <c r="Q115" i="51" s="1"/>
  <c r="N107" i="51"/>
  <c r="Q107" i="51" s="1"/>
  <c r="N99" i="51"/>
  <c r="H100" i="39" s="1"/>
  <c r="N91" i="51"/>
  <c r="Q91" i="51" s="1"/>
  <c r="N83" i="51"/>
  <c r="Q83" i="51" s="1"/>
  <c r="N75" i="51"/>
  <c r="H76" i="39" s="1"/>
  <c r="N67" i="51"/>
  <c r="Q67" i="51" s="1"/>
  <c r="N59" i="51"/>
  <c r="H60" i="39" s="1"/>
  <c r="N51" i="51"/>
  <c r="Q51" i="51" s="1"/>
  <c r="N43" i="51"/>
  <c r="H44" i="39" s="1"/>
  <c r="N35" i="51"/>
  <c r="H36" i="39" s="1"/>
  <c r="N27" i="51"/>
  <c r="Q27" i="51" s="1"/>
  <c r="N19" i="51"/>
  <c r="H20" i="39" s="1"/>
  <c r="R52" i="38"/>
  <c r="R152" i="38"/>
  <c r="AA152" i="38" s="1"/>
  <c r="R47" i="38"/>
  <c r="R67" i="38"/>
  <c r="R107" i="38"/>
  <c r="R127" i="38"/>
  <c r="M128" i="50" s="1"/>
  <c r="R147" i="38"/>
  <c r="M148" i="50" s="1"/>
  <c r="R57" i="38"/>
  <c r="M58" i="50" s="1"/>
  <c r="D122" i="52" s="1"/>
  <c r="R117" i="38"/>
  <c r="R137" i="38"/>
  <c r="M197" i="51"/>
  <c r="N18" i="51"/>
  <c r="E197" i="51"/>
  <c r="R92" i="38"/>
  <c r="R112" i="38"/>
  <c r="M113" i="50" s="1"/>
  <c r="D221" i="52" s="1"/>
  <c r="W42" i="38"/>
  <c r="O43" i="50" s="1"/>
  <c r="D96" i="52" s="1"/>
  <c r="W162" i="38"/>
  <c r="O163" i="50" s="1"/>
  <c r="R87" i="38"/>
  <c r="R32" i="38"/>
  <c r="M33" i="50" s="1"/>
  <c r="D77" i="52" s="1"/>
  <c r="R122" i="38"/>
  <c r="Z137" i="38"/>
  <c r="W37" i="38"/>
  <c r="O38" i="50" s="1"/>
  <c r="D87" i="52" s="1"/>
  <c r="W97" i="38"/>
  <c r="O98" i="50" s="1"/>
  <c r="D195" i="52" s="1"/>
  <c r="W117" i="38"/>
  <c r="O118" i="50" s="1"/>
  <c r="D231" i="52" s="1"/>
  <c r="W137" i="38"/>
  <c r="O138" i="50" s="1"/>
  <c r="Z47" i="38"/>
  <c r="Z87" i="38"/>
  <c r="Z152" i="38"/>
  <c r="Z107" i="38"/>
  <c r="R27" i="38"/>
  <c r="M28" i="50" s="1"/>
  <c r="D68" i="52" s="1"/>
  <c r="W22" i="38"/>
  <c r="O23" i="50" s="1"/>
  <c r="D60" i="52" s="1"/>
  <c r="W62" i="38"/>
  <c r="O63" i="50" s="1"/>
  <c r="D132" i="52" s="1"/>
  <c r="W82" i="38"/>
  <c r="O83" i="50" s="1"/>
  <c r="D168" i="52" s="1"/>
  <c r="W102" i="38"/>
  <c r="O103" i="50" s="1"/>
  <c r="D204" i="52" s="1"/>
  <c r="W122" i="38"/>
  <c r="O123" i="50" s="1"/>
  <c r="D240" i="52" s="1"/>
  <c r="W142" i="38"/>
  <c r="O143" i="50" s="1"/>
  <c r="Z52" i="38"/>
  <c r="Z67" i="38"/>
  <c r="Z92" i="38"/>
  <c r="R72" i="38"/>
  <c r="M73" i="50" s="1"/>
  <c r="D149" i="52" s="1"/>
  <c r="R132" i="38"/>
  <c r="M133" i="50" s="1"/>
  <c r="W27" i="38"/>
  <c r="O28" i="50" s="1"/>
  <c r="D69" i="52" s="1"/>
  <c r="W67" i="38"/>
  <c r="O68" i="50" s="1"/>
  <c r="D141" i="52" s="1"/>
  <c r="W87" i="38"/>
  <c r="O88" i="50" s="1"/>
  <c r="D177" i="52" s="1"/>
  <c r="W127" i="38"/>
  <c r="O128" i="50" s="1"/>
  <c r="W147" i="38"/>
  <c r="O148" i="50" s="1"/>
  <c r="Z57" i="38"/>
  <c r="Z112" i="38"/>
  <c r="Z127" i="38"/>
  <c r="R37" i="38"/>
  <c r="M38" i="50" s="1"/>
  <c r="D86" i="52" s="1"/>
  <c r="R77" i="38"/>
  <c r="M78" i="50" s="1"/>
  <c r="D158" i="52" s="1"/>
  <c r="R97" i="38"/>
  <c r="M98" i="50" s="1"/>
  <c r="D194" i="52" s="1"/>
  <c r="R157" i="38"/>
  <c r="M158" i="50" s="1"/>
  <c r="W32" i="38"/>
  <c r="O33" i="50" s="1"/>
  <c r="D78" i="52" s="1"/>
  <c r="W52" i="38"/>
  <c r="O53" i="50" s="1"/>
  <c r="D114" i="52" s="1"/>
  <c r="W92" i="38"/>
  <c r="O93" i="50" s="1"/>
  <c r="D186" i="52" s="1"/>
  <c r="W152" i="38"/>
  <c r="O153" i="50" s="1"/>
  <c r="Z32" i="38"/>
  <c r="Z147" i="38"/>
  <c r="R42" i="38"/>
  <c r="M43" i="50" s="1"/>
  <c r="D95" i="52" s="1"/>
  <c r="R62" i="38"/>
  <c r="M63" i="50" s="1"/>
  <c r="D131" i="52" s="1"/>
  <c r="R82" i="38"/>
  <c r="M83" i="50" s="1"/>
  <c r="D167" i="52" s="1"/>
  <c r="R102" i="38"/>
  <c r="M103" i="50" s="1"/>
  <c r="D203" i="52" s="1"/>
  <c r="R142" i="38"/>
  <c r="M143" i="50" s="1"/>
  <c r="R162" i="38"/>
  <c r="M163" i="50" s="1"/>
  <c r="Z62" i="38"/>
  <c r="Z102" i="38"/>
  <c r="Z117" i="38"/>
  <c r="W17" i="38"/>
  <c r="O18" i="50" s="1"/>
  <c r="D51" i="52" s="1"/>
  <c r="R17" i="38"/>
  <c r="I188" i="51" l="1"/>
  <c r="I164" i="51"/>
  <c r="L184" i="50"/>
  <c r="I77" i="51"/>
  <c r="Q169" i="51"/>
  <c r="Q177" i="51"/>
  <c r="AA22" i="38"/>
  <c r="AA52" i="38"/>
  <c r="Q187" i="51"/>
  <c r="D62" i="39"/>
  <c r="Q163" i="51"/>
  <c r="Q144" i="51"/>
  <c r="H58" i="39"/>
  <c r="Q98" i="51"/>
  <c r="I139" i="51"/>
  <c r="I190" i="51"/>
  <c r="I149" i="51"/>
  <c r="Q40" i="51"/>
  <c r="I107" i="51"/>
  <c r="D112" i="39"/>
  <c r="Q104" i="51"/>
  <c r="I68" i="51"/>
  <c r="I150" i="51"/>
  <c r="H50" i="39"/>
  <c r="Q153" i="51"/>
  <c r="Q145" i="51"/>
  <c r="M23" i="50"/>
  <c r="D59" i="52" s="1"/>
  <c r="Q90" i="51"/>
  <c r="I89" i="51"/>
  <c r="Q120" i="51"/>
  <c r="H138" i="39"/>
  <c r="Q29" i="51"/>
  <c r="Q103" i="51"/>
  <c r="Q128" i="51"/>
  <c r="Q82" i="51"/>
  <c r="Q96" i="51"/>
  <c r="D126" i="39"/>
  <c r="D158" i="39"/>
  <c r="I69" i="51"/>
  <c r="I178" i="51"/>
  <c r="I166" i="51"/>
  <c r="I196" i="51"/>
  <c r="I195" i="51"/>
  <c r="D166" i="39"/>
  <c r="D37" i="39"/>
  <c r="Q62" i="51"/>
  <c r="I122" i="51"/>
  <c r="I103" i="51"/>
  <c r="I187" i="51"/>
  <c r="Q56" i="51"/>
  <c r="I45" i="51"/>
  <c r="H122" i="39"/>
  <c r="I117" i="51"/>
  <c r="I91" i="51"/>
  <c r="I193" i="51"/>
  <c r="Q64" i="51"/>
  <c r="I42" i="51"/>
  <c r="H148" i="39"/>
  <c r="I174" i="51"/>
  <c r="Q193" i="51"/>
  <c r="D61" i="39"/>
  <c r="Q72" i="51"/>
  <c r="Q131" i="51"/>
  <c r="Q159" i="51"/>
  <c r="D183" i="39"/>
  <c r="H118" i="39"/>
  <c r="I156" i="51"/>
  <c r="H130" i="39"/>
  <c r="Q158" i="51"/>
  <c r="Q171" i="51"/>
  <c r="Q195" i="51"/>
  <c r="I183" i="51"/>
  <c r="Q111" i="51"/>
  <c r="D81" i="39"/>
  <c r="Q24" i="51"/>
  <c r="I128" i="51"/>
  <c r="I35" i="51"/>
  <c r="D110" i="39"/>
  <c r="Q48" i="51"/>
  <c r="I98" i="51"/>
  <c r="Q58" i="51"/>
  <c r="I90" i="51"/>
  <c r="Q74" i="51"/>
  <c r="Q66" i="51"/>
  <c r="I114" i="51"/>
  <c r="I52" i="51"/>
  <c r="I26" i="51"/>
  <c r="Q122" i="51"/>
  <c r="D54" i="39"/>
  <c r="H34" i="39"/>
  <c r="I72" i="51"/>
  <c r="Q189" i="51"/>
  <c r="H126" i="39"/>
  <c r="I186" i="51"/>
  <c r="I100" i="51"/>
  <c r="D125" i="39"/>
  <c r="I159" i="51"/>
  <c r="Q154" i="51"/>
  <c r="I48" i="51"/>
  <c r="D59" i="39"/>
  <c r="H70" i="39"/>
  <c r="Q47" i="51"/>
  <c r="H98" i="39"/>
  <c r="Q161" i="51"/>
  <c r="Q126" i="51"/>
  <c r="I121" i="51"/>
  <c r="Q143" i="51"/>
  <c r="I163" i="51"/>
  <c r="Q155" i="51"/>
  <c r="Q196" i="51"/>
  <c r="I145" i="51"/>
  <c r="D193" i="39"/>
  <c r="Q181" i="51"/>
  <c r="H62" i="39"/>
  <c r="Q123" i="51"/>
  <c r="I154" i="51"/>
  <c r="H110" i="39"/>
  <c r="H29" i="39"/>
  <c r="I153" i="51"/>
  <c r="Q164" i="51"/>
  <c r="H125" i="39"/>
  <c r="H24" i="39"/>
  <c r="I47" i="51"/>
  <c r="I66" i="51"/>
  <c r="Q34" i="51"/>
  <c r="Q119" i="51"/>
  <c r="Q146" i="51"/>
  <c r="Q75" i="51"/>
  <c r="I118" i="51"/>
  <c r="I23" i="51"/>
  <c r="H90" i="39"/>
  <c r="Q102" i="51"/>
  <c r="Q136" i="51"/>
  <c r="I19" i="51"/>
  <c r="Q172" i="51"/>
  <c r="H66" i="39"/>
  <c r="Q186" i="51"/>
  <c r="I94" i="51"/>
  <c r="I142" i="51"/>
  <c r="I127" i="51"/>
  <c r="Q130" i="51"/>
  <c r="I180" i="51"/>
  <c r="H183" i="39"/>
  <c r="H28" i="39"/>
  <c r="I144" i="51"/>
  <c r="I79" i="51"/>
  <c r="Q134" i="51"/>
  <c r="Q71" i="51"/>
  <c r="D29" i="39"/>
  <c r="H93" i="39"/>
  <c r="Q185" i="51"/>
  <c r="Q25" i="51"/>
  <c r="D142" i="39"/>
  <c r="Q167" i="51"/>
  <c r="I73" i="51"/>
  <c r="Q35" i="51"/>
  <c r="I83" i="51"/>
  <c r="Q157" i="51"/>
  <c r="I126" i="51"/>
  <c r="I81" i="51"/>
  <c r="Q99" i="51"/>
  <c r="Q176" i="51"/>
  <c r="I147" i="51"/>
  <c r="H174" i="39"/>
  <c r="I189" i="51"/>
  <c r="H45" i="39"/>
  <c r="H85" i="39"/>
  <c r="H64" i="39"/>
  <c r="I40" i="51"/>
  <c r="D21" i="39"/>
  <c r="Q179" i="51"/>
  <c r="D120" i="39"/>
  <c r="I132" i="51"/>
  <c r="I115" i="51"/>
  <c r="H23" i="39"/>
  <c r="I137" i="51"/>
  <c r="H119" i="39"/>
  <c r="Q43" i="51"/>
  <c r="I160" i="51"/>
  <c r="D55" i="39"/>
  <c r="D149" i="39"/>
  <c r="Q50" i="51"/>
  <c r="Q32" i="51"/>
  <c r="Q79" i="51"/>
  <c r="H52" i="39"/>
  <c r="Q138" i="51"/>
  <c r="Q95" i="51"/>
  <c r="Q80" i="51"/>
  <c r="H114" i="39"/>
  <c r="H108" i="39"/>
  <c r="Q70" i="51"/>
  <c r="I179" i="51"/>
  <c r="D77" i="39"/>
  <c r="I32" i="51"/>
  <c r="I34" i="51"/>
  <c r="I18" i="51"/>
  <c r="I95" i="51"/>
  <c r="H166" i="39"/>
  <c r="I136" i="51"/>
  <c r="I172" i="51"/>
  <c r="Q160" i="51"/>
  <c r="H55" i="39"/>
  <c r="H78" i="39"/>
  <c r="I57" i="51"/>
  <c r="H22" i="39"/>
  <c r="I99" i="51"/>
  <c r="D38" i="39"/>
  <c r="D169" i="39"/>
  <c r="I63" i="51"/>
  <c r="H53" i="39"/>
  <c r="I22" i="51"/>
  <c r="Q188" i="51"/>
  <c r="I49" i="51"/>
  <c r="Q38" i="51"/>
  <c r="Q168" i="51"/>
  <c r="D83" i="39"/>
  <c r="H61" i="39"/>
  <c r="I104" i="51"/>
  <c r="I46" i="51"/>
  <c r="N175" i="38"/>
  <c r="Q30" i="51"/>
  <c r="H54" i="39"/>
  <c r="I96" i="51"/>
  <c r="I62" i="51"/>
  <c r="Q190" i="51"/>
  <c r="H86" i="39"/>
  <c r="D30" i="39"/>
  <c r="D71" i="39"/>
  <c r="H21" i="39"/>
  <c r="H109" i="39"/>
  <c r="D121" i="39"/>
  <c r="I43" i="51"/>
  <c r="H74" i="39"/>
  <c r="H117" i="39"/>
  <c r="D65" i="39"/>
  <c r="D162" i="39"/>
  <c r="D153" i="39"/>
  <c r="D152" i="39"/>
  <c r="F152" i="39" s="1"/>
  <c r="F197" i="51"/>
  <c r="H46" i="39"/>
  <c r="H150" i="39"/>
  <c r="Q178" i="51"/>
  <c r="Q114" i="51"/>
  <c r="Q31" i="51"/>
  <c r="Q81" i="51"/>
  <c r="I191" i="51"/>
  <c r="I135" i="51"/>
  <c r="I169" i="51"/>
  <c r="H68" i="39"/>
  <c r="Q112" i="51"/>
  <c r="Q39" i="51"/>
  <c r="D85" i="39"/>
  <c r="D93" i="39"/>
  <c r="I133" i="51"/>
  <c r="Q59" i="51"/>
  <c r="Q183" i="51"/>
  <c r="I146" i="51"/>
  <c r="Q88" i="51"/>
  <c r="Q191" i="51"/>
  <c r="I155" i="51"/>
  <c r="I131" i="51"/>
  <c r="I71" i="51"/>
  <c r="I176" i="51"/>
  <c r="I177" i="51"/>
  <c r="Q170" i="51"/>
  <c r="I113" i="51"/>
  <c r="I78" i="51"/>
  <c r="Q26" i="51"/>
  <c r="Q135" i="51"/>
  <c r="I39" i="51"/>
  <c r="I50" i="51"/>
  <c r="I158" i="51"/>
  <c r="I101" i="51"/>
  <c r="Q94" i="51"/>
  <c r="I86" i="51"/>
  <c r="H142" i="39"/>
  <c r="I27" i="51"/>
  <c r="L177" i="50"/>
  <c r="N179" i="38"/>
  <c r="L179" i="50"/>
  <c r="L176" i="50"/>
  <c r="I102" i="51"/>
  <c r="I167" i="51"/>
  <c r="H133" i="39"/>
  <c r="Q106" i="51"/>
  <c r="Q194" i="51"/>
  <c r="I110" i="51"/>
  <c r="I175" i="51"/>
  <c r="H42" i="39"/>
  <c r="H106" i="39"/>
  <c r="H116" i="39"/>
  <c r="I65" i="51"/>
  <c r="I129" i="51"/>
  <c r="I194" i="51"/>
  <c r="Q86" i="51"/>
  <c r="Q152" i="51"/>
  <c r="I30" i="51"/>
  <c r="I87" i="51"/>
  <c r="I59" i="51"/>
  <c r="I31" i="51"/>
  <c r="I143" i="51"/>
  <c r="I55" i="51"/>
  <c r="H37" i="39"/>
  <c r="I51" i="51"/>
  <c r="D22" i="39"/>
  <c r="H94" i="39"/>
  <c r="H38" i="39"/>
  <c r="H47" i="39"/>
  <c r="I106" i="51"/>
  <c r="I171" i="51"/>
  <c r="I85" i="51"/>
  <c r="I123" i="51"/>
  <c r="D109" i="39"/>
  <c r="H69" i="39"/>
  <c r="H141" i="39"/>
  <c r="I185" i="51"/>
  <c r="D174" i="39"/>
  <c r="Q19" i="51"/>
  <c r="H79" i="39"/>
  <c r="Q55" i="51"/>
  <c r="I38" i="51"/>
  <c r="I74" i="51"/>
  <c r="H140" i="39"/>
  <c r="I134" i="51"/>
  <c r="H102" i="39"/>
  <c r="Q156" i="51"/>
  <c r="Q166" i="51"/>
  <c r="H111" i="39"/>
  <c r="Q150" i="51"/>
  <c r="Q127" i="51"/>
  <c r="D45" i="39"/>
  <c r="I93" i="51"/>
  <c r="Q180" i="51"/>
  <c r="H77" i="39"/>
  <c r="H149" i="39"/>
  <c r="H92" i="39"/>
  <c r="I56" i="51"/>
  <c r="I24" i="51"/>
  <c r="H101" i="39"/>
  <c r="D182" i="39"/>
  <c r="I112" i="51"/>
  <c r="I25" i="51"/>
  <c r="L180" i="50"/>
  <c r="H84" i="39"/>
  <c r="Q42" i="51"/>
  <c r="Q162" i="51"/>
  <c r="H134" i="39"/>
  <c r="N176" i="38"/>
  <c r="Q174" i="51"/>
  <c r="I33" i="51"/>
  <c r="I97" i="51"/>
  <c r="I162" i="51"/>
  <c r="H143" i="39"/>
  <c r="I130" i="51"/>
  <c r="Q87" i="51"/>
  <c r="Q184" i="51"/>
  <c r="I152" i="51"/>
  <c r="I88" i="51"/>
  <c r="D117" i="39"/>
  <c r="I184" i="51"/>
  <c r="I67" i="51"/>
  <c r="D141" i="39"/>
  <c r="N178" i="38"/>
  <c r="I41" i="51"/>
  <c r="I105" i="51"/>
  <c r="I170" i="51"/>
  <c r="Q175" i="51"/>
  <c r="I138" i="51"/>
  <c r="Q192" i="51"/>
  <c r="I75" i="51"/>
  <c r="M53" i="50"/>
  <c r="D113" i="52" s="1"/>
  <c r="M153" i="50"/>
  <c r="AA32" i="38"/>
  <c r="AA127" i="38"/>
  <c r="AA112" i="38"/>
  <c r="AA57" i="38"/>
  <c r="AA147" i="38"/>
  <c r="AA67" i="38"/>
  <c r="M68" i="50"/>
  <c r="D140" i="52" s="1"/>
  <c r="AA47" i="38"/>
  <c r="M48" i="50"/>
  <c r="D104" i="52" s="1"/>
  <c r="AA137" i="38"/>
  <c r="M138" i="50"/>
  <c r="AA92" i="38"/>
  <c r="M93" i="50"/>
  <c r="D185" i="52" s="1"/>
  <c r="AA117" i="38"/>
  <c r="M118" i="50"/>
  <c r="D230" i="52" s="1"/>
  <c r="AA122" i="38"/>
  <c r="M123" i="50"/>
  <c r="D239" i="52" s="1"/>
  <c r="AA87" i="38"/>
  <c r="M88" i="50"/>
  <c r="D176" i="52" s="1"/>
  <c r="N197" i="51"/>
  <c r="H19" i="39"/>
  <c r="Q18" i="51"/>
  <c r="AA107" i="38"/>
  <c r="M108" i="50"/>
  <c r="D212" i="52" s="1"/>
  <c r="AA72" i="38"/>
  <c r="AA37" i="38"/>
  <c r="AA162" i="38"/>
  <c r="AA82" i="38"/>
  <c r="AA132" i="38"/>
  <c r="AA62" i="38"/>
  <c r="AA157" i="38"/>
  <c r="AA142" i="38"/>
  <c r="AA97" i="38"/>
  <c r="AA102" i="38"/>
  <c r="AA42" i="38"/>
  <c r="AA77" i="38"/>
  <c r="AA17" i="38"/>
  <c r="M18" i="50"/>
  <c r="D50" i="52" s="1"/>
  <c r="AA27" i="38"/>
  <c r="R167" i="38"/>
  <c r="L178" i="50" l="1"/>
  <c r="N177" i="38"/>
  <c r="I197" i="51"/>
  <c r="I8" i="51" s="1"/>
  <c r="D198" i="39"/>
  <c r="L165" i="38"/>
  <c r="L164" i="38"/>
  <c r="L163" i="38"/>
  <c r="L160" i="38"/>
  <c r="L159" i="38"/>
  <c r="L158" i="38"/>
  <c r="L155" i="38"/>
  <c r="L154" i="38"/>
  <c r="L153" i="38"/>
  <c r="L150" i="38"/>
  <c r="L149" i="38"/>
  <c r="L148" i="38"/>
  <c r="L145" i="38"/>
  <c r="L144" i="38"/>
  <c r="L143" i="38"/>
  <c r="L140" i="38"/>
  <c r="L139" i="38"/>
  <c r="L138" i="38"/>
  <c r="L135" i="38"/>
  <c r="L134" i="38"/>
  <c r="L133" i="38"/>
  <c r="L130" i="38"/>
  <c r="L129" i="38"/>
  <c r="L128" i="38"/>
  <c r="L125" i="38"/>
  <c r="L124" i="38"/>
  <c r="L123" i="38"/>
  <c r="L120" i="38"/>
  <c r="L119" i="38"/>
  <c r="L118" i="38"/>
  <c r="L115" i="38"/>
  <c r="L114" i="38"/>
  <c r="L113" i="38"/>
  <c r="L110" i="38"/>
  <c r="L109" i="38"/>
  <c r="L108" i="38"/>
  <c r="L105" i="38"/>
  <c r="L104" i="38"/>
  <c r="L103" i="38"/>
  <c r="L100" i="38"/>
  <c r="L99" i="38"/>
  <c r="L98" i="38"/>
  <c r="L95" i="38"/>
  <c r="L94" i="38"/>
  <c r="L93" i="38"/>
  <c r="L90" i="38"/>
  <c r="L89" i="38"/>
  <c r="L88" i="38"/>
  <c r="L85" i="38"/>
  <c r="L84" i="38"/>
  <c r="L83" i="38"/>
  <c r="L80" i="38"/>
  <c r="L79" i="38"/>
  <c r="L78" i="38"/>
  <c r="L75" i="38"/>
  <c r="L74" i="38"/>
  <c r="L73" i="38"/>
  <c r="L70" i="38"/>
  <c r="L69" i="38"/>
  <c r="L68" i="38"/>
  <c r="L65" i="38"/>
  <c r="L64" i="38"/>
  <c r="L63" i="38"/>
  <c r="L60" i="38"/>
  <c r="L59" i="38"/>
  <c r="L58" i="38"/>
  <c r="L55" i="38"/>
  <c r="L54" i="38"/>
  <c r="L53" i="38"/>
  <c r="L50" i="38"/>
  <c r="L49" i="38"/>
  <c r="L48" i="38"/>
  <c r="L45" i="38"/>
  <c r="L44" i="38"/>
  <c r="L43" i="38"/>
  <c r="L40" i="38"/>
  <c r="L39" i="38"/>
  <c r="L38" i="38"/>
  <c r="L35" i="38"/>
  <c r="L34" i="38"/>
  <c r="L33" i="38"/>
  <c r="L30" i="38"/>
  <c r="L29" i="38"/>
  <c r="L28" i="38"/>
  <c r="L25" i="38"/>
  <c r="L24" i="38"/>
  <c r="L23" i="38"/>
  <c r="L20" i="38" l="1"/>
  <c r="K165" i="38"/>
  <c r="M165" i="38" s="1"/>
  <c r="K166" i="50" s="1"/>
  <c r="K164" i="38"/>
  <c r="M164" i="38" s="1"/>
  <c r="K165" i="50" s="1"/>
  <c r="K163" i="38"/>
  <c r="M163" i="38" s="1"/>
  <c r="K164" i="50" s="1"/>
  <c r="K160" i="38"/>
  <c r="M160" i="38" s="1"/>
  <c r="K161" i="50" s="1"/>
  <c r="K159" i="38"/>
  <c r="M159" i="38" s="1"/>
  <c r="K160" i="50" s="1"/>
  <c r="K158" i="38"/>
  <c r="M158" i="38" s="1"/>
  <c r="K159" i="50" s="1"/>
  <c r="K155" i="38"/>
  <c r="M155" i="38" s="1"/>
  <c r="K156" i="50" s="1"/>
  <c r="K154" i="38"/>
  <c r="M154" i="38" s="1"/>
  <c r="K155" i="50" s="1"/>
  <c r="K153" i="38"/>
  <c r="M153" i="38" s="1"/>
  <c r="K154" i="50" s="1"/>
  <c r="K150" i="38"/>
  <c r="M150" i="38" s="1"/>
  <c r="K151" i="50" s="1"/>
  <c r="K149" i="38"/>
  <c r="M149" i="38" s="1"/>
  <c r="K150" i="50" s="1"/>
  <c r="K148" i="38"/>
  <c r="M148" i="38" s="1"/>
  <c r="K149" i="50" s="1"/>
  <c r="K145" i="38"/>
  <c r="M145" i="38" s="1"/>
  <c r="K146" i="50" s="1"/>
  <c r="K144" i="38"/>
  <c r="M144" i="38" s="1"/>
  <c r="K145" i="50" s="1"/>
  <c r="K143" i="38"/>
  <c r="M143" i="38" s="1"/>
  <c r="K144" i="50" s="1"/>
  <c r="K140" i="38"/>
  <c r="M140" i="38" s="1"/>
  <c r="K141" i="50" s="1"/>
  <c r="K139" i="38"/>
  <c r="M139" i="38" s="1"/>
  <c r="K140" i="50" s="1"/>
  <c r="K138" i="38"/>
  <c r="M138" i="38" s="1"/>
  <c r="K139" i="50" s="1"/>
  <c r="K135" i="38"/>
  <c r="M135" i="38" s="1"/>
  <c r="K136" i="50" s="1"/>
  <c r="K134" i="38"/>
  <c r="M134" i="38" s="1"/>
  <c r="K135" i="50" s="1"/>
  <c r="K133" i="38"/>
  <c r="M133" i="38" s="1"/>
  <c r="K134" i="50" s="1"/>
  <c r="K130" i="38"/>
  <c r="M130" i="38" s="1"/>
  <c r="K131" i="50" s="1"/>
  <c r="K129" i="38"/>
  <c r="M129" i="38" s="1"/>
  <c r="K130" i="50" s="1"/>
  <c r="K128" i="38"/>
  <c r="M128" i="38" s="1"/>
  <c r="K129" i="50" s="1"/>
  <c r="K125" i="38"/>
  <c r="M125" i="38" s="1"/>
  <c r="K126" i="50" s="1"/>
  <c r="K124" i="38"/>
  <c r="M124" i="38" s="1"/>
  <c r="K125" i="50" s="1"/>
  <c r="K123" i="38"/>
  <c r="M123" i="38" s="1"/>
  <c r="K124" i="50" s="1"/>
  <c r="K120" i="38"/>
  <c r="M120" i="38" s="1"/>
  <c r="K121" i="50" s="1"/>
  <c r="K119" i="38"/>
  <c r="M119" i="38" s="1"/>
  <c r="K120" i="50" s="1"/>
  <c r="K118" i="38"/>
  <c r="M118" i="38" s="1"/>
  <c r="K119" i="50" s="1"/>
  <c r="K115" i="38"/>
  <c r="M115" i="38" s="1"/>
  <c r="K116" i="50" s="1"/>
  <c r="K114" i="38"/>
  <c r="M114" i="38" s="1"/>
  <c r="K115" i="50" s="1"/>
  <c r="K113" i="38"/>
  <c r="M113" i="38" s="1"/>
  <c r="K114" i="50" s="1"/>
  <c r="K110" i="38"/>
  <c r="M110" i="38" s="1"/>
  <c r="K111" i="50" s="1"/>
  <c r="K109" i="38"/>
  <c r="M109" i="38" s="1"/>
  <c r="K110" i="50" s="1"/>
  <c r="K108" i="38"/>
  <c r="M108" i="38" s="1"/>
  <c r="K109" i="50" s="1"/>
  <c r="K105" i="38"/>
  <c r="M105" i="38" s="1"/>
  <c r="K106" i="50" s="1"/>
  <c r="K104" i="38"/>
  <c r="M104" i="38" s="1"/>
  <c r="K105" i="50" s="1"/>
  <c r="K103" i="38"/>
  <c r="M103" i="38" s="1"/>
  <c r="K104" i="50" s="1"/>
  <c r="K100" i="38"/>
  <c r="M100" i="38" s="1"/>
  <c r="K101" i="50" s="1"/>
  <c r="K99" i="38"/>
  <c r="M99" i="38" s="1"/>
  <c r="K100" i="50" s="1"/>
  <c r="K98" i="38"/>
  <c r="M98" i="38" s="1"/>
  <c r="K99" i="50" s="1"/>
  <c r="K95" i="38"/>
  <c r="M95" i="38" s="1"/>
  <c r="K96" i="50" s="1"/>
  <c r="K94" i="38"/>
  <c r="M94" i="38" s="1"/>
  <c r="K95" i="50" s="1"/>
  <c r="K93" i="38"/>
  <c r="M93" i="38" s="1"/>
  <c r="K94" i="50" s="1"/>
  <c r="K90" i="38"/>
  <c r="M90" i="38" s="1"/>
  <c r="K91" i="50" s="1"/>
  <c r="K89" i="38"/>
  <c r="M89" i="38" s="1"/>
  <c r="K90" i="50" s="1"/>
  <c r="K88" i="38"/>
  <c r="M88" i="38" s="1"/>
  <c r="K89" i="50" s="1"/>
  <c r="K85" i="38"/>
  <c r="M85" i="38" s="1"/>
  <c r="K86" i="50" s="1"/>
  <c r="K84" i="38"/>
  <c r="M84" i="38" s="1"/>
  <c r="K85" i="50" s="1"/>
  <c r="K83" i="38"/>
  <c r="M83" i="38" s="1"/>
  <c r="K84" i="50" s="1"/>
  <c r="K80" i="38"/>
  <c r="M80" i="38" s="1"/>
  <c r="K81" i="50" s="1"/>
  <c r="K79" i="38"/>
  <c r="M79" i="38" s="1"/>
  <c r="K80" i="50" s="1"/>
  <c r="K78" i="38"/>
  <c r="M78" i="38" s="1"/>
  <c r="K79" i="50" s="1"/>
  <c r="K75" i="38"/>
  <c r="M75" i="38" s="1"/>
  <c r="K76" i="50" s="1"/>
  <c r="K74" i="38"/>
  <c r="M74" i="38" s="1"/>
  <c r="K75" i="50" s="1"/>
  <c r="K73" i="38"/>
  <c r="M73" i="38" s="1"/>
  <c r="K74" i="50" s="1"/>
  <c r="K70" i="38"/>
  <c r="M70" i="38" s="1"/>
  <c r="K71" i="50" s="1"/>
  <c r="K69" i="38"/>
  <c r="M69" i="38" s="1"/>
  <c r="K70" i="50" s="1"/>
  <c r="K68" i="38"/>
  <c r="M68" i="38" s="1"/>
  <c r="K69" i="50" s="1"/>
  <c r="K65" i="38"/>
  <c r="M65" i="38" s="1"/>
  <c r="K66" i="50" s="1"/>
  <c r="K64" i="38"/>
  <c r="M64" i="38" s="1"/>
  <c r="K65" i="50" s="1"/>
  <c r="K63" i="38"/>
  <c r="M63" i="38" s="1"/>
  <c r="K64" i="50" s="1"/>
  <c r="K60" i="38"/>
  <c r="M60" i="38" s="1"/>
  <c r="K61" i="50" s="1"/>
  <c r="K59" i="38"/>
  <c r="M59" i="38" s="1"/>
  <c r="K60" i="50" s="1"/>
  <c r="K58" i="38"/>
  <c r="M58" i="38" s="1"/>
  <c r="K59" i="50" s="1"/>
  <c r="K55" i="38"/>
  <c r="M55" i="38" s="1"/>
  <c r="K56" i="50" s="1"/>
  <c r="K54" i="38"/>
  <c r="M54" i="38" s="1"/>
  <c r="K55" i="50" s="1"/>
  <c r="K53" i="38"/>
  <c r="M53" i="38" s="1"/>
  <c r="K54" i="50" s="1"/>
  <c r="K50" i="38"/>
  <c r="M50" i="38" s="1"/>
  <c r="K51" i="50" s="1"/>
  <c r="K49" i="38"/>
  <c r="M49" i="38" s="1"/>
  <c r="K50" i="50" s="1"/>
  <c r="K48" i="38"/>
  <c r="M48" i="38" s="1"/>
  <c r="K49" i="50" s="1"/>
  <c r="K45" i="38"/>
  <c r="M45" i="38" s="1"/>
  <c r="K46" i="50" s="1"/>
  <c r="K44" i="38"/>
  <c r="M44" i="38" s="1"/>
  <c r="K45" i="50" s="1"/>
  <c r="K43" i="38"/>
  <c r="M43" i="38" s="1"/>
  <c r="K44" i="50" s="1"/>
  <c r="K40" i="38"/>
  <c r="M40" i="38" s="1"/>
  <c r="K41" i="50" s="1"/>
  <c r="K39" i="38"/>
  <c r="M39" i="38" s="1"/>
  <c r="K40" i="50" s="1"/>
  <c r="K38" i="38"/>
  <c r="M38" i="38" s="1"/>
  <c r="K39" i="50" s="1"/>
  <c r="K35" i="38"/>
  <c r="M35" i="38" s="1"/>
  <c r="K36" i="50" s="1"/>
  <c r="K34" i="38"/>
  <c r="M34" i="38" s="1"/>
  <c r="K35" i="50" s="1"/>
  <c r="K33" i="38"/>
  <c r="M33" i="38" s="1"/>
  <c r="K34" i="50" s="1"/>
  <c r="K30" i="38"/>
  <c r="M30" i="38" s="1"/>
  <c r="K31" i="50" s="1"/>
  <c r="K29" i="38"/>
  <c r="M29" i="38" s="1"/>
  <c r="K30" i="50" s="1"/>
  <c r="K28" i="38"/>
  <c r="M28" i="38" s="1"/>
  <c r="K29" i="50" s="1"/>
  <c r="K25" i="38"/>
  <c r="M25" i="38" s="1"/>
  <c r="K26" i="50" s="1"/>
  <c r="K24" i="38"/>
  <c r="M24" i="38" s="1"/>
  <c r="K25" i="50" s="1"/>
  <c r="K23" i="38"/>
  <c r="M23" i="38" s="1"/>
  <c r="K24" i="50" s="1"/>
  <c r="J165" i="38"/>
  <c r="J166" i="50" s="1"/>
  <c r="J164" i="38"/>
  <c r="J165" i="50" s="1"/>
  <c r="J163" i="38"/>
  <c r="J164" i="50" s="1"/>
  <c r="J160" i="38"/>
  <c r="J161" i="50" s="1"/>
  <c r="J159" i="38"/>
  <c r="J160" i="50" s="1"/>
  <c r="J158" i="38"/>
  <c r="J159" i="50" s="1"/>
  <c r="J155" i="38"/>
  <c r="J156" i="50" s="1"/>
  <c r="J154" i="38"/>
  <c r="J155" i="50" s="1"/>
  <c r="J153" i="38"/>
  <c r="J154" i="50" s="1"/>
  <c r="J150" i="38"/>
  <c r="J151" i="50" s="1"/>
  <c r="J149" i="38"/>
  <c r="J150" i="50" s="1"/>
  <c r="J148" i="38"/>
  <c r="J149" i="50" s="1"/>
  <c r="J145" i="38"/>
  <c r="J146" i="50" s="1"/>
  <c r="J144" i="38"/>
  <c r="J145" i="50" s="1"/>
  <c r="J143" i="38"/>
  <c r="J144" i="50" s="1"/>
  <c r="J140" i="38"/>
  <c r="J141" i="50" s="1"/>
  <c r="J139" i="38"/>
  <c r="J140" i="50" s="1"/>
  <c r="J138" i="38"/>
  <c r="J139" i="50" s="1"/>
  <c r="J135" i="38"/>
  <c r="J136" i="50" s="1"/>
  <c r="J134" i="38"/>
  <c r="J135" i="50" s="1"/>
  <c r="J133" i="38"/>
  <c r="J134" i="50" s="1"/>
  <c r="J130" i="38"/>
  <c r="J131" i="50" s="1"/>
  <c r="J129" i="38"/>
  <c r="J130" i="50" s="1"/>
  <c r="J128" i="38"/>
  <c r="J129" i="50" s="1"/>
  <c r="J125" i="38"/>
  <c r="J126" i="50" s="1"/>
  <c r="J124" i="38"/>
  <c r="J125" i="50" s="1"/>
  <c r="J123" i="38"/>
  <c r="J124" i="50" s="1"/>
  <c r="J120" i="38"/>
  <c r="J121" i="50" s="1"/>
  <c r="J119" i="38"/>
  <c r="J120" i="50" s="1"/>
  <c r="J118" i="38"/>
  <c r="J119" i="50" s="1"/>
  <c r="J115" i="38"/>
  <c r="J116" i="50" s="1"/>
  <c r="J114" i="38"/>
  <c r="J115" i="50" s="1"/>
  <c r="J113" i="38"/>
  <c r="J114" i="50" s="1"/>
  <c r="J110" i="38"/>
  <c r="J111" i="50" s="1"/>
  <c r="J109" i="38"/>
  <c r="J110" i="50" s="1"/>
  <c r="J108" i="38"/>
  <c r="J109" i="50" s="1"/>
  <c r="J105" i="38"/>
  <c r="J106" i="50" s="1"/>
  <c r="J104" i="38"/>
  <c r="J105" i="50" s="1"/>
  <c r="J103" i="38"/>
  <c r="J104" i="50" s="1"/>
  <c r="J100" i="38"/>
  <c r="J101" i="50" s="1"/>
  <c r="J99" i="38"/>
  <c r="J100" i="50" s="1"/>
  <c r="J98" i="38"/>
  <c r="J99" i="50" s="1"/>
  <c r="J95" i="38"/>
  <c r="J96" i="50" s="1"/>
  <c r="J94" i="38"/>
  <c r="J95" i="50" s="1"/>
  <c r="J93" i="38"/>
  <c r="J94" i="50" s="1"/>
  <c r="J90" i="38"/>
  <c r="J91" i="50" s="1"/>
  <c r="J89" i="38"/>
  <c r="J90" i="50" s="1"/>
  <c r="J88" i="38"/>
  <c r="J89" i="50" s="1"/>
  <c r="J85" i="38"/>
  <c r="J86" i="50" s="1"/>
  <c r="J84" i="38"/>
  <c r="J85" i="50" s="1"/>
  <c r="J83" i="38"/>
  <c r="J84" i="50" s="1"/>
  <c r="J80" i="38"/>
  <c r="J81" i="50" s="1"/>
  <c r="J79" i="38"/>
  <c r="J80" i="50" s="1"/>
  <c r="J78" i="38"/>
  <c r="J79" i="50" s="1"/>
  <c r="J75" i="38"/>
  <c r="J76" i="50" s="1"/>
  <c r="J74" i="38"/>
  <c r="J75" i="50" s="1"/>
  <c r="J73" i="38"/>
  <c r="J74" i="50" s="1"/>
  <c r="J70" i="38"/>
  <c r="J71" i="50" s="1"/>
  <c r="J69" i="38"/>
  <c r="J70" i="50" s="1"/>
  <c r="J68" i="38"/>
  <c r="J69" i="50" s="1"/>
  <c r="J65" i="38"/>
  <c r="J66" i="50" s="1"/>
  <c r="J64" i="38"/>
  <c r="J65" i="50" s="1"/>
  <c r="J63" i="38"/>
  <c r="J64" i="50" s="1"/>
  <c r="J60" i="38"/>
  <c r="J61" i="50" s="1"/>
  <c r="J59" i="38"/>
  <c r="J60" i="50" s="1"/>
  <c r="J58" i="38"/>
  <c r="J59" i="50" s="1"/>
  <c r="J55" i="38"/>
  <c r="J56" i="50" s="1"/>
  <c r="J54" i="38"/>
  <c r="J55" i="50" s="1"/>
  <c r="J53" i="38"/>
  <c r="J54" i="50" s="1"/>
  <c r="J50" i="38"/>
  <c r="J51" i="50" s="1"/>
  <c r="J49" i="38"/>
  <c r="J50" i="50" s="1"/>
  <c r="J48" i="38"/>
  <c r="J49" i="50" s="1"/>
  <c r="J45" i="38"/>
  <c r="J46" i="50" s="1"/>
  <c r="J44" i="38"/>
  <c r="J45" i="50" s="1"/>
  <c r="J43" i="38"/>
  <c r="J44" i="50" s="1"/>
  <c r="J40" i="38"/>
  <c r="J41" i="50" s="1"/>
  <c r="J39" i="38"/>
  <c r="J40" i="50" s="1"/>
  <c r="J38" i="38"/>
  <c r="J39" i="50" s="1"/>
  <c r="J35" i="38"/>
  <c r="J36" i="50" s="1"/>
  <c r="J34" i="38"/>
  <c r="J35" i="50" s="1"/>
  <c r="J33" i="38"/>
  <c r="J34" i="50" s="1"/>
  <c r="J30" i="38"/>
  <c r="J31" i="50" s="1"/>
  <c r="J29" i="38"/>
  <c r="J30" i="50" s="1"/>
  <c r="J28" i="38"/>
  <c r="J29" i="50" s="1"/>
  <c r="J25" i="38"/>
  <c r="J26" i="50" s="1"/>
  <c r="J24" i="38"/>
  <c r="J25" i="50" s="1"/>
  <c r="J23" i="38"/>
  <c r="J24" i="50" s="1"/>
  <c r="J20" i="38"/>
  <c r="J21" i="50" s="1"/>
  <c r="J19" i="38"/>
  <c r="J20" i="50" s="1"/>
  <c r="J18" i="38"/>
  <c r="K20" i="38"/>
  <c r="K19" i="38"/>
  <c r="K18" i="38"/>
  <c r="M18" i="38" s="1"/>
  <c r="K19" i="50" s="1"/>
  <c r="E162" i="38"/>
  <c r="E163" i="50" s="1"/>
  <c r="D162" i="38"/>
  <c r="D163" i="50" s="1"/>
  <c r="E157" i="38"/>
  <c r="E158" i="50" s="1"/>
  <c r="D157" i="38"/>
  <c r="D158" i="50" s="1"/>
  <c r="E152" i="38"/>
  <c r="E153" i="50" s="1"/>
  <c r="D152" i="38"/>
  <c r="D153" i="50" s="1"/>
  <c r="E147" i="38"/>
  <c r="E148" i="50" s="1"/>
  <c r="D147" i="38"/>
  <c r="D148" i="50" s="1"/>
  <c r="E142" i="38"/>
  <c r="E143" i="50" s="1"/>
  <c r="D142" i="38"/>
  <c r="D143" i="50" s="1"/>
  <c r="E137" i="38"/>
  <c r="E138" i="50" s="1"/>
  <c r="D137" i="38"/>
  <c r="D138" i="50" s="1"/>
  <c r="E132" i="38"/>
  <c r="E133" i="50" s="1"/>
  <c r="D132" i="38"/>
  <c r="D133" i="50" s="1"/>
  <c r="E127" i="38"/>
  <c r="E128" i="50" s="1"/>
  <c r="D127" i="38"/>
  <c r="D128" i="50" s="1"/>
  <c r="E122" i="38"/>
  <c r="E123" i="50" s="1"/>
  <c r="D122" i="38"/>
  <c r="D123" i="50" s="1"/>
  <c r="E117" i="38"/>
  <c r="E118" i="50" s="1"/>
  <c r="D117" i="38"/>
  <c r="D118" i="50" s="1"/>
  <c r="E112" i="38"/>
  <c r="E113" i="50" s="1"/>
  <c r="D112" i="38"/>
  <c r="D113" i="50" s="1"/>
  <c r="E107" i="38"/>
  <c r="E108" i="50" s="1"/>
  <c r="D107" i="38"/>
  <c r="D108" i="50" s="1"/>
  <c r="E102" i="38"/>
  <c r="E103" i="50" s="1"/>
  <c r="D102" i="38"/>
  <c r="D103" i="50" s="1"/>
  <c r="E97" i="38"/>
  <c r="E98" i="50" s="1"/>
  <c r="D97" i="38"/>
  <c r="D98" i="50" s="1"/>
  <c r="E92" i="38"/>
  <c r="E93" i="50" s="1"/>
  <c r="D92" i="38"/>
  <c r="D93" i="50" s="1"/>
  <c r="E87" i="38"/>
  <c r="E88" i="50" s="1"/>
  <c r="D87" i="38"/>
  <c r="D88" i="50" s="1"/>
  <c r="E82" i="38"/>
  <c r="E83" i="50" s="1"/>
  <c r="D82" i="38"/>
  <c r="D83" i="50" s="1"/>
  <c r="E77" i="38"/>
  <c r="E78" i="50" s="1"/>
  <c r="D77" i="38"/>
  <c r="D78" i="50" s="1"/>
  <c r="E72" i="38"/>
  <c r="E73" i="50" s="1"/>
  <c r="D72" i="38"/>
  <c r="D73" i="50" s="1"/>
  <c r="E67" i="38"/>
  <c r="E68" i="50" s="1"/>
  <c r="D67" i="38"/>
  <c r="D68" i="50" s="1"/>
  <c r="E62" i="38"/>
  <c r="E63" i="50" s="1"/>
  <c r="D62" i="38"/>
  <c r="D63" i="50" s="1"/>
  <c r="E57" i="38"/>
  <c r="E58" i="50" s="1"/>
  <c r="D57" i="38"/>
  <c r="D58" i="50" s="1"/>
  <c r="E52" i="38"/>
  <c r="E53" i="50" s="1"/>
  <c r="D52" i="38"/>
  <c r="D53" i="50" s="1"/>
  <c r="E47" i="38"/>
  <c r="E48" i="50" s="1"/>
  <c r="D47" i="38"/>
  <c r="D48" i="50" s="1"/>
  <c r="E42" i="38"/>
  <c r="E43" i="50" s="1"/>
  <c r="D42" i="38"/>
  <c r="D43" i="50" s="1"/>
  <c r="E37" i="38"/>
  <c r="E38" i="50" s="1"/>
  <c r="D37" i="38"/>
  <c r="D38" i="50" s="1"/>
  <c r="E32" i="38"/>
  <c r="E33" i="50" s="1"/>
  <c r="D32" i="38"/>
  <c r="D33" i="50" s="1"/>
  <c r="E27" i="38"/>
  <c r="E28" i="50" s="1"/>
  <c r="D27" i="38"/>
  <c r="D28" i="50" s="1"/>
  <c r="E22" i="38"/>
  <c r="E23" i="50" s="1"/>
  <c r="D22" i="38"/>
  <c r="D23" i="50" s="1"/>
  <c r="E17" i="38"/>
  <c r="E18" i="50" s="1"/>
  <c r="D17" i="38"/>
  <c r="D18" i="50" s="1"/>
  <c r="B162" i="38"/>
  <c r="B163" i="50" s="1"/>
  <c r="B157" i="38"/>
  <c r="B152" i="38"/>
  <c r="B153" i="50" s="1"/>
  <c r="B147" i="38"/>
  <c r="B148" i="50" s="1"/>
  <c r="B142" i="38"/>
  <c r="B143" i="50" s="1"/>
  <c r="B137" i="38"/>
  <c r="B138" i="50" s="1"/>
  <c r="B132" i="38"/>
  <c r="B133" i="50" s="1"/>
  <c r="B127" i="38"/>
  <c r="B128" i="50" s="1"/>
  <c r="B122" i="38"/>
  <c r="B123" i="50" s="1"/>
  <c r="B237" i="52" s="1"/>
  <c r="B117" i="38"/>
  <c r="B118" i="50" s="1"/>
  <c r="B228" i="52" s="1"/>
  <c r="B112" i="38"/>
  <c r="B113" i="50" s="1"/>
  <c r="B219" i="52" s="1"/>
  <c r="B107" i="38"/>
  <c r="B108" i="50" s="1"/>
  <c r="B210" i="52" s="1"/>
  <c r="B102" i="38"/>
  <c r="B103" i="50" s="1"/>
  <c r="B201" i="52" s="1"/>
  <c r="B97" i="38"/>
  <c r="B98" i="50" s="1"/>
  <c r="B192" i="52" s="1"/>
  <c r="B92" i="38"/>
  <c r="B93" i="50" s="1"/>
  <c r="B183" i="52" s="1"/>
  <c r="B87" i="38"/>
  <c r="B88" i="50" s="1"/>
  <c r="B174" i="52" s="1"/>
  <c r="B82" i="38"/>
  <c r="B83" i="50" s="1"/>
  <c r="B165" i="52" s="1"/>
  <c r="B77" i="38"/>
  <c r="B78" i="50" s="1"/>
  <c r="B156" i="52" s="1"/>
  <c r="B72" i="38"/>
  <c r="B73" i="50" s="1"/>
  <c r="B147" i="52" s="1"/>
  <c r="B67" i="38"/>
  <c r="B68" i="50" s="1"/>
  <c r="B138" i="52" s="1"/>
  <c r="B62" i="38"/>
  <c r="B63" i="50" s="1"/>
  <c r="B129" i="52" s="1"/>
  <c r="B57" i="38"/>
  <c r="B58" i="50" s="1"/>
  <c r="B120" i="52" s="1"/>
  <c r="B52" i="38"/>
  <c r="B53" i="50" s="1"/>
  <c r="B111" i="52" s="1"/>
  <c r="B47" i="38"/>
  <c r="B48" i="50" s="1"/>
  <c r="B102" i="52" s="1"/>
  <c r="B42" i="38"/>
  <c r="B43" i="50" s="1"/>
  <c r="B93" i="52" s="1"/>
  <c r="B37" i="38"/>
  <c r="B38" i="50" s="1"/>
  <c r="B84" i="52" s="1"/>
  <c r="B32" i="38"/>
  <c r="B33" i="50" s="1"/>
  <c r="B75" i="52" s="1"/>
  <c r="B17" i="38"/>
  <c r="B22" i="38"/>
  <c r="B23" i="50" s="1"/>
  <c r="B57" i="52" s="1"/>
  <c r="B27" i="38"/>
  <c r="B28" i="50" s="1"/>
  <c r="B66" i="52" s="1"/>
  <c r="F162" i="38"/>
  <c r="F163" i="50" s="1"/>
  <c r="F157" i="38"/>
  <c r="F158" i="50" s="1"/>
  <c r="F152" i="38"/>
  <c r="F153" i="50" s="1"/>
  <c r="F147" i="38"/>
  <c r="F148" i="50" s="1"/>
  <c r="F142" i="38"/>
  <c r="F143" i="50" s="1"/>
  <c r="F137" i="38"/>
  <c r="F138" i="50" s="1"/>
  <c r="F132" i="38"/>
  <c r="F133" i="50" s="1"/>
  <c r="F127" i="38"/>
  <c r="F128" i="50" s="1"/>
  <c r="F122" i="38"/>
  <c r="F123" i="50" s="1"/>
  <c r="F117" i="38"/>
  <c r="F118" i="50" s="1"/>
  <c r="F112" i="38"/>
  <c r="F113" i="50" s="1"/>
  <c r="F107" i="38"/>
  <c r="F108" i="50" s="1"/>
  <c r="F102" i="38"/>
  <c r="F103" i="50" s="1"/>
  <c r="F97" i="38"/>
  <c r="F98" i="50" s="1"/>
  <c r="F92" i="38"/>
  <c r="F93" i="50" s="1"/>
  <c r="F87" i="38"/>
  <c r="F88" i="50" s="1"/>
  <c r="F82" i="38"/>
  <c r="F83" i="50" s="1"/>
  <c r="F77" i="38"/>
  <c r="F78" i="50" s="1"/>
  <c r="F72" i="38"/>
  <c r="F73" i="50" s="1"/>
  <c r="F67" i="38"/>
  <c r="F68" i="50" s="1"/>
  <c r="F62" i="38"/>
  <c r="F63" i="50" s="1"/>
  <c r="F57" i="38"/>
  <c r="F58" i="50" s="1"/>
  <c r="F52" i="38"/>
  <c r="F53" i="50" s="1"/>
  <c r="F47" i="38"/>
  <c r="F48" i="50" s="1"/>
  <c r="F42" i="38"/>
  <c r="F43" i="50" s="1"/>
  <c r="F37" i="38"/>
  <c r="F38" i="50" s="1"/>
  <c r="F32" i="38"/>
  <c r="F33" i="50" s="1"/>
  <c r="F27" i="38"/>
  <c r="F28" i="50" s="1"/>
  <c r="F22" i="38"/>
  <c r="F23" i="50" s="1"/>
  <c r="F17" i="38"/>
  <c r="H162" i="38"/>
  <c r="H163" i="50" s="1"/>
  <c r="G162" i="38"/>
  <c r="G163" i="50" s="1"/>
  <c r="H157" i="38"/>
  <c r="H158" i="50" s="1"/>
  <c r="G157" i="38"/>
  <c r="G158" i="50" s="1"/>
  <c r="H152" i="38"/>
  <c r="H153" i="50" s="1"/>
  <c r="G152" i="38"/>
  <c r="G153" i="50" s="1"/>
  <c r="H147" i="38"/>
  <c r="H148" i="50" s="1"/>
  <c r="G147" i="38"/>
  <c r="G148" i="50" s="1"/>
  <c r="H142" i="38"/>
  <c r="H143" i="50" s="1"/>
  <c r="G142" i="38"/>
  <c r="G143" i="50" s="1"/>
  <c r="H137" i="38"/>
  <c r="H138" i="50" s="1"/>
  <c r="G137" i="38"/>
  <c r="G138" i="50" s="1"/>
  <c r="H132" i="38"/>
  <c r="H133" i="50" s="1"/>
  <c r="G132" i="38"/>
  <c r="G133" i="50" s="1"/>
  <c r="H127" i="38"/>
  <c r="H128" i="50" s="1"/>
  <c r="G127" i="38"/>
  <c r="G128" i="50" s="1"/>
  <c r="H122" i="38"/>
  <c r="H123" i="50" s="1"/>
  <c r="G122" i="38"/>
  <c r="G123" i="50" s="1"/>
  <c r="H117" i="38"/>
  <c r="H118" i="50" s="1"/>
  <c r="G117" i="38"/>
  <c r="G118" i="50" s="1"/>
  <c r="H112" i="38"/>
  <c r="H113" i="50" s="1"/>
  <c r="G112" i="38"/>
  <c r="G113" i="50" s="1"/>
  <c r="H107" i="38"/>
  <c r="H108" i="50" s="1"/>
  <c r="G107" i="38"/>
  <c r="G108" i="50" s="1"/>
  <c r="H102" i="38"/>
  <c r="H103" i="50" s="1"/>
  <c r="G102" i="38"/>
  <c r="G103" i="50" s="1"/>
  <c r="H97" i="38"/>
  <c r="H98" i="50" s="1"/>
  <c r="G97" i="38"/>
  <c r="G98" i="50" s="1"/>
  <c r="H92" i="38"/>
  <c r="H93" i="50" s="1"/>
  <c r="G92" i="38"/>
  <c r="G93" i="50" s="1"/>
  <c r="H87" i="38"/>
  <c r="H88" i="50" s="1"/>
  <c r="G87" i="38"/>
  <c r="G88" i="50" s="1"/>
  <c r="H82" i="38"/>
  <c r="H83" i="50" s="1"/>
  <c r="G82" i="38"/>
  <c r="G83" i="50" s="1"/>
  <c r="H77" i="38"/>
  <c r="H78" i="50" s="1"/>
  <c r="G77" i="38"/>
  <c r="G78" i="50" s="1"/>
  <c r="H72" i="38"/>
  <c r="H73" i="50" s="1"/>
  <c r="G72" i="38"/>
  <c r="G73" i="50" s="1"/>
  <c r="H67" i="38"/>
  <c r="H68" i="50" s="1"/>
  <c r="G67" i="38"/>
  <c r="G68" i="50" s="1"/>
  <c r="H62" i="38"/>
  <c r="H63" i="50" s="1"/>
  <c r="G62" i="38"/>
  <c r="G63" i="50" s="1"/>
  <c r="H57" i="38"/>
  <c r="H58" i="50" s="1"/>
  <c r="G57" i="38"/>
  <c r="G58" i="50" s="1"/>
  <c r="H52" i="38"/>
  <c r="H53" i="50" s="1"/>
  <c r="G52" i="38"/>
  <c r="G53" i="50" s="1"/>
  <c r="H47" i="38"/>
  <c r="H48" i="50" s="1"/>
  <c r="G47" i="38"/>
  <c r="G48" i="50" s="1"/>
  <c r="H42" i="38"/>
  <c r="H43" i="50" s="1"/>
  <c r="G42" i="38"/>
  <c r="G43" i="50" s="1"/>
  <c r="H37" i="38"/>
  <c r="H38" i="50" s="1"/>
  <c r="G37" i="38"/>
  <c r="G38" i="50" s="1"/>
  <c r="H32" i="38"/>
  <c r="H33" i="50" s="1"/>
  <c r="G32" i="38"/>
  <c r="G33" i="50" s="1"/>
  <c r="H27" i="38"/>
  <c r="H28" i="50" s="1"/>
  <c r="G27" i="38"/>
  <c r="G28" i="50" s="1"/>
  <c r="H22" i="38"/>
  <c r="H23" i="50" s="1"/>
  <c r="G22" i="38"/>
  <c r="G23" i="50" s="1"/>
  <c r="H17" i="38"/>
  <c r="H18" i="50" s="1"/>
  <c r="G17" i="38"/>
  <c r="G18" i="50" s="1"/>
  <c r="I17" i="38" l="1"/>
  <c r="L17" i="38"/>
  <c r="I157" i="38"/>
  <c r="B158" i="50"/>
  <c r="K175" i="38"/>
  <c r="O175" i="38" s="1"/>
  <c r="F18" i="50"/>
  <c r="M19" i="38"/>
  <c r="K20" i="50" s="1"/>
  <c r="M20" i="38"/>
  <c r="K21" i="50" s="1"/>
  <c r="L176" i="38"/>
  <c r="P176" i="38" s="1"/>
  <c r="L175" i="38"/>
  <c r="P175" i="38" s="1"/>
  <c r="L181" i="38"/>
  <c r="L183" i="38"/>
  <c r="L184" i="38"/>
  <c r="L182" i="38"/>
  <c r="L179" i="38"/>
  <c r="P179" i="38" s="1"/>
  <c r="L178" i="38"/>
  <c r="P178" i="38" s="1"/>
  <c r="J19" i="50"/>
  <c r="K176" i="50" s="1"/>
  <c r="L180" i="38"/>
  <c r="L177" i="38"/>
  <c r="P177" i="38" s="1"/>
  <c r="B18" i="50"/>
  <c r="K17" i="38"/>
  <c r="X17" i="38" s="1"/>
  <c r="F167" i="38"/>
  <c r="W167" i="38"/>
  <c r="AA167" i="38" s="1"/>
  <c r="V167" i="38"/>
  <c r="Q167" i="38"/>
  <c r="M162" i="38"/>
  <c r="M157" i="38"/>
  <c r="M152" i="38"/>
  <c r="M147" i="38"/>
  <c r="M142" i="38"/>
  <c r="M137" i="38"/>
  <c r="M132" i="38"/>
  <c r="M127" i="38"/>
  <c r="M122" i="38"/>
  <c r="M117" i="38"/>
  <c r="M112" i="38"/>
  <c r="M107" i="38"/>
  <c r="M102" i="38"/>
  <c r="M97" i="38"/>
  <c r="M92" i="38"/>
  <c r="M87" i="38"/>
  <c r="M82" i="38"/>
  <c r="M77" i="38"/>
  <c r="M72" i="38"/>
  <c r="M67" i="38"/>
  <c r="M62" i="38"/>
  <c r="M57" i="38"/>
  <c r="M52" i="38"/>
  <c r="M47" i="38"/>
  <c r="M42" i="38"/>
  <c r="M37" i="38"/>
  <c r="M32" i="38"/>
  <c r="M27" i="38"/>
  <c r="M22" i="38"/>
  <c r="L162" i="38"/>
  <c r="L157" i="38"/>
  <c r="L152" i="38"/>
  <c r="L147" i="38"/>
  <c r="L142" i="38"/>
  <c r="L137" i="38"/>
  <c r="L132" i="38"/>
  <c r="L127" i="38"/>
  <c r="L122" i="38"/>
  <c r="L117" i="38"/>
  <c r="L112" i="38"/>
  <c r="L107" i="38"/>
  <c r="L102" i="38"/>
  <c r="L97" i="38"/>
  <c r="L92" i="38"/>
  <c r="L87" i="38"/>
  <c r="L82" i="38"/>
  <c r="L77" i="38"/>
  <c r="L72" i="38"/>
  <c r="L67" i="38"/>
  <c r="L62" i="38"/>
  <c r="L57" i="38"/>
  <c r="L52" i="38"/>
  <c r="L47" i="38"/>
  <c r="L42" i="38"/>
  <c r="L37" i="38"/>
  <c r="L32" i="38"/>
  <c r="L27" i="38"/>
  <c r="L22" i="38"/>
  <c r="N17" i="38" l="1"/>
  <c r="B48" i="52"/>
  <c r="M17" i="38"/>
  <c r="L167" i="38"/>
  <c r="O97" i="38"/>
  <c r="T97" i="38"/>
  <c r="Y97" i="38"/>
  <c r="AC97" i="38"/>
  <c r="T22" i="38"/>
  <c r="AC22" i="38"/>
  <c r="Y22" i="38"/>
  <c r="T62" i="38"/>
  <c r="Y62" i="38"/>
  <c r="AC62" i="38"/>
  <c r="O102" i="38"/>
  <c r="Y102" i="38"/>
  <c r="T102" i="38"/>
  <c r="AC102" i="38"/>
  <c r="O142" i="38"/>
  <c r="T142" i="38"/>
  <c r="Y142" i="38"/>
  <c r="AC142" i="38"/>
  <c r="T27" i="38"/>
  <c r="Y27" i="38"/>
  <c r="AC27" i="38"/>
  <c r="O107" i="38"/>
  <c r="AC107" i="38"/>
  <c r="Y107" i="38"/>
  <c r="T107" i="38"/>
  <c r="Y37" i="38"/>
  <c r="T37" i="38"/>
  <c r="AC37" i="38"/>
  <c r="O77" i="38"/>
  <c r="Y77" i="38"/>
  <c r="T77" i="38"/>
  <c r="AC77" i="38"/>
  <c r="O117" i="38"/>
  <c r="AC117" i="38"/>
  <c r="T117" i="38"/>
  <c r="Y117" i="38"/>
  <c r="O157" i="38"/>
  <c r="Y157" i="38"/>
  <c r="T157" i="38"/>
  <c r="AC157" i="38"/>
  <c r="S17" i="38"/>
  <c r="AB17" i="38"/>
  <c r="Y57" i="38"/>
  <c r="T57" i="38"/>
  <c r="AC57" i="38"/>
  <c r="O137" i="38"/>
  <c r="AC137" i="38"/>
  <c r="T137" i="38"/>
  <c r="Y137" i="38"/>
  <c r="T32" i="38"/>
  <c r="Y32" i="38"/>
  <c r="AC32" i="38"/>
  <c r="O112" i="38"/>
  <c r="Y112" i="38"/>
  <c r="T112" i="38"/>
  <c r="AC112" i="38"/>
  <c r="Y42" i="38"/>
  <c r="T42" i="38"/>
  <c r="AC42" i="38"/>
  <c r="O82" i="38"/>
  <c r="Y82" i="38"/>
  <c r="T82" i="38"/>
  <c r="AC82" i="38"/>
  <c r="O122" i="38"/>
  <c r="T122" i="38"/>
  <c r="AC122" i="38"/>
  <c r="Y122" i="38"/>
  <c r="O162" i="38"/>
  <c r="Y162" i="38"/>
  <c r="T162" i="38"/>
  <c r="AC162" i="38"/>
  <c r="AC67" i="38"/>
  <c r="T67" i="38"/>
  <c r="Y67" i="38"/>
  <c r="O147" i="38"/>
  <c r="T147" i="38"/>
  <c r="Y147" i="38"/>
  <c r="AC147" i="38"/>
  <c r="Y72" i="38"/>
  <c r="T72" i="38"/>
  <c r="AC72" i="38"/>
  <c r="Y47" i="38"/>
  <c r="T47" i="38"/>
  <c r="AC47" i="38"/>
  <c r="AC87" i="38"/>
  <c r="T87" i="38"/>
  <c r="Y87" i="38"/>
  <c r="O127" i="38"/>
  <c r="T127" i="38"/>
  <c r="AC127" i="38"/>
  <c r="Y127" i="38"/>
  <c r="O152" i="38"/>
  <c r="T152" i="38"/>
  <c r="AC152" i="38"/>
  <c r="Y152" i="38"/>
  <c r="T52" i="38"/>
  <c r="AC52" i="38"/>
  <c r="Y52" i="38"/>
  <c r="O92" i="38"/>
  <c r="T92" i="38"/>
  <c r="AC92" i="38"/>
  <c r="Y92" i="38"/>
  <c r="O132" i="38"/>
  <c r="Y132" i="38"/>
  <c r="T132" i="38"/>
  <c r="AC132" i="38"/>
  <c r="P183" i="38"/>
  <c r="T175" i="38"/>
  <c r="T176" i="38"/>
  <c r="Q173" i="38"/>
  <c r="Y17" i="38" l="1"/>
  <c r="O17" i="38"/>
  <c r="AC17" i="38"/>
  <c r="M167" i="38"/>
  <c r="T17" i="38"/>
  <c r="Z16" i="49"/>
  <c r="Z17" i="49"/>
  <c r="Z18" i="49"/>
  <c r="Z19" i="49"/>
  <c r="Z20" i="49"/>
  <c r="Z21" i="49"/>
  <c r="Z22" i="49"/>
  <c r="Z23" i="49"/>
  <c r="Z24" i="49"/>
  <c r="Z25" i="49"/>
  <c r="Z26" i="49"/>
  <c r="Z27" i="49"/>
  <c r="Z28" i="49"/>
  <c r="Z29" i="49"/>
  <c r="Z30" i="49"/>
  <c r="Z31" i="49"/>
  <c r="Z32" i="49"/>
  <c r="Z33" i="49"/>
  <c r="Z34" i="49"/>
  <c r="Z35" i="49"/>
  <c r="Z36" i="49"/>
  <c r="Z37" i="49"/>
  <c r="Z38" i="49"/>
  <c r="Z39" i="49"/>
  <c r="Z40" i="49"/>
  <c r="Z41" i="49"/>
  <c r="Z42" i="49"/>
  <c r="Z43" i="49"/>
  <c r="Z44" i="49"/>
  <c r="Z45" i="49"/>
  <c r="Z46" i="49"/>
  <c r="Z47" i="49"/>
  <c r="Z48" i="49"/>
  <c r="Z49" i="49"/>
  <c r="Z50" i="49"/>
  <c r="Z51" i="49"/>
  <c r="Z52" i="49"/>
  <c r="Z53" i="49"/>
  <c r="Z54" i="49"/>
  <c r="Z55" i="49"/>
  <c r="Z56" i="49"/>
  <c r="Z57" i="49"/>
  <c r="Z58" i="49"/>
  <c r="Z59" i="49"/>
  <c r="Z60" i="49"/>
  <c r="Z61" i="49"/>
  <c r="Z62" i="49"/>
  <c r="Z63" i="49"/>
  <c r="Z64" i="49"/>
  <c r="Z65" i="49"/>
  <c r="Z66" i="49"/>
  <c r="Z67" i="49"/>
  <c r="Z68" i="49"/>
  <c r="Z69" i="49"/>
  <c r="Z70" i="49"/>
  <c r="Z71" i="49"/>
  <c r="Z72" i="49"/>
  <c r="W16" i="49"/>
  <c r="W17" i="49"/>
  <c r="W18" i="49"/>
  <c r="W19" i="49"/>
  <c r="W20" i="49"/>
  <c r="W21" i="49"/>
  <c r="W22" i="49"/>
  <c r="W23" i="49"/>
  <c r="W24" i="49"/>
  <c r="W25" i="49"/>
  <c r="W26" i="49"/>
  <c r="W27" i="49"/>
  <c r="W28" i="49"/>
  <c r="W29" i="49"/>
  <c r="W30" i="49"/>
  <c r="W31" i="49"/>
  <c r="W32" i="49"/>
  <c r="W33" i="49"/>
  <c r="W34" i="49"/>
  <c r="W35" i="49"/>
  <c r="W36" i="49"/>
  <c r="W37" i="49"/>
  <c r="W38" i="49"/>
  <c r="W39" i="49"/>
  <c r="W40" i="49"/>
  <c r="W41"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Z15" i="49"/>
  <c r="W15" i="49"/>
  <c r="Y16" i="49"/>
  <c r="Y17" i="49"/>
  <c r="Y18" i="49"/>
  <c r="Y19" i="49"/>
  <c r="Y20" i="49"/>
  <c r="Y21" i="49"/>
  <c r="Y22" i="49"/>
  <c r="Y23" i="49"/>
  <c r="Y24" i="49"/>
  <c r="Y25" i="49"/>
  <c r="Y26" i="49"/>
  <c r="Y27" i="49"/>
  <c r="Y28" i="49"/>
  <c r="Y29" i="49"/>
  <c r="Y30" i="49"/>
  <c r="Y31" i="49"/>
  <c r="Y32" i="49"/>
  <c r="Y33" i="49"/>
  <c r="Y34" i="49"/>
  <c r="Y35" i="49"/>
  <c r="Y36" i="49"/>
  <c r="Y37" i="49"/>
  <c r="Y38" i="49"/>
  <c r="Y39" i="49"/>
  <c r="Y40" i="49"/>
  <c r="Y41" i="49"/>
  <c r="Y42" i="49"/>
  <c r="Y43" i="49"/>
  <c r="Y44" i="49"/>
  <c r="Y45" i="49"/>
  <c r="Y46" i="49"/>
  <c r="Y47" i="49"/>
  <c r="Y48" i="49"/>
  <c r="Y49" i="49"/>
  <c r="Y50" i="49"/>
  <c r="Y51" i="49"/>
  <c r="Y52" i="49"/>
  <c r="Y53" i="49"/>
  <c r="Y54" i="49"/>
  <c r="Y55" i="49"/>
  <c r="Y56" i="49"/>
  <c r="Y57" i="49"/>
  <c r="Y58" i="49"/>
  <c r="Y59" i="49"/>
  <c r="Y60" i="49"/>
  <c r="Y61" i="49"/>
  <c r="Y62" i="49"/>
  <c r="Y63" i="49"/>
  <c r="Y64" i="49"/>
  <c r="Y65" i="49"/>
  <c r="Y66" i="49"/>
  <c r="Y67" i="49"/>
  <c r="Y68" i="49"/>
  <c r="Y69" i="49"/>
  <c r="Y70" i="49"/>
  <c r="Y71" i="49"/>
  <c r="Y72" i="49"/>
  <c r="V16" i="49"/>
  <c r="V17" i="49"/>
  <c r="V18" i="49"/>
  <c r="V19" i="49"/>
  <c r="V20" i="49"/>
  <c r="V21" i="49"/>
  <c r="V22" i="49"/>
  <c r="V23" i="49"/>
  <c r="V24" i="49"/>
  <c r="V25" i="49"/>
  <c r="V26" i="49"/>
  <c r="V27" i="49"/>
  <c r="V28" i="49"/>
  <c r="V29" i="49"/>
  <c r="V30" i="49"/>
  <c r="V31" i="49"/>
  <c r="V32" i="49"/>
  <c r="V33" i="49"/>
  <c r="V34" i="49"/>
  <c r="V35" i="49"/>
  <c r="V36" i="49"/>
  <c r="V37" i="49"/>
  <c r="V38" i="49"/>
  <c r="V39" i="49"/>
  <c r="V40" i="49"/>
  <c r="V41" i="49"/>
  <c r="V42" i="49"/>
  <c r="V43" i="49"/>
  <c r="V44" i="49"/>
  <c r="V45" i="49"/>
  <c r="V46" i="49"/>
  <c r="V47" i="49"/>
  <c r="V48" i="49"/>
  <c r="V49" i="49"/>
  <c r="V50" i="49"/>
  <c r="V51" i="49"/>
  <c r="V52" i="49"/>
  <c r="V53" i="49"/>
  <c r="V54" i="49"/>
  <c r="V55" i="49"/>
  <c r="V56" i="49"/>
  <c r="V57" i="49"/>
  <c r="V58" i="49"/>
  <c r="V59" i="49"/>
  <c r="V60" i="49"/>
  <c r="V61" i="49"/>
  <c r="V62" i="49"/>
  <c r="V63" i="49"/>
  <c r="V64" i="49"/>
  <c r="V65" i="49"/>
  <c r="V66" i="49"/>
  <c r="V67" i="49"/>
  <c r="V68" i="49"/>
  <c r="V69" i="49"/>
  <c r="V70" i="49"/>
  <c r="V71" i="49"/>
  <c r="V72" i="49"/>
  <c r="Y15" i="49"/>
  <c r="V15" i="49"/>
  <c r="O16" i="49"/>
  <c r="O17" i="49"/>
  <c r="O18" i="49"/>
  <c r="O19" i="49"/>
  <c r="O20" i="49"/>
  <c r="O21" i="49"/>
  <c r="O22" i="49"/>
  <c r="O23" i="49"/>
  <c r="O24" i="49"/>
  <c r="O25" i="49"/>
  <c r="O26" i="49"/>
  <c r="O27" i="49"/>
  <c r="O28" i="49"/>
  <c r="O30" i="49"/>
  <c r="O31" i="49"/>
  <c r="O32" i="49"/>
  <c r="O33" i="49"/>
  <c r="O34" i="49"/>
  <c r="O35" i="49"/>
  <c r="O36" i="49"/>
  <c r="O37" i="49"/>
  <c r="O38" i="49"/>
  <c r="O39" i="49"/>
  <c r="O40" i="49"/>
  <c r="O41" i="49"/>
  <c r="O42" i="49"/>
  <c r="O43" i="49"/>
  <c r="O44" i="49"/>
  <c r="O45" i="49"/>
  <c r="O46" i="49"/>
  <c r="O47" i="49"/>
  <c r="O48" i="49"/>
  <c r="O49" i="49"/>
  <c r="O50" i="49"/>
  <c r="O51" i="49"/>
  <c r="O52" i="49"/>
  <c r="O53" i="49"/>
  <c r="O54" i="49"/>
  <c r="O55" i="49"/>
  <c r="O56" i="49"/>
  <c r="O57" i="49"/>
  <c r="O58" i="49"/>
  <c r="O59" i="49"/>
  <c r="O60" i="49"/>
  <c r="O61" i="49"/>
  <c r="O62" i="49"/>
  <c r="O63" i="49"/>
  <c r="O64" i="49"/>
  <c r="O65" i="49"/>
  <c r="O66" i="49"/>
  <c r="O67" i="49"/>
  <c r="O68" i="49"/>
  <c r="O69" i="49"/>
  <c r="O70" i="49"/>
  <c r="O71" i="49"/>
  <c r="O72" i="49"/>
  <c r="O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15" i="49"/>
  <c r="G16" i="49"/>
  <c r="G17" i="49"/>
  <c r="G18" i="49"/>
  <c r="G19"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15" i="49"/>
  <c r="B16" i="49"/>
  <c r="B17" i="37" s="1"/>
  <c r="B17" i="49"/>
  <c r="B18" i="37" s="1"/>
  <c r="B18" i="49"/>
  <c r="B19" i="37" s="1"/>
  <c r="B19" i="49"/>
  <c r="B20" i="37" s="1"/>
  <c r="B20" i="49"/>
  <c r="B21" i="37" s="1"/>
  <c r="B21" i="49"/>
  <c r="B22" i="37" s="1"/>
  <c r="B22" i="49"/>
  <c r="B23" i="37" s="1"/>
  <c r="B23" i="49"/>
  <c r="B24" i="37" s="1"/>
  <c r="B24" i="49"/>
  <c r="B25" i="37" s="1"/>
  <c r="B25" i="49"/>
  <c r="B26" i="37" s="1"/>
  <c r="B26" i="49"/>
  <c r="B27" i="37" s="1"/>
  <c r="B27" i="49"/>
  <c r="B28" i="37" s="1"/>
  <c r="B28" i="49"/>
  <c r="B29" i="37" s="1"/>
  <c r="B29" i="49"/>
  <c r="B30" i="37" s="1"/>
  <c r="B30" i="49"/>
  <c r="B31" i="37" s="1"/>
  <c r="B31" i="49"/>
  <c r="B32" i="37" s="1"/>
  <c r="B32" i="49"/>
  <c r="B33" i="37" s="1"/>
  <c r="B33" i="49"/>
  <c r="B34" i="37" s="1"/>
  <c r="B34" i="49"/>
  <c r="B35" i="37" s="1"/>
  <c r="B35" i="49"/>
  <c r="B36" i="37" s="1"/>
  <c r="B36" i="49"/>
  <c r="B37" i="37" s="1"/>
  <c r="B37" i="49"/>
  <c r="B38" i="37" s="1"/>
  <c r="B38" i="49"/>
  <c r="B39" i="37" s="1"/>
  <c r="B39" i="49"/>
  <c r="B40" i="37" s="1"/>
  <c r="B40" i="49"/>
  <c r="B41" i="37" s="1"/>
  <c r="B41" i="49"/>
  <c r="B42" i="37" s="1"/>
  <c r="B42" i="49"/>
  <c r="B43" i="37" s="1"/>
  <c r="B43" i="49"/>
  <c r="B44" i="37" s="1"/>
  <c r="B44" i="49"/>
  <c r="B45" i="37" s="1"/>
  <c r="B45" i="49"/>
  <c r="B46" i="37" s="1"/>
  <c r="B46" i="49"/>
  <c r="B47" i="37" s="1"/>
  <c r="B47" i="49"/>
  <c r="B48" i="37" s="1"/>
  <c r="B48" i="49"/>
  <c r="B49" i="37" s="1"/>
  <c r="B49" i="49"/>
  <c r="B50" i="37" s="1"/>
  <c r="B50" i="49"/>
  <c r="B51" i="37" s="1"/>
  <c r="B51" i="49"/>
  <c r="B52" i="37" s="1"/>
  <c r="B52" i="49"/>
  <c r="B53" i="37" s="1"/>
  <c r="B53" i="49"/>
  <c r="B54" i="37" s="1"/>
  <c r="B54" i="49"/>
  <c r="B55" i="37" s="1"/>
  <c r="B55" i="49"/>
  <c r="B56" i="37" s="1"/>
  <c r="B56" i="49"/>
  <c r="B57" i="37" s="1"/>
  <c r="B57" i="49"/>
  <c r="B58" i="37" s="1"/>
  <c r="B58" i="49"/>
  <c r="B59" i="37" s="1"/>
  <c r="B59" i="49"/>
  <c r="B60" i="37" s="1"/>
  <c r="B60" i="49"/>
  <c r="B61" i="37" s="1"/>
  <c r="B61" i="49"/>
  <c r="B62" i="37" s="1"/>
  <c r="B62" i="49"/>
  <c r="B63" i="37" s="1"/>
  <c r="B63" i="49"/>
  <c r="B64" i="37" s="1"/>
  <c r="B64" i="49"/>
  <c r="B65" i="37" s="1"/>
  <c r="B65" i="49"/>
  <c r="B66" i="37" s="1"/>
  <c r="B66" i="49"/>
  <c r="B67" i="37" s="1"/>
  <c r="B67" i="49"/>
  <c r="B68" i="37" s="1"/>
  <c r="B68" i="49"/>
  <c r="B69" i="37" s="1"/>
  <c r="B69" i="49"/>
  <c r="B70" i="37" s="1"/>
  <c r="B70" i="49"/>
  <c r="B71" i="37" s="1"/>
  <c r="B71" i="49"/>
  <c r="B72" i="37" s="1"/>
  <c r="B72" i="49"/>
  <c r="B73" i="37" s="1"/>
  <c r="B15" i="49"/>
  <c r="B16" i="37" s="1"/>
  <c r="B16" i="48"/>
  <c r="B17" i="36" s="1"/>
  <c r="B17" i="48"/>
  <c r="B18" i="36" s="1"/>
  <c r="B18" i="48"/>
  <c r="B19" i="36" s="1"/>
  <c r="B19" i="48"/>
  <c r="B20" i="36" s="1"/>
  <c r="B20" i="48"/>
  <c r="B21" i="36" s="1"/>
  <c r="B21" i="48"/>
  <c r="B22" i="36" s="1"/>
  <c r="B22" i="48"/>
  <c r="B23" i="36" s="1"/>
  <c r="B23" i="48"/>
  <c r="B24" i="36" s="1"/>
  <c r="B24" i="48"/>
  <c r="B25" i="36" s="1"/>
  <c r="B25" i="48"/>
  <c r="B26" i="36" s="1"/>
  <c r="B26" i="48"/>
  <c r="B27" i="36" s="1"/>
  <c r="B27" i="48"/>
  <c r="B28" i="36" s="1"/>
  <c r="B28" i="48"/>
  <c r="B29" i="36" s="1"/>
  <c r="B29" i="48"/>
  <c r="B30" i="36" s="1"/>
  <c r="B30" i="48"/>
  <c r="B31" i="36" s="1"/>
  <c r="B31" i="48"/>
  <c r="B32" i="36" s="1"/>
  <c r="B32" i="48"/>
  <c r="B33" i="36" s="1"/>
  <c r="B33" i="48"/>
  <c r="B34" i="36" s="1"/>
  <c r="B34" i="48"/>
  <c r="B35" i="36" s="1"/>
  <c r="B35" i="48"/>
  <c r="B36" i="36" s="1"/>
  <c r="B36" i="48"/>
  <c r="B37" i="36" s="1"/>
  <c r="B37" i="48"/>
  <c r="B38" i="36" s="1"/>
  <c r="B38" i="48"/>
  <c r="B39" i="36" s="1"/>
  <c r="B39" i="48"/>
  <c r="B40" i="36" s="1"/>
  <c r="B40" i="48"/>
  <c r="B41" i="36" s="1"/>
  <c r="B41" i="48"/>
  <c r="B42" i="36" s="1"/>
  <c r="B42" i="48"/>
  <c r="B43" i="36" s="1"/>
  <c r="B43" i="48"/>
  <c r="B44" i="36" s="1"/>
  <c r="B44" i="48"/>
  <c r="B45" i="36" s="1"/>
  <c r="B46" i="36"/>
  <c r="B46" i="48"/>
  <c r="B47" i="36" s="1"/>
  <c r="B47" i="48"/>
  <c r="B48" i="36" s="1"/>
  <c r="B48" i="48"/>
  <c r="B49" i="36" s="1"/>
  <c r="B49" i="48"/>
  <c r="B50" i="36" s="1"/>
  <c r="B50" i="48"/>
  <c r="B51" i="36" s="1"/>
  <c r="B51" i="48"/>
  <c r="B52" i="36" s="1"/>
  <c r="B52" i="48"/>
  <c r="B53" i="36" s="1"/>
  <c r="B53" i="48"/>
  <c r="B54" i="36" s="1"/>
  <c r="B54" i="48"/>
  <c r="B55" i="36" s="1"/>
  <c r="B55" i="48"/>
  <c r="B56" i="36" s="1"/>
  <c r="B56" i="48"/>
  <c r="B57" i="36" s="1"/>
  <c r="B57" i="48"/>
  <c r="B58" i="36" s="1"/>
  <c r="B58" i="48"/>
  <c r="B59" i="36" s="1"/>
  <c r="B59" i="48"/>
  <c r="B60" i="36" s="1"/>
  <c r="B60" i="48"/>
  <c r="B61" i="36" s="1"/>
  <c r="B61" i="48"/>
  <c r="B62" i="36" s="1"/>
  <c r="B62" i="48"/>
  <c r="B63" i="36" s="1"/>
  <c r="B63" i="48"/>
  <c r="B64" i="36" s="1"/>
  <c r="B64" i="48"/>
  <c r="B65" i="36" s="1"/>
  <c r="B65" i="48"/>
  <c r="B66" i="36" s="1"/>
  <c r="B66" i="48"/>
  <c r="B67" i="36" s="1"/>
  <c r="B67" i="48"/>
  <c r="B68" i="36" s="1"/>
  <c r="B68" i="48"/>
  <c r="B69" i="36" s="1"/>
  <c r="B69" i="48"/>
  <c r="B70" i="36" s="1"/>
  <c r="B70" i="48"/>
  <c r="B71" i="36" s="1"/>
  <c r="B71" i="48"/>
  <c r="B72" i="36" s="1"/>
  <c r="B72" i="48"/>
  <c r="B73" i="36" s="1"/>
  <c r="B15" i="48"/>
  <c r="B16" i="36" s="1"/>
  <c r="Z16" i="48"/>
  <c r="Z17" i="48"/>
  <c r="Z18" i="48"/>
  <c r="Z19" i="48"/>
  <c r="Z20" i="48"/>
  <c r="Z21" i="48"/>
  <c r="Z22" i="48"/>
  <c r="Z23" i="48"/>
  <c r="Z24" i="48"/>
  <c r="Z25" i="48"/>
  <c r="Z26" i="48"/>
  <c r="Z27" i="48"/>
  <c r="Z28" i="48"/>
  <c r="Z29" i="48"/>
  <c r="Z30" i="48"/>
  <c r="Z31" i="48"/>
  <c r="Z32" i="48"/>
  <c r="Z33" i="48"/>
  <c r="Z34" i="48"/>
  <c r="Z35" i="48"/>
  <c r="Z36" i="48"/>
  <c r="Z37" i="48"/>
  <c r="Z38" i="48"/>
  <c r="Z39" i="48"/>
  <c r="Z40" i="48"/>
  <c r="Z41" i="48"/>
  <c r="Z42" i="48"/>
  <c r="Z43" i="48"/>
  <c r="Z44" i="48"/>
  <c r="Z45" i="48"/>
  <c r="Z46" i="48"/>
  <c r="Z47" i="48"/>
  <c r="Z48" i="48"/>
  <c r="Z49" i="48"/>
  <c r="Z50" i="48"/>
  <c r="Z51" i="48"/>
  <c r="Z52" i="48"/>
  <c r="Z53" i="48"/>
  <c r="Z54" i="48"/>
  <c r="Z55" i="48"/>
  <c r="Z56" i="48"/>
  <c r="Z57" i="48"/>
  <c r="Z58" i="48"/>
  <c r="Z59" i="48"/>
  <c r="Z60" i="48"/>
  <c r="Z61" i="48"/>
  <c r="Z62" i="48"/>
  <c r="Z63" i="48"/>
  <c r="Z64" i="48"/>
  <c r="Z65" i="48"/>
  <c r="Z66" i="48"/>
  <c r="Z67" i="48"/>
  <c r="Z68" i="48"/>
  <c r="Z69" i="48"/>
  <c r="Z70" i="48"/>
  <c r="Z71" i="48"/>
  <c r="Z72" i="48"/>
  <c r="Z15" i="48"/>
  <c r="W16" i="48"/>
  <c r="W17" i="48"/>
  <c r="W18" i="48"/>
  <c r="W19" i="48"/>
  <c r="W20" i="48"/>
  <c r="W21" i="48"/>
  <c r="W22" i="48"/>
  <c r="W23" i="48"/>
  <c r="W24"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15" i="48"/>
  <c r="Y16" i="48"/>
  <c r="Y17" i="48"/>
  <c r="Y18" i="48"/>
  <c r="Y19" i="48"/>
  <c r="Y20" i="48"/>
  <c r="Y21" i="48"/>
  <c r="Y22" i="48"/>
  <c r="Y23" i="48"/>
  <c r="Y24" i="48"/>
  <c r="Y25" i="48"/>
  <c r="Y26" i="48"/>
  <c r="Y27" i="48"/>
  <c r="Y28" i="48"/>
  <c r="Y29" i="48"/>
  <c r="Y30" i="48"/>
  <c r="Y31" i="48"/>
  <c r="Y32" i="48"/>
  <c r="Y33" i="48"/>
  <c r="Y34" i="48"/>
  <c r="Y35" i="48"/>
  <c r="Y36" i="48"/>
  <c r="Y37" i="48"/>
  <c r="Y38" i="48"/>
  <c r="Y39" i="48"/>
  <c r="Y40" i="48"/>
  <c r="Y41" i="48"/>
  <c r="Y42" i="48"/>
  <c r="Y43" i="48"/>
  <c r="Y44" i="48"/>
  <c r="Y45" i="48"/>
  <c r="Y46" i="48"/>
  <c r="Y47" i="48"/>
  <c r="Y48" i="48"/>
  <c r="Y49" i="48"/>
  <c r="Y50" i="48"/>
  <c r="Y51" i="48"/>
  <c r="Y52" i="48"/>
  <c r="Y53" i="48"/>
  <c r="Y54" i="48"/>
  <c r="Y55" i="48"/>
  <c r="Y56" i="48"/>
  <c r="Y57" i="48"/>
  <c r="Y58" i="48"/>
  <c r="Y59" i="48"/>
  <c r="Y60" i="48"/>
  <c r="Y61" i="48"/>
  <c r="Y62" i="48"/>
  <c r="Y63" i="48"/>
  <c r="Y64" i="48"/>
  <c r="Y65" i="48"/>
  <c r="Y66" i="48"/>
  <c r="Y67" i="48"/>
  <c r="Y68" i="48"/>
  <c r="Y69" i="48"/>
  <c r="Y70" i="48"/>
  <c r="Y71" i="48"/>
  <c r="Y72" i="48"/>
  <c r="V16" i="48"/>
  <c r="V17" i="48"/>
  <c r="V18" i="48"/>
  <c r="V19" i="48"/>
  <c r="V20" i="48"/>
  <c r="V21" i="48"/>
  <c r="V22" i="48"/>
  <c r="V23" i="48"/>
  <c r="V24" i="48"/>
  <c r="V25" i="48"/>
  <c r="V26" i="48"/>
  <c r="V27" i="48"/>
  <c r="V28" i="48"/>
  <c r="V29" i="48"/>
  <c r="V30" i="48"/>
  <c r="V31" i="48"/>
  <c r="V32" i="48"/>
  <c r="V33" i="48"/>
  <c r="V34" i="48"/>
  <c r="V35" i="48"/>
  <c r="V36" i="48"/>
  <c r="V37" i="48"/>
  <c r="V38" i="48"/>
  <c r="V39" i="48"/>
  <c r="V40" i="48"/>
  <c r="V41" i="48"/>
  <c r="V42" i="48"/>
  <c r="V43" i="48"/>
  <c r="V44" i="48"/>
  <c r="V45" i="48"/>
  <c r="V46" i="48"/>
  <c r="V47" i="48"/>
  <c r="V48" i="48"/>
  <c r="V49" i="48"/>
  <c r="V50" i="48"/>
  <c r="V51" i="48"/>
  <c r="V52" i="48"/>
  <c r="V53" i="48"/>
  <c r="V54" i="48"/>
  <c r="V55" i="48"/>
  <c r="V56" i="48"/>
  <c r="V57" i="48"/>
  <c r="V58" i="48"/>
  <c r="V59" i="48"/>
  <c r="V60" i="48"/>
  <c r="V61" i="48"/>
  <c r="V62" i="48"/>
  <c r="V63" i="48"/>
  <c r="V64" i="48"/>
  <c r="V65" i="48"/>
  <c r="V66" i="48"/>
  <c r="V67" i="48"/>
  <c r="V68" i="48"/>
  <c r="V69" i="48"/>
  <c r="V70" i="48"/>
  <c r="V71" i="48"/>
  <c r="V72" i="48"/>
  <c r="Y15" i="48"/>
  <c r="V15" i="48"/>
  <c r="O16" i="48"/>
  <c r="O17" i="48"/>
  <c r="O18" i="48"/>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N16" i="48"/>
  <c r="N17" i="48"/>
  <c r="N18" i="48"/>
  <c r="N19" i="48"/>
  <c r="N20" i="48"/>
  <c r="N21" i="48"/>
  <c r="N22" i="48"/>
  <c r="N23" i="48"/>
  <c r="N24" i="48"/>
  <c r="N25" i="48"/>
  <c r="N26" i="48"/>
  <c r="N27" i="48"/>
  <c r="N28" i="48"/>
  <c r="N29" i="48"/>
  <c r="N30" i="48"/>
  <c r="N31" i="48"/>
  <c r="N32" i="48"/>
  <c r="N33" i="48"/>
  <c r="N34" i="48"/>
  <c r="N35" i="48"/>
  <c r="N36" i="48"/>
  <c r="N37" i="48"/>
  <c r="N38" i="48"/>
  <c r="N39" i="48"/>
  <c r="N40" i="48"/>
  <c r="N41" i="48"/>
  <c r="N42" i="48"/>
  <c r="N43" i="48"/>
  <c r="N44" i="48"/>
  <c r="N45" i="48"/>
  <c r="N46" i="48"/>
  <c r="N47" i="48"/>
  <c r="N48" i="48"/>
  <c r="N49" i="48"/>
  <c r="N50" i="48"/>
  <c r="N51" i="48"/>
  <c r="N52" i="48"/>
  <c r="N53" i="48"/>
  <c r="N54" i="48"/>
  <c r="N55" i="48"/>
  <c r="N56" i="48"/>
  <c r="N57" i="48"/>
  <c r="N58" i="48"/>
  <c r="N59" i="48"/>
  <c r="N60" i="48"/>
  <c r="N61" i="48"/>
  <c r="N62" i="48"/>
  <c r="N63" i="48"/>
  <c r="N64" i="48"/>
  <c r="N65" i="48"/>
  <c r="N66" i="48"/>
  <c r="N67" i="48"/>
  <c r="N68" i="48"/>
  <c r="N69" i="48"/>
  <c r="N70" i="48"/>
  <c r="N71" i="48"/>
  <c r="N72" i="48"/>
  <c r="N15" i="48"/>
  <c r="G21" i="48"/>
  <c r="G16" i="48"/>
  <c r="G17" i="48"/>
  <c r="G18" i="48"/>
  <c r="G19" i="48"/>
  <c r="G20"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15" i="48"/>
  <c r="H67" i="48" l="1"/>
  <c r="F68" i="36" s="1"/>
  <c r="H64" i="48"/>
  <c r="F65" i="36" s="1"/>
  <c r="P71" i="48"/>
  <c r="J72" i="36" s="1"/>
  <c r="H70" i="48"/>
  <c r="F71" i="36" s="1"/>
  <c r="H69" i="48"/>
  <c r="F70" i="36" s="1"/>
  <c r="P66" i="48"/>
  <c r="J67" i="36" s="1"/>
  <c r="X72" i="48"/>
  <c r="N73" i="36" s="1"/>
  <c r="H53" i="48"/>
  <c r="F54" i="36" s="1"/>
  <c r="X71" i="48"/>
  <c r="N72" i="36" s="1"/>
  <c r="P64" i="48"/>
  <c r="J65" i="36" s="1"/>
  <c r="H51" i="48"/>
  <c r="F52" i="36" s="1"/>
  <c r="P63" i="48"/>
  <c r="J64" i="36" s="1"/>
  <c r="P47" i="48"/>
  <c r="J48" i="36" s="1"/>
  <c r="X69" i="48"/>
  <c r="N70" i="36" s="1"/>
  <c r="X45" i="48"/>
  <c r="N46" i="36" s="1"/>
  <c r="P72" i="48"/>
  <c r="J73" i="36" s="1"/>
  <c r="X53" i="48"/>
  <c r="N54" i="36" s="1"/>
  <c r="H61" i="48"/>
  <c r="F62" i="36" s="1"/>
  <c r="P57" i="48"/>
  <c r="J58" i="36" s="1"/>
  <c r="X63" i="48"/>
  <c r="N64" i="36" s="1"/>
  <c r="H72" i="48"/>
  <c r="F73" i="36" s="1"/>
  <c r="P56" i="48"/>
  <c r="J57" i="36" s="1"/>
  <c r="X62" i="48"/>
  <c r="N63" i="36" s="1"/>
  <c r="H59" i="48"/>
  <c r="F60" i="36" s="1"/>
  <c r="P55" i="48"/>
  <c r="J56" i="36" s="1"/>
  <c r="X61" i="48"/>
  <c r="N62" i="36" s="1"/>
  <c r="X37" i="48"/>
  <c r="N38" i="36" s="1"/>
  <c r="P65" i="48"/>
  <c r="J66" i="36" s="1"/>
  <c r="X70" i="48"/>
  <c r="N71" i="36" s="1"/>
  <c r="X72" i="49"/>
  <c r="N73" i="37" s="1"/>
  <c r="X71" i="49"/>
  <c r="N72" i="37" s="1"/>
  <c r="P31" i="48"/>
  <c r="J32" i="36" s="1"/>
  <c r="P39" i="48"/>
  <c r="J40" i="36" s="1"/>
  <c r="P23" i="48"/>
  <c r="J24" i="36" s="1"/>
  <c r="X29" i="48"/>
  <c r="N30" i="36" s="1"/>
  <c r="H43" i="48"/>
  <c r="F44" i="36" s="1"/>
  <c r="H15" i="48"/>
  <c r="F16" i="36" s="1"/>
  <c r="X21" i="48"/>
  <c r="N22" i="36" s="1"/>
  <c r="H27" i="48"/>
  <c r="F28" i="36" s="1"/>
  <c r="H35" i="48"/>
  <c r="F36" i="36" s="1"/>
  <c r="AA34" i="49"/>
  <c r="O35" i="37" s="1"/>
  <c r="H18" i="48"/>
  <c r="H66" i="48"/>
  <c r="F67" i="36" s="1"/>
  <c r="H58" i="48"/>
  <c r="F59" i="36" s="1"/>
  <c r="H50" i="48"/>
  <c r="F51" i="36" s="1"/>
  <c r="H42" i="48"/>
  <c r="F43" i="36" s="1"/>
  <c r="H34" i="48"/>
  <c r="F35" i="36" s="1"/>
  <c r="H26" i="48"/>
  <c r="F27" i="36" s="1"/>
  <c r="H17" i="48"/>
  <c r="F18" i="36" s="1"/>
  <c r="P70" i="48"/>
  <c r="J71" i="36" s="1"/>
  <c r="P62" i="48"/>
  <c r="J63" i="36" s="1"/>
  <c r="P54" i="48"/>
  <c r="J55" i="36" s="1"/>
  <c r="P46" i="48"/>
  <c r="J47" i="36" s="1"/>
  <c r="P38" i="48"/>
  <c r="J39" i="36" s="1"/>
  <c r="P30" i="48"/>
  <c r="J31" i="36" s="1"/>
  <c r="P22" i="48"/>
  <c r="J23" i="36" s="1"/>
  <c r="X68" i="48"/>
  <c r="N69" i="36" s="1"/>
  <c r="X60" i="48"/>
  <c r="N61" i="36" s="1"/>
  <c r="X52" i="48"/>
  <c r="N53" i="36" s="1"/>
  <c r="X44" i="48"/>
  <c r="N45" i="36" s="1"/>
  <c r="X36" i="48"/>
  <c r="N37" i="36" s="1"/>
  <c r="X28" i="48"/>
  <c r="N29" i="36" s="1"/>
  <c r="X20" i="48"/>
  <c r="N21" i="36" s="1"/>
  <c r="P62" i="49"/>
  <c r="J63" i="37" s="1"/>
  <c r="X69" i="49"/>
  <c r="N70" i="37" s="1"/>
  <c r="H65" i="48"/>
  <c r="F66" i="36" s="1"/>
  <c r="H57" i="48"/>
  <c r="F58" i="36" s="1"/>
  <c r="H49" i="48"/>
  <c r="F50" i="36" s="1"/>
  <c r="H41" i="48"/>
  <c r="F42" i="36" s="1"/>
  <c r="H33" i="48"/>
  <c r="F34" i="36" s="1"/>
  <c r="H25" i="48"/>
  <c r="F26" i="36" s="1"/>
  <c r="H16" i="48"/>
  <c r="F17" i="36" s="1"/>
  <c r="P69" i="48"/>
  <c r="J70" i="36" s="1"/>
  <c r="P61" i="48"/>
  <c r="J62" i="36" s="1"/>
  <c r="P53" i="48"/>
  <c r="J54" i="36" s="1"/>
  <c r="P45" i="48"/>
  <c r="J46" i="36" s="1"/>
  <c r="P37" i="48"/>
  <c r="J38" i="36" s="1"/>
  <c r="P29" i="48"/>
  <c r="J30" i="36" s="1"/>
  <c r="P21" i="48"/>
  <c r="J22" i="36" s="1"/>
  <c r="X67" i="48"/>
  <c r="N68" i="36" s="1"/>
  <c r="X59" i="48"/>
  <c r="N60" i="36" s="1"/>
  <c r="X51" i="48"/>
  <c r="N52" i="36" s="1"/>
  <c r="X43" i="48"/>
  <c r="N44" i="36" s="1"/>
  <c r="X35" i="48"/>
  <c r="N36" i="36" s="1"/>
  <c r="X27" i="48"/>
  <c r="N28" i="36" s="1"/>
  <c r="X19" i="48"/>
  <c r="N20" i="36" s="1"/>
  <c r="F73" i="48"/>
  <c r="H56" i="48"/>
  <c r="F57" i="36" s="1"/>
  <c r="H48" i="48"/>
  <c r="F49" i="36" s="1"/>
  <c r="H40" i="48"/>
  <c r="F41" i="36" s="1"/>
  <c r="H32" i="48"/>
  <c r="F33" i="36" s="1"/>
  <c r="H24" i="48"/>
  <c r="F25" i="36" s="1"/>
  <c r="H21" i="48"/>
  <c r="P68" i="48"/>
  <c r="J69" i="36" s="1"/>
  <c r="P60" i="48"/>
  <c r="J61" i="36" s="1"/>
  <c r="P52" i="48"/>
  <c r="J53" i="36" s="1"/>
  <c r="P44" i="48"/>
  <c r="J45" i="36" s="1"/>
  <c r="P36" i="48"/>
  <c r="J37" i="36" s="1"/>
  <c r="P28" i="48"/>
  <c r="J29" i="36" s="1"/>
  <c r="P20" i="48"/>
  <c r="J21" i="36" s="1"/>
  <c r="X66" i="48"/>
  <c r="N67" i="36" s="1"/>
  <c r="X58" i="48"/>
  <c r="N59" i="36" s="1"/>
  <c r="X50" i="48"/>
  <c r="N51" i="36" s="1"/>
  <c r="X42" i="48"/>
  <c r="N43" i="36" s="1"/>
  <c r="X34" i="48"/>
  <c r="N35" i="36" s="1"/>
  <c r="X26" i="48"/>
  <c r="N27" i="36" s="1"/>
  <c r="X18" i="48"/>
  <c r="N19" i="36" s="1"/>
  <c r="P28" i="49"/>
  <c r="J29" i="37" s="1"/>
  <c r="H71" i="48"/>
  <c r="F72" i="36" s="1"/>
  <c r="H63" i="48"/>
  <c r="F64" i="36" s="1"/>
  <c r="H55" i="48"/>
  <c r="F56" i="36" s="1"/>
  <c r="H47" i="48"/>
  <c r="F48" i="36" s="1"/>
  <c r="H39" i="48"/>
  <c r="F40" i="36" s="1"/>
  <c r="H31" i="48"/>
  <c r="F32" i="36" s="1"/>
  <c r="H23" i="48"/>
  <c r="F24" i="36" s="1"/>
  <c r="P67" i="48"/>
  <c r="J68" i="36" s="1"/>
  <c r="P59" i="48"/>
  <c r="J60" i="36" s="1"/>
  <c r="P51" i="48"/>
  <c r="J52" i="36" s="1"/>
  <c r="P43" i="48"/>
  <c r="J44" i="36" s="1"/>
  <c r="P35" i="48"/>
  <c r="J36" i="36" s="1"/>
  <c r="P27" i="48"/>
  <c r="J28" i="36" s="1"/>
  <c r="P19" i="48"/>
  <c r="X15" i="48"/>
  <c r="N16" i="36" s="1"/>
  <c r="X65" i="48"/>
  <c r="N66" i="36" s="1"/>
  <c r="X57" i="48"/>
  <c r="N58" i="36" s="1"/>
  <c r="X49" i="48"/>
  <c r="N50" i="36" s="1"/>
  <c r="X41" i="48"/>
  <c r="N42" i="36" s="1"/>
  <c r="X33" i="48"/>
  <c r="N34" i="36" s="1"/>
  <c r="X25" i="48"/>
  <c r="N26" i="36" s="1"/>
  <c r="X17" i="48"/>
  <c r="N18" i="36" s="1"/>
  <c r="H62" i="48"/>
  <c r="F63" i="36" s="1"/>
  <c r="H54" i="48"/>
  <c r="F55" i="36" s="1"/>
  <c r="H46" i="48"/>
  <c r="F47" i="36" s="1"/>
  <c r="H38" i="48"/>
  <c r="F39" i="36" s="1"/>
  <c r="H30" i="48"/>
  <c r="F31" i="36" s="1"/>
  <c r="H22" i="48"/>
  <c r="F23" i="36" s="1"/>
  <c r="P58" i="48"/>
  <c r="J59" i="36" s="1"/>
  <c r="P50" i="48"/>
  <c r="J51" i="36" s="1"/>
  <c r="P42" i="48"/>
  <c r="J43" i="36" s="1"/>
  <c r="P34" i="48"/>
  <c r="J35" i="36" s="1"/>
  <c r="P26" i="48"/>
  <c r="J27" i="36" s="1"/>
  <c r="P18" i="48"/>
  <c r="J19" i="36" s="1"/>
  <c r="X64" i="48"/>
  <c r="N65" i="36" s="1"/>
  <c r="X56" i="48"/>
  <c r="N57" i="36" s="1"/>
  <c r="X48" i="48"/>
  <c r="N49" i="36" s="1"/>
  <c r="X40" i="48"/>
  <c r="N41" i="36" s="1"/>
  <c r="X32" i="48"/>
  <c r="N33" i="36" s="1"/>
  <c r="X24" i="48"/>
  <c r="N25" i="36" s="1"/>
  <c r="X16" i="48"/>
  <c r="N17" i="36" s="1"/>
  <c r="H45" i="48"/>
  <c r="F46" i="36" s="1"/>
  <c r="H37" i="48"/>
  <c r="F38" i="36" s="1"/>
  <c r="H29" i="48"/>
  <c r="F30" i="36" s="1"/>
  <c r="H20" i="48"/>
  <c r="F21" i="36" s="1"/>
  <c r="P49" i="48"/>
  <c r="J50" i="36" s="1"/>
  <c r="P41" i="48"/>
  <c r="J42" i="36" s="1"/>
  <c r="P33" i="48"/>
  <c r="J34" i="36" s="1"/>
  <c r="P25" i="48"/>
  <c r="J26" i="36" s="1"/>
  <c r="P17" i="48"/>
  <c r="J18" i="36" s="1"/>
  <c r="X55" i="48"/>
  <c r="N56" i="36" s="1"/>
  <c r="X47" i="48"/>
  <c r="N48" i="36" s="1"/>
  <c r="X39" i="48"/>
  <c r="N40" i="36" s="1"/>
  <c r="X31" i="48"/>
  <c r="N32" i="36" s="1"/>
  <c r="X23" i="48"/>
  <c r="N24" i="36" s="1"/>
  <c r="X56" i="49"/>
  <c r="N57" i="37" s="1"/>
  <c r="H68" i="48"/>
  <c r="F69" i="36" s="1"/>
  <c r="H60" i="48"/>
  <c r="F61" i="36" s="1"/>
  <c r="H52" i="48"/>
  <c r="F53" i="36" s="1"/>
  <c r="H44" i="48"/>
  <c r="F45" i="36" s="1"/>
  <c r="H36" i="48"/>
  <c r="F37" i="36" s="1"/>
  <c r="H28" i="48"/>
  <c r="F29" i="36" s="1"/>
  <c r="H19" i="48"/>
  <c r="F20" i="36" s="1"/>
  <c r="P48" i="48"/>
  <c r="J49" i="36" s="1"/>
  <c r="P40" i="48"/>
  <c r="J41" i="36" s="1"/>
  <c r="P32" i="48"/>
  <c r="J33" i="36" s="1"/>
  <c r="P24" i="48"/>
  <c r="J25" i="36" s="1"/>
  <c r="P16" i="48"/>
  <c r="J17" i="36" s="1"/>
  <c r="X54" i="48"/>
  <c r="N55" i="36" s="1"/>
  <c r="X46" i="48"/>
  <c r="N47" i="36" s="1"/>
  <c r="X38" i="48"/>
  <c r="N39" i="36" s="1"/>
  <c r="X30" i="48"/>
  <c r="N31" i="36" s="1"/>
  <c r="X22" i="48"/>
  <c r="N23" i="36" s="1"/>
  <c r="O167" i="38"/>
  <c r="Y167" i="38"/>
  <c r="AA67" i="48"/>
  <c r="O68" i="36" s="1"/>
  <c r="AA59" i="48"/>
  <c r="O60" i="36" s="1"/>
  <c r="AA51" i="48"/>
  <c r="O52" i="36" s="1"/>
  <c r="AA43" i="48"/>
  <c r="O44" i="36" s="1"/>
  <c r="AA35" i="48"/>
  <c r="O36" i="36" s="1"/>
  <c r="AA27" i="48"/>
  <c r="O28" i="36" s="1"/>
  <c r="AA19" i="48"/>
  <c r="O20" i="36" s="1"/>
  <c r="AA66" i="48"/>
  <c r="O67" i="36" s="1"/>
  <c r="AA58" i="48"/>
  <c r="O59" i="36" s="1"/>
  <c r="AA50" i="48"/>
  <c r="O51" i="36" s="1"/>
  <c r="AA42" i="48"/>
  <c r="O43" i="36" s="1"/>
  <c r="AA34" i="48"/>
  <c r="O35" i="36" s="1"/>
  <c r="AA26" i="48"/>
  <c r="O27" i="36" s="1"/>
  <c r="AA18" i="48"/>
  <c r="O19" i="36" s="1"/>
  <c r="AA15" i="48"/>
  <c r="O16" i="36" s="1"/>
  <c r="AA65" i="48"/>
  <c r="O66" i="36" s="1"/>
  <c r="AA57" i="48"/>
  <c r="O58" i="36" s="1"/>
  <c r="AA49" i="48"/>
  <c r="O50" i="36" s="1"/>
  <c r="AA41" i="48"/>
  <c r="O42" i="36" s="1"/>
  <c r="AA33" i="48"/>
  <c r="O34" i="36" s="1"/>
  <c r="AA25" i="48"/>
  <c r="O26" i="36" s="1"/>
  <c r="AA17" i="48"/>
  <c r="O18" i="36" s="1"/>
  <c r="AA72" i="48"/>
  <c r="O73" i="36" s="1"/>
  <c r="AA64" i="48"/>
  <c r="O65" i="36" s="1"/>
  <c r="AA56" i="48"/>
  <c r="O57" i="36" s="1"/>
  <c r="AA48" i="48"/>
  <c r="O49" i="36" s="1"/>
  <c r="AA40" i="48"/>
  <c r="O41" i="36" s="1"/>
  <c r="AA32" i="48"/>
  <c r="O33" i="36" s="1"/>
  <c r="AA24" i="48"/>
  <c r="O25" i="36" s="1"/>
  <c r="AA16" i="48"/>
  <c r="O17" i="36" s="1"/>
  <c r="AA71" i="48"/>
  <c r="O72" i="36" s="1"/>
  <c r="AA63" i="48"/>
  <c r="O64" i="36" s="1"/>
  <c r="AA55" i="48"/>
  <c r="O56" i="36" s="1"/>
  <c r="AA47" i="48"/>
  <c r="O48" i="36" s="1"/>
  <c r="AA39" i="48"/>
  <c r="O40" i="36" s="1"/>
  <c r="AA31" i="48"/>
  <c r="O32" i="36" s="1"/>
  <c r="AA23" i="48"/>
  <c r="O24" i="36" s="1"/>
  <c r="AA70" i="48"/>
  <c r="O71" i="36" s="1"/>
  <c r="AA62" i="48"/>
  <c r="O63" i="36" s="1"/>
  <c r="AA54" i="48"/>
  <c r="O55" i="36" s="1"/>
  <c r="AA46" i="48"/>
  <c r="O47" i="36" s="1"/>
  <c r="AA38" i="48"/>
  <c r="O39" i="36" s="1"/>
  <c r="AA30" i="48"/>
  <c r="O31" i="36" s="1"/>
  <c r="AA22" i="48"/>
  <c r="O23" i="36" s="1"/>
  <c r="AA69" i="48"/>
  <c r="O70" i="36" s="1"/>
  <c r="AA61" i="48"/>
  <c r="O62" i="36" s="1"/>
  <c r="AA53" i="48"/>
  <c r="O54" i="36" s="1"/>
  <c r="AA45" i="48"/>
  <c r="O46" i="36" s="1"/>
  <c r="AA37" i="48"/>
  <c r="O38" i="36" s="1"/>
  <c r="AA29" i="48"/>
  <c r="O30" i="36" s="1"/>
  <c r="AA21" i="48"/>
  <c r="O22" i="36" s="1"/>
  <c r="AA68" i="48"/>
  <c r="O69" i="36" s="1"/>
  <c r="AA60" i="48"/>
  <c r="O61" i="36" s="1"/>
  <c r="AA52" i="48"/>
  <c r="O53" i="36" s="1"/>
  <c r="AA44" i="48"/>
  <c r="O45" i="36" s="1"/>
  <c r="AA36" i="48"/>
  <c r="O37" i="36" s="1"/>
  <c r="AA28" i="48"/>
  <c r="O29" i="36" s="1"/>
  <c r="AA20" i="48"/>
  <c r="O21" i="36" s="1"/>
  <c r="AA51" i="49"/>
  <c r="O52" i="37" s="1"/>
  <c r="AA57" i="49"/>
  <c r="O58" i="37" s="1"/>
  <c r="AA33" i="49"/>
  <c r="O34" i="37" s="1"/>
  <c r="H24" i="49"/>
  <c r="H16" i="49"/>
  <c r="X27" i="49"/>
  <c r="N28" i="37" s="1"/>
  <c r="AA52" i="49"/>
  <c r="O53" i="37" s="1"/>
  <c r="AA28" i="49"/>
  <c r="O29" i="37" s="1"/>
  <c r="X45" i="49"/>
  <c r="N46" i="37" s="1"/>
  <c r="X21" i="49"/>
  <c r="N22" i="37" s="1"/>
  <c r="AA46" i="49"/>
  <c r="O47" i="37" s="1"/>
  <c r="AA22" i="49"/>
  <c r="O23" i="37" s="1"/>
  <c r="H42" i="49"/>
  <c r="H18" i="49"/>
  <c r="P30" i="49"/>
  <c r="J31" i="37" s="1"/>
  <c r="X33" i="49"/>
  <c r="N34" i="37" s="1"/>
  <c r="H30" i="49"/>
  <c r="H21" i="49"/>
  <c r="P33" i="49"/>
  <c r="J34" i="37" s="1"/>
  <c r="H66" i="49"/>
  <c r="H45" i="49"/>
  <c r="P49" i="49"/>
  <c r="J50" i="37" s="1"/>
  <c r="AA63" i="49"/>
  <c r="O64" i="37" s="1"/>
  <c r="AA39" i="49"/>
  <c r="O40" i="37" s="1"/>
  <c r="H59" i="49"/>
  <c r="H51" i="49"/>
  <c r="H43" i="49"/>
  <c r="H35" i="49"/>
  <c r="H27" i="49"/>
  <c r="H19" i="49"/>
  <c r="P63" i="49"/>
  <c r="J64" i="37" s="1"/>
  <c r="P39" i="49"/>
  <c r="J40" i="37" s="1"/>
  <c r="X51" i="49"/>
  <c r="N52" i="37" s="1"/>
  <c r="H48" i="49"/>
  <c r="H40" i="49"/>
  <c r="X57" i="49"/>
  <c r="N58" i="37" s="1"/>
  <c r="H54" i="49"/>
  <c r="P42" i="49"/>
  <c r="J43" i="37" s="1"/>
  <c r="T167" i="38"/>
  <c r="AC167" i="38"/>
  <c r="H64" i="49"/>
  <c r="H69" i="49"/>
  <c r="P15" i="49"/>
  <c r="P65" i="49"/>
  <c r="J66" i="37" s="1"/>
  <c r="P57" i="49"/>
  <c r="J58" i="37" s="1"/>
  <c r="AA69" i="49"/>
  <c r="O70" i="37" s="1"/>
  <c r="AA45" i="49"/>
  <c r="O46" i="37" s="1"/>
  <c r="AA21" i="49"/>
  <c r="O22" i="37" s="1"/>
  <c r="H57" i="49"/>
  <c r="H33" i="49"/>
  <c r="P53" i="49"/>
  <c r="J54" i="37" s="1"/>
  <c r="P45" i="49"/>
  <c r="J46" i="37" s="1"/>
  <c r="P21" i="49"/>
  <c r="G73" i="48"/>
  <c r="O73" i="48"/>
  <c r="P15" i="48"/>
  <c r="P69" i="49"/>
  <c r="J70" i="37" s="1"/>
  <c r="H72" i="49"/>
  <c r="AA15" i="49"/>
  <c r="O16" i="37" s="1"/>
  <c r="H71" i="49"/>
  <c r="H63" i="49"/>
  <c r="H47" i="49"/>
  <c r="H39" i="49"/>
  <c r="H31" i="49"/>
  <c r="H23" i="49"/>
  <c r="P51" i="49"/>
  <c r="J52" i="37" s="1"/>
  <c r="P43" i="49"/>
  <c r="J44" i="37" s="1"/>
  <c r="P19" i="49"/>
  <c r="J20" i="37" s="1"/>
  <c r="P66" i="49"/>
  <c r="J67" i="37" s="1"/>
  <c r="X63" i="49"/>
  <c r="N64" i="37" s="1"/>
  <c r="X39" i="49"/>
  <c r="N40" i="37" s="1"/>
  <c r="AA40" i="49"/>
  <c r="O41" i="37" s="1"/>
  <c r="AA16" i="49"/>
  <c r="O17" i="37" s="1"/>
  <c r="H60" i="49"/>
  <c r="H52" i="49"/>
  <c r="H36" i="49"/>
  <c r="H28" i="49"/>
  <c r="H62" i="49"/>
  <c r="H50" i="49"/>
  <c r="H38" i="49"/>
  <c r="X15" i="49"/>
  <c r="N16" i="37" s="1"/>
  <c r="X70" i="49"/>
  <c r="N71" i="37" s="1"/>
  <c r="AA71" i="49"/>
  <c r="O72" i="37" s="1"/>
  <c r="H26" i="49"/>
  <c r="H15" i="49"/>
  <c r="H61" i="49"/>
  <c r="H49" i="49"/>
  <c r="H37" i="49"/>
  <c r="H25" i="49"/>
  <c r="X25" i="49"/>
  <c r="N26" i="37" s="1"/>
  <c r="AA24" i="49"/>
  <c r="O25" i="37" s="1"/>
  <c r="P68" i="49"/>
  <c r="J69" i="37" s="1"/>
  <c r="X35" i="49"/>
  <c r="N36" i="37" s="1"/>
  <c r="H70" i="49"/>
  <c r="P67" i="49"/>
  <c r="J68" i="37" s="1"/>
  <c r="H34" i="49"/>
  <c r="P55" i="49"/>
  <c r="J56" i="37" s="1"/>
  <c r="X66" i="49"/>
  <c r="N67" i="37" s="1"/>
  <c r="AA61" i="49"/>
  <c r="O62" i="37" s="1"/>
  <c r="H68" i="49"/>
  <c r="H56" i="49"/>
  <c r="H44" i="49"/>
  <c r="H32" i="49"/>
  <c r="H20" i="49"/>
  <c r="P29" i="49"/>
  <c r="J30" i="37" s="1"/>
  <c r="P17" i="49"/>
  <c r="J18" i="37" s="1"/>
  <c r="X65" i="49"/>
  <c r="N66" i="37" s="1"/>
  <c r="AA42" i="49"/>
  <c r="O43" i="37" s="1"/>
  <c r="H58" i="49"/>
  <c r="H46" i="49"/>
  <c r="H22" i="49"/>
  <c r="H67" i="49"/>
  <c r="H55" i="49"/>
  <c r="P64" i="49"/>
  <c r="J65" i="37" s="1"/>
  <c r="X53" i="49"/>
  <c r="N54" i="37" s="1"/>
  <c r="O73" i="49"/>
  <c r="P31" i="49"/>
  <c r="J32" i="37" s="1"/>
  <c r="AA27" i="49"/>
  <c r="O28" i="37" s="1"/>
  <c r="G73" i="49"/>
  <c r="H65" i="49"/>
  <c r="H41" i="49"/>
  <c r="H17" i="49"/>
  <c r="P71" i="49"/>
  <c r="J72" i="37" s="1"/>
  <c r="P56" i="49"/>
  <c r="J57" i="37" s="1"/>
  <c r="P27" i="49"/>
  <c r="J28" i="37" s="1"/>
  <c r="P20" i="49"/>
  <c r="J21" i="37" s="1"/>
  <c r="X55" i="49"/>
  <c r="N56" i="37" s="1"/>
  <c r="X34" i="49"/>
  <c r="N35" i="37" s="1"/>
  <c r="X24" i="49"/>
  <c r="N25" i="37" s="1"/>
  <c r="AA70" i="49"/>
  <c r="O71" i="37" s="1"/>
  <c r="AA60" i="49"/>
  <c r="O61" i="37" s="1"/>
  <c r="AA41" i="49"/>
  <c r="O42" i="37" s="1"/>
  <c r="AA23" i="49"/>
  <c r="O24" i="37" s="1"/>
  <c r="P70" i="49"/>
  <c r="J71" i="37" s="1"/>
  <c r="P48" i="49"/>
  <c r="J49" i="37" s="1"/>
  <c r="P41" i="49"/>
  <c r="J42" i="37" s="1"/>
  <c r="P34" i="49"/>
  <c r="J35" i="37" s="1"/>
  <c r="X64" i="49"/>
  <c r="N65" i="37" s="1"/>
  <c r="X54" i="49"/>
  <c r="N55" i="37" s="1"/>
  <c r="X44" i="49"/>
  <c r="N45" i="37" s="1"/>
  <c r="X23" i="49"/>
  <c r="N24" i="37" s="1"/>
  <c r="AA59" i="49"/>
  <c r="O60" i="37" s="1"/>
  <c r="AA50" i="49"/>
  <c r="O51" i="37" s="1"/>
  <c r="AA32" i="49"/>
  <c r="O33" i="37" s="1"/>
  <c r="P35" i="49"/>
  <c r="J36" i="37" s="1"/>
  <c r="P26" i="49"/>
  <c r="J27" i="37" s="1"/>
  <c r="X43" i="49"/>
  <c r="N44" i="37" s="1"/>
  <c r="X22" i="49"/>
  <c r="N23" i="37" s="1"/>
  <c r="AA58" i="49"/>
  <c r="O59" i="37" s="1"/>
  <c r="AA49" i="49"/>
  <c r="O50" i="37" s="1"/>
  <c r="AA31" i="49"/>
  <c r="O32" i="37" s="1"/>
  <c r="P61" i="49"/>
  <c r="J62" i="37" s="1"/>
  <c r="P54" i="49"/>
  <c r="J55" i="37" s="1"/>
  <c r="P47" i="49"/>
  <c r="J48" i="37" s="1"/>
  <c r="P40" i="49"/>
  <c r="J41" i="37" s="1"/>
  <c r="P25" i="49"/>
  <c r="J26" i="37" s="1"/>
  <c r="P18" i="49"/>
  <c r="J19" i="37" s="1"/>
  <c r="X52" i="49"/>
  <c r="N53" i="37" s="1"/>
  <c r="X42" i="49"/>
  <c r="N43" i="37" s="1"/>
  <c r="X32" i="49"/>
  <c r="N33" i="37" s="1"/>
  <c r="AA68" i="49"/>
  <c r="O69" i="37" s="1"/>
  <c r="AA48" i="49"/>
  <c r="O49" i="37" s="1"/>
  <c r="AA30" i="49"/>
  <c r="O31" i="37" s="1"/>
  <c r="H53" i="49"/>
  <c r="H29" i="49"/>
  <c r="P32" i="49"/>
  <c r="J33" i="37" s="1"/>
  <c r="X62" i="49"/>
  <c r="N63" i="37" s="1"/>
  <c r="X41" i="49"/>
  <c r="N42" i="37" s="1"/>
  <c r="X31" i="49"/>
  <c r="N32" i="37" s="1"/>
  <c r="AA67" i="49"/>
  <c r="O68" i="37" s="1"/>
  <c r="AA47" i="49"/>
  <c r="O48" i="37" s="1"/>
  <c r="AA29" i="49"/>
  <c r="O30" i="37" s="1"/>
  <c r="P60" i="49"/>
  <c r="J61" i="37" s="1"/>
  <c r="P46" i="49"/>
  <c r="J47" i="37" s="1"/>
  <c r="P24" i="49"/>
  <c r="J25" i="37" s="1"/>
  <c r="X61" i="49"/>
  <c r="N62" i="37" s="1"/>
  <c r="X40" i="49"/>
  <c r="N41" i="37" s="1"/>
  <c r="X30" i="49"/>
  <c r="N31" i="37" s="1"/>
  <c r="X20" i="49"/>
  <c r="N21" i="37" s="1"/>
  <c r="AA66" i="49"/>
  <c r="O67" i="37" s="1"/>
  <c r="AA56" i="49"/>
  <c r="O57" i="37" s="1"/>
  <c r="AA38" i="49"/>
  <c r="O39" i="37" s="1"/>
  <c r="AA20" i="49"/>
  <c r="O21" i="37" s="1"/>
  <c r="P38" i="49"/>
  <c r="J39" i="37" s="1"/>
  <c r="X60" i="49"/>
  <c r="N61" i="37" s="1"/>
  <c r="X50" i="49"/>
  <c r="N51" i="37" s="1"/>
  <c r="X29" i="49"/>
  <c r="N30" i="37" s="1"/>
  <c r="X19" i="49"/>
  <c r="N20" i="37" s="1"/>
  <c r="AA65" i="49"/>
  <c r="O66" i="37" s="1"/>
  <c r="AA55" i="49"/>
  <c r="O56" i="37" s="1"/>
  <c r="AA37" i="49"/>
  <c r="O38" i="37" s="1"/>
  <c r="AA19" i="49"/>
  <c r="O20" i="37" s="1"/>
  <c r="P59" i="49"/>
  <c r="J60" i="37" s="1"/>
  <c r="P52" i="49"/>
  <c r="J53" i="37" s="1"/>
  <c r="P37" i="49"/>
  <c r="J38" i="37" s="1"/>
  <c r="P23" i="49"/>
  <c r="J24" i="37" s="1"/>
  <c r="P16" i="49"/>
  <c r="J17" i="37" s="1"/>
  <c r="X59" i="49"/>
  <c r="N60" i="37" s="1"/>
  <c r="X49" i="49"/>
  <c r="N50" i="37" s="1"/>
  <c r="X28" i="49"/>
  <c r="N29" i="37" s="1"/>
  <c r="X18" i="49"/>
  <c r="N19" i="37" s="1"/>
  <c r="AA64" i="49"/>
  <c r="O65" i="37" s="1"/>
  <c r="AA54" i="49"/>
  <c r="O55" i="37" s="1"/>
  <c r="AA36" i="49"/>
  <c r="O37" i="37" s="1"/>
  <c r="AA18" i="49"/>
  <c r="O19" i="37" s="1"/>
  <c r="P44" i="49"/>
  <c r="J45" i="37" s="1"/>
  <c r="X58" i="49"/>
  <c r="N59" i="37" s="1"/>
  <c r="X48" i="49"/>
  <c r="N49" i="37" s="1"/>
  <c r="X38" i="49"/>
  <c r="N39" i="37" s="1"/>
  <c r="X17" i="49"/>
  <c r="N18" i="37" s="1"/>
  <c r="AA53" i="49"/>
  <c r="O54" i="37" s="1"/>
  <c r="AA35" i="49"/>
  <c r="O36" i="37" s="1"/>
  <c r="AA17" i="49"/>
  <c r="O18" i="37" s="1"/>
  <c r="P72" i="49"/>
  <c r="J73" i="37" s="1"/>
  <c r="P58" i="49"/>
  <c r="J59" i="37" s="1"/>
  <c r="P36" i="49"/>
  <c r="J37" i="37" s="1"/>
  <c r="P22" i="49"/>
  <c r="J23" i="37" s="1"/>
  <c r="X68" i="49"/>
  <c r="N69" i="37" s="1"/>
  <c r="X47" i="49"/>
  <c r="N48" i="37" s="1"/>
  <c r="X37" i="49"/>
  <c r="N38" i="37" s="1"/>
  <c r="X16" i="49"/>
  <c r="N17" i="37" s="1"/>
  <c r="AA44" i="49"/>
  <c r="O45" i="37" s="1"/>
  <c r="AA26" i="49"/>
  <c r="O27" i="37" s="1"/>
  <c r="P50" i="49"/>
  <c r="J51" i="37" s="1"/>
  <c r="X67" i="49"/>
  <c r="N68" i="37" s="1"/>
  <c r="X46" i="49"/>
  <c r="N47" i="37" s="1"/>
  <c r="X36" i="49"/>
  <c r="N37" i="37" s="1"/>
  <c r="X26" i="49"/>
  <c r="N27" i="37" s="1"/>
  <c r="AA72" i="49"/>
  <c r="O73" i="37" s="1"/>
  <c r="AA62" i="49"/>
  <c r="O63" i="37" s="1"/>
  <c r="AA43" i="49"/>
  <c r="O44" i="37" s="1"/>
  <c r="AA25" i="49"/>
  <c r="O26" i="37" s="1"/>
  <c r="Z16" i="47"/>
  <c r="Z17" i="47"/>
  <c r="Z18" i="47"/>
  <c r="Z19" i="47"/>
  <c r="Z20" i="47"/>
  <c r="Z21" i="47"/>
  <c r="Z22" i="47"/>
  <c r="Z23" i="47"/>
  <c r="Z24" i="47"/>
  <c r="Z25" i="47"/>
  <c r="Z26" i="47"/>
  <c r="Z27" i="47"/>
  <c r="Z28" i="47"/>
  <c r="Z29" i="47"/>
  <c r="Z30" i="47"/>
  <c r="Z31" i="47"/>
  <c r="Z32" i="47"/>
  <c r="Z33" i="47"/>
  <c r="Z34" i="47"/>
  <c r="Z35" i="47"/>
  <c r="Z36" i="47"/>
  <c r="Z37" i="47"/>
  <c r="Z38" i="47"/>
  <c r="Z39" i="47"/>
  <c r="Z40" i="47"/>
  <c r="Z41" i="47"/>
  <c r="Z42" i="47"/>
  <c r="Z43" i="47"/>
  <c r="Z44" i="47"/>
  <c r="Z45" i="47"/>
  <c r="Z46" i="47"/>
  <c r="Z47" i="47"/>
  <c r="Z48" i="47"/>
  <c r="Z49" i="47"/>
  <c r="Z50" i="47"/>
  <c r="Z51" i="47"/>
  <c r="Z52" i="47"/>
  <c r="Z53" i="47"/>
  <c r="Z54" i="47"/>
  <c r="Z55" i="47"/>
  <c r="Z56" i="47"/>
  <c r="Z57" i="47"/>
  <c r="Z58" i="47"/>
  <c r="Z59" i="47"/>
  <c r="Z60" i="47"/>
  <c r="Z61" i="47"/>
  <c r="Z62" i="47"/>
  <c r="Z63" i="47"/>
  <c r="Z64" i="47"/>
  <c r="Z65" i="47"/>
  <c r="Z66" i="47"/>
  <c r="Z67" i="47"/>
  <c r="Z68" i="47"/>
  <c r="Z69" i="47"/>
  <c r="Z70" i="47"/>
  <c r="Z71" i="47"/>
  <c r="Z72" i="47"/>
  <c r="Z15" i="47"/>
  <c r="W16" i="47"/>
  <c r="W17" i="47"/>
  <c r="W18" i="47"/>
  <c r="W19" i="47"/>
  <c r="W20" i="47"/>
  <c r="W21" i="47"/>
  <c r="W22" i="47"/>
  <c r="W23" i="47"/>
  <c r="W24" i="47"/>
  <c r="W25" i="47"/>
  <c r="W26" i="47"/>
  <c r="W27" i="47"/>
  <c r="W28" i="47"/>
  <c r="W29" i="47"/>
  <c r="W30" i="47"/>
  <c r="W31" i="47"/>
  <c r="W32" i="47"/>
  <c r="W33" i="47"/>
  <c r="W34" i="47"/>
  <c r="W35" i="47"/>
  <c r="W36" i="47"/>
  <c r="W37" i="47"/>
  <c r="W38" i="47"/>
  <c r="W39" i="47"/>
  <c r="W40" i="47"/>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71" i="47"/>
  <c r="W72" i="47"/>
  <c r="W15" i="47"/>
  <c r="Y16" i="47"/>
  <c r="Y17" i="47"/>
  <c r="Y18" i="47"/>
  <c r="Y19" i="47"/>
  <c r="Y20" i="47"/>
  <c r="Y21" i="47"/>
  <c r="Y22" i="47"/>
  <c r="Y23" i="47"/>
  <c r="Y24" i="47"/>
  <c r="Y25" i="47"/>
  <c r="Y26" i="47"/>
  <c r="Y27" i="47"/>
  <c r="Y28" i="47"/>
  <c r="Y29" i="47"/>
  <c r="Y30" i="47"/>
  <c r="Y31" i="47"/>
  <c r="Y32" i="47"/>
  <c r="Y33" i="47"/>
  <c r="Y34" i="47"/>
  <c r="Y35" i="47"/>
  <c r="Y36" i="47"/>
  <c r="Y37" i="47"/>
  <c r="Y38" i="47"/>
  <c r="Y39" i="47"/>
  <c r="Y40" i="47"/>
  <c r="Y41" i="47"/>
  <c r="Y42" i="47"/>
  <c r="Y43" i="47"/>
  <c r="Y44" i="47"/>
  <c r="Y45" i="47"/>
  <c r="Y46" i="47"/>
  <c r="Y47" i="47"/>
  <c r="Y48" i="47"/>
  <c r="Y49" i="47"/>
  <c r="Y50" i="47"/>
  <c r="Y51" i="47"/>
  <c r="Y52" i="47"/>
  <c r="Y53" i="47"/>
  <c r="Y54" i="47"/>
  <c r="Y55" i="47"/>
  <c r="Y56" i="47"/>
  <c r="Y57" i="47"/>
  <c r="Y58" i="47"/>
  <c r="Y59" i="47"/>
  <c r="Y60" i="47"/>
  <c r="Y61" i="47"/>
  <c r="Y62" i="47"/>
  <c r="Y63" i="47"/>
  <c r="Y64" i="47"/>
  <c r="Y65" i="47"/>
  <c r="Y66" i="47"/>
  <c r="Y67" i="47"/>
  <c r="Y68" i="47"/>
  <c r="Y69" i="47"/>
  <c r="Y70" i="47"/>
  <c r="Y71" i="47"/>
  <c r="Y72" i="47"/>
  <c r="Y15" i="47"/>
  <c r="V16" i="47"/>
  <c r="V17" i="47"/>
  <c r="V18" i="47"/>
  <c r="V19" i="47"/>
  <c r="V20" i="47"/>
  <c r="V21" i="47"/>
  <c r="V22" i="47"/>
  <c r="V23" i="47"/>
  <c r="V24" i="47"/>
  <c r="V25" i="47"/>
  <c r="V26" i="47"/>
  <c r="V27" i="47"/>
  <c r="V28" i="47"/>
  <c r="V29" i="47"/>
  <c r="V30" i="47"/>
  <c r="V31" i="47"/>
  <c r="V32" i="47"/>
  <c r="V33" i="47"/>
  <c r="V34" i="47"/>
  <c r="V35" i="47"/>
  <c r="V36" i="47"/>
  <c r="V37" i="47"/>
  <c r="V38" i="47"/>
  <c r="V39" i="47"/>
  <c r="V40" i="47"/>
  <c r="V41" i="47"/>
  <c r="V42" i="47"/>
  <c r="V43" i="47"/>
  <c r="V44" i="47"/>
  <c r="V45" i="47"/>
  <c r="V46" i="47"/>
  <c r="V47" i="47"/>
  <c r="V48" i="47"/>
  <c r="V49" i="47"/>
  <c r="V50" i="47"/>
  <c r="V51" i="47"/>
  <c r="V52" i="47"/>
  <c r="V53" i="47"/>
  <c r="V54" i="47"/>
  <c r="V55" i="47"/>
  <c r="V56" i="47"/>
  <c r="V57" i="47"/>
  <c r="V58" i="47"/>
  <c r="V59" i="47"/>
  <c r="V60" i="47"/>
  <c r="V61" i="47"/>
  <c r="V62" i="47"/>
  <c r="V63" i="47"/>
  <c r="V64" i="47"/>
  <c r="V65" i="47"/>
  <c r="V66" i="47"/>
  <c r="V67" i="47"/>
  <c r="V68" i="47"/>
  <c r="V69" i="47"/>
  <c r="V70" i="47"/>
  <c r="V71" i="47"/>
  <c r="V72" i="47"/>
  <c r="V15" i="47"/>
  <c r="O16" i="47"/>
  <c r="O17" i="47"/>
  <c r="O18" i="47"/>
  <c r="O19" i="47"/>
  <c r="O20" i="47"/>
  <c r="O21" i="47"/>
  <c r="O22" i="47"/>
  <c r="O23" i="47"/>
  <c r="O24" i="47"/>
  <c r="O25" i="47"/>
  <c r="O26" i="47"/>
  <c r="O27" i="47"/>
  <c r="O28" i="47"/>
  <c r="O29" i="47"/>
  <c r="O30" i="47"/>
  <c r="O31" i="47"/>
  <c r="O32" i="47"/>
  <c r="O33" i="47"/>
  <c r="O34" i="47"/>
  <c r="O35" i="47"/>
  <c r="O36" i="47"/>
  <c r="O37" i="47"/>
  <c r="O38" i="47"/>
  <c r="O39" i="47"/>
  <c r="O40" i="47"/>
  <c r="O41" i="47"/>
  <c r="O42" i="47"/>
  <c r="O43" i="47"/>
  <c r="O44" i="47"/>
  <c r="O45" i="47"/>
  <c r="O46" i="47"/>
  <c r="O47" i="47"/>
  <c r="O48" i="47"/>
  <c r="O49" i="47"/>
  <c r="O50" i="47"/>
  <c r="O51" i="47"/>
  <c r="O52" i="47"/>
  <c r="O53" i="47"/>
  <c r="O54" i="47"/>
  <c r="O55" i="47"/>
  <c r="O56" i="47"/>
  <c r="O57" i="47"/>
  <c r="O58" i="47"/>
  <c r="O59" i="47"/>
  <c r="O60" i="47"/>
  <c r="O61" i="47"/>
  <c r="O62" i="47"/>
  <c r="O63" i="47"/>
  <c r="O64" i="47"/>
  <c r="O65" i="47"/>
  <c r="O66" i="47"/>
  <c r="O67" i="47"/>
  <c r="O68" i="47"/>
  <c r="O69" i="47"/>
  <c r="O70" i="47"/>
  <c r="O71" i="47"/>
  <c r="O72" i="47"/>
  <c r="N16" i="47"/>
  <c r="N17" i="47"/>
  <c r="N18" i="47"/>
  <c r="N19" i="47"/>
  <c r="N20" i="47"/>
  <c r="N21" i="47"/>
  <c r="N22" i="47"/>
  <c r="N23" i="47"/>
  <c r="N24" i="47"/>
  <c r="N25" i="47"/>
  <c r="N26" i="47"/>
  <c r="N27" i="47"/>
  <c r="N28" i="47"/>
  <c r="N29" i="47"/>
  <c r="N30" i="47"/>
  <c r="N31" i="47"/>
  <c r="N32" i="47"/>
  <c r="N33" i="47"/>
  <c r="N34" i="47"/>
  <c r="N35" i="47"/>
  <c r="N36" i="47"/>
  <c r="N37" i="47"/>
  <c r="N38" i="47"/>
  <c r="N39" i="47"/>
  <c r="N40" i="47"/>
  <c r="N41" i="47"/>
  <c r="N42" i="47"/>
  <c r="N43" i="47"/>
  <c r="N44" i="47"/>
  <c r="N45" i="47"/>
  <c r="N46" i="47"/>
  <c r="N47" i="47"/>
  <c r="N48" i="47"/>
  <c r="N49" i="47"/>
  <c r="N50" i="47"/>
  <c r="N51" i="47"/>
  <c r="N52" i="47"/>
  <c r="N53" i="47"/>
  <c r="N54" i="47"/>
  <c r="N55" i="47"/>
  <c r="N56" i="47"/>
  <c r="N57" i="47"/>
  <c r="N58" i="47"/>
  <c r="N59" i="47"/>
  <c r="N60" i="47"/>
  <c r="N61" i="47"/>
  <c r="N62" i="47"/>
  <c r="N63" i="47"/>
  <c r="N64" i="47"/>
  <c r="N65" i="47"/>
  <c r="N66" i="47"/>
  <c r="N67" i="47"/>
  <c r="N68" i="47"/>
  <c r="N69" i="47"/>
  <c r="N70" i="47"/>
  <c r="N71" i="47"/>
  <c r="N72" i="47"/>
  <c r="N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15" i="47"/>
  <c r="B16" i="47"/>
  <c r="B17" i="35" s="1"/>
  <c r="B17" i="47"/>
  <c r="B18" i="35" s="1"/>
  <c r="B18" i="47"/>
  <c r="B19" i="35" s="1"/>
  <c r="B19" i="47"/>
  <c r="B20" i="35" s="1"/>
  <c r="B20" i="47"/>
  <c r="B21" i="35" s="1"/>
  <c r="B21" i="47"/>
  <c r="B22" i="35" s="1"/>
  <c r="B22" i="47"/>
  <c r="B23" i="35" s="1"/>
  <c r="B23" i="47"/>
  <c r="B24" i="35" s="1"/>
  <c r="B24" i="47"/>
  <c r="B25" i="35" s="1"/>
  <c r="B25" i="47"/>
  <c r="B26" i="35" s="1"/>
  <c r="B26" i="47"/>
  <c r="B27" i="35" s="1"/>
  <c r="B27" i="47"/>
  <c r="B28" i="35" s="1"/>
  <c r="B28" i="47"/>
  <c r="B29" i="35" s="1"/>
  <c r="B29" i="47"/>
  <c r="B30" i="35" s="1"/>
  <c r="B30" i="47"/>
  <c r="B31" i="35" s="1"/>
  <c r="B31" i="47"/>
  <c r="B32" i="35" s="1"/>
  <c r="B32" i="47"/>
  <c r="B33" i="35" s="1"/>
  <c r="B33" i="47"/>
  <c r="B34" i="35" s="1"/>
  <c r="B34" i="47"/>
  <c r="B35" i="35" s="1"/>
  <c r="B35" i="47"/>
  <c r="B36" i="35" s="1"/>
  <c r="B36" i="47"/>
  <c r="B37" i="35" s="1"/>
  <c r="B37" i="47"/>
  <c r="B38" i="35" s="1"/>
  <c r="B38" i="47"/>
  <c r="B39" i="35" s="1"/>
  <c r="B39" i="47"/>
  <c r="B40" i="35" s="1"/>
  <c r="B40" i="47"/>
  <c r="B41" i="35" s="1"/>
  <c r="B41" i="47"/>
  <c r="B42" i="35" s="1"/>
  <c r="B42" i="47"/>
  <c r="B43" i="35" s="1"/>
  <c r="B43" i="47"/>
  <c r="B44" i="35" s="1"/>
  <c r="B44" i="47"/>
  <c r="B45" i="35" s="1"/>
  <c r="B45" i="47"/>
  <c r="B46" i="35" s="1"/>
  <c r="B46" i="47"/>
  <c r="B47" i="35" s="1"/>
  <c r="B47" i="47"/>
  <c r="B48" i="35" s="1"/>
  <c r="B48" i="47"/>
  <c r="B49" i="35" s="1"/>
  <c r="B49" i="47"/>
  <c r="B50" i="35" s="1"/>
  <c r="B50" i="47"/>
  <c r="B51" i="35" s="1"/>
  <c r="B51" i="47"/>
  <c r="B52" i="35" s="1"/>
  <c r="B52" i="47"/>
  <c r="B53" i="35" s="1"/>
  <c r="B53" i="47"/>
  <c r="B54" i="35" s="1"/>
  <c r="B54" i="47"/>
  <c r="B55" i="35" s="1"/>
  <c r="B55" i="47"/>
  <c r="B56" i="35" s="1"/>
  <c r="B56" i="47"/>
  <c r="B57" i="35" s="1"/>
  <c r="B57" i="47"/>
  <c r="B58" i="35" s="1"/>
  <c r="B58" i="47"/>
  <c r="B59" i="35" s="1"/>
  <c r="B59" i="47"/>
  <c r="B60" i="35" s="1"/>
  <c r="B60" i="47"/>
  <c r="B61" i="35" s="1"/>
  <c r="B61" i="47"/>
  <c r="B62" i="35" s="1"/>
  <c r="B62" i="47"/>
  <c r="B63" i="35" s="1"/>
  <c r="B63" i="47"/>
  <c r="B64" i="35" s="1"/>
  <c r="B64" i="47"/>
  <c r="B65" i="35" s="1"/>
  <c r="B65" i="47"/>
  <c r="B66" i="35" s="1"/>
  <c r="B66" i="47"/>
  <c r="B67" i="35" s="1"/>
  <c r="B67" i="47"/>
  <c r="B68" i="35" s="1"/>
  <c r="B68" i="47"/>
  <c r="B69" i="35" s="1"/>
  <c r="B69" i="47"/>
  <c r="B70" i="35" s="1"/>
  <c r="B70" i="47"/>
  <c r="B71" i="35" s="1"/>
  <c r="B71" i="47"/>
  <c r="B72" i="35" s="1"/>
  <c r="B72" i="47"/>
  <c r="B73" i="35" s="1"/>
  <c r="B15" i="47"/>
  <c r="B16" i="35" s="1"/>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15" i="46"/>
  <c r="Y16" i="46"/>
  <c r="Y17" i="46"/>
  <c r="Y18" i="46"/>
  <c r="Y19" i="46"/>
  <c r="Y20" i="46"/>
  <c r="Y21" i="46"/>
  <c r="Y22" i="46"/>
  <c r="Y23" i="46"/>
  <c r="Y24" i="46"/>
  <c r="Y25" i="46"/>
  <c r="Y26" i="46"/>
  <c r="Y27" i="46"/>
  <c r="Y28" i="46"/>
  <c r="Y29" i="46"/>
  <c r="Y30" i="46"/>
  <c r="Y31" i="46"/>
  <c r="Y32" i="46"/>
  <c r="Y33" i="46"/>
  <c r="Y34" i="46"/>
  <c r="Y35" i="46"/>
  <c r="Y36" i="46"/>
  <c r="Y37" i="46"/>
  <c r="Y38" i="46"/>
  <c r="Y39" i="46"/>
  <c r="Y40" i="46"/>
  <c r="Y41" i="46"/>
  <c r="Y42" i="46"/>
  <c r="Y43" i="46"/>
  <c r="Y44" i="46"/>
  <c r="Y45" i="46"/>
  <c r="Y46" i="46"/>
  <c r="Y47" i="46"/>
  <c r="Y48" i="46"/>
  <c r="Y49" i="46"/>
  <c r="Y50" i="46"/>
  <c r="Y51" i="46"/>
  <c r="Y52" i="46"/>
  <c r="Y53" i="46"/>
  <c r="Y54" i="46"/>
  <c r="Y55" i="46"/>
  <c r="Y56" i="46"/>
  <c r="Y57" i="46"/>
  <c r="Y58" i="46"/>
  <c r="Y59" i="46"/>
  <c r="Y60" i="46"/>
  <c r="Y61" i="46"/>
  <c r="Y62" i="46"/>
  <c r="Y63" i="46"/>
  <c r="Y64" i="46"/>
  <c r="Y65" i="46"/>
  <c r="Y66" i="46"/>
  <c r="Y67" i="46"/>
  <c r="Y68" i="46"/>
  <c r="Y69" i="46"/>
  <c r="Y70" i="46"/>
  <c r="Y71" i="46"/>
  <c r="Y72"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Y15" i="46"/>
  <c r="V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15" i="46"/>
  <c r="B16" i="46"/>
  <c r="B17" i="34" s="1"/>
  <c r="B17" i="46"/>
  <c r="B18" i="34" s="1"/>
  <c r="B18" i="46"/>
  <c r="B19" i="34" s="1"/>
  <c r="B19" i="46"/>
  <c r="B20" i="34" s="1"/>
  <c r="B20" i="46"/>
  <c r="B21" i="34" s="1"/>
  <c r="B21" i="46"/>
  <c r="B22" i="34" s="1"/>
  <c r="B22" i="46"/>
  <c r="B23" i="34" s="1"/>
  <c r="B23" i="46"/>
  <c r="B24" i="34" s="1"/>
  <c r="B24" i="46"/>
  <c r="B25" i="34" s="1"/>
  <c r="B25" i="46"/>
  <c r="B26" i="34" s="1"/>
  <c r="B26" i="46"/>
  <c r="B27" i="34" s="1"/>
  <c r="B27" i="46"/>
  <c r="B28" i="34" s="1"/>
  <c r="B28" i="46"/>
  <c r="B29" i="34" s="1"/>
  <c r="B29" i="46"/>
  <c r="B30" i="34" s="1"/>
  <c r="B30" i="46"/>
  <c r="B31" i="34" s="1"/>
  <c r="B31" i="46"/>
  <c r="B32" i="34" s="1"/>
  <c r="B32" i="46"/>
  <c r="B33" i="34" s="1"/>
  <c r="B33" i="46"/>
  <c r="B34" i="34" s="1"/>
  <c r="B34" i="46"/>
  <c r="B35" i="34" s="1"/>
  <c r="B35" i="46"/>
  <c r="B36" i="34" s="1"/>
  <c r="B36" i="46"/>
  <c r="B37" i="34" s="1"/>
  <c r="B37" i="46"/>
  <c r="B38" i="34" s="1"/>
  <c r="B38" i="46"/>
  <c r="B39" i="34" s="1"/>
  <c r="B39" i="46"/>
  <c r="B40" i="34" s="1"/>
  <c r="B40" i="46"/>
  <c r="B41" i="34" s="1"/>
  <c r="B41" i="46"/>
  <c r="B42" i="34" s="1"/>
  <c r="B42" i="46"/>
  <c r="B43" i="34" s="1"/>
  <c r="B43" i="46"/>
  <c r="B44" i="34" s="1"/>
  <c r="B44" i="46"/>
  <c r="B45" i="34" s="1"/>
  <c r="B45" i="46"/>
  <c r="B46" i="34" s="1"/>
  <c r="B46" i="46"/>
  <c r="B47" i="34" s="1"/>
  <c r="B47" i="46"/>
  <c r="B48" i="34" s="1"/>
  <c r="B48" i="46"/>
  <c r="B49" i="34" s="1"/>
  <c r="B49" i="46"/>
  <c r="B50" i="34" s="1"/>
  <c r="B50" i="46"/>
  <c r="B51" i="34" s="1"/>
  <c r="B51" i="46"/>
  <c r="B52" i="34" s="1"/>
  <c r="B52" i="46"/>
  <c r="B53" i="34" s="1"/>
  <c r="B53" i="46"/>
  <c r="B54" i="34" s="1"/>
  <c r="B54" i="46"/>
  <c r="B55" i="34" s="1"/>
  <c r="B55" i="46"/>
  <c r="B56" i="34" s="1"/>
  <c r="B56" i="46"/>
  <c r="B57" i="34" s="1"/>
  <c r="B57" i="46"/>
  <c r="B58" i="34" s="1"/>
  <c r="B58" i="46"/>
  <c r="B59" i="34" s="1"/>
  <c r="B59" i="46"/>
  <c r="B60" i="34" s="1"/>
  <c r="B60" i="46"/>
  <c r="B61" i="34" s="1"/>
  <c r="B61" i="46"/>
  <c r="B62" i="34" s="1"/>
  <c r="B62" i="46"/>
  <c r="B63" i="34" s="1"/>
  <c r="B63" i="46"/>
  <c r="B64" i="34" s="1"/>
  <c r="B64" i="46"/>
  <c r="B65" i="34" s="1"/>
  <c r="B65" i="46"/>
  <c r="B66" i="34" s="1"/>
  <c r="B66" i="46"/>
  <c r="B67" i="34" s="1"/>
  <c r="B67" i="46"/>
  <c r="B68" i="34" s="1"/>
  <c r="B68" i="46"/>
  <c r="B69" i="34" s="1"/>
  <c r="B69" i="46"/>
  <c r="B70" i="34" s="1"/>
  <c r="B70" i="46"/>
  <c r="B71" i="34" s="1"/>
  <c r="B71" i="46"/>
  <c r="B72" i="34" s="1"/>
  <c r="B72" i="46"/>
  <c r="B73" i="34" s="1"/>
  <c r="B15" i="46"/>
  <c r="B16" i="34" s="1"/>
  <c r="H15" i="43"/>
  <c r="N16" i="43"/>
  <c r="I17" i="32" s="1"/>
  <c r="N17" i="43"/>
  <c r="I18" i="32" s="1"/>
  <c r="N18" i="43"/>
  <c r="I19" i="32" s="1"/>
  <c r="N19" i="43"/>
  <c r="I20" i="32" s="1"/>
  <c r="N20" i="43"/>
  <c r="I21" i="32" s="1"/>
  <c r="N21" i="43"/>
  <c r="I22" i="32" s="1"/>
  <c r="N22" i="43"/>
  <c r="I23" i="32" s="1"/>
  <c r="N23" i="43"/>
  <c r="I24" i="32" s="1"/>
  <c r="N24" i="43"/>
  <c r="I25" i="32" s="1"/>
  <c r="N15" i="43"/>
  <c r="I16" i="32" s="1"/>
  <c r="M16" i="43"/>
  <c r="H17" i="32" s="1"/>
  <c r="M17" i="43"/>
  <c r="H18" i="32" s="1"/>
  <c r="M18" i="43"/>
  <c r="H19" i="32" s="1"/>
  <c r="M19" i="43"/>
  <c r="H20" i="32" s="1"/>
  <c r="M20" i="43"/>
  <c r="H21" i="32" s="1"/>
  <c r="M21" i="43"/>
  <c r="H22" i="32" s="1"/>
  <c r="M22" i="43"/>
  <c r="H23" i="32" s="1"/>
  <c r="M23" i="43"/>
  <c r="H24" i="32" s="1"/>
  <c r="M24" i="43"/>
  <c r="H25" i="32" s="1"/>
  <c r="M15" i="43"/>
  <c r="H16" i="32" s="1"/>
  <c r="L16" i="43"/>
  <c r="G17" i="32" s="1"/>
  <c r="L17" i="43"/>
  <c r="G18" i="32" s="1"/>
  <c r="L18" i="43"/>
  <c r="G19" i="32" s="1"/>
  <c r="L19" i="43"/>
  <c r="G20" i="32" s="1"/>
  <c r="L20" i="43"/>
  <c r="G21" i="32" s="1"/>
  <c r="L21" i="43"/>
  <c r="G22" i="32" s="1"/>
  <c r="L22" i="43"/>
  <c r="G23" i="32" s="1"/>
  <c r="L23" i="43"/>
  <c r="G24" i="32" s="1"/>
  <c r="L24" i="43"/>
  <c r="G25" i="32" s="1"/>
  <c r="L15" i="43"/>
  <c r="G16" i="32" s="1"/>
  <c r="G16" i="43"/>
  <c r="G17" i="43"/>
  <c r="G18" i="43"/>
  <c r="G19" i="43"/>
  <c r="G20" i="43"/>
  <c r="G21" i="43"/>
  <c r="G22" i="43"/>
  <c r="G23" i="43"/>
  <c r="G24" i="43"/>
  <c r="G15" i="43"/>
  <c r="B16" i="43"/>
  <c r="B17" i="32" s="1"/>
  <c r="B17" i="43"/>
  <c r="B18" i="32" s="1"/>
  <c r="B18" i="43"/>
  <c r="B19" i="32" s="1"/>
  <c r="B19" i="43"/>
  <c r="B20" i="32" s="1"/>
  <c r="B20" i="43"/>
  <c r="B21" i="32" s="1"/>
  <c r="B21" i="43"/>
  <c r="B22" i="32" s="1"/>
  <c r="B22" i="43"/>
  <c r="B23" i="32" s="1"/>
  <c r="B23" i="43"/>
  <c r="B24" i="32" s="1"/>
  <c r="B24" i="43"/>
  <c r="B25" i="32" s="1"/>
  <c r="B15" i="43"/>
  <c r="B16" i="32" s="1"/>
  <c r="D16" i="43"/>
  <c r="D17" i="43"/>
  <c r="D18" i="43"/>
  <c r="D19" i="43"/>
  <c r="D20" i="43"/>
  <c r="D21" i="43"/>
  <c r="D22" i="43"/>
  <c r="D23" i="43"/>
  <c r="D24" i="43"/>
  <c r="D15" i="43"/>
  <c r="E15" i="43"/>
  <c r="H66" i="46" l="1"/>
  <c r="F67" i="34" s="1"/>
  <c r="H52" i="47"/>
  <c r="F53" i="35" s="1"/>
  <c r="H28" i="47"/>
  <c r="F29" i="35" s="1"/>
  <c r="P67" i="47"/>
  <c r="J68" i="35" s="1"/>
  <c r="X54" i="47"/>
  <c r="N55" i="35" s="1"/>
  <c r="X30" i="47"/>
  <c r="N31" i="35" s="1"/>
  <c r="P69" i="46"/>
  <c r="J70" i="34" s="1"/>
  <c r="H49" i="46"/>
  <c r="F50" i="34" s="1"/>
  <c r="H64" i="46"/>
  <c r="F65" i="34" s="1"/>
  <c r="X71" i="47"/>
  <c r="N72" i="35" s="1"/>
  <c r="X47" i="47"/>
  <c r="N48" i="35" s="1"/>
  <c r="X23" i="47"/>
  <c r="N24" i="35" s="1"/>
  <c r="H61" i="46"/>
  <c r="F62" i="34" s="1"/>
  <c r="H37" i="46"/>
  <c r="F38" i="34" s="1"/>
  <c r="P57" i="46"/>
  <c r="J58" i="34" s="1"/>
  <c r="P33" i="46"/>
  <c r="J34" i="34" s="1"/>
  <c r="H52" i="46"/>
  <c r="F53" i="34" s="1"/>
  <c r="H28" i="46"/>
  <c r="F29" i="34" s="1"/>
  <c r="X68" i="47"/>
  <c r="N69" i="35" s="1"/>
  <c r="X67" i="46"/>
  <c r="N68" i="34" s="1"/>
  <c r="X43" i="46"/>
  <c r="N44" i="34" s="1"/>
  <c r="H72" i="46"/>
  <c r="F73" i="34" s="1"/>
  <c r="H60" i="46"/>
  <c r="F61" i="34" s="1"/>
  <c r="H36" i="46"/>
  <c r="F37" i="34" s="1"/>
  <c r="P56" i="46"/>
  <c r="J57" i="34" s="1"/>
  <c r="P32" i="46"/>
  <c r="J33" i="34" s="1"/>
  <c r="H53" i="47"/>
  <c r="F54" i="35" s="1"/>
  <c r="H29" i="47"/>
  <c r="F30" i="35" s="1"/>
  <c r="P49" i="47"/>
  <c r="J50" i="35" s="1"/>
  <c r="P25" i="47"/>
  <c r="J26" i="35" s="1"/>
  <c r="X55" i="47"/>
  <c r="N56" i="35" s="1"/>
  <c r="X31" i="47"/>
  <c r="N32" i="35" s="1"/>
  <c r="H69" i="46"/>
  <c r="F70" i="34" s="1"/>
  <c r="H57" i="46"/>
  <c r="F58" i="34" s="1"/>
  <c r="H45" i="46"/>
  <c r="F46" i="34" s="1"/>
  <c r="H21" i="46"/>
  <c r="F22" i="34" s="1"/>
  <c r="P65" i="46"/>
  <c r="J66" i="34" s="1"/>
  <c r="P41" i="46"/>
  <c r="J42" i="34" s="1"/>
  <c r="X51" i="46"/>
  <c r="N52" i="34" s="1"/>
  <c r="X27" i="46"/>
  <c r="N28" i="34" s="1"/>
  <c r="H68" i="46"/>
  <c r="F69" i="34" s="1"/>
  <c r="H44" i="46"/>
  <c r="F45" i="34" s="1"/>
  <c r="P64" i="46"/>
  <c r="J65" i="34" s="1"/>
  <c r="P40" i="46"/>
  <c r="J41" i="34" s="1"/>
  <c r="H61" i="47"/>
  <c r="F62" i="35" s="1"/>
  <c r="H37" i="47"/>
  <c r="F38" i="35" s="1"/>
  <c r="P57" i="47"/>
  <c r="J58" i="35" s="1"/>
  <c r="P33" i="47"/>
  <c r="J34" i="35" s="1"/>
  <c r="X63" i="47"/>
  <c r="N64" i="35" s="1"/>
  <c r="X39" i="47"/>
  <c r="N40" i="35" s="1"/>
  <c r="H60" i="47"/>
  <c r="F61" i="35" s="1"/>
  <c r="H36" i="47"/>
  <c r="F37" i="35" s="1"/>
  <c r="P56" i="47"/>
  <c r="J57" i="35" s="1"/>
  <c r="P32" i="47"/>
  <c r="J33" i="35" s="1"/>
  <c r="X62" i="47"/>
  <c r="N63" i="35" s="1"/>
  <c r="X38" i="47"/>
  <c r="N39" i="35" s="1"/>
  <c r="H65" i="46"/>
  <c r="F66" i="34" s="1"/>
  <c r="H53" i="46"/>
  <c r="F54" i="34" s="1"/>
  <c r="H41" i="46"/>
  <c r="F42" i="34" s="1"/>
  <c r="H29" i="46"/>
  <c r="F30" i="34" s="1"/>
  <c r="P49" i="46"/>
  <c r="J50" i="34" s="1"/>
  <c r="P25" i="46"/>
  <c r="J26" i="34" s="1"/>
  <c r="X59" i="46"/>
  <c r="N60" i="34" s="1"/>
  <c r="X35" i="46"/>
  <c r="N36" i="34" s="1"/>
  <c r="X60" i="47"/>
  <c r="N61" i="35" s="1"/>
  <c r="P72" i="46"/>
  <c r="J73" i="34" s="1"/>
  <c r="P48" i="46"/>
  <c r="J49" i="34" s="1"/>
  <c r="P24" i="46"/>
  <c r="J25" i="34" s="1"/>
  <c r="H69" i="47"/>
  <c r="F70" i="35" s="1"/>
  <c r="H45" i="47"/>
  <c r="F46" i="35" s="1"/>
  <c r="H21" i="47"/>
  <c r="F22" i="35" s="1"/>
  <c r="P65" i="47"/>
  <c r="J66" i="35" s="1"/>
  <c r="P41" i="47"/>
  <c r="J42" i="35" s="1"/>
  <c r="H68" i="47"/>
  <c r="F69" i="35" s="1"/>
  <c r="H44" i="47"/>
  <c r="F45" i="35" s="1"/>
  <c r="H20" i="47"/>
  <c r="F21" i="35" s="1"/>
  <c r="P64" i="47"/>
  <c r="J65" i="35" s="1"/>
  <c r="P40" i="47"/>
  <c r="J41" i="35" s="1"/>
  <c r="X70" i="47"/>
  <c r="N71" i="35" s="1"/>
  <c r="X46" i="47"/>
  <c r="N47" i="35" s="1"/>
  <c r="P15" i="46"/>
  <c r="J16" i="34" s="1"/>
  <c r="P17" i="47"/>
  <c r="J18" i="35" s="1"/>
  <c r="H15" i="47"/>
  <c r="F16" i="35" s="1"/>
  <c r="X19" i="46"/>
  <c r="N20" i="34" s="1"/>
  <c r="P17" i="46"/>
  <c r="J18" i="34" s="1"/>
  <c r="P16" i="46"/>
  <c r="J17" i="34" s="1"/>
  <c r="J15" i="43"/>
  <c r="P16" i="47"/>
  <c r="J17" i="35" s="1"/>
  <c r="F15" i="43"/>
  <c r="D16" i="32" s="1"/>
  <c r="F20" i="37"/>
  <c r="F19" i="37"/>
  <c r="F30" i="37"/>
  <c r="F59" i="37"/>
  <c r="F57" i="37"/>
  <c r="F16" i="37"/>
  <c r="F29" i="37"/>
  <c r="F64" i="37"/>
  <c r="F22" i="36"/>
  <c r="H73" i="48"/>
  <c r="J20" i="36"/>
  <c r="H20" i="46"/>
  <c r="F21" i="34" s="1"/>
  <c r="X66" i="46"/>
  <c r="N67" i="34" s="1"/>
  <c r="X58" i="46"/>
  <c r="N59" i="34" s="1"/>
  <c r="X50" i="46"/>
  <c r="N51" i="34" s="1"/>
  <c r="X42" i="46"/>
  <c r="N43" i="34" s="1"/>
  <c r="X34" i="46"/>
  <c r="N35" i="34" s="1"/>
  <c r="X26" i="46"/>
  <c r="N27" i="34" s="1"/>
  <c r="X18" i="46"/>
  <c r="N19" i="34" s="1"/>
  <c r="X22" i="47"/>
  <c r="N23" i="35" s="1"/>
  <c r="F54" i="37"/>
  <c r="F69" i="37"/>
  <c r="F27" i="37"/>
  <c r="F37" i="37"/>
  <c r="F72" i="37"/>
  <c r="J22" i="37"/>
  <c r="F55" i="37"/>
  <c r="F28" i="37"/>
  <c r="F46" i="37"/>
  <c r="F43" i="37"/>
  <c r="F17" i="37"/>
  <c r="K29" i="43"/>
  <c r="K30" i="43"/>
  <c r="H67" i="46"/>
  <c r="F68" i="34" s="1"/>
  <c r="H59" i="46"/>
  <c r="F60" i="34" s="1"/>
  <c r="H51" i="46"/>
  <c r="F52" i="34" s="1"/>
  <c r="H43" i="46"/>
  <c r="F44" i="34" s="1"/>
  <c r="H35" i="46"/>
  <c r="F36" i="34" s="1"/>
  <c r="H27" i="46"/>
  <c r="F28" i="34" s="1"/>
  <c r="H19" i="46"/>
  <c r="F20" i="34" s="1"/>
  <c r="P71" i="46"/>
  <c r="J72" i="34" s="1"/>
  <c r="P63" i="46"/>
  <c r="J64" i="34" s="1"/>
  <c r="P55" i="46"/>
  <c r="J56" i="34" s="1"/>
  <c r="P47" i="46"/>
  <c r="J48" i="34" s="1"/>
  <c r="P39" i="46"/>
  <c r="J40" i="34" s="1"/>
  <c r="P31" i="46"/>
  <c r="J32" i="34" s="1"/>
  <c r="P23" i="46"/>
  <c r="J24" i="34" s="1"/>
  <c r="X15" i="46"/>
  <c r="N16" i="34" s="1"/>
  <c r="X65" i="46"/>
  <c r="N66" i="34" s="1"/>
  <c r="X57" i="46"/>
  <c r="N58" i="34" s="1"/>
  <c r="X49" i="46"/>
  <c r="N50" i="34" s="1"/>
  <c r="X41" i="46"/>
  <c r="N42" i="34" s="1"/>
  <c r="X33" i="46"/>
  <c r="N34" i="34" s="1"/>
  <c r="X25" i="46"/>
  <c r="N26" i="34" s="1"/>
  <c r="X17" i="46"/>
  <c r="N18" i="34" s="1"/>
  <c r="H67" i="47"/>
  <c r="F68" i="35" s="1"/>
  <c r="H59" i="47"/>
  <c r="F60" i="35" s="1"/>
  <c r="H51" i="47"/>
  <c r="F52" i="35" s="1"/>
  <c r="H43" i="47"/>
  <c r="F44" i="35" s="1"/>
  <c r="H35" i="47"/>
  <c r="F36" i="35" s="1"/>
  <c r="H27" i="47"/>
  <c r="F28" i="35" s="1"/>
  <c r="H19" i="47"/>
  <c r="F20" i="35" s="1"/>
  <c r="P71" i="47"/>
  <c r="J72" i="35" s="1"/>
  <c r="P63" i="47"/>
  <c r="J64" i="35" s="1"/>
  <c r="P55" i="47"/>
  <c r="J56" i="35" s="1"/>
  <c r="P47" i="47"/>
  <c r="J48" i="35" s="1"/>
  <c r="P39" i="47"/>
  <c r="J40" i="35" s="1"/>
  <c r="P31" i="47"/>
  <c r="J32" i="35" s="1"/>
  <c r="P23" i="47"/>
  <c r="J24" i="35" s="1"/>
  <c r="X15" i="47"/>
  <c r="N16" i="35" s="1"/>
  <c r="X69" i="47"/>
  <c r="N70" i="35" s="1"/>
  <c r="X61" i="47"/>
  <c r="N62" i="35" s="1"/>
  <c r="X53" i="47"/>
  <c r="N54" i="35" s="1"/>
  <c r="X45" i="47"/>
  <c r="N46" i="35" s="1"/>
  <c r="X37" i="47"/>
  <c r="N38" i="35" s="1"/>
  <c r="X29" i="47"/>
  <c r="N30" i="35" s="1"/>
  <c r="X21" i="47"/>
  <c r="N22" i="35" s="1"/>
  <c r="F53" i="37"/>
  <c r="F36" i="37"/>
  <c r="F67" i="37"/>
  <c r="F25" i="37"/>
  <c r="H58" i="46"/>
  <c r="F59" i="34" s="1"/>
  <c r="H50" i="46"/>
  <c r="F51" i="34" s="1"/>
  <c r="H42" i="46"/>
  <c r="F43" i="34" s="1"/>
  <c r="H34" i="46"/>
  <c r="F35" i="34" s="1"/>
  <c r="H26" i="46"/>
  <c r="F27" i="34" s="1"/>
  <c r="H18" i="46"/>
  <c r="F19" i="34" s="1"/>
  <c r="P70" i="46"/>
  <c r="J71" i="34" s="1"/>
  <c r="P62" i="46"/>
  <c r="J63" i="34" s="1"/>
  <c r="P54" i="46"/>
  <c r="J55" i="34" s="1"/>
  <c r="P46" i="46"/>
  <c r="J47" i="34" s="1"/>
  <c r="P38" i="46"/>
  <c r="J39" i="34" s="1"/>
  <c r="P30" i="46"/>
  <c r="J31" i="34" s="1"/>
  <c r="P22" i="46"/>
  <c r="X72" i="46"/>
  <c r="N73" i="34" s="1"/>
  <c r="X64" i="46"/>
  <c r="N65" i="34" s="1"/>
  <c r="X56" i="46"/>
  <c r="N57" i="34" s="1"/>
  <c r="X48" i="46"/>
  <c r="N49" i="34" s="1"/>
  <c r="X40" i="46"/>
  <c r="N41" i="34" s="1"/>
  <c r="X32" i="46"/>
  <c r="N33" i="34" s="1"/>
  <c r="X24" i="46"/>
  <c r="N25" i="34" s="1"/>
  <c r="X16" i="46"/>
  <c r="N17" i="34" s="1"/>
  <c r="H66" i="47"/>
  <c r="F67" i="35" s="1"/>
  <c r="H58" i="47"/>
  <c r="F59" i="35" s="1"/>
  <c r="H50" i="47"/>
  <c r="F51" i="35" s="1"/>
  <c r="H42" i="47"/>
  <c r="F43" i="35" s="1"/>
  <c r="H34" i="47"/>
  <c r="F35" i="35" s="1"/>
  <c r="H26" i="47"/>
  <c r="F27" i="35" s="1"/>
  <c r="H18" i="47"/>
  <c r="F19" i="35" s="1"/>
  <c r="P70" i="47"/>
  <c r="J71" i="35" s="1"/>
  <c r="P54" i="47"/>
  <c r="J55" i="35" s="1"/>
  <c r="P46" i="47"/>
  <c r="J47" i="35" s="1"/>
  <c r="P30" i="47"/>
  <c r="J31" i="35" s="1"/>
  <c r="P22" i="47"/>
  <c r="J23" i="35" s="1"/>
  <c r="X52" i="47"/>
  <c r="N53" i="35" s="1"/>
  <c r="X44" i="47"/>
  <c r="N45" i="35" s="1"/>
  <c r="X36" i="47"/>
  <c r="N37" i="35" s="1"/>
  <c r="X28" i="47"/>
  <c r="N29" i="35" s="1"/>
  <c r="X20" i="47"/>
  <c r="N21" i="35" s="1"/>
  <c r="F18" i="37"/>
  <c r="F61" i="37"/>
  <c r="F73" i="37"/>
  <c r="J16" i="37"/>
  <c r="F41" i="37"/>
  <c r="F44" i="37"/>
  <c r="H33" i="46"/>
  <c r="F34" i="34" s="1"/>
  <c r="H25" i="46"/>
  <c r="F26" i="34" s="1"/>
  <c r="H17" i="46"/>
  <c r="F18" i="34" s="1"/>
  <c r="P61" i="46"/>
  <c r="J62" i="34" s="1"/>
  <c r="P53" i="46"/>
  <c r="J54" i="34" s="1"/>
  <c r="P45" i="46"/>
  <c r="J46" i="34" s="1"/>
  <c r="P37" i="46"/>
  <c r="J38" i="34" s="1"/>
  <c r="P29" i="46"/>
  <c r="J30" i="34" s="1"/>
  <c r="P21" i="46"/>
  <c r="J22" i="34" s="1"/>
  <c r="X71" i="46"/>
  <c r="N72" i="34" s="1"/>
  <c r="X63" i="46"/>
  <c r="N64" i="34" s="1"/>
  <c r="X55" i="46"/>
  <c r="N56" i="34" s="1"/>
  <c r="X47" i="46"/>
  <c r="N48" i="34" s="1"/>
  <c r="X39" i="46"/>
  <c r="N40" i="34" s="1"/>
  <c r="X31" i="46"/>
  <c r="N32" i="34" s="1"/>
  <c r="X23" i="46"/>
  <c r="N24" i="34" s="1"/>
  <c r="H65" i="47"/>
  <c r="F66" i="35" s="1"/>
  <c r="H57" i="47"/>
  <c r="F58" i="35" s="1"/>
  <c r="H49" i="47"/>
  <c r="F50" i="35" s="1"/>
  <c r="H41" i="47"/>
  <c r="F42" i="35" s="1"/>
  <c r="H33" i="47"/>
  <c r="F34" i="35" s="1"/>
  <c r="H25" i="47"/>
  <c r="F26" i="35" s="1"/>
  <c r="H17" i="47"/>
  <c r="F18" i="35" s="1"/>
  <c r="P69" i="47"/>
  <c r="J70" i="35" s="1"/>
  <c r="P61" i="47"/>
  <c r="J62" i="35" s="1"/>
  <c r="P53" i="47"/>
  <c r="J54" i="35" s="1"/>
  <c r="P45" i="47"/>
  <c r="J46" i="35" s="1"/>
  <c r="P37" i="47"/>
  <c r="J38" i="35" s="1"/>
  <c r="P29" i="47"/>
  <c r="J30" i="35" s="1"/>
  <c r="P21" i="47"/>
  <c r="J22" i="35" s="1"/>
  <c r="AA15" i="47"/>
  <c r="O16" i="35" s="1"/>
  <c r="X67" i="47"/>
  <c r="N68" i="35" s="1"/>
  <c r="X59" i="47"/>
  <c r="N60" i="35" s="1"/>
  <c r="X51" i="47"/>
  <c r="N52" i="35" s="1"/>
  <c r="X43" i="47"/>
  <c r="N44" i="35" s="1"/>
  <c r="X35" i="47"/>
  <c r="N36" i="35" s="1"/>
  <c r="X27" i="47"/>
  <c r="N28" i="35" s="1"/>
  <c r="X19" i="47"/>
  <c r="N20" i="35" s="1"/>
  <c r="F42" i="37"/>
  <c r="F56" i="37"/>
  <c r="F26" i="37"/>
  <c r="F24" i="37"/>
  <c r="F34" i="37"/>
  <c r="F70" i="37"/>
  <c r="F49" i="37"/>
  <c r="F52" i="37"/>
  <c r="F22" i="37"/>
  <c r="H56" i="46"/>
  <c r="F57" i="34" s="1"/>
  <c r="H48" i="46"/>
  <c r="F49" i="34" s="1"/>
  <c r="H40" i="46"/>
  <c r="F41" i="34" s="1"/>
  <c r="H32" i="46"/>
  <c r="F33" i="34" s="1"/>
  <c r="H24" i="46"/>
  <c r="F25" i="34" s="1"/>
  <c r="H16" i="46"/>
  <c r="F17" i="34" s="1"/>
  <c r="P68" i="46"/>
  <c r="J69" i="34" s="1"/>
  <c r="P60" i="46"/>
  <c r="J61" i="34" s="1"/>
  <c r="P52" i="46"/>
  <c r="J53" i="34" s="1"/>
  <c r="P44" i="46"/>
  <c r="J45" i="34" s="1"/>
  <c r="P36" i="46"/>
  <c r="J37" i="34" s="1"/>
  <c r="P28" i="46"/>
  <c r="J29" i="34" s="1"/>
  <c r="P20" i="46"/>
  <c r="J21" i="34" s="1"/>
  <c r="X70" i="46"/>
  <c r="N71" i="34" s="1"/>
  <c r="X62" i="46"/>
  <c r="N63" i="34" s="1"/>
  <c r="X54" i="46"/>
  <c r="N55" i="34" s="1"/>
  <c r="X46" i="46"/>
  <c r="N47" i="34" s="1"/>
  <c r="X38" i="46"/>
  <c r="N39" i="34" s="1"/>
  <c r="X30" i="46"/>
  <c r="N31" i="34" s="1"/>
  <c r="X22" i="46"/>
  <c r="N23" i="34" s="1"/>
  <c r="H72" i="47"/>
  <c r="F73" i="35" s="1"/>
  <c r="H64" i="47"/>
  <c r="F65" i="35" s="1"/>
  <c r="H56" i="47"/>
  <c r="F57" i="35" s="1"/>
  <c r="H48" i="47"/>
  <c r="F49" i="35" s="1"/>
  <c r="H40" i="47"/>
  <c r="F41" i="35" s="1"/>
  <c r="H32" i="47"/>
  <c r="F33" i="35" s="1"/>
  <c r="H24" i="47"/>
  <c r="F25" i="35" s="1"/>
  <c r="H16" i="47"/>
  <c r="F17" i="35" s="1"/>
  <c r="P68" i="47"/>
  <c r="P52" i="47"/>
  <c r="P44" i="47"/>
  <c r="J45" i="35" s="1"/>
  <c r="P28" i="47"/>
  <c r="P20" i="47"/>
  <c r="X66" i="47"/>
  <c r="N67" i="35" s="1"/>
  <c r="X58" i="47"/>
  <c r="N59" i="35" s="1"/>
  <c r="X50" i="47"/>
  <c r="N51" i="35" s="1"/>
  <c r="X42" i="47"/>
  <c r="N43" i="35" s="1"/>
  <c r="X34" i="47"/>
  <c r="N35" i="35" s="1"/>
  <c r="X26" i="47"/>
  <c r="N27" i="35" s="1"/>
  <c r="X18" i="47"/>
  <c r="N19" i="35" s="1"/>
  <c r="F66" i="37"/>
  <c r="F68" i="37"/>
  <c r="F21" i="37"/>
  <c r="F35" i="37"/>
  <c r="F38" i="37"/>
  <c r="F39" i="37"/>
  <c r="F32" i="37"/>
  <c r="F58" i="37"/>
  <c r="F65" i="37"/>
  <c r="F60" i="37"/>
  <c r="F31" i="37"/>
  <c r="F19" i="36"/>
  <c r="H71" i="46"/>
  <c r="F72" i="34" s="1"/>
  <c r="H63" i="46"/>
  <c r="F64" i="34" s="1"/>
  <c r="H55" i="46"/>
  <c r="F56" i="34" s="1"/>
  <c r="H47" i="46"/>
  <c r="F48" i="34" s="1"/>
  <c r="H39" i="46"/>
  <c r="F40" i="34" s="1"/>
  <c r="H31" i="46"/>
  <c r="F32" i="34" s="1"/>
  <c r="H23" i="46"/>
  <c r="F24" i="34" s="1"/>
  <c r="P67" i="46"/>
  <c r="J68" i="34" s="1"/>
  <c r="P59" i="46"/>
  <c r="J60" i="34" s="1"/>
  <c r="P51" i="46"/>
  <c r="J52" i="34" s="1"/>
  <c r="P43" i="46"/>
  <c r="J44" i="34" s="1"/>
  <c r="P35" i="46"/>
  <c r="J36" i="34" s="1"/>
  <c r="P27" i="46"/>
  <c r="J28" i="34" s="1"/>
  <c r="P19" i="46"/>
  <c r="J20" i="34" s="1"/>
  <c r="X69" i="46"/>
  <c r="N70" i="34" s="1"/>
  <c r="X61" i="46"/>
  <c r="N62" i="34" s="1"/>
  <c r="X53" i="46"/>
  <c r="N54" i="34" s="1"/>
  <c r="X45" i="46"/>
  <c r="N46" i="34" s="1"/>
  <c r="X37" i="46"/>
  <c r="N38" i="34" s="1"/>
  <c r="X29" i="46"/>
  <c r="N30" i="34" s="1"/>
  <c r="X21" i="46"/>
  <c r="N22" i="34" s="1"/>
  <c r="H71" i="47"/>
  <c r="F72" i="35" s="1"/>
  <c r="H63" i="47"/>
  <c r="F64" i="35" s="1"/>
  <c r="H55" i="47"/>
  <c r="F56" i="35" s="1"/>
  <c r="H47" i="47"/>
  <c r="F48" i="35" s="1"/>
  <c r="H39" i="47"/>
  <c r="F40" i="35" s="1"/>
  <c r="H31" i="47"/>
  <c r="F32" i="35" s="1"/>
  <c r="H23" i="47"/>
  <c r="F24" i="35" s="1"/>
  <c r="P59" i="47"/>
  <c r="P51" i="47"/>
  <c r="J52" i="35" s="1"/>
  <c r="P43" i="47"/>
  <c r="J44" i="35" s="1"/>
  <c r="P35" i="47"/>
  <c r="J36" i="35" s="1"/>
  <c r="P27" i="47"/>
  <c r="P19" i="47"/>
  <c r="X65" i="47"/>
  <c r="N66" i="35" s="1"/>
  <c r="X57" i="47"/>
  <c r="N58" i="35" s="1"/>
  <c r="X49" i="47"/>
  <c r="N50" i="35" s="1"/>
  <c r="X41" i="47"/>
  <c r="N42" i="35" s="1"/>
  <c r="X33" i="47"/>
  <c r="N34" i="35" s="1"/>
  <c r="X25" i="47"/>
  <c r="N26" i="35" s="1"/>
  <c r="X17" i="47"/>
  <c r="N18" i="35" s="1"/>
  <c r="F23" i="37"/>
  <c r="F33" i="37"/>
  <c r="F50" i="37"/>
  <c r="F51" i="37"/>
  <c r="F40" i="37"/>
  <c r="H70" i="46"/>
  <c r="F71" i="34" s="1"/>
  <c r="H62" i="46"/>
  <c r="F63" i="34" s="1"/>
  <c r="H54" i="46"/>
  <c r="F55" i="34" s="1"/>
  <c r="H46" i="46"/>
  <c r="F47" i="34" s="1"/>
  <c r="H38" i="46"/>
  <c r="F39" i="34" s="1"/>
  <c r="H30" i="46"/>
  <c r="F31" i="34" s="1"/>
  <c r="H22" i="46"/>
  <c r="F23" i="34" s="1"/>
  <c r="P66" i="46"/>
  <c r="J67" i="34" s="1"/>
  <c r="P58" i="46"/>
  <c r="J59" i="34" s="1"/>
  <c r="P50" i="46"/>
  <c r="J51" i="34" s="1"/>
  <c r="P42" i="46"/>
  <c r="J43" i="34" s="1"/>
  <c r="P34" i="46"/>
  <c r="J35" i="34" s="1"/>
  <c r="P26" i="46"/>
  <c r="J27" i="34" s="1"/>
  <c r="P18" i="46"/>
  <c r="J19" i="34" s="1"/>
  <c r="X68" i="46"/>
  <c r="N69" i="34" s="1"/>
  <c r="X60" i="46"/>
  <c r="N61" i="34" s="1"/>
  <c r="X52" i="46"/>
  <c r="N53" i="34" s="1"/>
  <c r="X44" i="46"/>
  <c r="N45" i="34" s="1"/>
  <c r="X36" i="46"/>
  <c r="N37" i="34" s="1"/>
  <c r="X28" i="46"/>
  <c r="N29" i="34" s="1"/>
  <c r="X20" i="46"/>
  <c r="N21" i="34" s="1"/>
  <c r="H70" i="47"/>
  <c r="F71" i="35" s="1"/>
  <c r="H62" i="47"/>
  <c r="F63" i="35" s="1"/>
  <c r="H54" i="47"/>
  <c r="F55" i="35" s="1"/>
  <c r="H46" i="47"/>
  <c r="F47" i="35" s="1"/>
  <c r="H38" i="47"/>
  <c r="F39" i="35" s="1"/>
  <c r="H30" i="47"/>
  <c r="F31" i="35" s="1"/>
  <c r="H22" i="47"/>
  <c r="F23" i="35" s="1"/>
  <c r="P66" i="47"/>
  <c r="J67" i="35" s="1"/>
  <c r="P58" i="47"/>
  <c r="P50" i="47"/>
  <c r="J51" i="35" s="1"/>
  <c r="P42" i="47"/>
  <c r="J43" i="35" s="1"/>
  <c r="P34" i="47"/>
  <c r="J35" i="35" s="1"/>
  <c r="P18" i="47"/>
  <c r="J19" i="35" s="1"/>
  <c r="X72" i="47"/>
  <c r="N73" i="35" s="1"/>
  <c r="X64" i="47"/>
  <c r="N65" i="35" s="1"/>
  <c r="X56" i="47"/>
  <c r="N57" i="35" s="1"/>
  <c r="X48" i="47"/>
  <c r="N49" i="35" s="1"/>
  <c r="X40" i="47"/>
  <c r="N41" i="35" s="1"/>
  <c r="X32" i="47"/>
  <c r="N33" i="35" s="1"/>
  <c r="X24" i="47"/>
  <c r="N25" i="35" s="1"/>
  <c r="X16" i="47"/>
  <c r="N17" i="35" s="1"/>
  <c r="F47" i="37"/>
  <c r="F45" i="37"/>
  <c r="F71" i="37"/>
  <c r="F62" i="37"/>
  <c r="F63" i="37"/>
  <c r="F48" i="37"/>
  <c r="AA70" i="47"/>
  <c r="O71" i="35" s="1"/>
  <c r="AA62" i="47"/>
  <c r="O63" i="35" s="1"/>
  <c r="AA54" i="47"/>
  <c r="O55" i="35" s="1"/>
  <c r="AA46" i="47"/>
  <c r="O47" i="35" s="1"/>
  <c r="AA38" i="47"/>
  <c r="O39" i="35" s="1"/>
  <c r="AA30" i="47"/>
  <c r="O31" i="35" s="1"/>
  <c r="AA22" i="47"/>
  <c r="O23" i="35" s="1"/>
  <c r="AA28" i="46"/>
  <c r="O29" i="34" s="1"/>
  <c r="AA69" i="46"/>
  <c r="O70" i="34" s="1"/>
  <c r="AA61" i="46"/>
  <c r="O62" i="34" s="1"/>
  <c r="AA53" i="46"/>
  <c r="O54" i="34" s="1"/>
  <c r="AA45" i="46"/>
  <c r="O46" i="34" s="1"/>
  <c r="AA37" i="46"/>
  <c r="O38" i="34" s="1"/>
  <c r="AA29" i="46"/>
  <c r="O30" i="34" s="1"/>
  <c r="AA21" i="46"/>
  <c r="O22" i="34" s="1"/>
  <c r="AA71" i="47"/>
  <c r="O72" i="35" s="1"/>
  <c r="AA63" i="47"/>
  <c r="O64" i="35" s="1"/>
  <c r="AA55" i="47"/>
  <c r="O56" i="35" s="1"/>
  <c r="AA47" i="47"/>
  <c r="O48" i="35" s="1"/>
  <c r="AA39" i="47"/>
  <c r="O40" i="35" s="1"/>
  <c r="AA31" i="47"/>
  <c r="O32" i="35" s="1"/>
  <c r="AA23" i="47"/>
  <c r="O24" i="35" s="1"/>
  <c r="AA44" i="46"/>
  <c r="O45" i="34" s="1"/>
  <c r="AA67" i="46"/>
  <c r="O68" i="34" s="1"/>
  <c r="AA59" i="46"/>
  <c r="O60" i="34" s="1"/>
  <c r="AA51" i="46"/>
  <c r="O52" i="34" s="1"/>
  <c r="AA43" i="46"/>
  <c r="O44" i="34" s="1"/>
  <c r="AA35" i="46"/>
  <c r="O36" i="34" s="1"/>
  <c r="AA27" i="46"/>
  <c r="O28" i="34" s="1"/>
  <c r="AA19" i="46"/>
  <c r="O20" i="34" s="1"/>
  <c r="AA69" i="47"/>
  <c r="O70" i="35" s="1"/>
  <c r="AA61" i="47"/>
  <c r="O62" i="35" s="1"/>
  <c r="AA53" i="47"/>
  <c r="O54" i="35" s="1"/>
  <c r="AA45" i="47"/>
  <c r="O46" i="35" s="1"/>
  <c r="AA37" i="47"/>
  <c r="O38" i="35" s="1"/>
  <c r="AA29" i="47"/>
  <c r="O30" i="35" s="1"/>
  <c r="AA21" i="47"/>
  <c r="O22" i="35" s="1"/>
  <c r="AA36" i="46"/>
  <c r="O37" i="34" s="1"/>
  <c r="AA66" i="46"/>
  <c r="O67" i="34" s="1"/>
  <c r="AA58" i="46"/>
  <c r="O59" i="34" s="1"/>
  <c r="AA50" i="46"/>
  <c r="O51" i="34" s="1"/>
  <c r="AA42" i="46"/>
  <c r="O43" i="34" s="1"/>
  <c r="AA34" i="46"/>
  <c r="O35" i="34" s="1"/>
  <c r="AA26" i="46"/>
  <c r="O27" i="34" s="1"/>
  <c r="AA18" i="46"/>
  <c r="O19" i="34" s="1"/>
  <c r="AA68" i="47"/>
  <c r="O69" i="35" s="1"/>
  <c r="AA60" i="47"/>
  <c r="O61" i="35" s="1"/>
  <c r="AA52" i="47"/>
  <c r="O53" i="35" s="1"/>
  <c r="AA44" i="47"/>
  <c r="O45" i="35" s="1"/>
  <c r="AA36" i="47"/>
  <c r="O37" i="35" s="1"/>
  <c r="AA28" i="47"/>
  <c r="O29" i="35" s="1"/>
  <c r="AA20" i="47"/>
  <c r="O21" i="35" s="1"/>
  <c r="AA68" i="46"/>
  <c r="O69" i="34" s="1"/>
  <c r="AA15" i="46"/>
  <c r="O16" i="34" s="1"/>
  <c r="AA65" i="46"/>
  <c r="O66" i="34" s="1"/>
  <c r="AA57" i="46"/>
  <c r="O58" i="34" s="1"/>
  <c r="AA49" i="46"/>
  <c r="O50" i="34" s="1"/>
  <c r="AA41" i="46"/>
  <c r="O42" i="34" s="1"/>
  <c r="AA33" i="46"/>
  <c r="O34" i="34" s="1"/>
  <c r="AA25" i="46"/>
  <c r="O26" i="34" s="1"/>
  <c r="AA17" i="46"/>
  <c r="O18" i="34" s="1"/>
  <c r="AA67" i="47"/>
  <c r="O68" i="35" s="1"/>
  <c r="AA59" i="47"/>
  <c r="O60" i="35" s="1"/>
  <c r="AA51" i="47"/>
  <c r="O52" i="35" s="1"/>
  <c r="AA43" i="47"/>
  <c r="O44" i="35" s="1"/>
  <c r="AA35" i="47"/>
  <c r="O36" i="35" s="1"/>
  <c r="AA27" i="47"/>
  <c r="O28" i="35" s="1"/>
  <c r="AA19" i="47"/>
  <c r="O20" i="35" s="1"/>
  <c r="AA20" i="46"/>
  <c r="O21" i="34" s="1"/>
  <c r="I15" i="43"/>
  <c r="AA72" i="46"/>
  <c r="O73" i="34" s="1"/>
  <c r="AA64" i="46"/>
  <c r="O65" i="34" s="1"/>
  <c r="AA56" i="46"/>
  <c r="O57" i="34" s="1"/>
  <c r="AA48" i="46"/>
  <c r="O49" i="34" s="1"/>
  <c r="AA40" i="46"/>
  <c r="O41" i="34" s="1"/>
  <c r="AA32" i="46"/>
  <c r="O33" i="34" s="1"/>
  <c r="AA24" i="46"/>
  <c r="O25" i="34" s="1"/>
  <c r="AA16" i="46"/>
  <c r="O17" i="34" s="1"/>
  <c r="AA66" i="47"/>
  <c r="O67" i="35" s="1"/>
  <c r="AA58" i="47"/>
  <c r="O59" i="35" s="1"/>
  <c r="AA50" i="47"/>
  <c r="O51" i="35" s="1"/>
  <c r="AA42" i="47"/>
  <c r="O43" i="35" s="1"/>
  <c r="AA34" i="47"/>
  <c r="O35" i="35" s="1"/>
  <c r="AA26" i="47"/>
  <c r="O27" i="35" s="1"/>
  <c r="AA18" i="47"/>
  <c r="O19" i="35" s="1"/>
  <c r="AA60" i="46"/>
  <c r="O61" i="34" s="1"/>
  <c r="AA71" i="46"/>
  <c r="O72" i="34" s="1"/>
  <c r="AA63" i="46"/>
  <c r="O64" i="34" s="1"/>
  <c r="AA55" i="46"/>
  <c r="O56" i="34" s="1"/>
  <c r="AA47" i="46"/>
  <c r="O48" i="34" s="1"/>
  <c r="AA39" i="46"/>
  <c r="O40" i="34" s="1"/>
  <c r="AA31" i="46"/>
  <c r="O32" i="34" s="1"/>
  <c r="AA23" i="46"/>
  <c r="O24" i="34" s="1"/>
  <c r="AA65" i="47"/>
  <c r="O66" i="35" s="1"/>
  <c r="AA57" i="47"/>
  <c r="O58" i="35" s="1"/>
  <c r="AA49" i="47"/>
  <c r="O50" i="35" s="1"/>
  <c r="AA41" i="47"/>
  <c r="O42" i="35" s="1"/>
  <c r="AA33" i="47"/>
  <c r="O34" i="35" s="1"/>
  <c r="AA25" i="47"/>
  <c r="O26" i="35" s="1"/>
  <c r="AA17" i="47"/>
  <c r="O18" i="35" s="1"/>
  <c r="AA52" i="46"/>
  <c r="O53" i="34" s="1"/>
  <c r="AA70" i="46"/>
  <c r="O71" i="34" s="1"/>
  <c r="AA62" i="46"/>
  <c r="O63" i="34" s="1"/>
  <c r="AA54" i="46"/>
  <c r="O55" i="34" s="1"/>
  <c r="AA46" i="46"/>
  <c r="O47" i="34" s="1"/>
  <c r="AA38" i="46"/>
  <c r="O39" i="34" s="1"/>
  <c r="AA30" i="46"/>
  <c r="O31" i="34" s="1"/>
  <c r="AA22" i="46"/>
  <c r="O23" i="34" s="1"/>
  <c r="AA72" i="47"/>
  <c r="O73" i="35" s="1"/>
  <c r="AA64" i="47"/>
  <c r="O65" i="35" s="1"/>
  <c r="AA56" i="47"/>
  <c r="O57" i="35" s="1"/>
  <c r="AA48" i="47"/>
  <c r="O49" i="35" s="1"/>
  <c r="AA40" i="47"/>
  <c r="O41" i="35" s="1"/>
  <c r="AA32" i="47"/>
  <c r="O33" i="35" s="1"/>
  <c r="AA24" i="47"/>
  <c r="O25" i="35" s="1"/>
  <c r="AA16" i="47"/>
  <c r="O17" i="35" s="1"/>
  <c r="G73" i="46"/>
  <c r="H15" i="46"/>
  <c r="O73" i="46"/>
  <c r="P73" i="48"/>
  <c r="J16" i="36"/>
  <c r="H73" i="49"/>
  <c r="P73" i="49"/>
  <c r="P72" i="47"/>
  <c r="P60" i="47"/>
  <c r="P48" i="47"/>
  <c r="P36" i="47"/>
  <c r="P24" i="47"/>
  <c r="O73" i="47"/>
  <c r="P62" i="47"/>
  <c r="P38" i="47"/>
  <c r="P26" i="47"/>
  <c r="P15" i="47"/>
  <c r="G73" i="47"/>
  <c r="F73" i="46"/>
  <c r="H20" i="20"/>
  <c r="F21" i="41"/>
  <c r="F22" i="30" s="1"/>
  <c r="F22" i="41"/>
  <c r="F23" i="30" s="1"/>
  <c r="F23" i="41"/>
  <c r="F24" i="30" s="1"/>
  <c r="F24" i="41"/>
  <c r="F25" i="30" s="1"/>
  <c r="F20" i="41"/>
  <c r="F21" i="30" s="1"/>
  <c r="E21" i="41"/>
  <c r="E22" i="30" s="1"/>
  <c r="E22" i="41"/>
  <c r="E23" i="30" s="1"/>
  <c r="E23" i="41"/>
  <c r="E24" i="30" s="1"/>
  <c r="E24" i="41"/>
  <c r="E25" i="30" s="1"/>
  <c r="E20" i="41"/>
  <c r="E21" i="30" s="1"/>
  <c r="D21" i="41"/>
  <c r="D22" i="30" s="1"/>
  <c r="D22" i="41"/>
  <c r="D23" i="30" s="1"/>
  <c r="D23" i="41"/>
  <c r="D24" i="30" s="1"/>
  <c r="D24" i="41"/>
  <c r="D25" i="30" s="1"/>
  <c r="D20" i="41"/>
  <c r="B21" i="41"/>
  <c r="B22" i="30" s="1"/>
  <c r="B22" i="41"/>
  <c r="B23" i="30" s="1"/>
  <c r="B23" i="41"/>
  <c r="B24" i="30" s="1"/>
  <c r="B24" i="41"/>
  <c r="B25" i="30" s="1"/>
  <c r="B20" i="41"/>
  <c r="B21" i="30" s="1"/>
  <c r="D9" i="30"/>
  <c r="H20" i="41"/>
  <c r="G21" i="41"/>
  <c r="G22" i="41"/>
  <c r="G23" i="41"/>
  <c r="G24" i="41"/>
  <c r="G20" i="41"/>
  <c r="J20" i="41" s="1"/>
  <c r="K15" i="43" l="1"/>
  <c r="K27" i="43" s="1"/>
  <c r="H73" i="47"/>
  <c r="J60" i="35"/>
  <c r="J20" i="35"/>
  <c r="J29" i="35"/>
  <c r="J23" i="34"/>
  <c r="J28" i="35"/>
  <c r="F16" i="34"/>
  <c r="I20" i="41"/>
  <c r="G21" i="30" s="1"/>
  <c r="H21" i="30" s="1"/>
  <c r="J59" i="35"/>
  <c r="J21" i="35"/>
  <c r="P73" i="46"/>
  <c r="J53" i="35"/>
  <c r="J69" i="35"/>
  <c r="E16" i="32"/>
  <c r="F16" i="32" s="1"/>
  <c r="J37" i="35"/>
  <c r="H73" i="46"/>
  <c r="P73" i="47"/>
  <c r="J25" i="35"/>
  <c r="J49" i="35"/>
  <c r="J16" i="35"/>
  <c r="J61" i="35"/>
  <c r="J27" i="35"/>
  <c r="J73" i="35"/>
  <c r="J39" i="35"/>
  <c r="J63" i="35"/>
  <c r="K29" i="41"/>
  <c r="K30" i="41"/>
  <c r="D21" i="30"/>
  <c r="K20" i="41" l="1"/>
  <c r="K98" i="40"/>
  <c r="J98" i="40"/>
  <c r="R24" i="40"/>
  <c r="O24" i="40"/>
  <c r="F28" i="32"/>
  <c r="I89" i="40" s="1"/>
  <c r="E89" i="29" s="1"/>
  <c r="L98" i="40" l="1"/>
  <c r="F98" i="29" s="1"/>
  <c r="H24" i="29"/>
  <c r="G24" i="29"/>
  <c r="N30" i="40"/>
  <c r="T94" i="40"/>
  <c r="T85" i="40"/>
  <c r="T84" i="40"/>
  <c r="T83" i="40"/>
  <c r="T82" i="40"/>
  <c r="T78" i="40"/>
  <c r="T77" i="40"/>
  <c r="T76" i="40"/>
  <c r="T75" i="40"/>
  <c r="T74" i="40"/>
  <c r="T73" i="40"/>
  <c r="T72" i="40"/>
  <c r="T71" i="40"/>
  <c r="T67" i="40"/>
  <c r="T66" i="40"/>
  <c r="T65" i="40"/>
  <c r="T64" i="40"/>
  <c r="T63" i="40"/>
  <c r="T62" i="40"/>
  <c r="T61" i="40"/>
  <c r="T57" i="40"/>
  <c r="T56" i="40"/>
  <c r="T55" i="40"/>
  <c r="T54" i="40"/>
  <c r="T50" i="40"/>
  <c r="T48" i="40"/>
  <c r="T47" i="40"/>
  <c r="T46" i="40"/>
  <c r="T45" i="40"/>
  <c r="T44" i="40"/>
  <c r="T38" i="40"/>
  <c r="T37" i="40"/>
  <c r="T36" i="40"/>
  <c r="T30" i="40"/>
  <c r="T29" i="40"/>
  <c r="T28" i="40"/>
  <c r="T20" i="40"/>
  <c r="T19" i="40"/>
  <c r="T14" i="40"/>
  <c r="T15" i="40"/>
  <c r="T13" i="40"/>
  <c r="Q13" i="40"/>
  <c r="E13" i="40"/>
  <c r="H13" i="40"/>
  <c r="Q94" i="40"/>
  <c r="Q78" i="40"/>
  <c r="Q77" i="40"/>
  <c r="Q76" i="40"/>
  <c r="Q75" i="40"/>
  <c r="Q74" i="40"/>
  <c r="Q73" i="40"/>
  <c r="Q72" i="40"/>
  <c r="Q71" i="40"/>
  <c r="Q67" i="40"/>
  <c r="Q66" i="40"/>
  <c r="Q65" i="40"/>
  <c r="Q64" i="40"/>
  <c r="Q63" i="40"/>
  <c r="Q62" i="40"/>
  <c r="Q61" i="40"/>
  <c r="Q57" i="40"/>
  <c r="Q56" i="40"/>
  <c r="Q55" i="40"/>
  <c r="Q54" i="40"/>
  <c r="Q50" i="40"/>
  <c r="Q48" i="40"/>
  <c r="Q47" i="40"/>
  <c r="Q46" i="40"/>
  <c r="Q45" i="40"/>
  <c r="Q44" i="40"/>
  <c r="Q38" i="40"/>
  <c r="Q37" i="40"/>
  <c r="Q36" i="40"/>
  <c r="Q30" i="40"/>
  <c r="Q29" i="40"/>
  <c r="Q28" i="40"/>
  <c r="Q20" i="40"/>
  <c r="Q19" i="40"/>
  <c r="Q15" i="40"/>
  <c r="Q14" i="40"/>
  <c r="N94" i="40"/>
  <c r="N78" i="40"/>
  <c r="N77" i="40"/>
  <c r="N76" i="40"/>
  <c r="N75" i="40"/>
  <c r="N74" i="40"/>
  <c r="N73" i="40"/>
  <c r="N72" i="40"/>
  <c r="N71" i="40"/>
  <c r="N67" i="40"/>
  <c r="N66" i="40"/>
  <c r="N65" i="40"/>
  <c r="N64" i="40"/>
  <c r="N63" i="40"/>
  <c r="N62" i="40"/>
  <c r="N61" i="40"/>
  <c r="N57" i="40"/>
  <c r="N56" i="40"/>
  <c r="N55" i="40"/>
  <c r="N54" i="40"/>
  <c r="N50" i="40"/>
  <c r="N48" i="40"/>
  <c r="N47" i="40"/>
  <c r="N46" i="40"/>
  <c r="N45" i="40"/>
  <c r="N44" i="40"/>
  <c r="N38" i="40"/>
  <c r="N37" i="40"/>
  <c r="N36" i="40"/>
  <c r="N20" i="40"/>
  <c r="N19" i="40"/>
  <c r="N15" i="40"/>
  <c r="N14" i="40"/>
  <c r="N13" i="40"/>
  <c r="K13" i="40"/>
  <c r="K94" i="40"/>
  <c r="K78" i="40"/>
  <c r="K77" i="40"/>
  <c r="K76" i="40"/>
  <c r="K75" i="40"/>
  <c r="K74" i="40"/>
  <c r="K73" i="40"/>
  <c r="K72" i="40"/>
  <c r="K71" i="40"/>
  <c r="K67" i="40"/>
  <c r="K66" i="40"/>
  <c r="K65" i="40"/>
  <c r="K64" i="40"/>
  <c r="K63" i="40"/>
  <c r="K62" i="40"/>
  <c r="K61" i="40"/>
  <c r="K57" i="40"/>
  <c r="K56" i="40"/>
  <c r="K55" i="40"/>
  <c r="K54" i="40"/>
  <c r="K50" i="40"/>
  <c r="K48" i="40"/>
  <c r="K47" i="40"/>
  <c r="K46" i="40"/>
  <c r="K45" i="40"/>
  <c r="K44" i="40"/>
  <c r="K38" i="40"/>
  <c r="K37" i="40"/>
  <c r="K36" i="40"/>
  <c r="K30" i="40"/>
  <c r="K29" i="40"/>
  <c r="K28" i="40"/>
  <c r="K20" i="40"/>
  <c r="K19" i="40"/>
  <c r="K15" i="40"/>
  <c r="K14" i="40"/>
  <c r="H78" i="40"/>
  <c r="H77" i="40"/>
  <c r="H76" i="40"/>
  <c r="H75" i="40"/>
  <c r="H74" i="40"/>
  <c r="H73" i="40"/>
  <c r="H72" i="40"/>
  <c r="H71" i="40"/>
  <c r="H67" i="40"/>
  <c r="H66" i="40"/>
  <c r="H65" i="40"/>
  <c r="H64" i="40"/>
  <c r="H63" i="40"/>
  <c r="H62" i="40"/>
  <c r="H61" i="40"/>
  <c r="H57" i="40"/>
  <c r="H56" i="40"/>
  <c r="H55" i="40"/>
  <c r="H54" i="40"/>
  <c r="H50" i="40"/>
  <c r="H48" i="40"/>
  <c r="H47" i="40"/>
  <c r="H46" i="40"/>
  <c r="H45" i="40"/>
  <c r="H44" i="40"/>
  <c r="H38" i="40"/>
  <c r="H37" i="40"/>
  <c r="H36" i="40"/>
  <c r="H30" i="40"/>
  <c r="H29" i="40"/>
  <c r="H28" i="40"/>
  <c r="H20" i="40"/>
  <c r="H19" i="40"/>
  <c r="H15" i="40"/>
  <c r="H14" i="40"/>
  <c r="E20" i="40"/>
  <c r="E19" i="40"/>
  <c r="E14" i="40"/>
  <c r="E15" i="40"/>
  <c r="T90" i="40"/>
  <c r="Q90" i="40"/>
  <c r="N90" i="40"/>
  <c r="K90" i="40"/>
  <c r="H90" i="40"/>
  <c r="I90" i="40"/>
  <c r="Q79" i="40" l="1"/>
  <c r="W48" i="40"/>
  <c r="N28" i="40"/>
  <c r="N29" i="40"/>
  <c r="T39" i="40"/>
  <c r="Q58" i="40"/>
  <c r="N51" i="40"/>
  <c r="Q51" i="40"/>
  <c r="Q68" i="40"/>
  <c r="T51" i="40"/>
  <c r="T86" i="40"/>
  <c r="N39" i="40"/>
  <c r="Q39" i="40"/>
  <c r="T31" i="40"/>
  <c r="W13" i="40"/>
  <c r="T79" i="40"/>
  <c r="T68" i="40"/>
  <c r="T58" i="40"/>
  <c r="Q31" i="40"/>
  <c r="N79" i="40"/>
  <c r="N68" i="40"/>
  <c r="N58" i="40"/>
  <c r="K58" i="40"/>
  <c r="K79" i="40"/>
  <c r="K68" i="40"/>
  <c r="K51" i="40"/>
  <c r="K39" i="40"/>
  <c r="K31" i="40"/>
  <c r="H58" i="40"/>
  <c r="H39" i="40"/>
  <c r="H31" i="40"/>
  <c r="H68" i="40"/>
  <c r="H51" i="40"/>
  <c r="H79" i="40"/>
  <c r="N31" i="40" l="1"/>
  <c r="W31" i="40" s="1"/>
  <c r="V101" i="40"/>
  <c r="X101" i="40" s="1"/>
  <c r="J101" i="29" s="1"/>
  <c r="S94" i="40"/>
  <c r="U94" i="40" s="1"/>
  <c r="I94" i="29" s="1"/>
  <c r="P94" i="40"/>
  <c r="R94" i="40" s="1"/>
  <c r="H94" i="29" s="1"/>
  <c r="M94" i="40"/>
  <c r="O94" i="40" s="1"/>
  <c r="J94" i="40"/>
  <c r="L94" i="40" s="1"/>
  <c r="F94" i="29" s="1"/>
  <c r="S83" i="40"/>
  <c r="U83" i="40" s="1"/>
  <c r="I83" i="29" s="1"/>
  <c r="J83" i="29" s="1"/>
  <c r="S84" i="40"/>
  <c r="V84" i="40" s="1"/>
  <c r="S85" i="40"/>
  <c r="U85" i="40" s="1"/>
  <c r="I85" i="29" s="1"/>
  <c r="J85" i="29" s="1"/>
  <c r="S82" i="40"/>
  <c r="V82" i="40" s="1"/>
  <c r="S72" i="40"/>
  <c r="U72" i="40" s="1"/>
  <c r="I72" i="29" s="1"/>
  <c r="S73" i="40"/>
  <c r="U73" i="40" s="1"/>
  <c r="I73" i="29" s="1"/>
  <c r="S74" i="40"/>
  <c r="U74" i="40" s="1"/>
  <c r="I74" i="29" s="1"/>
  <c r="S75" i="40"/>
  <c r="U75" i="40" s="1"/>
  <c r="I75" i="29" s="1"/>
  <c r="S76" i="40"/>
  <c r="U76" i="40" s="1"/>
  <c r="I76" i="29" s="1"/>
  <c r="S77" i="40"/>
  <c r="U77" i="40" s="1"/>
  <c r="I77" i="29" s="1"/>
  <c r="S78" i="40"/>
  <c r="U78" i="40" s="1"/>
  <c r="I78" i="29" s="1"/>
  <c r="P78" i="40"/>
  <c r="R78" i="40" s="1"/>
  <c r="H78" i="29" s="1"/>
  <c r="P72" i="40"/>
  <c r="R72" i="40" s="1"/>
  <c r="H72" i="29" s="1"/>
  <c r="P73" i="40"/>
  <c r="R73" i="40" s="1"/>
  <c r="H73" i="29" s="1"/>
  <c r="P74" i="40"/>
  <c r="R74" i="40" s="1"/>
  <c r="H74" i="29" s="1"/>
  <c r="P75" i="40"/>
  <c r="R75" i="40" s="1"/>
  <c r="H75" i="29" s="1"/>
  <c r="P76" i="40"/>
  <c r="R76" i="40" s="1"/>
  <c r="H76" i="29" s="1"/>
  <c r="P77" i="40"/>
  <c r="R77" i="40" s="1"/>
  <c r="H77" i="29" s="1"/>
  <c r="M72" i="40"/>
  <c r="O72" i="40" s="1"/>
  <c r="G72" i="29" s="1"/>
  <c r="M73" i="40"/>
  <c r="O73" i="40" s="1"/>
  <c r="G73" i="29" s="1"/>
  <c r="M74" i="40"/>
  <c r="O74" i="40" s="1"/>
  <c r="G74" i="29" s="1"/>
  <c r="M75" i="40"/>
  <c r="O75" i="40" s="1"/>
  <c r="G75" i="29" s="1"/>
  <c r="M76" i="40"/>
  <c r="O76" i="40" s="1"/>
  <c r="G76" i="29" s="1"/>
  <c r="M77" i="40"/>
  <c r="O77" i="40" s="1"/>
  <c r="G77" i="29" s="1"/>
  <c r="M78" i="40"/>
  <c r="O78" i="40" s="1"/>
  <c r="G78" i="29" s="1"/>
  <c r="J72" i="40"/>
  <c r="L72" i="40" s="1"/>
  <c r="F72" i="29" s="1"/>
  <c r="J73" i="40"/>
  <c r="L73" i="40" s="1"/>
  <c r="F73" i="29" s="1"/>
  <c r="J74" i="40"/>
  <c r="L74" i="40" s="1"/>
  <c r="F74" i="29" s="1"/>
  <c r="J75" i="40"/>
  <c r="L75" i="40" s="1"/>
  <c r="F75" i="29" s="1"/>
  <c r="J76" i="40"/>
  <c r="L76" i="40" s="1"/>
  <c r="F76" i="29" s="1"/>
  <c r="J77" i="40"/>
  <c r="L77" i="40" s="1"/>
  <c r="F77" i="29" s="1"/>
  <c r="J78" i="40"/>
  <c r="L78" i="40" s="1"/>
  <c r="F78" i="29" s="1"/>
  <c r="G72" i="40"/>
  <c r="I72" i="40" s="1"/>
  <c r="E72" i="29" s="1"/>
  <c r="G73" i="40"/>
  <c r="I73" i="40" s="1"/>
  <c r="E73" i="29" s="1"/>
  <c r="G74" i="40"/>
  <c r="I74" i="40" s="1"/>
  <c r="E74" i="29" s="1"/>
  <c r="G75" i="40"/>
  <c r="I75" i="40" s="1"/>
  <c r="E75" i="29" s="1"/>
  <c r="G76" i="40"/>
  <c r="I76" i="40" s="1"/>
  <c r="E76" i="29" s="1"/>
  <c r="G77" i="40"/>
  <c r="I77" i="40" s="1"/>
  <c r="E77" i="29" s="1"/>
  <c r="G78" i="40"/>
  <c r="I78" i="40" s="1"/>
  <c r="E78" i="29" s="1"/>
  <c r="S71" i="40"/>
  <c r="U71" i="40" s="1"/>
  <c r="P71" i="40"/>
  <c r="R71" i="40" s="1"/>
  <c r="M71" i="40"/>
  <c r="O71" i="40" s="1"/>
  <c r="J71" i="40"/>
  <c r="L71" i="40" s="1"/>
  <c r="G71" i="40"/>
  <c r="S62" i="40"/>
  <c r="U62" i="40" s="1"/>
  <c r="I62" i="29" s="1"/>
  <c r="S63" i="40"/>
  <c r="U63" i="40" s="1"/>
  <c r="I63" i="29" s="1"/>
  <c r="S64" i="40"/>
  <c r="U64" i="40" s="1"/>
  <c r="I64" i="29" s="1"/>
  <c r="S65" i="40"/>
  <c r="U65" i="40" s="1"/>
  <c r="I65" i="29" s="1"/>
  <c r="S66" i="40"/>
  <c r="U66" i="40" s="1"/>
  <c r="I66" i="29" s="1"/>
  <c r="S67" i="40"/>
  <c r="U67" i="40" s="1"/>
  <c r="I67" i="29" s="1"/>
  <c r="P62" i="40"/>
  <c r="R62" i="40" s="1"/>
  <c r="H62" i="29" s="1"/>
  <c r="P63" i="40"/>
  <c r="R63" i="40" s="1"/>
  <c r="H63" i="29" s="1"/>
  <c r="P64" i="40"/>
  <c r="P65" i="40"/>
  <c r="R65" i="40" s="1"/>
  <c r="H65" i="29" s="1"/>
  <c r="P66" i="40"/>
  <c r="R66" i="40" s="1"/>
  <c r="H66" i="29" s="1"/>
  <c r="P67" i="40"/>
  <c r="R67" i="40" s="1"/>
  <c r="H67" i="29" s="1"/>
  <c r="M62" i="40"/>
  <c r="O62" i="40" s="1"/>
  <c r="G62" i="29" s="1"/>
  <c r="M63" i="40"/>
  <c r="O63" i="40" s="1"/>
  <c r="G63" i="29" s="1"/>
  <c r="M64" i="40"/>
  <c r="M65" i="40"/>
  <c r="O65" i="40" s="1"/>
  <c r="G65" i="29" s="1"/>
  <c r="M66" i="40"/>
  <c r="O66" i="40" s="1"/>
  <c r="G66" i="29" s="1"/>
  <c r="M67" i="40"/>
  <c r="O67" i="40" s="1"/>
  <c r="G67" i="29" s="1"/>
  <c r="J62" i="40"/>
  <c r="L62" i="40" s="1"/>
  <c r="F62" i="29" s="1"/>
  <c r="J63" i="40"/>
  <c r="L63" i="40" s="1"/>
  <c r="F63" i="29" s="1"/>
  <c r="J64" i="40"/>
  <c r="L64" i="40" s="1"/>
  <c r="F64" i="29" s="1"/>
  <c r="J65" i="40"/>
  <c r="J66" i="40"/>
  <c r="L66" i="40" s="1"/>
  <c r="F66" i="29" s="1"/>
  <c r="J67" i="40"/>
  <c r="L67" i="40" s="1"/>
  <c r="F67" i="29" s="1"/>
  <c r="G62" i="40"/>
  <c r="I62" i="40" s="1"/>
  <c r="E62" i="29" s="1"/>
  <c r="G63" i="40"/>
  <c r="I63" i="40" s="1"/>
  <c r="E63" i="29" s="1"/>
  <c r="G64" i="40"/>
  <c r="I64" i="40" s="1"/>
  <c r="E64" i="29" s="1"/>
  <c r="G65" i="40"/>
  <c r="I65" i="40" s="1"/>
  <c r="E65" i="29" s="1"/>
  <c r="G66" i="40"/>
  <c r="I66" i="40" s="1"/>
  <c r="E66" i="29" s="1"/>
  <c r="G67" i="40"/>
  <c r="I67" i="40" s="1"/>
  <c r="E67" i="29" s="1"/>
  <c r="S61" i="40"/>
  <c r="U61" i="40" s="1"/>
  <c r="P61" i="40"/>
  <c r="R61" i="40" s="1"/>
  <c r="H61" i="29" s="1"/>
  <c r="M61" i="40"/>
  <c r="O61" i="40" s="1"/>
  <c r="J61" i="40"/>
  <c r="L61" i="40" s="1"/>
  <c r="G61" i="40"/>
  <c r="I61" i="40" s="1"/>
  <c r="S55" i="40"/>
  <c r="U55" i="40" s="1"/>
  <c r="I55" i="29" s="1"/>
  <c r="S56" i="40"/>
  <c r="U56" i="40" s="1"/>
  <c r="I56" i="29" s="1"/>
  <c r="S57" i="40"/>
  <c r="U57" i="40" s="1"/>
  <c r="I57" i="29" s="1"/>
  <c r="P55" i="40"/>
  <c r="R55" i="40" s="1"/>
  <c r="H55" i="29" s="1"/>
  <c r="P56" i="40"/>
  <c r="R56" i="40" s="1"/>
  <c r="H56" i="29" s="1"/>
  <c r="P57" i="40"/>
  <c r="R57" i="40" s="1"/>
  <c r="H57" i="29" s="1"/>
  <c r="M55" i="40"/>
  <c r="O55" i="40" s="1"/>
  <c r="G55" i="29" s="1"/>
  <c r="M56" i="40"/>
  <c r="O56" i="40" s="1"/>
  <c r="G56" i="29" s="1"/>
  <c r="M57" i="40"/>
  <c r="O57" i="40" s="1"/>
  <c r="G57" i="29" s="1"/>
  <c r="J55" i="40"/>
  <c r="L55" i="40" s="1"/>
  <c r="F55" i="29" s="1"/>
  <c r="J56" i="40"/>
  <c r="L56" i="40" s="1"/>
  <c r="F56" i="29" s="1"/>
  <c r="J57" i="40"/>
  <c r="L57" i="40" s="1"/>
  <c r="F57" i="29" s="1"/>
  <c r="G55" i="40"/>
  <c r="I55" i="40" s="1"/>
  <c r="E55" i="29" s="1"/>
  <c r="G56" i="40"/>
  <c r="I56" i="40" s="1"/>
  <c r="E56" i="29" s="1"/>
  <c r="G57" i="40"/>
  <c r="I57" i="40" s="1"/>
  <c r="E57" i="29" s="1"/>
  <c r="S54" i="40"/>
  <c r="U54" i="40" s="1"/>
  <c r="P54" i="40"/>
  <c r="R54" i="40" s="1"/>
  <c r="M54" i="40"/>
  <c r="O54" i="40" s="1"/>
  <c r="J54" i="40"/>
  <c r="L54" i="40" s="1"/>
  <c r="G54" i="40"/>
  <c r="S45" i="40"/>
  <c r="U45" i="40" s="1"/>
  <c r="I45" i="29" s="1"/>
  <c r="S46" i="40"/>
  <c r="U46" i="40" s="1"/>
  <c r="I46" i="29" s="1"/>
  <c r="S47" i="40"/>
  <c r="S48" i="40"/>
  <c r="U48" i="40" s="1"/>
  <c r="I48" i="29" s="1"/>
  <c r="S50" i="40"/>
  <c r="U50" i="40" s="1"/>
  <c r="I50" i="29" s="1"/>
  <c r="P50" i="40"/>
  <c r="R50" i="40" s="1"/>
  <c r="H50" i="29" s="1"/>
  <c r="P45" i="40"/>
  <c r="R45" i="40" s="1"/>
  <c r="H45" i="29" s="1"/>
  <c r="P46" i="40"/>
  <c r="R46" i="40" s="1"/>
  <c r="H46" i="29" s="1"/>
  <c r="P47" i="40"/>
  <c r="R47" i="40" s="1"/>
  <c r="H47" i="29" s="1"/>
  <c r="P48" i="40"/>
  <c r="R48" i="40" s="1"/>
  <c r="H48" i="29" s="1"/>
  <c r="M45" i="40"/>
  <c r="O45" i="40" s="1"/>
  <c r="G45" i="29" s="1"/>
  <c r="M46" i="40"/>
  <c r="O46" i="40" s="1"/>
  <c r="G46" i="29" s="1"/>
  <c r="M47" i="40"/>
  <c r="O47" i="40" s="1"/>
  <c r="G47" i="29" s="1"/>
  <c r="M48" i="40"/>
  <c r="O48" i="40" s="1"/>
  <c r="G48" i="29" s="1"/>
  <c r="M50" i="40"/>
  <c r="O50" i="40" s="1"/>
  <c r="G50" i="29" s="1"/>
  <c r="J45" i="40"/>
  <c r="L45" i="40" s="1"/>
  <c r="F45" i="29" s="1"/>
  <c r="J46" i="40"/>
  <c r="L46" i="40" s="1"/>
  <c r="F46" i="29" s="1"/>
  <c r="J47" i="40"/>
  <c r="L47" i="40" s="1"/>
  <c r="F47" i="29" s="1"/>
  <c r="J48" i="40"/>
  <c r="L48" i="40" s="1"/>
  <c r="F48" i="29" s="1"/>
  <c r="J50" i="40"/>
  <c r="L50" i="40" s="1"/>
  <c r="F50" i="29" s="1"/>
  <c r="G45" i="40"/>
  <c r="I45" i="40" s="1"/>
  <c r="E45" i="29" s="1"/>
  <c r="G46" i="40"/>
  <c r="I46" i="40" s="1"/>
  <c r="E46" i="29" s="1"/>
  <c r="G47" i="40"/>
  <c r="I47" i="40" s="1"/>
  <c r="E47" i="29" s="1"/>
  <c r="G48" i="40"/>
  <c r="I48" i="40" s="1"/>
  <c r="E48" i="29" s="1"/>
  <c r="G50" i="40"/>
  <c r="I50" i="40" s="1"/>
  <c r="E50" i="29" s="1"/>
  <c r="S44" i="40"/>
  <c r="P44" i="40"/>
  <c r="R44" i="40" s="1"/>
  <c r="M44" i="40"/>
  <c r="J44" i="40"/>
  <c r="L44" i="40" s="1"/>
  <c r="G44" i="40"/>
  <c r="S37" i="40"/>
  <c r="U37" i="40" s="1"/>
  <c r="I37" i="29" s="1"/>
  <c r="S38" i="40"/>
  <c r="U38" i="40" s="1"/>
  <c r="I38" i="29" s="1"/>
  <c r="P37" i="40"/>
  <c r="R37" i="40" s="1"/>
  <c r="H37" i="29" s="1"/>
  <c r="P38" i="40"/>
  <c r="R38" i="40" s="1"/>
  <c r="H38" i="29" s="1"/>
  <c r="M37" i="40"/>
  <c r="O37" i="40" s="1"/>
  <c r="G37" i="29" s="1"/>
  <c r="M38" i="40"/>
  <c r="O38" i="40" s="1"/>
  <c r="G38" i="29" s="1"/>
  <c r="J37" i="40"/>
  <c r="L37" i="40" s="1"/>
  <c r="F37" i="29" s="1"/>
  <c r="J38" i="40"/>
  <c r="L38" i="40" s="1"/>
  <c r="F38" i="29" s="1"/>
  <c r="G37" i="40"/>
  <c r="I37" i="40" s="1"/>
  <c r="E37" i="29" s="1"/>
  <c r="G38" i="40"/>
  <c r="I38" i="40" s="1"/>
  <c r="E38" i="29" s="1"/>
  <c r="S36" i="40"/>
  <c r="U36" i="40" s="1"/>
  <c r="P36" i="40"/>
  <c r="R36" i="40" s="1"/>
  <c r="M36" i="40"/>
  <c r="O36" i="40" s="1"/>
  <c r="G36" i="29" s="1"/>
  <c r="J36" i="40"/>
  <c r="G36" i="40"/>
  <c r="S29" i="40"/>
  <c r="U29" i="40" s="1"/>
  <c r="I29" i="29" s="1"/>
  <c r="S30" i="40"/>
  <c r="U30" i="40" s="1"/>
  <c r="I30" i="29" s="1"/>
  <c r="P29" i="40"/>
  <c r="R29" i="40" s="1"/>
  <c r="H29" i="29" s="1"/>
  <c r="P30" i="40"/>
  <c r="R30" i="40" s="1"/>
  <c r="H30" i="29" s="1"/>
  <c r="M29" i="40"/>
  <c r="O29" i="40" s="1"/>
  <c r="G29" i="29" s="1"/>
  <c r="M30" i="40"/>
  <c r="O30" i="40" s="1"/>
  <c r="G30" i="29" s="1"/>
  <c r="J29" i="40"/>
  <c r="L29" i="40" s="1"/>
  <c r="F29" i="29" s="1"/>
  <c r="J30" i="40"/>
  <c r="L30" i="40" s="1"/>
  <c r="F30" i="29" s="1"/>
  <c r="S28" i="40"/>
  <c r="P28" i="40"/>
  <c r="M28" i="40"/>
  <c r="O28" i="40" s="1"/>
  <c r="G28" i="29" s="1"/>
  <c r="J28" i="40"/>
  <c r="G29" i="40"/>
  <c r="I29" i="40" s="1"/>
  <c r="E29" i="29" s="1"/>
  <c r="G30" i="40"/>
  <c r="I30" i="40" s="1"/>
  <c r="E30" i="29" s="1"/>
  <c r="G28" i="40"/>
  <c r="S20" i="40"/>
  <c r="U20" i="40" s="1"/>
  <c r="I20" i="29" s="1"/>
  <c r="S19" i="40"/>
  <c r="U19" i="40" s="1"/>
  <c r="I19" i="29" s="1"/>
  <c r="P20" i="40"/>
  <c r="R20" i="40" s="1"/>
  <c r="H20" i="29" s="1"/>
  <c r="P19" i="40"/>
  <c r="R19" i="40" s="1"/>
  <c r="H19" i="29" s="1"/>
  <c r="M20" i="40"/>
  <c r="O20" i="40" s="1"/>
  <c r="G20" i="29" s="1"/>
  <c r="M19" i="40"/>
  <c r="O19" i="40" s="1"/>
  <c r="G19" i="29" s="1"/>
  <c r="J20" i="40"/>
  <c r="L20" i="40" s="1"/>
  <c r="F20" i="29" s="1"/>
  <c r="J19" i="40"/>
  <c r="L19" i="40" s="1"/>
  <c r="F19" i="29" s="1"/>
  <c r="G20" i="40"/>
  <c r="I20" i="40" s="1"/>
  <c r="E20" i="29" s="1"/>
  <c r="G19" i="40"/>
  <c r="I19" i="40" s="1"/>
  <c r="E19" i="29" s="1"/>
  <c r="D20" i="40"/>
  <c r="F20" i="40" s="1"/>
  <c r="D20" i="29" s="1"/>
  <c r="D19" i="40"/>
  <c r="F19" i="40" s="1"/>
  <c r="D19" i="29" s="1"/>
  <c r="S14" i="40"/>
  <c r="U14" i="40" s="1"/>
  <c r="I14" i="29" s="1"/>
  <c r="S15" i="40"/>
  <c r="U15" i="40" s="1"/>
  <c r="I15" i="29" s="1"/>
  <c r="S13" i="40"/>
  <c r="P14" i="40"/>
  <c r="P15" i="40"/>
  <c r="P13" i="40"/>
  <c r="R13" i="40" s="1"/>
  <c r="H13" i="29" s="1"/>
  <c r="M14" i="40"/>
  <c r="O14" i="40" s="1"/>
  <c r="G14" i="29" s="1"/>
  <c r="M15" i="40"/>
  <c r="O15" i="40" s="1"/>
  <c r="G15" i="29" s="1"/>
  <c r="M13" i="40"/>
  <c r="O13" i="40" s="1"/>
  <c r="G13" i="29" s="1"/>
  <c r="J14" i="40"/>
  <c r="L14" i="40" s="1"/>
  <c r="F14" i="29" s="1"/>
  <c r="J15" i="40"/>
  <c r="L15" i="40" s="1"/>
  <c r="F15" i="29" s="1"/>
  <c r="J13" i="40"/>
  <c r="L13" i="40" s="1"/>
  <c r="F13" i="29" s="1"/>
  <c r="G14" i="40"/>
  <c r="I14" i="40" s="1"/>
  <c r="E14" i="29" s="1"/>
  <c r="G15" i="40"/>
  <c r="I15" i="40" s="1"/>
  <c r="E15" i="29" s="1"/>
  <c r="G13" i="40"/>
  <c r="I13" i="40" s="1"/>
  <c r="E13" i="29" s="1"/>
  <c r="W90" i="40"/>
  <c r="W86" i="40"/>
  <c r="I85" i="2"/>
  <c r="J85" i="2" s="1"/>
  <c r="W79" i="40"/>
  <c r="W78" i="40"/>
  <c r="W77" i="40"/>
  <c r="W76" i="40"/>
  <c r="W75" i="40"/>
  <c r="W74" i="40"/>
  <c r="W73" i="40"/>
  <c r="W72" i="40"/>
  <c r="W71" i="40"/>
  <c r="W68" i="40"/>
  <c r="W67" i="40"/>
  <c r="W66" i="40"/>
  <c r="W65" i="40"/>
  <c r="W64" i="40"/>
  <c r="W63" i="40"/>
  <c r="W62" i="40"/>
  <c r="W61" i="40"/>
  <c r="W58" i="40"/>
  <c r="W57" i="40"/>
  <c r="W56" i="40"/>
  <c r="W55" i="40"/>
  <c r="W54" i="40"/>
  <c r="W51" i="40"/>
  <c r="W50" i="40"/>
  <c r="W47" i="40"/>
  <c r="W46" i="40"/>
  <c r="W45" i="40"/>
  <c r="W44" i="40"/>
  <c r="W39" i="40"/>
  <c r="W38" i="40"/>
  <c r="W37" i="40"/>
  <c r="W36" i="40"/>
  <c r="W30" i="40"/>
  <c r="W29" i="40"/>
  <c r="W28" i="40"/>
  <c r="W85" i="40"/>
  <c r="W84" i="40"/>
  <c r="W83" i="40"/>
  <c r="W82" i="40"/>
  <c r="J74" i="2"/>
  <c r="J81" i="2"/>
  <c r="J14" i="2"/>
  <c r="J13" i="2"/>
  <c r="J12" i="2"/>
  <c r="W20" i="40"/>
  <c r="W19" i="40"/>
  <c r="W15" i="40"/>
  <c r="W14" i="40"/>
  <c r="T25" i="40"/>
  <c r="Q25" i="40"/>
  <c r="R25" i="40"/>
  <c r="N25" i="40"/>
  <c r="O25" i="40"/>
  <c r="K25" i="40"/>
  <c r="H25" i="40"/>
  <c r="T21" i="40"/>
  <c r="Q21" i="40"/>
  <c r="N21" i="40"/>
  <c r="K21" i="40"/>
  <c r="H21" i="40"/>
  <c r="E21" i="40"/>
  <c r="T16" i="40"/>
  <c r="Q16" i="40"/>
  <c r="N16" i="40"/>
  <c r="K16" i="40"/>
  <c r="H16" i="40"/>
  <c r="E16" i="40"/>
  <c r="D14" i="40"/>
  <c r="F14" i="40" s="1"/>
  <c r="D14" i="29" s="1"/>
  <c r="D15" i="40"/>
  <c r="F15" i="40" s="1"/>
  <c r="D15" i="29" s="1"/>
  <c r="D13" i="40"/>
  <c r="F240" i="52"/>
  <c r="F239" i="52"/>
  <c r="F231" i="52"/>
  <c r="F230" i="52"/>
  <c r="F222" i="52"/>
  <c r="F221" i="52"/>
  <c r="F213" i="52"/>
  <c r="F212" i="52"/>
  <c r="F204" i="52"/>
  <c r="F203" i="52"/>
  <c r="F195" i="52"/>
  <c r="F194" i="52"/>
  <c r="F186" i="52"/>
  <c r="F185" i="52"/>
  <c r="F177" i="52"/>
  <c r="F176" i="52"/>
  <c r="F168" i="52"/>
  <c r="F167" i="52"/>
  <c r="F159" i="52"/>
  <c r="F158" i="52"/>
  <c r="F150" i="52"/>
  <c r="F149" i="52"/>
  <c r="F141" i="52"/>
  <c r="F140" i="52"/>
  <c r="F132" i="52"/>
  <c r="F131" i="52"/>
  <c r="F123" i="52"/>
  <c r="F122" i="52"/>
  <c r="F114" i="52"/>
  <c r="F113" i="52"/>
  <c r="F105" i="52"/>
  <c r="F104" i="52"/>
  <c r="F96" i="52"/>
  <c r="F95" i="52"/>
  <c r="F87" i="52"/>
  <c r="F86" i="52"/>
  <c r="F78" i="52"/>
  <c r="F77" i="52"/>
  <c r="F69" i="52"/>
  <c r="F68" i="52"/>
  <c r="F60" i="52"/>
  <c r="F59" i="52"/>
  <c r="F51" i="52"/>
  <c r="F50" i="52"/>
  <c r="L197" i="51"/>
  <c r="D197" i="51"/>
  <c r="P196" i="51"/>
  <c r="H196" i="51"/>
  <c r="P195" i="51"/>
  <c r="H195" i="51"/>
  <c r="P194" i="51"/>
  <c r="H194" i="51"/>
  <c r="P193" i="51"/>
  <c r="H193" i="51"/>
  <c r="P192" i="51"/>
  <c r="H192" i="51"/>
  <c r="P191" i="51"/>
  <c r="H191" i="51"/>
  <c r="P190" i="51"/>
  <c r="H190" i="51"/>
  <c r="P189" i="51"/>
  <c r="H189" i="51"/>
  <c r="P188" i="51"/>
  <c r="H188" i="51"/>
  <c r="P187" i="51"/>
  <c r="H187" i="51"/>
  <c r="P186" i="51"/>
  <c r="H186" i="51"/>
  <c r="P185" i="51"/>
  <c r="H185" i="51"/>
  <c r="P184" i="51"/>
  <c r="H184" i="51"/>
  <c r="P183" i="51"/>
  <c r="H183" i="51"/>
  <c r="P182" i="51"/>
  <c r="H182" i="51"/>
  <c r="P181" i="51"/>
  <c r="H181" i="51"/>
  <c r="P180" i="51"/>
  <c r="H180" i="51"/>
  <c r="P179" i="51"/>
  <c r="H179" i="51"/>
  <c r="P178" i="51"/>
  <c r="H178" i="51"/>
  <c r="P177" i="51"/>
  <c r="H177" i="51"/>
  <c r="P176" i="51"/>
  <c r="H176" i="51"/>
  <c r="P175" i="51"/>
  <c r="H175" i="51"/>
  <c r="P174" i="51"/>
  <c r="H174" i="51"/>
  <c r="P173" i="51"/>
  <c r="H173" i="51"/>
  <c r="P172" i="51"/>
  <c r="H172" i="51"/>
  <c r="P171" i="51"/>
  <c r="H171" i="51"/>
  <c r="P170" i="51"/>
  <c r="H170" i="51"/>
  <c r="P169" i="51"/>
  <c r="H169" i="51"/>
  <c r="P168" i="51"/>
  <c r="H168" i="51"/>
  <c r="P167" i="51"/>
  <c r="H167" i="51"/>
  <c r="P166" i="51"/>
  <c r="H166" i="51"/>
  <c r="P165" i="51"/>
  <c r="H165" i="51"/>
  <c r="P164" i="51"/>
  <c r="H164" i="51"/>
  <c r="P163" i="51"/>
  <c r="H163" i="51"/>
  <c r="P162" i="51"/>
  <c r="H162" i="51"/>
  <c r="P161" i="51"/>
  <c r="H161" i="51"/>
  <c r="P160" i="51"/>
  <c r="H160" i="51"/>
  <c r="P159" i="51"/>
  <c r="H159" i="51"/>
  <c r="P158" i="51"/>
  <c r="H158" i="51"/>
  <c r="P157" i="51"/>
  <c r="H157" i="51"/>
  <c r="P156" i="51"/>
  <c r="H156" i="51"/>
  <c r="P155" i="51"/>
  <c r="H155" i="51"/>
  <c r="P154" i="51"/>
  <c r="H154" i="51"/>
  <c r="P153" i="51"/>
  <c r="H153" i="51"/>
  <c r="P152" i="51"/>
  <c r="H152" i="51"/>
  <c r="P150" i="51"/>
  <c r="H150" i="51"/>
  <c r="P149" i="51"/>
  <c r="H149" i="51"/>
  <c r="P148" i="51"/>
  <c r="H148" i="51"/>
  <c r="P147" i="51"/>
  <c r="H147" i="51"/>
  <c r="P146" i="51"/>
  <c r="H146" i="51"/>
  <c r="P145" i="51"/>
  <c r="H145" i="51"/>
  <c r="P144" i="51"/>
  <c r="H144" i="51"/>
  <c r="P143" i="51"/>
  <c r="H143" i="51"/>
  <c r="P142" i="51"/>
  <c r="H142" i="51"/>
  <c r="P141" i="51"/>
  <c r="H141" i="51"/>
  <c r="P140" i="51"/>
  <c r="H140" i="51"/>
  <c r="P139" i="51"/>
  <c r="H139" i="51"/>
  <c r="P138" i="51"/>
  <c r="H138" i="51"/>
  <c r="P137" i="51"/>
  <c r="H137" i="51"/>
  <c r="P136" i="51"/>
  <c r="H136" i="51"/>
  <c r="P135" i="51"/>
  <c r="H135" i="51"/>
  <c r="P134" i="51"/>
  <c r="H134" i="51"/>
  <c r="P133" i="51"/>
  <c r="H133" i="51"/>
  <c r="P132" i="51"/>
  <c r="H132" i="51"/>
  <c r="P131" i="51"/>
  <c r="H131" i="51"/>
  <c r="P130" i="51"/>
  <c r="H130" i="51"/>
  <c r="P129" i="51"/>
  <c r="H129" i="51"/>
  <c r="P128" i="51"/>
  <c r="H128" i="51"/>
  <c r="P127" i="51"/>
  <c r="H127" i="51"/>
  <c r="P126" i="51"/>
  <c r="H126" i="51"/>
  <c r="P125" i="51"/>
  <c r="H125" i="51"/>
  <c r="P124" i="51"/>
  <c r="H124" i="51"/>
  <c r="P123" i="51"/>
  <c r="H123" i="51"/>
  <c r="P122" i="51"/>
  <c r="H122" i="51"/>
  <c r="P121" i="51"/>
  <c r="H121" i="51"/>
  <c r="P120" i="51"/>
  <c r="H120" i="51"/>
  <c r="P119" i="51"/>
  <c r="H119" i="51"/>
  <c r="P118" i="51"/>
  <c r="H118" i="51"/>
  <c r="P117" i="51"/>
  <c r="H117" i="51"/>
  <c r="P116" i="51"/>
  <c r="H116" i="51"/>
  <c r="P115" i="51"/>
  <c r="H115" i="51"/>
  <c r="P114" i="51"/>
  <c r="H114" i="51"/>
  <c r="P113" i="51"/>
  <c r="H113" i="51"/>
  <c r="P112" i="51"/>
  <c r="H112" i="51"/>
  <c r="P111" i="51"/>
  <c r="H111" i="51"/>
  <c r="P110" i="51"/>
  <c r="H110" i="51"/>
  <c r="P109" i="51"/>
  <c r="H109" i="51"/>
  <c r="P108" i="51"/>
  <c r="H108" i="51"/>
  <c r="P107" i="51"/>
  <c r="H107" i="51"/>
  <c r="P106" i="51"/>
  <c r="H106" i="51"/>
  <c r="P105" i="51"/>
  <c r="H105" i="51"/>
  <c r="P104" i="51"/>
  <c r="H104" i="51"/>
  <c r="P103" i="51"/>
  <c r="H103" i="51"/>
  <c r="P102" i="51"/>
  <c r="H102" i="51"/>
  <c r="P101" i="51"/>
  <c r="H101" i="51"/>
  <c r="P100" i="51"/>
  <c r="H100" i="51"/>
  <c r="P99" i="51"/>
  <c r="H99" i="51"/>
  <c r="P98" i="51"/>
  <c r="H98" i="51"/>
  <c r="P97" i="51"/>
  <c r="H97" i="51"/>
  <c r="P96" i="51"/>
  <c r="H96" i="51"/>
  <c r="P95" i="51"/>
  <c r="H95" i="51"/>
  <c r="P94" i="51"/>
  <c r="H94" i="51"/>
  <c r="P93" i="51"/>
  <c r="H93" i="51"/>
  <c r="P92" i="51"/>
  <c r="H92" i="51"/>
  <c r="P91" i="51"/>
  <c r="H91" i="51"/>
  <c r="P90" i="51"/>
  <c r="H90" i="51"/>
  <c r="P89" i="51"/>
  <c r="H89" i="51"/>
  <c r="P88" i="51"/>
  <c r="H88" i="51"/>
  <c r="P87" i="51"/>
  <c r="H87" i="51"/>
  <c r="P86" i="51"/>
  <c r="H86" i="51"/>
  <c r="P85" i="51"/>
  <c r="H85" i="51"/>
  <c r="P84" i="51"/>
  <c r="H84" i="51"/>
  <c r="P83" i="51"/>
  <c r="H83" i="51"/>
  <c r="P82" i="51"/>
  <c r="H82" i="51"/>
  <c r="P81" i="51"/>
  <c r="H81" i="51"/>
  <c r="P80" i="51"/>
  <c r="H80" i="51"/>
  <c r="P79" i="51"/>
  <c r="H79" i="51"/>
  <c r="P78" i="51"/>
  <c r="H78" i="51"/>
  <c r="P77" i="51"/>
  <c r="H77" i="51"/>
  <c r="P76" i="51"/>
  <c r="H76" i="51"/>
  <c r="P75" i="51"/>
  <c r="H75" i="51"/>
  <c r="P74" i="51"/>
  <c r="H74" i="51"/>
  <c r="P73" i="51"/>
  <c r="H73" i="51"/>
  <c r="P72" i="51"/>
  <c r="H72" i="51"/>
  <c r="P71" i="51"/>
  <c r="H71" i="51"/>
  <c r="P70" i="51"/>
  <c r="H70" i="51"/>
  <c r="P69" i="51"/>
  <c r="H69" i="51"/>
  <c r="P68" i="51"/>
  <c r="H68" i="51"/>
  <c r="P67" i="51"/>
  <c r="H67" i="51"/>
  <c r="P66" i="51"/>
  <c r="H66" i="51"/>
  <c r="P65" i="51"/>
  <c r="H65" i="51"/>
  <c r="P64" i="51"/>
  <c r="H64" i="51"/>
  <c r="P63" i="51"/>
  <c r="H63" i="51"/>
  <c r="P62" i="51"/>
  <c r="H62" i="51"/>
  <c r="P61" i="51"/>
  <c r="H61" i="51"/>
  <c r="P60" i="51"/>
  <c r="H60" i="51"/>
  <c r="P59" i="51"/>
  <c r="H59" i="51"/>
  <c r="P58" i="51"/>
  <c r="H58" i="51"/>
  <c r="P57" i="51"/>
  <c r="H57" i="51"/>
  <c r="P56" i="51"/>
  <c r="H56" i="51"/>
  <c r="P55" i="51"/>
  <c r="H55" i="51"/>
  <c r="P54" i="51"/>
  <c r="H54" i="51"/>
  <c r="P53" i="51"/>
  <c r="H53" i="51"/>
  <c r="P52" i="51"/>
  <c r="H52" i="51"/>
  <c r="P51" i="51"/>
  <c r="H51" i="51"/>
  <c r="P50" i="51"/>
  <c r="H50" i="51"/>
  <c r="P49" i="51"/>
  <c r="H49" i="51"/>
  <c r="P48" i="51"/>
  <c r="H48" i="51"/>
  <c r="P47" i="51"/>
  <c r="H47" i="51"/>
  <c r="P46" i="51"/>
  <c r="H46" i="51"/>
  <c r="P45" i="51"/>
  <c r="H45" i="51"/>
  <c r="P44" i="51"/>
  <c r="H44" i="51"/>
  <c r="P43" i="51"/>
  <c r="H43" i="51"/>
  <c r="P42" i="51"/>
  <c r="H42" i="51"/>
  <c r="P41" i="51"/>
  <c r="H41" i="51"/>
  <c r="P40" i="51"/>
  <c r="H40" i="51"/>
  <c r="P39" i="51"/>
  <c r="H39" i="51"/>
  <c r="P38" i="51"/>
  <c r="H38" i="51"/>
  <c r="P37" i="51"/>
  <c r="H37" i="51"/>
  <c r="P36" i="51"/>
  <c r="H36" i="51"/>
  <c r="P35" i="51"/>
  <c r="H35" i="51"/>
  <c r="P34" i="51"/>
  <c r="H34" i="51"/>
  <c r="P33" i="51"/>
  <c r="H33" i="51"/>
  <c r="P32" i="51"/>
  <c r="H32" i="51"/>
  <c r="P31" i="51"/>
  <c r="H31" i="51"/>
  <c r="P30" i="51"/>
  <c r="H30" i="51"/>
  <c r="P29" i="51"/>
  <c r="H29" i="51"/>
  <c r="P28" i="51"/>
  <c r="H28" i="51"/>
  <c r="P27" i="51"/>
  <c r="H27" i="51"/>
  <c r="P26" i="51"/>
  <c r="H26" i="51"/>
  <c r="P25" i="51"/>
  <c r="H25" i="51"/>
  <c r="P24" i="51"/>
  <c r="H24" i="51"/>
  <c r="P23" i="51"/>
  <c r="H23" i="51"/>
  <c r="P22" i="51"/>
  <c r="H22" i="51"/>
  <c r="P21" i="51"/>
  <c r="H21" i="51"/>
  <c r="P20" i="51"/>
  <c r="H20" i="51"/>
  <c r="H19" i="51"/>
  <c r="K185" i="50"/>
  <c r="K184" i="50"/>
  <c r="K183" i="50"/>
  <c r="K182" i="50"/>
  <c r="K181" i="50"/>
  <c r="K180" i="50"/>
  <c r="K179" i="50"/>
  <c r="K178" i="50"/>
  <c r="M178" i="50" s="1"/>
  <c r="N178" i="50" s="1"/>
  <c r="K177" i="50"/>
  <c r="O168" i="50"/>
  <c r="M168" i="50"/>
  <c r="F168" i="50"/>
  <c r="Q163" i="50"/>
  <c r="K163" i="50"/>
  <c r="P163" i="50" s="1"/>
  <c r="I163" i="50"/>
  <c r="Q158" i="50"/>
  <c r="K158" i="50"/>
  <c r="I158" i="50"/>
  <c r="Q153" i="50"/>
  <c r="K153" i="50"/>
  <c r="I153" i="50"/>
  <c r="Q148" i="50"/>
  <c r="K148" i="50"/>
  <c r="I148" i="50"/>
  <c r="Q143" i="50"/>
  <c r="K143" i="50"/>
  <c r="I143" i="50"/>
  <c r="Q138" i="50"/>
  <c r="K138" i="50"/>
  <c r="I138" i="50"/>
  <c r="Q133" i="50"/>
  <c r="K133" i="50"/>
  <c r="I133" i="50"/>
  <c r="Q128" i="50"/>
  <c r="K128" i="50"/>
  <c r="I128" i="50"/>
  <c r="Q123" i="50"/>
  <c r="K123" i="50"/>
  <c r="I123" i="50"/>
  <c r="Q118" i="50"/>
  <c r="D232" i="52" s="1"/>
  <c r="K118" i="50"/>
  <c r="I118" i="50"/>
  <c r="Q113" i="50"/>
  <c r="K113" i="50"/>
  <c r="N113" i="50" s="1"/>
  <c r="D224" i="52" s="1"/>
  <c r="I113" i="50"/>
  <c r="Q108" i="50"/>
  <c r="D214" i="52" s="1"/>
  <c r="K108" i="50"/>
  <c r="I108" i="50"/>
  <c r="Q103" i="50"/>
  <c r="K103" i="50"/>
  <c r="I103" i="50"/>
  <c r="Q98" i="50"/>
  <c r="D196" i="52" s="1"/>
  <c r="K98" i="50"/>
  <c r="I98" i="50"/>
  <c r="Q93" i="50"/>
  <c r="D187" i="52" s="1"/>
  <c r="K93" i="50"/>
  <c r="D184" i="52" s="1"/>
  <c r="I93" i="50"/>
  <c r="Q88" i="50"/>
  <c r="K88" i="50"/>
  <c r="I88" i="50"/>
  <c r="Q83" i="50"/>
  <c r="D169" i="52" s="1"/>
  <c r="K83" i="50"/>
  <c r="I83" i="50"/>
  <c r="Q78" i="50"/>
  <c r="K78" i="50"/>
  <c r="I78" i="50"/>
  <c r="Q73" i="50"/>
  <c r="D151" i="52" s="1"/>
  <c r="K73" i="50"/>
  <c r="D148" i="52" s="1"/>
  <c r="I73" i="50"/>
  <c r="Q68" i="50"/>
  <c r="D142" i="52" s="1"/>
  <c r="K68" i="50"/>
  <c r="I68" i="50"/>
  <c r="Q63" i="50"/>
  <c r="K63" i="50"/>
  <c r="I63" i="50"/>
  <c r="Q58" i="50"/>
  <c r="D124" i="52" s="1"/>
  <c r="K58" i="50"/>
  <c r="I58" i="50"/>
  <c r="Q53" i="50"/>
  <c r="K53" i="50"/>
  <c r="N53" i="50" s="1"/>
  <c r="D116" i="52" s="1"/>
  <c r="I53" i="50"/>
  <c r="Q48" i="50"/>
  <c r="D106" i="52" s="1"/>
  <c r="K48" i="50"/>
  <c r="I48" i="50"/>
  <c r="Q43" i="50"/>
  <c r="K43" i="50"/>
  <c r="I43" i="50"/>
  <c r="Q38" i="50"/>
  <c r="K38" i="50"/>
  <c r="I38" i="50"/>
  <c r="Q33" i="50"/>
  <c r="D79" i="52" s="1"/>
  <c r="K33" i="50"/>
  <c r="D76" i="52" s="1"/>
  <c r="I33" i="50"/>
  <c r="Q28" i="50"/>
  <c r="K28" i="50"/>
  <c r="I28" i="50"/>
  <c r="Q23" i="50"/>
  <c r="D61" i="52" s="1"/>
  <c r="K23" i="50"/>
  <c r="I23" i="50"/>
  <c r="Q18" i="50"/>
  <c r="D52" i="52" s="1"/>
  <c r="K18" i="50"/>
  <c r="D49" i="52" s="1"/>
  <c r="I18" i="50"/>
  <c r="N73" i="49"/>
  <c r="F73" i="49"/>
  <c r="N73" i="48"/>
  <c r="N73" i="47"/>
  <c r="F73" i="47"/>
  <c r="N73" i="46"/>
  <c r="J30" i="43"/>
  <c r="J29" i="43"/>
  <c r="A29" i="43"/>
  <c r="A30" i="43" s="1"/>
  <c r="J28" i="43"/>
  <c r="J27" i="43"/>
  <c r="J24" i="43"/>
  <c r="J23" i="43"/>
  <c r="J22" i="43"/>
  <c r="J21" i="43"/>
  <c r="J20" i="43"/>
  <c r="J19" i="43"/>
  <c r="J18" i="43"/>
  <c r="J17" i="43"/>
  <c r="J16" i="43"/>
  <c r="A16" i="43"/>
  <c r="J30" i="41"/>
  <c r="A30" i="41"/>
  <c r="J29" i="41"/>
  <c r="J24" i="41"/>
  <c r="J23" i="41"/>
  <c r="J22" i="41"/>
  <c r="J21" i="41"/>
  <c r="J27" i="41" s="1"/>
  <c r="A21" i="41"/>
  <c r="H198" i="39"/>
  <c r="D31" i="52" s="1"/>
  <c r="D30" i="52"/>
  <c r="J197" i="39"/>
  <c r="F197" i="39"/>
  <c r="J196" i="39"/>
  <c r="F196" i="39"/>
  <c r="J195" i="39"/>
  <c r="F195" i="39"/>
  <c r="J194" i="39"/>
  <c r="F194" i="39"/>
  <c r="J193" i="39"/>
  <c r="F193" i="39"/>
  <c r="J192" i="39"/>
  <c r="F192" i="39"/>
  <c r="J191" i="39"/>
  <c r="F191" i="39"/>
  <c r="J190" i="39"/>
  <c r="F190" i="39"/>
  <c r="J189" i="39"/>
  <c r="F189" i="39"/>
  <c r="J188" i="39"/>
  <c r="F188" i="39"/>
  <c r="J187" i="39"/>
  <c r="F187" i="39"/>
  <c r="J186" i="39"/>
  <c r="F186" i="39"/>
  <c r="J185" i="39"/>
  <c r="F185" i="39"/>
  <c r="J184" i="39"/>
  <c r="F184" i="39"/>
  <c r="J183" i="39"/>
  <c r="F183" i="39"/>
  <c r="J182" i="39"/>
  <c r="F182" i="39"/>
  <c r="J181" i="39"/>
  <c r="F181" i="39"/>
  <c r="J180" i="39"/>
  <c r="F180" i="39"/>
  <c r="J179" i="39"/>
  <c r="F179" i="39"/>
  <c r="J178" i="39"/>
  <c r="F178" i="39"/>
  <c r="J177" i="39"/>
  <c r="F177" i="39"/>
  <c r="J176" i="39"/>
  <c r="F176" i="39"/>
  <c r="J175" i="39"/>
  <c r="F175" i="39"/>
  <c r="J174" i="39"/>
  <c r="F174" i="39"/>
  <c r="J173" i="39"/>
  <c r="F173" i="39"/>
  <c r="J172" i="39"/>
  <c r="F172" i="39"/>
  <c r="J171" i="39"/>
  <c r="F171" i="39"/>
  <c r="J170" i="39"/>
  <c r="F170" i="39"/>
  <c r="J169" i="39"/>
  <c r="F169" i="39"/>
  <c r="J168" i="39"/>
  <c r="F168" i="39"/>
  <c r="J167" i="39"/>
  <c r="F167" i="39"/>
  <c r="J166" i="39"/>
  <c r="F166" i="39"/>
  <c r="J165" i="39"/>
  <c r="F165" i="39"/>
  <c r="J164" i="39"/>
  <c r="F164" i="39"/>
  <c r="J163" i="39"/>
  <c r="F163" i="39"/>
  <c r="J162" i="39"/>
  <c r="F162" i="39"/>
  <c r="J161" i="39"/>
  <c r="F161" i="39"/>
  <c r="J160" i="39"/>
  <c r="F160" i="39"/>
  <c r="J159" i="39"/>
  <c r="F159" i="39"/>
  <c r="J158" i="39"/>
  <c r="F158" i="39"/>
  <c r="J157" i="39"/>
  <c r="F157" i="39"/>
  <c r="J156" i="39"/>
  <c r="F156" i="39"/>
  <c r="J155" i="39"/>
  <c r="F155" i="39"/>
  <c r="J154" i="39"/>
  <c r="F154" i="39"/>
  <c r="J153" i="39"/>
  <c r="F153" i="39"/>
  <c r="J151" i="39"/>
  <c r="F151" i="39"/>
  <c r="J150" i="39"/>
  <c r="F150" i="39"/>
  <c r="J149" i="39"/>
  <c r="F149" i="39"/>
  <c r="J148" i="39"/>
  <c r="F148" i="39"/>
  <c r="J147" i="39"/>
  <c r="F147" i="39"/>
  <c r="J146" i="39"/>
  <c r="F146" i="39"/>
  <c r="J145" i="39"/>
  <c r="F145" i="39"/>
  <c r="J144" i="39"/>
  <c r="F144" i="39"/>
  <c r="J143" i="39"/>
  <c r="F143" i="39"/>
  <c r="J142" i="39"/>
  <c r="F142" i="39"/>
  <c r="J141" i="39"/>
  <c r="F141" i="39"/>
  <c r="J140" i="39"/>
  <c r="F140" i="39"/>
  <c r="J139" i="39"/>
  <c r="F139" i="39"/>
  <c r="J138" i="39"/>
  <c r="F138" i="39"/>
  <c r="J137" i="39"/>
  <c r="F137" i="39"/>
  <c r="J136" i="39"/>
  <c r="F136" i="39"/>
  <c r="J135" i="39"/>
  <c r="F135" i="39"/>
  <c r="J134" i="39"/>
  <c r="F134" i="39"/>
  <c r="J133" i="39"/>
  <c r="F133" i="39"/>
  <c r="J132" i="39"/>
  <c r="F132" i="39"/>
  <c r="J131" i="39"/>
  <c r="F131" i="39"/>
  <c r="J130" i="39"/>
  <c r="F130" i="39"/>
  <c r="J129" i="39"/>
  <c r="F129" i="39"/>
  <c r="J128" i="39"/>
  <c r="F128" i="39"/>
  <c r="J127" i="39"/>
  <c r="F127" i="39"/>
  <c r="J126" i="39"/>
  <c r="F126" i="39"/>
  <c r="J125" i="39"/>
  <c r="F125" i="39"/>
  <c r="J124" i="39"/>
  <c r="F124" i="39"/>
  <c r="J123" i="39"/>
  <c r="F123" i="39"/>
  <c r="J122" i="39"/>
  <c r="F122" i="39"/>
  <c r="J121" i="39"/>
  <c r="F121" i="39"/>
  <c r="J120" i="39"/>
  <c r="F120" i="39"/>
  <c r="J119" i="39"/>
  <c r="F119" i="39"/>
  <c r="J118" i="39"/>
  <c r="F118" i="39"/>
  <c r="J117" i="39"/>
  <c r="F117" i="39"/>
  <c r="J116" i="39"/>
  <c r="F116" i="39"/>
  <c r="J115" i="39"/>
  <c r="F115" i="39"/>
  <c r="J114" i="39"/>
  <c r="F114" i="39"/>
  <c r="J113" i="39"/>
  <c r="F113" i="39"/>
  <c r="J112" i="39"/>
  <c r="F112" i="39"/>
  <c r="J111" i="39"/>
  <c r="F111" i="39"/>
  <c r="J110" i="39"/>
  <c r="F110" i="39"/>
  <c r="J109" i="39"/>
  <c r="F109" i="39"/>
  <c r="J108" i="39"/>
  <c r="F108" i="39"/>
  <c r="J107" i="39"/>
  <c r="F107" i="39"/>
  <c r="J106" i="39"/>
  <c r="F106" i="39"/>
  <c r="J105" i="39"/>
  <c r="F105" i="39"/>
  <c r="J104" i="39"/>
  <c r="F104" i="39"/>
  <c r="J103" i="39"/>
  <c r="F103" i="39"/>
  <c r="J102" i="39"/>
  <c r="F102" i="39"/>
  <c r="J101" i="39"/>
  <c r="F101" i="39"/>
  <c r="J100" i="39"/>
  <c r="F100" i="39"/>
  <c r="J99" i="39"/>
  <c r="F99" i="39"/>
  <c r="J98" i="39"/>
  <c r="F98" i="39"/>
  <c r="J97" i="39"/>
  <c r="F97" i="39"/>
  <c r="J96" i="39"/>
  <c r="F96" i="39"/>
  <c r="J95" i="39"/>
  <c r="F95" i="39"/>
  <c r="J94" i="39"/>
  <c r="F94" i="39"/>
  <c r="J93" i="39"/>
  <c r="F93" i="39"/>
  <c r="J92" i="39"/>
  <c r="F92" i="39"/>
  <c r="J91" i="39"/>
  <c r="F91" i="39"/>
  <c r="J90" i="39"/>
  <c r="F90" i="39"/>
  <c r="J89" i="39"/>
  <c r="F89" i="39"/>
  <c r="J88" i="39"/>
  <c r="F88" i="39"/>
  <c r="J87" i="39"/>
  <c r="F87" i="39"/>
  <c r="J86" i="39"/>
  <c r="F86" i="39"/>
  <c r="J85" i="39"/>
  <c r="F85" i="39"/>
  <c r="J84" i="39"/>
  <c r="F84" i="39"/>
  <c r="J83" i="39"/>
  <c r="F83" i="39"/>
  <c r="J82" i="39"/>
  <c r="F82" i="39"/>
  <c r="J81" i="39"/>
  <c r="F81" i="39"/>
  <c r="J80" i="39"/>
  <c r="F80" i="39"/>
  <c r="J79" i="39"/>
  <c r="F79" i="39"/>
  <c r="J78" i="39"/>
  <c r="F78" i="39"/>
  <c r="J77" i="39"/>
  <c r="F77" i="39"/>
  <c r="J76" i="39"/>
  <c r="F76" i="39"/>
  <c r="J75" i="39"/>
  <c r="F75" i="39"/>
  <c r="J74" i="39"/>
  <c r="F74" i="39"/>
  <c r="J73" i="39"/>
  <c r="F73" i="39"/>
  <c r="J72" i="39"/>
  <c r="F72" i="39"/>
  <c r="J71" i="39"/>
  <c r="F71" i="39"/>
  <c r="J70" i="39"/>
  <c r="F70" i="39"/>
  <c r="J69" i="39"/>
  <c r="F69" i="39"/>
  <c r="J68" i="39"/>
  <c r="F68" i="39"/>
  <c r="J67" i="39"/>
  <c r="F67" i="39"/>
  <c r="J66" i="39"/>
  <c r="F66" i="39"/>
  <c r="J65" i="39"/>
  <c r="F65" i="39"/>
  <c r="J64" i="39"/>
  <c r="F64" i="39"/>
  <c r="J63" i="39"/>
  <c r="F63" i="39"/>
  <c r="J62" i="39"/>
  <c r="F62" i="39"/>
  <c r="J61" i="39"/>
  <c r="F61" i="39"/>
  <c r="J60" i="39"/>
  <c r="F60" i="39"/>
  <c r="J59" i="39"/>
  <c r="F59" i="39"/>
  <c r="J58" i="39"/>
  <c r="F58" i="39"/>
  <c r="J57" i="39"/>
  <c r="F57" i="39"/>
  <c r="J56" i="39"/>
  <c r="F56" i="39"/>
  <c r="J55" i="39"/>
  <c r="F55" i="39"/>
  <c r="J54" i="39"/>
  <c r="F54" i="39"/>
  <c r="J53" i="39"/>
  <c r="F53" i="39"/>
  <c r="J52" i="39"/>
  <c r="F52" i="39"/>
  <c r="J51" i="39"/>
  <c r="F51" i="39"/>
  <c r="J50" i="39"/>
  <c r="F50" i="39"/>
  <c r="J49" i="39"/>
  <c r="F49" i="39"/>
  <c r="J48" i="39"/>
  <c r="F48" i="39"/>
  <c r="J47" i="39"/>
  <c r="F47" i="39"/>
  <c r="J46" i="39"/>
  <c r="F46" i="39"/>
  <c r="J45" i="39"/>
  <c r="F45" i="39"/>
  <c r="J44" i="39"/>
  <c r="F44" i="39"/>
  <c r="J43" i="39"/>
  <c r="F43" i="39"/>
  <c r="J42" i="39"/>
  <c r="F42" i="39"/>
  <c r="J41" i="39"/>
  <c r="F41" i="39"/>
  <c r="J40" i="39"/>
  <c r="F40" i="39"/>
  <c r="J39" i="39"/>
  <c r="F39" i="39"/>
  <c r="J38" i="39"/>
  <c r="F38" i="39"/>
  <c r="J37" i="39"/>
  <c r="F37" i="39"/>
  <c r="J36" i="39"/>
  <c r="F36" i="39"/>
  <c r="J35" i="39"/>
  <c r="F35" i="39"/>
  <c r="J34" i="39"/>
  <c r="F34" i="39"/>
  <c r="J33" i="39"/>
  <c r="F33" i="39"/>
  <c r="J32" i="39"/>
  <c r="F32" i="39"/>
  <c r="J31" i="39"/>
  <c r="F31" i="39"/>
  <c r="J30" i="39"/>
  <c r="F30" i="39"/>
  <c r="J29" i="39"/>
  <c r="F29" i="39"/>
  <c r="J28" i="39"/>
  <c r="F28" i="39"/>
  <c r="J27" i="39"/>
  <c r="F27" i="39"/>
  <c r="J26" i="39"/>
  <c r="F26" i="39"/>
  <c r="J25" i="39"/>
  <c r="F25" i="39"/>
  <c r="J24" i="39"/>
  <c r="F24" i="39"/>
  <c r="J23" i="39"/>
  <c r="F23" i="39"/>
  <c r="J22" i="39"/>
  <c r="F22" i="39"/>
  <c r="J21" i="39"/>
  <c r="F21" i="39"/>
  <c r="J20" i="39"/>
  <c r="F20" i="39"/>
  <c r="J19" i="39"/>
  <c r="F19" i="39"/>
  <c r="K184" i="38"/>
  <c r="M183" i="38"/>
  <c r="K183" i="38"/>
  <c r="K182" i="38"/>
  <c r="K181" i="38"/>
  <c r="K180" i="38"/>
  <c r="M179" i="38"/>
  <c r="K179" i="38"/>
  <c r="M178" i="38"/>
  <c r="K178" i="38"/>
  <c r="M177" i="38"/>
  <c r="K177" i="38"/>
  <c r="M176" i="38"/>
  <c r="K176" i="38"/>
  <c r="P170" i="38"/>
  <c r="U167" i="38"/>
  <c r="P167" i="38"/>
  <c r="K162" i="38"/>
  <c r="I162" i="38"/>
  <c r="K157" i="38"/>
  <c r="K152" i="38"/>
  <c r="AB152" i="38" s="1"/>
  <c r="I152" i="38"/>
  <c r="K147" i="38"/>
  <c r="I147" i="38"/>
  <c r="K142" i="38"/>
  <c r="I142" i="38"/>
  <c r="K137" i="38"/>
  <c r="I137" i="38"/>
  <c r="K132" i="38"/>
  <c r="I132" i="38"/>
  <c r="K127" i="38"/>
  <c r="I127" i="38"/>
  <c r="K122" i="38"/>
  <c r="I122" i="38"/>
  <c r="K117" i="38"/>
  <c r="I117" i="38"/>
  <c r="K112" i="38"/>
  <c r="I112" i="38"/>
  <c r="K107" i="38"/>
  <c r="I107" i="38"/>
  <c r="K102" i="38"/>
  <c r="I102" i="38"/>
  <c r="K97" i="38"/>
  <c r="I97" i="38"/>
  <c r="K92" i="38"/>
  <c r="AB92" i="38" s="1"/>
  <c r="I92" i="38"/>
  <c r="K87" i="38"/>
  <c r="AB87" i="38" s="1"/>
  <c r="I87" i="38"/>
  <c r="O87" i="38" s="1"/>
  <c r="K82" i="38"/>
  <c r="I82" i="38"/>
  <c r="K77" i="38"/>
  <c r="I77" i="38"/>
  <c r="K72" i="38"/>
  <c r="I72" i="38"/>
  <c r="O72" i="38" s="1"/>
  <c r="K67" i="38"/>
  <c r="I67" i="38"/>
  <c r="O67" i="38" s="1"/>
  <c r="K62" i="38"/>
  <c r="I62" i="38"/>
  <c r="O62" i="38" s="1"/>
  <c r="K57" i="38"/>
  <c r="I57" i="38"/>
  <c r="O57" i="38" s="1"/>
  <c r="K52" i="38"/>
  <c r="I52" i="38"/>
  <c r="O52" i="38" s="1"/>
  <c r="K47" i="38"/>
  <c r="I47" i="38"/>
  <c r="O47" i="38" s="1"/>
  <c r="K42" i="38"/>
  <c r="I42" i="38"/>
  <c r="O42" i="38" s="1"/>
  <c r="K37" i="38"/>
  <c r="I37" i="38"/>
  <c r="O37" i="38" s="1"/>
  <c r="K32" i="38"/>
  <c r="AB32" i="38" s="1"/>
  <c r="I32" i="38"/>
  <c r="O32" i="38" s="1"/>
  <c r="K27" i="38"/>
  <c r="AB27" i="38" s="1"/>
  <c r="I27" i="38"/>
  <c r="O27" i="38" s="1"/>
  <c r="K22" i="38"/>
  <c r="I22" i="38"/>
  <c r="O22" i="38" s="1"/>
  <c r="J74" i="37"/>
  <c r="G18" i="33" s="1"/>
  <c r="F74" i="37"/>
  <c r="E18" i="33" s="1"/>
  <c r="J74" i="36"/>
  <c r="G17" i="33" s="1"/>
  <c r="F74" i="36"/>
  <c r="E17" i="33" s="1"/>
  <c r="J74" i="35"/>
  <c r="G16" i="33" s="1"/>
  <c r="F74" i="35"/>
  <c r="E16" i="33" s="1"/>
  <c r="J74" i="34"/>
  <c r="G15" i="33" s="1"/>
  <c r="F74" i="34"/>
  <c r="E15" i="33" s="1"/>
  <c r="F31" i="32"/>
  <c r="R89" i="40" s="1"/>
  <c r="F30" i="32"/>
  <c r="O89" i="40" s="1"/>
  <c r="A30" i="32"/>
  <c r="A31" i="32" s="1"/>
  <c r="A17" i="32"/>
  <c r="A18" i="32" s="1"/>
  <c r="A19" i="32" s="1"/>
  <c r="A20" i="32" s="1"/>
  <c r="A21" i="32" s="1"/>
  <c r="A22" i="32" s="1"/>
  <c r="A23" i="32" s="1"/>
  <c r="A24" i="32" s="1"/>
  <c r="A25" i="32" s="1"/>
  <c r="A26" i="32" s="1"/>
  <c r="H31" i="30"/>
  <c r="A31" i="30"/>
  <c r="H30" i="30"/>
  <c r="A22" i="30"/>
  <c r="A23" i="30" s="1"/>
  <c r="A24" i="30" s="1"/>
  <c r="A25" i="30" s="1"/>
  <c r="A26" i="30" s="1"/>
  <c r="E90" i="29"/>
  <c r="H25" i="29"/>
  <c r="G25" i="29"/>
  <c r="J28" i="41" l="1"/>
  <c r="L38" i="50"/>
  <c r="G29" i="33"/>
  <c r="E29" i="33"/>
  <c r="V83" i="40"/>
  <c r="G16" i="29"/>
  <c r="G51" i="40"/>
  <c r="X83" i="40"/>
  <c r="D21" i="29"/>
  <c r="X85" i="40"/>
  <c r="V85" i="40"/>
  <c r="I44" i="40"/>
  <c r="G39" i="40"/>
  <c r="I36" i="40"/>
  <c r="A22" i="41"/>
  <c r="H21" i="41"/>
  <c r="I21" i="41" s="1"/>
  <c r="G31" i="40"/>
  <c r="I28" i="40"/>
  <c r="E28" i="29" s="1"/>
  <c r="E61" i="29"/>
  <c r="E68" i="29" s="1"/>
  <c r="I68" i="40"/>
  <c r="G94" i="29"/>
  <c r="R170" i="38"/>
  <c r="M171" i="50" s="1"/>
  <c r="A17" i="43"/>
  <c r="H16" i="43"/>
  <c r="I16" i="43" s="1"/>
  <c r="E17" i="32" s="1"/>
  <c r="E16" i="43"/>
  <c r="F16" i="43" s="1"/>
  <c r="D16" i="40"/>
  <c r="F13" i="40"/>
  <c r="D13" i="29" s="1"/>
  <c r="E35" i="33"/>
  <c r="D29" i="52"/>
  <c r="G68" i="40"/>
  <c r="F21" i="40"/>
  <c r="G79" i="40"/>
  <c r="I71" i="40"/>
  <c r="X71" i="40" s="1"/>
  <c r="S86" i="40"/>
  <c r="V86" i="40" s="1"/>
  <c r="U82" i="40"/>
  <c r="G58" i="40"/>
  <c r="I54" i="40"/>
  <c r="X54" i="40" s="1"/>
  <c r="U84" i="40"/>
  <c r="J21" i="40"/>
  <c r="H21" i="29"/>
  <c r="G21" i="29"/>
  <c r="J72" i="29"/>
  <c r="J45" i="29"/>
  <c r="J73" i="29"/>
  <c r="J19" i="29"/>
  <c r="J76" i="29"/>
  <c r="I21" i="29"/>
  <c r="P58" i="40"/>
  <c r="E21" i="29"/>
  <c r="F21" i="29"/>
  <c r="P51" i="40"/>
  <c r="J50" i="29"/>
  <c r="J56" i="29"/>
  <c r="E16" i="29"/>
  <c r="J30" i="29"/>
  <c r="J37" i="29"/>
  <c r="J57" i="29"/>
  <c r="J55" i="29"/>
  <c r="J63" i="29"/>
  <c r="J67" i="29"/>
  <c r="J78" i="29"/>
  <c r="J77" i="29"/>
  <c r="J38" i="29"/>
  <c r="J48" i="29"/>
  <c r="J66" i="29"/>
  <c r="J74" i="29"/>
  <c r="M16" i="40"/>
  <c r="P21" i="40"/>
  <c r="M58" i="40"/>
  <c r="J20" i="29"/>
  <c r="S68" i="40"/>
  <c r="M39" i="40"/>
  <c r="J79" i="40"/>
  <c r="X46" i="40"/>
  <c r="S58" i="40"/>
  <c r="J51" i="40"/>
  <c r="P79" i="40"/>
  <c r="S21" i="40"/>
  <c r="S79" i="40"/>
  <c r="J75" i="29"/>
  <c r="V37" i="40"/>
  <c r="G21" i="40"/>
  <c r="X61" i="40"/>
  <c r="V71" i="40"/>
  <c r="X76" i="40"/>
  <c r="F16" i="29"/>
  <c r="R39" i="40"/>
  <c r="J46" i="29"/>
  <c r="I16" i="40"/>
  <c r="L21" i="40"/>
  <c r="V73" i="40"/>
  <c r="V28" i="40"/>
  <c r="L58" i="40"/>
  <c r="V67" i="40"/>
  <c r="G31" i="29"/>
  <c r="J29" i="29"/>
  <c r="P39" i="40"/>
  <c r="V62" i="40"/>
  <c r="X73" i="40"/>
  <c r="U39" i="40"/>
  <c r="J16" i="40"/>
  <c r="S39" i="40"/>
  <c r="J68" i="40"/>
  <c r="O21" i="40"/>
  <c r="X56" i="40"/>
  <c r="V74" i="40"/>
  <c r="M31" i="40"/>
  <c r="V29" i="40"/>
  <c r="V57" i="40"/>
  <c r="X62" i="40"/>
  <c r="X19" i="40"/>
  <c r="V44" i="40"/>
  <c r="X50" i="40"/>
  <c r="R79" i="40"/>
  <c r="M21" i="40"/>
  <c r="J58" i="40"/>
  <c r="M79" i="40"/>
  <c r="V20" i="40"/>
  <c r="V76" i="40"/>
  <c r="G16" i="40"/>
  <c r="V36" i="40"/>
  <c r="R58" i="40"/>
  <c r="X30" i="40"/>
  <c r="V61" i="40"/>
  <c r="V66" i="40"/>
  <c r="R51" i="40"/>
  <c r="V45" i="40"/>
  <c r="V48" i="40"/>
  <c r="V55" i="40"/>
  <c r="X57" i="40"/>
  <c r="V63" i="40"/>
  <c r="V72" i="40"/>
  <c r="X74" i="40"/>
  <c r="X77" i="40"/>
  <c r="S16" i="40"/>
  <c r="U13" i="40"/>
  <c r="I13" i="29" s="1"/>
  <c r="V47" i="40"/>
  <c r="U47" i="40"/>
  <c r="F61" i="29"/>
  <c r="I36" i="29"/>
  <c r="I39" i="29" s="1"/>
  <c r="H44" i="29"/>
  <c r="H51" i="29" s="1"/>
  <c r="L16" i="40"/>
  <c r="R21" i="40"/>
  <c r="X20" i="40"/>
  <c r="X29" i="40"/>
  <c r="X37" i="40"/>
  <c r="X66" i="40"/>
  <c r="V75" i="40"/>
  <c r="S51" i="40"/>
  <c r="U44" i="40"/>
  <c r="G61" i="29"/>
  <c r="V64" i="40"/>
  <c r="R64" i="40"/>
  <c r="V30" i="40"/>
  <c r="X45" i="40"/>
  <c r="X48" i="40"/>
  <c r="X55" i="40"/>
  <c r="X63" i="40"/>
  <c r="X72" i="40"/>
  <c r="X78" i="40"/>
  <c r="J31" i="40"/>
  <c r="L28" i="40"/>
  <c r="F28" i="29" s="1"/>
  <c r="H71" i="29"/>
  <c r="H79" i="29" s="1"/>
  <c r="H36" i="29"/>
  <c r="H39" i="29" s="1"/>
  <c r="O16" i="40"/>
  <c r="I21" i="40"/>
  <c r="U21" i="40"/>
  <c r="X38" i="40"/>
  <c r="V46" i="40"/>
  <c r="V56" i="40"/>
  <c r="X67" i="40"/>
  <c r="X75" i="40"/>
  <c r="V54" i="40"/>
  <c r="I61" i="29"/>
  <c r="I68" i="29" s="1"/>
  <c r="U68" i="40"/>
  <c r="M68" i="40"/>
  <c r="O64" i="40"/>
  <c r="F71" i="29"/>
  <c r="F79" i="29" s="1"/>
  <c r="L79" i="40"/>
  <c r="O31" i="40"/>
  <c r="P31" i="40"/>
  <c r="R28" i="40"/>
  <c r="H28" i="29" s="1"/>
  <c r="V65" i="40"/>
  <c r="L65" i="40"/>
  <c r="L68" i="40" s="1"/>
  <c r="G71" i="29"/>
  <c r="G79" i="29" s="1"/>
  <c r="O79" i="40"/>
  <c r="J62" i="29"/>
  <c r="F54" i="29"/>
  <c r="F58" i="29" s="1"/>
  <c r="S31" i="40"/>
  <c r="U28" i="40"/>
  <c r="I28" i="29" s="1"/>
  <c r="G54" i="29"/>
  <c r="G58" i="29" s="1"/>
  <c r="O58" i="40"/>
  <c r="V15" i="40"/>
  <c r="R15" i="40"/>
  <c r="H15" i="29" s="1"/>
  <c r="F44" i="29"/>
  <c r="F51" i="29" s="1"/>
  <c r="L51" i="40"/>
  <c r="I71" i="29"/>
  <c r="I79" i="29" s="1"/>
  <c r="U79" i="40"/>
  <c r="G39" i="29"/>
  <c r="H54" i="29"/>
  <c r="H58" i="29" s="1"/>
  <c r="V14" i="40"/>
  <c r="R14" i="40"/>
  <c r="J39" i="40"/>
  <c r="L36" i="40"/>
  <c r="M51" i="40"/>
  <c r="O44" i="40"/>
  <c r="I54" i="29"/>
  <c r="I58" i="29" s="1"/>
  <c r="U58" i="40"/>
  <c r="O39" i="40"/>
  <c r="Q33" i="40"/>
  <c r="Q41" i="40" s="1"/>
  <c r="Q92" i="40" s="1"/>
  <c r="Q96" i="40" s="1"/>
  <c r="P53" i="50"/>
  <c r="D117" i="52" s="1"/>
  <c r="D112" i="52"/>
  <c r="R63" i="50"/>
  <c r="D136" i="52" s="1"/>
  <c r="D133" i="52"/>
  <c r="L78" i="50"/>
  <c r="D157" i="52"/>
  <c r="N103" i="50"/>
  <c r="D206" i="52" s="1"/>
  <c r="D202" i="52"/>
  <c r="R138" i="50"/>
  <c r="P103" i="50"/>
  <c r="D207" i="52" s="1"/>
  <c r="R113" i="50"/>
  <c r="D226" i="52" s="1"/>
  <c r="D223" i="52"/>
  <c r="P128" i="50"/>
  <c r="N43" i="50"/>
  <c r="D98" i="52" s="1"/>
  <c r="D94" i="52"/>
  <c r="R78" i="50"/>
  <c r="D163" i="52" s="1"/>
  <c r="D160" i="52"/>
  <c r="P43" i="50"/>
  <c r="D99" i="52" s="1"/>
  <c r="R53" i="50"/>
  <c r="D118" i="52" s="1"/>
  <c r="D115" i="52"/>
  <c r="P68" i="50"/>
  <c r="D144" i="52" s="1"/>
  <c r="D139" i="52"/>
  <c r="N93" i="50"/>
  <c r="D188" i="52" s="1"/>
  <c r="R103" i="50"/>
  <c r="D208" i="52" s="1"/>
  <c r="D205" i="52"/>
  <c r="N143" i="50"/>
  <c r="L118" i="50"/>
  <c r="D229" i="52"/>
  <c r="P158" i="50"/>
  <c r="N83" i="50"/>
  <c r="D170" i="52" s="1"/>
  <c r="D166" i="52"/>
  <c r="P38" i="50"/>
  <c r="D90" i="52" s="1"/>
  <c r="D85" i="52"/>
  <c r="F85" i="52" s="1"/>
  <c r="L58" i="50"/>
  <c r="D121" i="52"/>
  <c r="P108" i="50"/>
  <c r="D216" i="52" s="1"/>
  <c r="D211" i="52"/>
  <c r="L158" i="50"/>
  <c r="N23" i="50"/>
  <c r="D62" i="52" s="1"/>
  <c r="D58" i="52"/>
  <c r="P48" i="50"/>
  <c r="D108" i="52" s="1"/>
  <c r="D103" i="52"/>
  <c r="P98" i="50"/>
  <c r="D198" i="52" s="1"/>
  <c r="D193" i="52"/>
  <c r="R43" i="50"/>
  <c r="D100" i="52" s="1"/>
  <c r="D97" i="52"/>
  <c r="P28" i="50"/>
  <c r="D72" i="52" s="1"/>
  <c r="D67" i="52"/>
  <c r="N38" i="50"/>
  <c r="D89" i="52" s="1"/>
  <c r="P88" i="50"/>
  <c r="D180" i="52" s="1"/>
  <c r="D175" i="52"/>
  <c r="P123" i="50"/>
  <c r="D243" i="52" s="1"/>
  <c r="D238" i="52"/>
  <c r="R148" i="50"/>
  <c r="R28" i="50"/>
  <c r="D73" i="52" s="1"/>
  <c r="D70" i="52"/>
  <c r="R38" i="50"/>
  <c r="D91" i="52" s="1"/>
  <c r="D88" i="52"/>
  <c r="N63" i="50"/>
  <c r="D134" i="52" s="1"/>
  <c r="D130" i="52"/>
  <c r="R88" i="50"/>
  <c r="D181" i="52" s="1"/>
  <c r="D178" i="52"/>
  <c r="P113" i="50"/>
  <c r="D225" i="52" s="1"/>
  <c r="D220" i="52"/>
  <c r="R123" i="50"/>
  <c r="D244" i="52" s="1"/>
  <c r="D241" i="52"/>
  <c r="L138" i="50"/>
  <c r="N163" i="50"/>
  <c r="J198" i="39"/>
  <c r="F198" i="39"/>
  <c r="P197" i="51"/>
  <c r="H9" i="51" s="1"/>
  <c r="Q197" i="51"/>
  <c r="I9" i="51" s="1"/>
  <c r="I10" i="51" s="1"/>
  <c r="H197" i="51"/>
  <c r="H8" i="51" s="1"/>
  <c r="R153" i="50"/>
  <c r="R133" i="50"/>
  <c r="R93" i="50"/>
  <c r="D190" i="52" s="1"/>
  <c r="R73" i="50"/>
  <c r="D154" i="52" s="1"/>
  <c r="R33" i="50"/>
  <c r="D82" i="52" s="1"/>
  <c r="L163" i="50"/>
  <c r="R163" i="50"/>
  <c r="N158" i="50"/>
  <c r="R158" i="50"/>
  <c r="L153" i="50"/>
  <c r="N153" i="50"/>
  <c r="P153" i="50"/>
  <c r="P143" i="50"/>
  <c r="R143" i="50"/>
  <c r="N138" i="50"/>
  <c r="P138" i="50"/>
  <c r="L128" i="50"/>
  <c r="N128" i="50"/>
  <c r="R128" i="50"/>
  <c r="N118" i="50"/>
  <c r="D233" i="52" s="1"/>
  <c r="P118" i="50"/>
  <c r="D234" i="52" s="1"/>
  <c r="R118" i="50"/>
  <c r="D235" i="52" s="1"/>
  <c r="L113" i="50"/>
  <c r="L103" i="50"/>
  <c r="L98" i="50"/>
  <c r="N98" i="50"/>
  <c r="D197" i="52" s="1"/>
  <c r="R98" i="50"/>
  <c r="D199" i="52" s="1"/>
  <c r="L93" i="50"/>
  <c r="P93" i="50"/>
  <c r="D189" i="52" s="1"/>
  <c r="P83" i="50"/>
  <c r="D171" i="52" s="1"/>
  <c r="R83" i="50"/>
  <c r="D172" i="52" s="1"/>
  <c r="N78" i="50"/>
  <c r="D161" i="52" s="1"/>
  <c r="P78" i="50"/>
  <c r="D162" i="52" s="1"/>
  <c r="L68" i="50"/>
  <c r="N68" i="50"/>
  <c r="D143" i="52" s="1"/>
  <c r="R68" i="50"/>
  <c r="D145" i="52" s="1"/>
  <c r="N58" i="50"/>
  <c r="D125" i="52" s="1"/>
  <c r="P58" i="50"/>
  <c r="D126" i="52" s="1"/>
  <c r="R58" i="50"/>
  <c r="D127" i="52" s="1"/>
  <c r="L53" i="50"/>
  <c r="L43" i="50"/>
  <c r="L33" i="50"/>
  <c r="N33" i="50"/>
  <c r="D80" i="52" s="1"/>
  <c r="P33" i="50"/>
  <c r="D81" i="52" s="1"/>
  <c r="P23" i="50"/>
  <c r="D63" i="52" s="1"/>
  <c r="R23" i="50"/>
  <c r="D64" i="52" s="1"/>
  <c r="Q168" i="50"/>
  <c r="L18" i="50"/>
  <c r="S132" i="38"/>
  <c r="AB132" i="38"/>
  <c r="S72" i="38"/>
  <c r="AB72" i="38"/>
  <c r="X112" i="38"/>
  <c r="AB112" i="38"/>
  <c r="X157" i="38"/>
  <c r="AB157" i="38"/>
  <c r="S37" i="38"/>
  <c r="AB37" i="38"/>
  <c r="N57" i="38"/>
  <c r="AB57" i="38"/>
  <c r="N77" i="38"/>
  <c r="AB77" i="38"/>
  <c r="X97" i="38"/>
  <c r="AB97" i="38"/>
  <c r="N117" i="38"/>
  <c r="AB117" i="38"/>
  <c r="N137" i="38"/>
  <c r="AB137" i="38"/>
  <c r="K167" i="38"/>
  <c r="N167" i="38" s="1"/>
  <c r="AB162" i="38"/>
  <c r="S52" i="38"/>
  <c r="AB52" i="38"/>
  <c r="X22" i="38"/>
  <c r="AB22" i="38"/>
  <c r="S42" i="38"/>
  <c r="AB42" i="38"/>
  <c r="X62" i="38"/>
  <c r="AB62" i="38"/>
  <c r="X82" i="38"/>
  <c r="AB82" i="38"/>
  <c r="S102" i="38"/>
  <c r="AB102" i="38"/>
  <c r="S122" i="38"/>
  <c r="AB122" i="38"/>
  <c r="X142" i="38"/>
  <c r="AB142" i="38"/>
  <c r="X162" i="38"/>
  <c r="X47" i="38"/>
  <c r="AB47" i="38"/>
  <c r="X67" i="38"/>
  <c r="AB67" i="38"/>
  <c r="S107" i="38"/>
  <c r="AB107" i="38"/>
  <c r="X127" i="38"/>
  <c r="AB127" i="38"/>
  <c r="X147" i="38"/>
  <c r="AB147" i="38"/>
  <c r="O183" i="38"/>
  <c r="M179" i="50"/>
  <c r="N179" i="50" s="1"/>
  <c r="N18" i="50"/>
  <c r="D53" i="52" s="1"/>
  <c r="K168" i="50"/>
  <c r="D28" i="52" s="1"/>
  <c r="P18" i="50"/>
  <c r="D54" i="52" s="1"/>
  <c r="R18" i="50"/>
  <c r="D55" i="52" s="1"/>
  <c r="M177" i="50"/>
  <c r="N177" i="50" s="1"/>
  <c r="M184" i="50"/>
  <c r="N184" i="50" s="1"/>
  <c r="M176" i="50"/>
  <c r="N176" i="50" s="1"/>
  <c r="M180" i="50"/>
  <c r="N180" i="50" s="1"/>
  <c r="X52" i="38"/>
  <c r="T183" i="38"/>
  <c r="T179" i="38"/>
  <c r="T178" i="38"/>
  <c r="O177" i="38"/>
  <c r="S82" i="38"/>
  <c r="N52" i="38"/>
  <c r="X137" i="38"/>
  <c r="S137" i="38"/>
  <c r="X42" i="38"/>
  <c r="S77" i="38"/>
  <c r="X107" i="38"/>
  <c r="N107" i="38"/>
  <c r="N82" i="38"/>
  <c r="N97" i="38"/>
  <c r="N112" i="38"/>
  <c r="X132" i="38"/>
  <c r="S112" i="38"/>
  <c r="N47" i="38"/>
  <c r="X102" i="38"/>
  <c r="N142" i="38"/>
  <c r="N157" i="38"/>
  <c r="S47" i="38"/>
  <c r="S142" i="38"/>
  <c r="O176" i="38"/>
  <c r="X72" i="38"/>
  <c r="N22" i="38"/>
  <c r="N37" i="38"/>
  <c r="X77" i="38"/>
  <c r="S22" i="38"/>
  <c r="X37" i="38"/>
  <c r="O178" i="38"/>
  <c r="O179" i="38"/>
  <c r="O90" i="40"/>
  <c r="G89" i="29"/>
  <c r="R90" i="40"/>
  <c r="H89" i="29"/>
  <c r="H90" i="29" s="1"/>
  <c r="J25" i="43"/>
  <c r="J31" i="43" s="1"/>
  <c r="B229" i="52"/>
  <c r="B50" i="52"/>
  <c r="B106" i="52"/>
  <c r="B141" i="52"/>
  <c r="B205" i="52"/>
  <c r="B70" i="52"/>
  <c r="B195" i="52"/>
  <c r="B132" i="52"/>
  <c r="B61" i="52"/>
  <c r="B72" i="52"/>
  <c r="B98" i="52"/>
  <c r="B54" i="52"/>
  <c r="B214" i="52"/>
  <c r="B239" i="52"/>
  <c r="W25" i="40"/>
  <c r="J25" i="41"/>
  <c r="J31" i="41" s="1"/>
  <c r="B100" i="52"/>
  <c r="B172" i="52"/>
  <c r="B90" i="52"/>
  <c r="B198" i="52"/>
  <c r="B124" i="52"/>
  <c r="B235" i="52"/>
  <c r="T33" i="40"/>
  <c r="T41" i="40" s="1"/>
  <c r="T92" i="40" s="1"/>
  <c r="T96" i="40" s="1"/>
  <c r="N33" i="40"/>
  <c r="N41" i="40" s="1"/>
  <c r="N92" i="40" s="1"/>
  <c r="N96" i="40" s="1"/>
  <c r="H33" i="40"/>
  <c r="H41" i="40" s="1"/>
  <c r="H92" i="40" s="1"/>
  <c r="H94" i="40" s="1"/>
  <c r="H96" i="40" s="1"/>
  <c r="W21" i="40"/>
  <c r="K33" i="40"/>
  <c r="K41" i="40" s="1"/>
  <c r="K92" i="40" s="1"/>
  <c r="W16" i="40"/>
  <c r="B53" i="52"/>
  <c r="B60" i="52"/>
  <c r="B88" i="52"/>
  <c r="B122" i="52"/>
  <c r="B131" i="52"/>
  <c r="B140" i="52"/>
  <c r="B161" i="52"/>
  <c r="B180" i="52"/>
  <c r="B203" i="52"/>
  <c r="B69" i="52"/>
  <c r="B97" i="52"/>
  <c r="B171" i="52"/>
  <c r="B243" i="52"/>
  <c r="B107" i="52"/>
  <c r="B63" i="52"/>
  <c r="B91" i="52"/>
  <c r="B125" i="52"/>
  <c r="B134" i="52"/>
  <c r="B143" i="52"/>
  <c r="B166" i="52"/>
  <c r="B206" i="52"/>
  <c r="B64" i="52"/>
  <c r="B85" i="52"/>
  <c r="B144" i="52"/>
  <c r="B217" i="52"/>
  <c r="B51" i="52"/>
  <c r="B73" i="52"/>
  <c r="B94" i="52"/>
  <c r="B127" i="52"/>
  <c r="B158" i="52"/>
  <c r="B168" i="52"/>
  <c r="B177" i="52"/>
  <c r="B208" i="52"/>
  <c r="B240" i="52"/>
  <c r="B58" i="52"/>
  <c r="B103" i="52"/>
  <c r="B135" i="52"/>
  <c r="B67" i="52"/>
  <c r="B87" i="52"/>
  <c r="B95" i="52"/>
  <c r="B109" i="52"/>
  <c r="B121" i="52"/>
  <c r="B169" i="52"/>
  <c r="B202" i="52"/>
  <c r="B232" i="52"/>
  <c r="B104" i="52"/>
  <c r="B211" i="52"/>
  <c r="B242" i="52"/>
  <c r="V78" i="40"/>
  <c r="V77" i="40"/>
  <c r="P68" i="40"/>
  <c r="V50" i="40"/>
  <c r="V38" i="40"/>
  <c r="D21" i="40"/>
  <c r="V19" i="40"/>
  <c r="V13" i="40"/>
  <c r="P16" i="40"/>
  <c r="B77" i="52"/>
  <c r="B80" i="52"/>
  <c r="B114" i="52"/>
  <c r="B117" i="52"/>
  <c r="B148" i="52"/>
  <c r="B151" i="52"/>
  <c r="B154" i="52"/>
  <c r="B185" i="52"/>
  <c r="B188" i="52"/>
  <c r="B222" i="52"/>
  <c r="B225" i="52"/>
  <c r="B159" i="52"/>
  <c r="B162" i="52"/>
  <c r="B193" i="52"/>
  <c r="B196" i="52"/>
  <c r="B199" i="52"/>
  <c r="B230" i="52"/>
  <c r="B233" i="52"/>
  <c r="B59" i="52"/>
  <c r="B62" i="52"/>
  <c r="B96" i="52"/>
  <c r="B99" i="52"/>
  <c r="B130" i="52"/>
  <c r="B133" i="52"/>
  <c r="B136" i="52"/>
  <c r="B167" i="52"/>
  <c r="B170" i="52"/>
  <c r="B204" i="52"/>
  <c r="B207" i="52"/>
  <c r="B238" i="52"/>
  <c r="B241" i="52"/>
  <c r="B244" i="52"/>
  <c r="B175" i="52"/>
  <c r="B178" i="52"/>
  <c r="B181" i="52"/>
  <c r="B212" i="52"/>
  <c r="B215" i="52"/>
  <c r="B78" i="52"/>
  <c r="B81" i="52"/>
  <c r="B112" i="52"/>
  <c r="B115" i="52"/>
  <c r="B118" i="52"/>
  <c r="B149" i="52"/>
  <c r="B152" i="52"/>
  <c r="B186" i="52"/>
  <c r="B189" i="52"/>
  <c r="B220" i="52"/>
  <c r="B223" i="52"/>
  <c r="B226" i="52"/>
  <c r="B49" i="52"/>
  <c r="B52" i="52"/>
  <c r="B55" i="52"/>
  <c r="B86" i="52"/>
  <c r="B89" i="52"/>
  <c r="B123" i="52"/>
  <c r="B126" i="52"/>
  <c r="B157" i="52"/>
  <c r="B160" i="52"/>
  <c r="B163" i="52"/>
  <c r="B194" i="52"/>
  <c r="B197" i="52"/>
  <c r="B231" i="52"/>
  <c r="B234" i="52"/>
  <c r="B68" i="52"/>
  <c r="B71" i="52"/>
  <c r="B105" i="52"/>
  <c r="B108" i="52"/>
  <c r="B139" i="52"/>
  <c r="B142" i="52"/>
  <c r="B145" i="52"/>
  <c r="B176" i="52"/>
  <c r="B179" i="52"/>
  <c r="B213" i="52"/>
  <c r="B216" i="52"/>
  <c r="B76" i="52"/>
  <c r="B79" i="52"/>
  <c r="B82" i="52"/>
  <c r="B113" i="52"/>
  <c r="B116" i="52"/>
  <c r="B150" i="52"/>
  <c r="B153" i="52"/>
  <c r="B184" i="52"/>
  <c r="B187" i="52"/>
  <c r="B190" i="52"/>
  <c r="B221" i="52"/>
  <c r="B224" i="52"/>
  <c r="R48" i="50"/>
  <c r="D109" i="52" s="1"/>
  <c r="R108" i="50"/>
  <c r="D217" i="52" s="1"/>
  <c r="L28" i="50"/>
  <c r="L88" i="50"/>
  <c r="L148" i="50"/>
  <c r="N28" i="50"/>
  <c r="D71" i="52" s="1"/>
  <c r="L63" i="50"/>
  <c r="N88" i="50"/>
  <c r="D179" i="52" s="1"/>
  <c r="L123" i="50"/>
  <c r="N148" i="50"/>
  <c r="N123" i="50"/>
  <c r="D242" i="52" s="1"/>
  <c r="L48" i="50"/>
  <c r="N73" i="50"/>
  <c r="D152" i="52" s="1"/>
  <c r="L108" i="50"/>
  <c r="N133" i="50"/>
  <c r="P148" i="50"/>
  <c r="P63" i="50"/>
  <c r="D135" i="52" s="1"/>
  <c r="L73" i="50"/>
  <c r="L23" i="50"/>
  <c r="N48" i="50"/>
  <c r="D107" i="52" s="1"/>
  <c r="P73" i="50"/>
  <c r="D153" i="52" s="1"/>
  <c r="L83" i="50"/>
  <c r="N108" i="50"/>
  <c r="D215" i="52" s="1"/>
  <c r="P133" i="50"/>
  <c r="L143" i="50"/>
  <c r="L133" i="50"/>
  <c r="N32" i="38"/>
  <c r="S57" i="38"/>
  <c r="N92" i="38"/>
  <c r="S117" i="38"/>
  <c r="N152" i="38"/>
  <c r="S32" i="38"/>
  <c r="X57" i="38"/>
  <c r="N67" i="38"/>
  <c r="S92" i="38"/>
  <c r="X117" i="38"/>
  <c r="N127" i="38"/>
  <c r="S152" i="38"/>
  <c r="X32" i="38"/>
  <c r="N42" i="38"/>
  <c r="S67" i="38"/>
  <c r="X92" i="38"/>
  <c r="N102" i="38"/>
  <c r="S127" i="38"/>
  <c r="X152" i="38"/>
  <c r="N162" i="38"/>
  <c r="Z167" i="38"/>
  <c r="S162" i="38"/>
  <c r="N27" i="38"/>
  <c r="N87" i="38"/>
  <c r="N147" i="38"/>
  <c r="S27" i="38"/>
  <c r="N62" i="38"/>
  <c r="S87" i="38"/>
  <c r="N122" i="38"/>
  <c r="S147" i="38"/>
  <c r="X27" i="38"/>
  <c r="S62" i="38"/>
  <c r="N72" i="38"/>
  <c r="S97" i="38"/>
  <c r="X122" i="38"/>
  <c r="N132" i="38"/>
  <c r="S157" i="38"/>
  <c r="X87" i="38"/>
  <c r="X14" i="40" l="1"/>
  <c r="H14" i="29"/>
  <c r="G33" i="29"/>
  <c r="G41" i="29" s="1"/>
  <c r="I84" i="29"/>
  <c r="J84" i="29" s="1"/>
  <c r="X84" i="40"/>
  <c r="E71" i="29"/>
  <c r="E79" i="29" s="1"/>
  <c r="J79" i="29" s="1"/>
  <c r="I79" i="40"/>
  <c r="X79" i="40" s="1"/>
  <c r="A18" i="43"/>
  <c r="H17" i="43"/>
  <c r="I17" i="43" s="1"/>
  <c r="E18" i="32" s="1"/>
  <c r="E17" i="43"/>
  <c r="F17" i="43" s="1"/>
  <c r="K21" i="41"/>
  <c r="K27" i="41" s="1"/>
  <c r="I24" i="40" s="1"/>
  <c r="G22" i="30"/>
  <c r="H22" i="30" s="1"/>
  <c r="H28" i="30" s="1"/>
  <c r="D16" i="29"/>
  <c r="F16" i="40"/>
  <c r="A23" i="41"/>
  <c r="H22" i="41"/>
  <c r="I22" i="41" s="1"/>
  <c r="I82" i="29"/>
  <c r="U86" i="40"/>
  <c r="X86" i="40" s="1"/>
  <c r="X82" i="40"/>
  <c r="E36" i="29"/>
  <c r="E39" i="29" s="1"/>
  <c r="I39" i="40"/>
  <c r="E31" i="29"/>
  <c r="I31" i="40"/>
  <c r="D17" i="32"/>
  <c r="F17" i="32" s="1"/>
  <c r="F29" i="32" s="1"/>
  <c r="L89" i="40" s="1"/>
  <c r="K16" i="43"/>
  <c r="K28" i="43" s="1"/>
  <c r="E54" i="29"/>
  <c r="E58" i="29" s="1"/>
  <c r="J58" i="29" s="1"/>
  <c r="I58" i="40"/>
  <c r="X58" i="40" s="1"/>
  <c r="N168" i="50"/>
  <c r="E44" i="29"/>
  <c r="E51" i="29" s="1"/>
  <c r="I51" i="40"/>
  <c r="V51" i="40"/>
  <c r="J21" i="29"/>
  <c r="V79" i="40"/>
  <c r="V58" i="40"/>
  <c r="V21" i="40"/>
  <c r="V39" i="40"/>
  <c r="X21" i="40"/>
  <c r="O33" i="40"/>
  <c r="O41" i="40" s="1"/>
  <c r="V16" i="40"/>
  <c r="V68" i="40"/>
  <c r="G64" i="29"/>
  <c r="G68" i="29" s="1"/>
  <c r="X64" i="40"/>
  <c r="V31" i="40"/>
  <c r="F65" i="29"/>
  <c r="J65" i="29" s="1"/>
  <c r="X65" i="40"/>
  <c r="H64" i="29"/>
  <c r="H68" i="29" s="1"/>
  <c r="R68" i="40"/>
  <c r="J61" i="29"/>
  <c r="I47" i="29"/>
  <c r="J47" i="29" s="1"/>
  <c r="X47" i="40"/>
  <c r="X44" i="40"/>
  <c r="O51" i="40"/>
  <c r="G44" i="29"/>
  <c r="G51" i="29" s="1"/>
  <c r="U31" i="40"/>
  <c r="I31" i="29"/>
  <c r="H31" i="29"/>
  <c r="R31" i="40"/>
  <c r="O68" i="40"/>
  <c r="U16" i="40"/>
  <c r="X36" i="40"/>
  <c r="L39" i="40"/>
  <c r="F36" i="29"/>
  <c r="U51" i="40"/>
  <c r="I44" i="29"/>
  <c r="X13" i="40"/>
  <c r="R16" i="40"/>
  <c r="J15" i="29"/>
  <c r="X15" i="40"/>
  <c r="L31" i="40"/>
  <c r="X28" i="40"/>
  <c r="F9" i="39"/>
  <c r="D36" i="52"/>
  <c r="F10" i="39"/>
  <c r="D37" i="52"/>
  <c r="H10" i="51"/>
  <c r="R168" i="50"/>
  <c r="S167" i="38"/>
  <c r="AB167" i="38"/>
  <c r="P168" i="50"/>
  <c r="L168" i="50"/>
  <c r="T177" i="38"/>
  <c r="S179" i="38"/>
  <c r="S183" i="38"/>
  <c r="S176" i="38"/>
  <c r="S175" i="38"/>
  <c r="S178" i="38"/>
  <c r="S177" i="38"/>
  <c r="X167" i="38"/>
  <c r="G90" i="29"/>
  <c r="W94" i="40"/>
  <c r="W33" i="40"/>
  <c r="W41" i="40"/>
  <c r="K96" i="40"/>
  <c r="W92" i="40"/>
  <c r="H104" i="40"/>
  <c r="J71" i="29" l="1"/>
  <c r="E24" i="29"/>
  <c r="I25" i="40"/>
  <c r="F89" i="29"/>
  <c r="L90" i="40"/>
  <c r="U89" i="40"/>
  <c r="J54" i="29"/>
  <c r="J82" i="29"/>
  <c r="I86" i="29"/>
  <c r="J86" i="29" s="1"/>
  <c r="K22" i="41"/>
  <c r="G23" i="30"/>
  <c r="H23" i="30" s="1"/>
  <c r="A24" i="41"/>
  <c r="H23" i="41"/>
  <c r="I23" i="41" s="1"/>
  <c r="D18" i="32"/>
  <c r="F18" i="32" s="1"/>
  <c r="K17" i="43"/>
  <c r="X39" i="40"/>
  <c r="A19" i="43"/>
  <c r="E18" i="43"/>
  <c r="F18" i="43" s="1"/>
  <c r="H18" i="43"/>
  <c r="I18" i="43" s="1"/>
  <c r="E19" i="32" s="1"/>
  <c r="X16" i="40"/>
  <c r="I51" i="29"/>
  <c r="J51" i="29" s="1"/>
  <c r="O92" i="40"/>
  <c r="R33" i="40"/>
  <c r="R41" i="40" s="1"/>
  <c r="R92" i="40" s="1"/>
  <c r="R96" i="40" s="1"/>
  <c r="J64" i="29"/>
  <c r="F68" i="29"/>
  <c r="J68" i="29" s="1"/>
  <c r="X31" i="40"/>
  <c r="H16" i="29"/>
  <c r="H33" i="29" s="1"/>
  <c r="H41" i="29" s="1"/>
  <c r="H92" i="29" s="1"/>
  <c r="J14" i="29"/>
  <c r="J44" i="29"/>
  <c r="X68" i="40"/>
  <c r="F31" i="29"/>
  <c r="J28" i="29"/>
  <c r="F39" i="29"/>
  <c r="J39" i="29" s="1"/>
  <c r="J36" i="29"/>
  <c r="J13" i="29"/>
  <c r="I16" i="29"/>
  <c r="X51" i="40"/>
  <c r="G92" i="29"/>
  <c r="G96" i="29" s="1"/>
  <c r="E36" i="33" s="1"/>
  <c r="F11" i="39"/>
  <c r="K99" i="40"/>
  <c r="W96" i="40"/>
  <c r="H96" i="29" l="1"/>
  <c r="G30" i="33"/>
  <c r="G31" i="33" s="1"/>
  <c r="E25" i="29"/>
  <c r="I33" i="40"/>
  <c r="U90" i="40"/>
  <c r="X89" i="40"/>
  <c r="F90" i="29"/>
  <c r="I89" i="29"/>
  <c r="D19" i="32"/>
  <c r="F19" i="32" s="1"/>
  <c r="K18" i="43"/>
  <c r="A20" i="43"/>
  <c r="H19" i="43"/>
  <c r="I19" i="43" s="1"/>
  <c r="E20" i="32" s="1"/>
  <c r="E19" i="43"/>
  <c r="F19" i="43" s="1"/>
  <c r="O96" i="40"/>
  <c r="R169" i="38"/>
  <c r="M170" i="50" s="1"/>
  <c r="A25" i="41"/>
  <c r="H24" i="41"/>
  <c r="I24" i="41" s="1"/>
  <c r="K23" i="41"/>
  <c r="G24" i="30"/>
  <c r="H24" i="30" s="1"/>
  <c r="J16" i="29"/>
  <c r="J31" i="29"/>
  <c r="I41" i="40" l="1"/>
  <c r="I92" i="40" s="1"/>
  <c r="I94" i="40" s="1"/>
  <c r="X94" i="40" s="1"/>
  <c r="E33" i="29"/>
  <c r="E41" i="29" s="1"/>
  <c r="E92" i="29" s="1"/>
  <c r="E94" i="29" s="1"/>
  <c r="E96" i="29" s="1"/>
  <c r="I90" i="29"/>
  <c r="J90" i="29" s="1"/>
  <c r="J89" i="29"/>
  <c r="X90" i="40"/>
  <c r="D20" i="32"/>
  <c r="F20" i="32" s="1"/>
  <c r="K19" i="43"/>
  <c r="A21" i="43"/>
  <c r="E20" i="43"/>
  <c r="F20" i="43" s="1"/>
  <c r="H20" i="43"/>
  <c r="I20" i="43" s="1"/>
  <c r="E21" i="32" s="1"/>
  <c r="K24" i="41"/>
  <c r="K25" i="41" s="1"/>
  <c r="G25" i="30"/>
  <c r="H25" i="30" s="1"/>
  <c r="H26" i="30" s="1"/>
  <c r="I96" i="40" l="1"/>
  <c r="H29" i="30"/>
  <c r="H32" i="30" s="1"/>
  <c r="K28" i="41"/>
  <c r="L24" i="40" s="1"/>
  <c r="D21" i="32"/>
  <c r="F21" i="32" s="1"/>
  <c r="K20" i="43"/>
  <c r="A22" i="43"/>
  <c r="H21" i="43"/>
  <c r="I21" i="43" s="1"/>
  <c r="E22" i="32" s="1"/>
  <c r="E21" i="43"/>
  <c r="F21" i="43" s="1"/>
  <c r="D13" i="52"/>
  <c r="J94" i="29"/>
  <c r="K94" i="29" s="1"/>
  <c r="F24" i="29" l="1"/>
  <c r="L25" i="40"/>
  <c r="U24" i="40"/>
  <c r="U25" i="40" s="1"/>
  <c r="U33" i="40" s="1"/>
  <c r="U41" i="40" s="1"/>
  <c r="U92" i="40" s="1"/>
  <c r="U96" i="40" s="1"/>
  <c r="D22" i="32"/>
  <c r="F22" i="32" s="1"/>
  <c r="K21" i="43"/>
  <c r="A23" i="43"/>
  <c r="H22" i="43"/>
  <c r="I22" i="43" s="1"/>
  <c r="E23" i="32" s="1"/>
  <c r="E22" i="43"/>
  <c r="F22" i="43" s="1"/>
  <c r="F19" i="22"/>
  <c r="X24" i="40" l="1"/>
  <c r="L33" i="40"/>
  <c r="X25" i="40"/>
  <c r="F25" i="29"/>
  <c r="I24" i="29"/>
  <c r="A24" i="43"/>
  <c r="H23" i="43"/>
  <c r="I23" i="43" s="1"/>
  <c r="E24" i="32" s="1"/>
  <c r="E23" i="43"/>
  <c r="F23" i="43" s="1"/>
  <c r="D23" i="32"/>
  <c r="F23" i="32" s="1"/>
  <c r="K22" i="43"/>
  <c r="J24" i="29" l="1"/>
  <c r="I25" i="29"/>
  <c r="I33" i="29" s="1"/>
  <c r="I41" i="29" s="1"/>
  <c r="I92" i="29" s="1"/>
  <c r="I96" i="29" s="1"/>
  <c r="F33" i="29"/>
  <c r="L41" i="40"/>
  <c r="X33" i="40"/>
  <c r="D24" i="32"/>
  <c r="F24" i="32" s="1"/>
  <c r="K23" i="43"/>
  <c r="A25" i="43"/>
  <c r="E24" i="43"/>
  <c r="F24" i="43" s="1"/>
  <c r="H24" i="43"/>
  <c r="I24" i="43" s="1"/>
  <c r="E25" i="32" s="1"/>
  <c r="K184" i="12"/>
  <c r="J25" i="29" l="1"/>
  <c r="X41" i="40"/>
  <c r="L92" i="40"/>
  <c r="J33" i="29"/>
  <c r="F41" i="29"/>
  <c r="D25" i="32"/>
  <c r="F25" i="32" s="1"/>
  <c r="F26" i="32" s="1"/>
  <c r="K24" i="43"/>
  <c r="K25" i="43" s="1"/>
  <c r="K176" i="12"/>
  <c r="K175" i="12"/>
  <c r="F92" i="29" l="1"/>
  <c r="E30" i="33" s="1"/>
  <c r="E31" i="33" s="1"/>
  <c r="J41" i="29"/>
  <c r="L96" i="40"/>
  <c r="I104" i="40"/>
  <c r="X92" i="40"/>
  <c r="F32" i="32"/>
  <c r="D14" i="52"/>
  <c r="F38" i="2"/>
  <c r="G38" i="2"/>
  <c r="H38" i="2"/>
  <c r="I38" i="2"/>
  <c r="E38" i="2"/>
  <c r="J37" i="2"/>
  <c r="O8" i="51" l="1"/>
  <c r="O10" i="51" s="1"/>
  <c r="S12" i="51" s="1"/>
  <c r="F8" i="51"/>
  <c r="F10" i="51" s="1"/>
  <c r="I12" i="51" s="1"/>
  <c r="L99" i="40"/>
  <c r="X96" i="40"/>
  <c r="X102" i="40" s="1"/>
  <c r="F96" i="29"/>
  <c r="D41" i="52" s="1"/>
  <c r="E104" i="29"/>
  <c r="J92" i="29"/>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R54" i="66" l="1"/>
  <c r="R25" i="71"/>
  <c r="R15" i="66"/>
  <c r="R64" i="71"/>
  <c r="R63" i="68"/>
  <c r="J20" i="73"/>
  <c r="R16" i="68"/>
  <c r="R63" i="73"/>
  <c r="R53" i="70"/>
  <c r="R31" i="73"/>
  <c r="J45" i="71"/>
  <c r="R24" i="70"/>
  <c r="R24" i="71"/>
  <c r="J47" i="69"/>
  <c r="R17" i="66"/>
  <c r="R43" i="68"/>
  <c r="R45" i="70"/>
  <c r="R69" i="71"/>
  <c r="J19" i="66"/>
  <c r="J20" i="70"/>
  <c r="R16" i="66"/>
  <c r="J33" i="71"/>
  <c r="R43" i="67"/>
  <c r="R68" i="73"/>
  <c r="J46" i="66"/>
  <c r="J67" i="68"/>
  <c r="R21" i="70"/>
  <c r="J57" i="70"/>
  <c r="J29" i="66"/>
  <c r="R15" i="69"/>
  <c r="J32" i="66"/>
  <c r="R64" i="69"/>
  <c r="R46" i="67"/>
  <c r="J15" i="69"/>
  <c r="R35" i="72"/>
  <c r="R50" i="67"/>
  <c r="J69" i="72"/>
  <c r="J54" i="70"/>
  <c r="R61" i="69"/>
  <c r="R44" i="65"/>
  <c r="J37" i="67"/>
  <c r="J23" i="72"/>
  <c r="J58" i="69"/>
  <c r="J36" i="67"/>
  <c r="J63" i="69"/>
  <c r="J71" i="71"/>
  <c r="R72" i="68"/>
  <c r="R70" i="72"/>
  <c r="J67" i="69"/>
  <c r="J36" i="71"/>
  <c r="R45" i="69"/>
  <c r="J25" i="73"/>
  <c r="R46" i="71"/>
  <c r="J28" i="69"/>
  <c r="R49" i="73"/>
  <c r="R50" i="68"/>
  <c r="J34" i="73"/>
  <c r="J52" i="71"/>
  <c r="J66" i="69"/>
  <c r="R70" i="66"/>
  <c r="J34" i="72"/>
  <c r="J40" i="66"/>
  <c r="J37" i="73"/>
  <c r="R26" i="72"/>
  <c r="J62" i="69"/>
  <c r="J51" i="67"/>
  <c r="J25" i="68"/>
  <c r="R46" i="73"/>
  <c r="J22" i="70"/>
  <c r="J66" i="68"/>
  <c r="R31" i="65"/>
  <c r="J32" i="68"/>
  <c r="J36" i="70"/>
  <c r="R70" i="73"/>
  <c r="J37" i="68"/>
  <c r="J56" i="72"/>
  <c r="J22" i="67"/>
  <c r="R30" i="69"/>
  <c r="J58" i="73"/>
  <c r="J60" i="69"/>
  <c r="R65" i="73"/>
  <c r="J64" i="65"/>
  <c r="J73" i="73"/>
  <c r="J37" i="65"/>
  <c r="R49" i="65"/>
  <c r="R32" i="71"/>
  <c r="R49" i="71"/>
  <c r="J65" i="67"/>
  <c r="J47" i="71"/>
  <c r="R49" i="70"/>
  <c r="R67" i="73"/>
  <c r="R23" i="73"/>
  <c r="J63" i="72"/>
  <c r="R28" i="71"/>
  <c r="R20" i="72"/>
  <c r="J37" i="71"/>
  <c r="R36" i="66"/>
  <c r="R16" i="71"/>
  <c r="J35" i="69"/>
  <c r="J41" i="66"/>
  <c r="J59" i="68"/>
  <c r="J61" i="71"/>
  <c r="R39" i="70"/>
  <c r="R67" i="66"/>
  <c r="J61" i="69"/>
  <c r="R59" i="66"/>
  <c r="J25" i="71"/>
  <c r="R39" i="67"/>
  <c r="R55" i="72"/>
  <c r="J17" i="66"/>
  <c r="J19" i="67"/>
  <c r="R63" i="66"/>
  <c r="J53" i="70"/>
  <c r="J68" i="66"/>
  <c r="R15" i="68"/>
  <c r="J71" i="66"/>
  <c r="R23" i="67"/>
  <c r="R47" i="70"/>
  <c r="J36" i="66"/>
  <c r="R23" i="66"/>
  <c r="J15" i="66"/>
  <c r="J23" i="69"/>
  <c r="J67" i="70"/>
  <c r="R17" i="69"/>
  <c r="J54" i="65"/>
  <c r="J53" i="73"/>
  <c r="J46" i="72"/>
  <c r="J46" i="69"/>
  <c r="J32" i="67"/>
  <c r="J17" i="72"/>
  <c r="J29" i="70"/>
  <c r="R26" i="68"/>
  <c r="J58" i="68"/>
  <c r="J45" i="69"/>
  <c r="R42" i="71"/>
  <c r="R53" i="68"/>
  <c r="J44" i="73"/>
  <c r="J24" i="71"/>
  <c r="J28" i="68"/>
  <c r="J43" i="73"/>
  <c r="J72" i="67"/>
  <c r="J30" i="73"/>
  <c r="J44" i="71"/>
  <c r="J16" i="69"/>
  <c r="J42" i="66"/>
  <c r="R54" i="71"/>
  <c r="J44" i="72"/>
  <c r="R41" i="65"/>
  <c r="R66" i="72"/>
  <c r="J54" i="69"/>
  <c r="J66" i="67"/>
  <c r="R27" i="71"/>
  <c r="J56" i="73"/>
  <c r="J42" i="70"/>
  <c r="J42" i="68"/>
  <c r="J45" i="65"/>
  <c r="J48" i="68"/>
  <c r="J31" i="70"/>
  <c r="J47" i="72"/>
  <c r="J38" i="73"/>
  <c r="R65" i="68"/>
  <c r="J63" i="66"/>
  <c r="R29" i="68"/>
  <c r="R19" i="72"/>
  <c r="R60" i="67"/>
  <c r="J24" i="73"/>
  <c r="J70" i="65"/>
  <c r="J46" i="65"/>
  <c r="J67" i="65"/>
  <c r="R60" i="65"/>
  <c r="R28" i="70"/>
  <c r="R40" i="69"/>
  <c r="R51" i="68"/>
  <c r="R35" i="71"/>
  <c r="R19" i="68"/>
  <c r="J71" i="72"/>
  <c r="R46" i="66"/>
  <c r="R64" i="72"/>
  <c r="J29" i="68"/>
  <c r="R39" i="72"/>
  <c r="J16" i="70"/>
  <c r="R41" i="70"/>
  <c r="R27" i="69"/>
  <c r="J71" i="69"/>
  <c r="R64" i="68"/>
  <c r="R37" i="67"/>
  <c r="R16" i="69"/>
  <c r="R69" i="70"/>
  <c r="R62" i="66"/>
  <c r="R48" i="69"/>
  <c r="R51" i="66"/>
  <c r="R25" i="70"/>
  <c r="R58" i="67"/>
  <c r="R43" i="72"/>
  <c r="J59" i="66"/>
  <c r="R22" i="67"/>
  <c r="J22" i="69"/>
  <c r="J59" i="69"/>
  <c r="R33" i="70"/>
  <c r="J47" i="68"/>
  <c r="R71" i="68"/>
  <c r="R31" i="66"/>
  <c r="R47" i="72"/>
  <c r="J55" i="71"/>
  <c r="R60" i="66"/>
  <c r="R67" i="69"/>
  <c r="J21" i="73"/>
  <c r="R60" i="70"/>
  <c r="R25" i="68"/>
  <c r="J66" i="65"/>
  <c r="J45" i="67"/>
  <c r="J50" i="72"/>
  <c r="J52" i="69"/>
  <c r="J28" i="67"/>
  <c r="J31" i="73"/>
  <c r="J39" i="70"/>
  <c r="R38" i="68"/>
  <c r="R16" i="67"/>
  <c r="J61" i="67"/>
  <c r="J18" i="71"/>
  <c r="J26" i="68"/>
  <c r="R72" i="73"/>
  <c r="R30" i="71"/>
  <c r="J62" i="68"/>
  <c r="R23" i="72"/>
  <c r="J56" i="67"/>
  <c r="J55" i="73"/>
  <c r="R18" i="71"/>
  <c r="R66" i="68"/>
  <c r="R64" i="65"/>
  <c r="J56" i="71"/>
  <c r="J20" i="66"/>
  <c r="J50" i="66"/>
  <c r="J39" i="72"/>
  <c r="R41" i="69"/>
  <c r="J63" i="67"/>
  <c r="J49" i="70"/>
  <c r="J42" i="72"/>
  <c r="J34" i="70"/>
  <c r="J54" i="68"/>
  <c r="J65" i="73"/>
  <c r="R56" i="67"/>
  <c r="J57" i="69"/>
  <c r="J38" i="71"/>
  <c r="J70" i="72"/>
  <c r="J69" i="67"/>
  <c r="R45" i="65"/>
  <c r="R21" i="68"/>
  <c r="R58" i="72"/>
  <c r="R38" i="69"/>
  <c r="J72" i="73"/>
  <c r="J47" i="65"/>
  <c r="J60" i="65"/>
  <c r="J27" i="65"/>
  <c r="R34" i="65"/>
  <c r="R51" i="69"/>
  <c r="R56" i="69"/>
  <c r="R24" i="69"/>
  <c r="R33" i="71"/>
  <c r="R32" i="68"/>
  <c r="J60" i="72"/>
  <c r="R40" i="70"/>
  <c r="J69" i="71"/>
  <c r="R68" i="68"/>
  <c r="J16" i="73"/>
  <c r="R55" i="70"/>
  <c r="R47" i="69"/>
  <c r="R64" i="73"/>
  <c r="J39" i="68"/>
  <c r="R68" i="71"/>
  <c r="R65" i="67"/>
  <c r="J30" i="69"/>
  <c r="J55" i="68"/>
  <c r="R40" i="66"/>
  <c r="J31" i="68"/>
  <c r="R59" i="70"/>
  <c r="J64" i="70"/>
  <c r="R55" i="66"/>
  <c r="J24" i="72"/>
  <c r="R52" i="72"/>
  <c r="R57" i="67"/>
  <c r="J34" i="69"/>
  <c r="R19" i="67"/>
  <c r="R39" i="66"/>
  <c r="R27" i="67"/>
  <c r="R16" i="70"/>
  <c r="R20" i="70"/>
  <c r="R27" i="73"/>
  <c r="J31" i="69"/>
  <c r="J65" i="68"/>
  <c r="J41" i="68"/>
  <c r="R69" i="73"/>
  <c r="J59" i="70"/>
  <c r="R54" i="68"/>
  <c r="J54" i="72"/>
  <c r="J49" i="73"/>
  <c r="J15" i="71"/>
  <c r="R72" i="69"/>
  <c r="R69" i="66"/>
  <c r="J46" i="73"/>
  <c r="R18" i="70"/>
  <c r="J21" i="67"/>
  <c r="J24" i="67"/>
  <c r="R17" i="73"/>
  <c r="J20" i="71"/>
  <c r="J48" i="66"/>
  <c r="J23" i="73"/>
  <c r="J21" i="70"/>
  <c r="J38" i="68"/>
  <c r="J55" i="72"/>
  <c r="R25" i="66"/>
  <c r="R33" i="73"/>
  <c r="J25" i="70"/>
  <c r="J15" i="68"/>
  <c r="R55" i="65"/>
  <c r="J35" i="70"/>
  <c r="J61" i="73"/>
  <c r="J61" i="68"/>
  <c r="J26" i="71"/>
  <c r="R34" i="69"/>
  <c r="J48" i="67"/>
  <c r="J17" i="73"/>
  <c r="R15" i="72"/>
  <c r="J47" i="70"/>
  <c r="R69" i="68"/>
  <c r="J71" i="73"/>
  <c r="R40" i="65"/>
  <c r="R22" i="68"/>
  <c r="J66" i="70"/>
  <c r="R18" i="72"/>
  <c r="R57" i="73"/>
  <c r="J60" i="67"/>
  <c r="J31" i="67"/>
  <c r="R48" i="70"/>
  <c r="R36" i="67"/>
  <c r="R62" i="71"/>
  <c r="R15" i="65"/>
  <c r="J25" i="65"/>
  <c r="J73" i="71"/>
  <c r="R46" i="65"/>
  <c r="R67" i="72"/>
  <c r="R43" i="73"/>
  <c r="J39" i="69"/>
  <c r="R56" i="73"/>
  <c r="R57" i="71"/>
  <c r="R52" i="68"/>
  <c r="R33" i="72"/>
  <c r="J18" i="69"/>
  <c r="J59" i="71"/>
  <c r="R27" i="68"/>
  <c r="J69" i="73"/>
  <c r="R65" i="70"/>
  <c r="R15" i="73"/>
  <c r="R36" i="72"/>
  <c r="R47" i="68"/>
  <c r="R24" i="68"/>
  <c r="R51" i="67"/>
  <c r="R48" i="71"/>
  <c r="J17" i="68"/>
  <c r="R29" i="66"/>
  <c r="J60" i="68"/>
  <c r="R52" i="69"/>
  <c r="J65" i="69"/>
  <c r="J30" i="66"/>
  <c r="R45" i="71"/>
  <c r="R65" i="72"/>
  <c r="R53" i="67"/>
  <c r="R60" i="68"/>
  <c r="R38" i="67"/>
  <c r="R20" i="68"/>
  <c r="J54" i="67"/>
  <c r="R19" i="71"/>
  <c r="J19" i="68"/>
  <c r="J35" i="68"/>
  <c r="R41" i="67"/>
  <c r="J35" i="66"/>
  <c r="J25" i="67"/>
  <c r="J32" i="73"/>
  <c r="J55" i="70"/>
  <c r="J68" i="67"/>
  <c r="J22" i="68"/>
  <c r="R21" i="73"/>
  <c r="J72" i="71"/>
  <c r="J24" i="69"/>
  <c r="J33" i="69"/>
  <c r="R30" i="73"/>
  <c r="J70" i="70"/>
  <c r="J27" i="67"/>
  <c r="R54" i="65"/>
  <c r="J26" i="73"/>
  <c r="J33" i="70"/>
  <c r="J21" i="71"/>
  <c r="R45" i="73"/>
  <c r="J46" i="70"/>
  <c r="R72" i="67"/>
  <c r="J58" i="71"/>
  <c r="J67" i="66"/>
  <c r="J35" i="73"/>
  <c r="J27" i="70"/>
  <c r="R70" i="68"/>
  <c r="R20" i="65"/>
  <c r="J51" i="70"/>
  <c r="R57" i="66"/>
  <c r="R34" i="73"/>
  <c r="J64" i="71"/>
  <c r="R66" i="69"/>
  <c r="J64" i="66"/>
  <c r="J20" i="68"/>
  <c r="J27" i="72"/>
  <c r="J69" i="69"/>
  <c r="J41" i="67"/>
  <c r="R22" i="73"/>
  <c r="R43" i="70"/>
  <c r="J17" i="67"/>
  <c r="R23" i="65"/>
  <c r="R66" i="70"/>
  <c r="J18" i="73"/>
  <c r="J65" i="65"/>
  <c r="R40" i="67"/>
  <c r="R26" i="69"/>
  <c r="J15" i="73"/>
  <c r="R72" i="70"/>
  <c r="J39" i="65"/>
  <c r="R39" i="65"/>
  <c r="R58" i="65"/>
  <c r="J38" i="69"/>
  <c r="J51" i="71"/>
  <c r="R69" i="67"/>
  <c r="R24" i="66"/>
  <c r="R31" i="70"/>
  <c r="R44" i="71"/>
  <c r="J28" i="70"/>
  <c r="R16" i="72"/>
  <c r="R61" i="71"/>
  <c r="R42" i="66"/>
  <c r="J68" i="72"/>
  <c r="J29" i="67"/>
  <c r="R37" i="70"/>
  <c r="R23" i="71"/>
  <c r="R37" i="66"/>
  <c r="J67" i="71"/>
  <c r="R44" i="66"/>
  <c r="J36" i="72"/>
  <c r="R42" i="67"/>
  <c r="R56" i="71"/>
  <c r="R50" i="66"/>
  <c r="J25" i="72"/>
  <c r="R34" i="67"/>
  <c r="J56" i="66"/>
  <c r="J42" i="67"/>
  <c r="R17" i="71"/>
  <c r="R26" i="66"/>
  <c r="R41" i="72"/>
  <c r="R66" i="67"/>
  <c r="R40" i="73"/>
  <c r="J18" i="66"/>
  <c r="R44" i="73"/>
  <c r="J37" i="66"/>
  <c r="R18" i="66"/>
  <c r="R51" i="70"/>
  <c r="R59" i="67"/>
  <c r="J28" i="72"/>
  <c r="R50" i="73"/>
  <c r="R22" i="69"/>
  <c r="J60" i="66"/>
  <c r="R66" i="65"/>
  <c r="J22" i="73"/>
  <c r="R34" i="70"/>
  <c r="R34" i="68"/>
  <c r="J29" i="65"/>
  <c r="J62" i="72"/>
  <c r="R29" i="69"/>
  <c r="R21" i="65"/>
  <c r="J57" i="71"/>
  <c r="R69" i="72"/>
  <c r="R26" i="70"/>
  <c r="J27" i="69"/>
  <c r="R22" i="72"/>
  <c r="J53" i="69"/>
  <c r="R53" i="66"/>
  <c r="J44" i="69"/>
  <c r="J19" i="69"/>
  <c r="J30" i="72"/>
  <c r="R62" i="70"/>
  <c r="R24" i="67"/>
  <c r="J42" i="73"/>
  <c r="J72" i="68"/>
  <c r="R70" i="70"/>
  <c r="R26" i="73"/>
  <c r="R56" i="70"/>
  <c r="J68" i="68"/>
  <c r="J28" i="65"/>
  <c r="R24" i="72"/>
  <c r="R26" i="71"/>
  <c r="R37" i="69"/>
  <c r="J58" i="66"/>
  <c r="R46" i="70"/>
  <c r="J41" i="70"/>
  <c r="R57" i="68"/>
  <c r="J24" i="65"/>
  <c r="J52" i="67"/>
  <c r="R50" i="69"/>
  <c r="J16" i="71"/>
  <c r="J19" i="65"/>
  <c r="J18" i="68"/>
  <c r="R72" i="71"/>
  <c r="J26" i="65"/>
  <c r="R51" i="65"/>
  <c r="J15" i="65"/>
  <c r="J55" i="65"/>
  <c r="R20" i="69"/>
  <c r="J43" i="71"/>
  <c r="R21" i="67"/>
  <c r="R60" i="73"/>
  <c r="R60" i="69"/>
  <c r="R44" i="70"/>
  <c r="R61" i="70"/>
  <c r="R40" i="72"/>
  <c r="J32" i="70"/>
  <c r="R48" i="73"/>
  <c r="R68" i="72"/>
  <c r="R27" i="66"/>
  <c r="R28" i="68"/>
  <c r="R63" i="71"/>
  <c r="R56" i="66"/>
  <c r="R27" i="70"/>
  <c r="R66" i="66"/>
  <c r="R71" i="72"/>
  <c r="R17" i="67"/>
  <c r="R40" i="71"/>
  <c r="R38" i="66"/>
  <c r="R29" i="72"/>
  <c r="R25" i="67"/>
  <c r="R56" i="68"/>
  <c r="R49" i="67"/>
  <c r="R29" i="70"/>
  <c r="R20" i="66"/>
  <c r="R51" i="71"/>
  <c r="R35" i="66"/>
  <c r="J49" i="72"/>
  <c r="R19" i="66"/>
  <c r="R28" i="73"/>
  <c r="R45" i="72"/>
  <c r="R43" i="69"/>
  <c r="J24" i="68"/>
  <c r="J38" i="66"/>
  <c r="R38" i="65"/>
  <c r="J31" i="72"/>
  <c r="R33" i="69"/>
  <c r="R18" i="65"/>
  <c r="J21" i="65"/>
  <c r="J60" i="73"/>
  <c r="J48" i="70"/>
  <c r="R61" i="68"/>
  <c r="J49" i="67"/>
  <c r="J51" i="72"/>
  <c r="J36" i="69"/>
  <c r="R35" i="65"/>
  <c r="J33" i="68"/>
  <c r="J38" i="72"/>
  <c r="J17" i="69"/>
  <c r="J45" i="72"/>
  <c r="J35" i="72"/>
  <c r="J40" i="69"/>
  <c r="R52" i="65"/>
  <c r="J64" i="69"/>
  <c r="J61" i="70"/>
  <c r="R54" i="72"/>
  <c r="J49" i="69"/>
  <c r="J40" i="67"/>
  <c r="J66" i="73"/>
  <c r="J70" i="67"/>
  <c r="J71" i="67"/>
  <c r="J48" i="73"/>
  <c r="J37" i="70"/>
  <c r="R46" i="68"/>
  <c r="J26" i="66"/>
  <c r="J19" i="73"/>
  <c r="J46" i="71"/>
  <c r="R53" i="69"/>
  <c r="J69" i="66"/>
  <c r="R22" i="70"/>
  <c r="J50" i="73"/>
  <c r="J39" i="73"/>
  <c r="R52" i="67"/>
  <c r="J60" i="71"/>
  <c r="J56" i="69"/>
  <c r="J44" i="70"/>
  <c r="J62" i="66"/>
  <c r="J67" i="67"/>
  <c r="J50" i="70"/>
  <c r="J48" i="65"/>
  <c r="J38" i="65"/>
  <c r="R71" i="65"/>
  <c r="J73" i="66"/>
  <c r="R32" i="73"/>
  <c r="R71" i="71"/>
  <c r="R49" i="66"/>
  <c r="R16" i="73"/>
  <c r="J51" i="69"/>
  <c r="R20" i="73"/>
  <c r="R32" i="69"/>
  <c r="R60" i="71"/>
  <c r="R15" i="70"/>
  <c r="R31" i="69"/>
  <c r="R37" i="72"/>
  <c r="R35" i="68"/>
  <c r="R19" i="70"/>
  <c r="R47" i="71"/>
  <c r="J39" i="66"/>
  <c r="R71" i="70"/>
  <c r="J22" i="66"/>
  <c r="R25" i="72"/>
  <c r="R67" i="67"/>
  <c r="R71" i="73"/>
  <c r="J34" i="66"/>
  <c r="J27" i="71"/>
  <c r="J46" i="67"/>
  <c r="R21" i="66"/>
  <c r="R43" i="66"/>
  <c r="J72" i="70"/>
  <c r="J23" i="66"/>
  <c r="R21" i="71"/>
  <c r="R41" i="66"/>
  <c r="R43" i="71"/>
  <c r="J51" i="66"/>
  <c r="J57" i="73"/>
  <c r="J43" i="69"/>
  <c r="R59" i="72"/>
  <c r="R47" i="66"/>
  <c r="R71" i="69"/>
  <c r="J57" i="68"/>
  <c r="J22" i="72"/>
  <c r="R49" i="69"/>
  <c r="R43" i="65"/>
  <c r="J68" i="71"/>
  <c r="J64" i="73"/>
  <c r="J18" i="70"/>
  <c r="J39" i="67"/>
  <c r="J29" i="72"/>
  <c r="J28" i="71"/>
  <c r="R62" i="69"/>
  <c r="R56" i="65"/>
  <c r="J29" i="71"/>
  <c r="R50" i="72"/>
  <c r="R46" i="69"/>
  <c r="J29" i="73"/>
  <c r="J34" i="71"/>
  <c r="R57" i="69"/>
  <c r="R68" i="65"/>
  <c r="J50" i="69"/>
  <c r="J53" i="72"/>
  <c r="R38" i="71"/>
  <c r="J32" i="69"/>
  <c r="R64" i="67"/>
  <c r="J40" i="73"/>
  <c r="R15" i="67"/>
  <c r="J41" i="72"/>
  <c r="J19" i="72"/>
  <c r="R52" i="70"/>
  <c r="R17" i="68"/>
  <c r="J65" i="71"/>
  <c r="J36" i="73"/>
  <c r="J66" i="71"/>
  <c r="R18" i="68"/>
  <c r="R62" i="65"/>
  <c r="J48" i="69"/>
  <c r="R27" i="72"/>
  <c r="R30" i="70"/>
  <c r="J60" i="70"/>
  <c r="R69" i="69"/>
  <c r="R45" i="68"/>
  <c r="J62" i="70"/>
  <c r="J45" i="68"/>
  <c r="J70" i="66"/>
  <c r="J23" i="70"/>
  <c r="R22" i="65"/>
  <c r="R27" i="65"/>
  <c r="R48" i="65"/>
  <c r="J36" i="65"/>
  <c r="R30" i="66"/>
  <c r="R15" i="71"/>
  <c r="R44" i="68"/>
  <c r="R60" i="72"/>
  <c r="J27" i="68"/>
  <c r="R20" i="71"/>
  <c r="R48" i="66"/>
  <c r="R39" i="73"/>
  <c r="R59" i="69"/>
  <c r="R19" i="69"/>
  <c r="R61" i="72"/>
  <c r="R63" i="72"/>
  <c r="R39" i="68"/>
  <c r="R65" i="71"/>
  <c r="R58" i="66"/>
  <c r="J40" i="68"/>
  <c r="J44" i="66"/>
  <c r="R53" i="72"/>
  <c r="R54" i="67"/>
  <c r="R41" i="71"/>
  <c r="R52" i="66"/>
  <c r="J53" i="71"/>
  <c r="R47" i="67"/>
  <c r="R39" i="69"/>
  <c r="J31" i="66"/>
  <c r="J63" i="68"/>
  <c r="R31" i="68"/>
  <c r="R53" i="71"/>
  <c r="R71" i="66"/>
  <c r="J69" i="70"/>
  <c r="R65" i="66"/>
  <c r="R59" i="71"/>
  <c r="R32" i="66"/>
  <c r="R57" i="70"/>
  <c r="R34" i="66"/>
  <c r="R67" i="71"/>
  <c r="J17" i="71"/>
  <c r="J32" i="71"/>
  <c r="R70" i="69"/>
  <c r="R42" i="65"/>
  <c r="R29" i="65"/>
  <c r="J18" i="72"/>
  <c r="J37" i="69"/>
  <c r="R48" i="67"/>
  <c r="J25" i="69"/>
  <c r="R66" i="71"/>
  <c r="J30" i="68"/>
  <c r="J69" i="65"/>
  <c r="J25" i="66"/>
  <c r="R34" i="71"/>
  <c r="J42" i="69"/>
  <c r="J57" i="72"/>
  <c r="R70" i="71"/>
  <c r="R18" i="69"/>
  <c r="J42" i="65"/>
  <c r="R49" i="68"/>
  <c r="R24" i="73"/>
  <c r="R50" i="71"/>
  <c r="J72" i="69"/>
  <c r="J53" i="66"/>
  <c r="R34" i="72"/>
  <c r="J72" i="66"/>
  <c r="R17" i="70"/>
  <c r="J59" i="72"/>
  <c r="R38" i="70"/>
  <c r="R18" i="67"/>
  <c r="J41" i="71"/>
  <c r="J68" i="73"/>
  <c r="J23" i="71"/>
  <c r="R30" i="68"/>
  <c r="R30" i="65"/>
  <c r="R58" i="69"/>
  <c r="R58" i="71"/>
  <c r="J33" i="67"/>
  <c r="J64" i="72"/>
  <c r="J70" i="71"/>
  <c r="R41" i="68"/>
  <c r="J68" i="69"/>
  <c r="J29" i="69"/>
  <c r="J33" i="73"/>
  <c r="R20" i="67"/>
  <c r="R19" i="65"/>
  <c r="J43" i="65"/>
  <c r="J57" i="65"/>
  <c r="J34" i="65"/>
  <c r="R31" i="67"/>
  <c r="R39" i="71"/>
  <c r="J67" i="72"/>
  <c r="J15" i="67"/>
  <c r="J26" i="67"/>
  <c r="J34" i="67"/>
  <c r="R68" i="66"/>
  <c r="J54" i="66"/>
  <c r="J57" i="66"/>
  <c r="J41" i="69"/>
  <c r="J48" i="71"/>
  <c r="J43" i="70"/>
  <c r="J68" i="70"/>
  <c r="J23" i="67"/>
  <c r="R54" i="70"/>
  <c r="J28" i="73"/>
  <c r="R57" i="65"/>
  <c r="J44" i="67"/>
  <c r="J47" i="67"/>
  <c r="R72" i="66"/>
  <c r="R72" i="65"/>
  <c r="J32" i="65"/>
  <c r="J73" i="72"/>
  <c r="J30" i="65"/>
  <c r="J60" i="49"/>
  <c r="J70" i="49"/>
  <c r="J34" i="49"/>
  <c r="J36" i="49"/>
  <c r="J38" i="49"/>
  <c r="J48" i="49"/>
  <c r="R52" i="47"/>
  <c r="R60" i="47"/>
  <c r="R59" i="47"/>
  <c r="R21" i="47"/>
  <c r="J36" i="48"/>
  <c r="J21" i="46"/>
  <c r="R64" i="48"/>
  <c r="R65" i="49"/>
  <c r="J18" i="46"/>
  <c r="J41" i="48"/>
  <c r="J43" i="46"/>
  <c r="J20" i="48"/>
  <c r="J31" i="48"/>
  <c r="R53" i="49"/>
  <c r="J53" i="46"/>
  <c r="R36" i="46"/>
  <c r="J26" i="47"/>
  <c r="J66" i="48"/>
  <c r="J59" i="47"/>
  <c r="J16" i="47"/>
  <c r="R47" i="49"/>
  <c r="R49" i="48"/>
  <c r="J67" i="46"/>
  <c r="J35" i="48"/>
  <c r="R41" i="49"/>
  <c r="J43" i="48"/>
  <c r="R48" i="49"/>
  <c r="R34" i="48"/>
  <c r="J38" i="46"/>
  <c r="R17" i="46"/>
  <c r="R66" i="48"/>
  <c r="R46" i="49"/>
  <c r="J44" i="47"/>
  <c r="J29" i="48"/>
  <c r="J53" i="48"/>
  <c r="J40" i="47"/>
  <c r="J58" i="47"/>
  <c r="R30" i="49"/>
  <c r="R51" i="73"/>
  <c r="J49" i="71"/>
  <c r="R30" i="72"/>
  <c r="R56" i="47"/>
  <c r="R67" i="47"/>
  <c r="R70" i="47"/>
  <c r="J60" i="47"/>
  <c r="R23" i="48"/>
  <c r="J42" i="48"/>
  <c r="R32" i="49"/>
  <c r="R47" i="48"/>
  <c r="R25" i="49"/>
  <c r="R54" i="46"/>
  <c r="J61" i="48"/>
  <c r="R67" i="70"/>
  <c r="R33" i="66"/>
  <c r="R36" i="69"/>
  <c r="J26" i="69"/>
  <c r="J47" i="66"/>
  <c r="J33" i="66"/>
  <c r="R51" i="72"/>
  <c r="J65" i="70"/>
  <c r="J28" i="66"/>
  <c r="R44" i="67"/>
  <c r="R33" i="68"/>
  <c r="J18" i="67"/>
  <c r="J57" i="67"/>
  <c r="J17" i="70"/>
  <c r="R37" i="68"/>
  <c r="J63" i="73"/>
  <c r="J48" i="72"/>
  <c r="J52" i="73"/>
  <c r="R35" i="70"/>
  <c r="J16" i="68"/>
  <c r="R24" i="65"/>
  <c r="R16" i="65"/>
  <c r="J35" i="65"/>
  <c r="J59" i="65"/>
  <c r="J43" i="49"/>
  <c r="R40" i="47"/>
  <c r="R15" i="48"/>
  <c r="J27" i="49"/>
  <c r="J64" i="49"/>
  <c r="J63" i="49"/>
  <c r="R68" i="47"/>
  <c r="R50" i="47"/>
  <c r="R45" i="47"/>
  <c r="R30" i="47"/>
  <c r="R48" i="48"/>
  <c r="J40" i="46"/>
  <c r="J69" i="48"/>
  <c r="R23" i="46"/>
  <c r="J27" i="46"/>
  <c r="J50" i="48"/>
  <c r="J52" i="46"/>
  <c r="J24" i="48"/>
  <c r="R15" i="49"/>
  <c r="J70" i="47"/>
  <c r="J62" i="46"/>
  <c r="R53" i="46"/>
  <c r="R49" i="49"/>
  <c r="J19" i="48"/>
  <c r="R69" i="46"/>
  <c r="R18" i="46"/>
  <c r="R56" i="49"/>
  <c r="J71" i="48"/>
  <c r="J30" i="46"/>
  <c r="J26" i="48"/>
  <c r="R54" i="49"/>
  <c r="R55" i="49"/>
  <c r="R29" i="46"/>
  <c r="J19" i="46"/>
  <c r="R71" i="67"/>
  <c r="R55" i="47"/>
  <c r="J16" i="46"/>
  <c r="R19" i="73"/>
  <c r="R45" i="66"/>
  <c r="R68" i="69"/>
  <c r="R36" i="73"/>
  <c r="R40" i="68"/>
  <c r="R28" i="66"/>
  <c r="J21" i="72"/>
  <c r="J50" i="67"/>
  <c r="R17" i="72"/>
  <c r="J55" i="67"/>
  <c r="J70" i="68"/>
  <c r="J52" i="66"/>
  <c r="R65" i="65"/>
  <c r="J71" i="70"/>
  <c r="J46" i="68"/>
  <c r="J59" i="73"/>
  <c r="J41" i="73"/>
  <c r="J54" i="71"/>
  <c r="R54" i="69"/>
  <c r="J64" i="67"/>
  <c r="J63" i="65"/>
  <c r="J40" i="65"/>
  <c r="J72" i="65"/>
  <c r="J51" i="65"/>
  <c r="J23" i="49"/>
  <c r="J66" i="49"/>
  <c r="J30" i="49"/>
  <c r="J65" i="49"/>
  <c r="J32" i="49"/>
  <c r="R25" i="47"/>
  <c r="R63" i="47"/>
  <c r="R66" i="47"/>
  <c r="R19" i="47"/>
  <c r="R53" i="47"/>
  <c r="R38" i="48"/>
  <c r="R34" i="49"/>
  <c r="J39" i="48"/>
  <c r="R67" i="49"/>
  <c r="J36" i="46"/>
  <c r="R62" i="48"/>
  <c r="J61" i="46"/>
  <c r="R21" i="48"/>
  <c r="J18" i="47"/>
  <c r="R72" i="46"/>
  <c r="J63" i="46"/>
  <c r="R46" i="46"/>
  <c r="R39" i="46"/>
  <c r="R16" i="48"/>
  <c r="R57" i="49"/>
  <c r="R42" i="49"/>
  <c r="R24" i="49"/>
  <c r="J67" i="47"/>
  <c r="J31" i="46"/>
  <c r="R46" i="48"/>
  <c r="R33" i="48"/>
  <c r="J70" i="48"/>
  <c r="J24" i="46"/>
  <c r="R29" i="48"/>
  <c r="J46" i="46"/>
  <c r="J41" i="47"/>
  <c r="J51" i="47"/>
  <c r="R65" i="48"/>
  <c r="R49" i="46"/>
  <c r="J63" i="71"/>
  <c r="J56" i="68"/>
  <c r="R68" i="67"/>
  <c r="R31" i="72"/>
  <c r="J62" i="71"/>
  <c r="R22" i="71"/>
  <c r="J73" i="67"/>
  <c r="J29" i="49"/>
  <c r="J45" i="49"/>
  <c r="R72" i="47"/>
  <c r="J55" i="46"/>
  <c r="J56" i="47"/>
  <c r="J37" i="48"/>
  <c r="R60" i="48"/>
  <c r="R61" i="46"/>
  <c r="R47" i="46"/>
  <c r="J48" i="46"/>
  <c r="R36" i="70"/>
  <c r="R32" i="72"/>
  <c r="R23" i="68"/>
  <c r="J52" i="72"/>
  <c r="R35" i="69"/>
  <c r="R64" i="66"/>
  <c r="R56" i="72"/>
  <c r="J65" i="66"/>
  <c r="R23" i="70"/>
  <c r="J35" i="67"/>
  <c r="R58" i="68"/>
  <c r="J66" i="66"/>
  <c r="J33" i="72"/>
  <c r="J40" i="70"/>
  <c r="R32" i="67"/>
  <c r="R58" i="73"/>
  <c r="R53" i="65"/>
  <c r="J19" i="71"/>
  <c r="R62" i="68"/>
  <c r="J16" i="65"/>
  <c r="J44" i="65"/>
  <c r="J50" i="65"/>
  <c r="R59" i="65"/>
  <c r="J73" i="65"/>
  <c r="J51" i="49"/>
  <c r="J72" i="49"/>
  <c r="J50" i="49"/>
  <c r="J37" i="49"/>
  <c r="J47" i="49"/>
  <c r="R17" i="47"/>
  <c r="R58" i="47"/>
  <c r="R29" i="47"/>
  <c r="J73" i="49"/>
  <c r="R28" i="47"/>
  <c r="J50" i="47"/>
  <c r="R23" i="49"/>
  <c r="J23" i="48"/>
  <c r="J62" i="47"/>
  <c r="J45" i="46"/>
  <c r="J67" i="48"/>
  <c r="J70" i="46"/>
  <c r="J33" i="48"/>
  <c r="R28" i="46"/>
  <c r="J63" i="47"/>
  <c r="J72" i="46"/>
  <c r="J29" i="47"/>
  <c r="R16" i="46"/>
  <c r="J28" i="48"/>
  <c r="J52" i="47"/>
  <c r="J25" i="47"/>
  <c r="R18" i="49"/>
  <c r="R19" i="49"/>
  <c r="R60" i="49"/>
  <c r="J38" i="48"/>
  <c r="R56" i="48"/>
  <c r="R62" i="49"/>
  <c r="R27" i="49"/>
  <c r="R43" i="49"/>
  <c r="R67" i="48"/>
  <c r="J42" i="46"/>
  <c r="R69" i="49"/>
  <c r="J37" i="47"/>
  <c r="R34" i="46"/>
  <c r="J56" i="70"/>
  <c r="J45" i="66"/>
  <c r="R30" i="67"/>
  <c r="J61" i="72"/>
  <c r="R50" i="65"/>
  <c r="R25" i="73"/>
  <c r="R72" i="72"/>
  <c r="J43" i="72"/>
  <c r="J49" i="65"/>
  <c r="J58" i="49"/>
  <c r="J25" i="48"/>
  <c r="R18" i="48"/>
  <c r="J71" i="47"/>
  <c r="J53" i="47"/>
  <c r="R44" i="46"/>
  <c r="R44" i="49"/>
  <c r="R48" i="68"/>
  <c r="J24" i="70"/>
  <c r="R31" i="71"/>
  <c r="R55" i="73"/>
  <c r="J16" i="67"/>
  <c r="J20" i="67"/>
  <c r="R44" i="69"/>
  <c r="J38" i="67"/>
  <c r="R23" i="69"/>
  <c r="J53" i="65"/>
  <c r="J52" i="68"/>
  <c r="J21" i="69"/>
  <c r="R28" i="65"/>
  <c r="J51" i="73"/>
  <c r="R69" i="65"/>
  <c r="J22" i="65"/>
  <c r="J40" i="71"/>
  <c r="R62" i="72"/>
  <c r="R54" i="73"/>
  <c r="R38" i="72"/>
  <c r="R29" i="73"/>
  <c r="J73" i="70"/>
  <c r="J73" i="68"/>
  <c r="J73" i="69"/>
  <c r="R33" i="47"/>
  <c r="J41" i="49"/>
  <c r="J61" i="49"/>
  <c r="J57" i="49"/>
  <c r="J19" i="49"/>
  <c r="J53" i="49"/>
  <c r="R23" i="47"/>
  <c r="R18" i="47"/>
  <c r="R27" i="47"/>
  <c r="R20" i="47"/>
  <c r="T20" i="47" s="1"/>
  <c r="R60" i="46"/>
  <c r="J16" i="48"/>
  <c r="R28" i="49"/>
  <c r="R64" i="46"/>
  <c r="J54" i="46"/>
  <c r="J21" i="48"/>
  <c r="J65" i="46"/>
  <c r="R32" i="48"/>
  <c r="R51" i="48"/>
  <c r="R65" i="46"/>
  <c r="R52" i="49"/>
  <c r="J15" i="47"/>
  <c r="J25" i="46"/>
  <c r="R26" i="48"/>
  <c r="R62" i="46"/>
  <c r="R35" i="46"/>
  <c r="R35" i="49"/>
  <c r="R70" i="46"/>
  <c r="R59" i="49"/>
  <c r="R68" i="46"/>
  <c r="J62" i="48"/>
  <c r="R35" i="48"/>
  <c r="R72" i="49"/>
  <c r="R66" i="49"/>
  <c r="R45" i="48"/>
  <c r="J37" i="46"/>
  <c r="R45" i="49"/>
  <c r="R42" i="46"/>
  <c r="R70" i="49"/>
  <c r="R63" i="70"/>
  <c r="J41" i="65"/>
  <c r="J55" i="69"/>
  <c r="R26" i="65"/>
  <c r="J33" i="49"/>
  <c r="R34" i="47"/>
  <c r="R51" i="49"/>
  <c r="J35" i="47"/>
  <c r="J41" i="46"/>
  <c r="R71" i="46"/>
  <c r="R36" i="68"/>
  <c r="J52" i="70"/>
  <c r="R37" i="71"/>
  <c r="J72" i="72"/>
  <c r="R61" i="66"/>
  <c r="R29" i="67"/>
  <c r="R61" i="67"/>
  <c r="R63" i="67"/>
  <c r="J51" i="68"/>
  <c r="J49" i="68"/>
  <c r="J43" i="66"/>
  <c r="J45" i="70"/>
  <c r="R32" i="65"/>
  <c r="R46" i="72"/>
  <c r="J53" i="68"/>
  <c r="J53" i="67"/>
  <c r="J58" i="70"/>
  <c r="J30" i="71"/>
  <c r="J50" i="68"/>
  <c r="J50" i="71"/>
  <c r="J16" i="72"/>
  <c r="J17" i="65"/>
  <c r="J20" i="65"/>
  <c r="J23" i="65"/>
  <c r="J68" i="49"/>
  <c r="J21" i="49"/>
  <c r="R16" i="47"/>
  <c r="J22" i="49"/>
  <c r="R49" i="47"/>
  <c r="J44" i="49"/>
  <c r="R15" i="47"/>
  <c r="T15" i="47" s="1"/>
  <c r="J15" i="46"/>
  <c r="R37" i="47"/>
  <c r="R73" i="47"/>
  <c r="R63" i="46"/>
  <c r="R22" i="48"/>
  <c r="R20" i="46"/>
  <c r="J55" i="47"/>
  <c r="J64" i="46"/>
  <c r="R19" i="48"/>
  <c r="R16" i="49"/>
  <c r="R54" i="48"/>
  <c r="R45" i="46"/>
  <c r="R58" i="46"/>
  <c r="R22" i="49"/>
  <c r="J64" i="47"/>
  <c r="R42" i="48"/>
  <c r="R37" i="48"/>
  <c r="J45" i="47"/>
  <c r="J50" i="46"/>
  <c r="R69" i="48"/>
  <c r="R39" i="48"/>
  <c r="R59" i="48"/>
  <c r="R22" i="46"/>
  <c r="J69" i="47"/>
  <c r="J54" i="47"/>
  <c r="J68" i="47"/>
  <c r="R24" i="46"/>
  <c r="R58" i="48"/>
  <c r="R27" i="46"/>
  <c r="R41" i="46"/>
  <c r="J17" i="48"/>
  <c r="R51" i="46"/>
  <c r="R35" i="73"/>
  <c r="J30" i="67"/>
  <c r="J44" i="68"/>
  <c r="J65" i="72"/>
  <c r="R36" i="71"/>
  <c r="R67" i="68"/>
  <c r="R49" i="72"/>
  <c r="R59" i="73"/>
  <c r="R48" i="72"/>
  <c r="R55" i="71"/>
  <c r="R32" i="70"/>
  <c r="R28" i="69"/>
  <c r="J70" i="73"/>
  <c r="R42" i="73"/>
  <c r="J26" i="72"/>
  <c r="J54" i="73"/>
  <c r="R64" i="70"/>
  <c r="J58" i="72"/>
  <c r="R42" i="68"/>
  <c r="J36" i="68"/>
  <c r="R42" i="69"/>
  <c r="J47" i="73"/>
  <c r="J66" i="72"/>
  <c r="J24" i="66"/>
  <c r="R37" i="65"/>
  <c r="J56" i="65"/>
  <c r="J58" i="65"/>
  <c r="R57" i="47"/>
  <c r="J31" i="49"/>
  <c r="J26" i="49"/>
  <c r="J69" i="49"/>
  <c r="J62" i="49"/>
  <c r="J17" i="49"/>
  <c r="R54" i="47"/>
  <c r="R69" i="47"/>
  <c r="R36" i="47"/>
  <c r="R44" i="47"/>
  <c r="R50" i="48"/>
  <c r="J24" i="47"/>
  <c r="J51" i="48"/>
  <c r="J20" i="47"/>
  <c r="R50" i="46"/>
  <c r="R71" i="49"/>
  <c r="R15" i="46"/>
  <c r="R53" i="48"/>
  <c r="J68" i="48"/>
  <c r="R38" i="46"/>
  <c r="J26" i="46"/>
  <c r="R71" i="48"/>
  <c r="R64" i="49"/>
  <c r="R52" i="48"/>
  <c r="J63" i="48"/>
  <c r="R32" i="46"/>
  <c r="J22" i="46"/>
  <c r="R36" i="48"/>
  <c r="R26" i="46"/>
  <c r="J15" i="48"/>
  <c r="R59" i="46"/>
  <c r="J33" i="46"/>
  <c r="J57" i="46"/>
  <c r="J39" i="46"/>
  <c r="J17" i="47"/>
  <c r="R31" i="49"/>
  <c r="J72" i="48"/>
  <c r="J66" i="46"/>
  <c r="J55" i="48"/>
  <c r="R59" i="68"/>
  <c r="J32" i="72"/>
  <c r="J69" i="68"/>
  <c r="R62" i="67"/>
  <c r="R35" i="67"/>
  <c r="J15" i="70"/>
  <c r="J42" i="71"/>
  <c r="J30" i="70"/>
  <c r="R17" i="65"/>
  <c r="J58" i="67"/>
  <c r="R33" i="65"/>
  <c r="R36" i="65"/>
  <c r="R70" i="65"/>
  <c r="J49" i="49"/>
  <c r="R65" i="47"/>
  <c r="J67" i="49"/>
  <c r="R39" i="47"/>
  <c r="R51" i="47"/>
  <c r="R35" i="47"/>
  <c r="J65" i="48"/>
  <c r="J60" i="48"/>
  <c r="J43" i="68"/>
  <c r="R57" i="72"/>
  <c r="J45" i="73"/>
  <c r="R33" i="67"/>
  <c r="J71" i="68"/>
  <c r="J23" i="68"/>
  <c r="R45" i="67"/>
  <c r="R55" i="67"/>
  <c r="R70" i="67"/>
  <c r="R42" i="70"/>
  <c r="J22" i="71"/>
  <c r="R58" i="70"/>
  <c r="J26" i="70"/>
  <c r="J59" i="67"/>
  <c r="J63" i="70"/>
  <c r="J37" i="72"/>
  <c r="J55" i="66"/>
  <c r="R28" i="67"/>
  <c r="J16" i="66"/>
  <c r="J49" i="66"/>
  <c r="J71" i="65"/>
  <c r="J18" i="65"/>
  <c r="R25" i="65"/>
  <c r="R47" i="65"/>
  <c r="R64" i="47"/>
  <c r="J59" i="49"/>
  <c r="J54" i="49"/>
  <c r="J28" i="49"/>
  <c r="J71" i="49"/>
  <c r="J40" i="49"/>
  <c r="R61" i="47"/>
  <c r="R24" i="47"/>
  <c r="R31" i="47"/>
  <c r="R26" i="47"/>
  <c r="J56" i="48"/>
  <c r="R43" i="46"/>
  <c r="R55" i="48"/>
  <c r="R30" i="46"/>
  <c r="J57" i="47"/>
  <c r="R58" i="49"/>
  <c r="R66" i="46"/>
  <c r="J58" i="48"/>
  <c r="R72" i="48"/>
  <c r="J21" i="47"/>
  <c r="J35" i="46"/>
  <c r="J30" i="48"/>
  <c r="J32" i="48"/>
  <c r="J57" i="48"/>
  <c r="J42" i="47"/>
  <c r="J23" i="47"/>
  <c r="J23" i="46"/>
  <c r="J45" i="48"/>
  <c r="J33" i="47"/>
  <c r="J18" i="48"/>
  <c r="J20" i="46"/>
  <c r="J28" i="46"/>
  <c r="J60" i="46"/>
  <c r="R37" i="49"/>
  <c r="J29" i="46"/>
  <c r="R39" i="49"/>
  <c r="J44" i="48"/>
  <c r="J69" i="46"/>
  <c r="J66" i="47"/>
  <c r="J35" i="71"/>
  <c r="R26" i="67"/>
  <c r="J21" i="68"/>
  <c r="J21" i="66"/>
  <c r="R68" i="70"/>
  <c r="J43" i="67"/>
  <c r="R50" i="70"/>
  <c r="J27" i="66"/>
  <c r="R53" i="73"/>
  <c r="R63" i="65"/>
  <c r="J31" i="65"/>
  <c r="J35" i="49"/>
  <c r="J16" i="49"/>
  <c r="J25" i="49"/>
  <c r="R42" i="47"/>
  <c r="J58" i="46"/>
  <c r="R27" i="48"/>
  <c r="R52" i="71"/>
  <c r="R61" i="73"/>
  <c r="R65" i="69"/>
  <c r="J61" i="65"/>
  <c r="J39" i="49"/>
  <c r="R50" i="49"/>
  <c r="R63" i="49"/>
  <c r="R41" i="48"/>
  <c r="J27" i="48"/>
  <c r="J46" i="47"/>
  <c r="J34" i="47"/>
  <c r="R21" i="46"/>
  <c r="J31" i="71"/>
  <c r="R41" i="73"/>
  <c r="J61" i="66"/>
  <c r="J46" i="49"/>
  <c r="R20" i="48"/>
  <c r="J28" i="47"/>
  <c r="J48" i="48"/>
  <c r="R25" i="48"/>
  <c r="R21" i="49"/>
  <c r="J19" i="47"/>
  <c r="R17" i="48"/>
  <c r="J39" i="71"/>
  <c r="J62" i="73"/>
  <c r="R67" i="65"/>
  <c r="R41" i="47"/>
  <c r="J38" i="47"/>
  <c r="J43" i="47"/>
  <c r="R31" i="46"/>
  <c r="R61" i="48"/>
  <c r="J54" i="48"/>
  <c r="R61" i="49"/>
  <c r="R48" i="46"/>
  <c r="R55" i="69"/>
  <c r="J38" i="70"/>
  <c r="J67" i="73"/>
  <c r="J52" i="49"/>
  <c r="R33" i="46"/>
  <c r="J36" i="47"/>
  <c r="J65" i="47"/>
  <c r="J46" i="48"/>
  <c r="R40" i="46"/>
  <c r="J39" i="47"/>
  <c r="R26" i="49"/>
  <c r="J40" i="72"/>
  <c r="R63" i="69"/>
  <c r="J19" i="70"/>
  <c r="R37" i="73"/>
  <c r="J18" i="49"/>
  <c r="R22" i="47"/>
  <c r="J34" i="48"/>
  <c r="R19" i="46"/>
  <c r="J17" i="46"/>
  <c r="R40" i="48"/>
  <c r="J31" i="47"/>
  <c r="R29" i="49"/>
  <c r="R17" i="49"/>
  <c r="R55" i="68"/>
  <c r="R22" i="66"/>
  <c r="R42" i="72"/>
  <c r="J20" i="69"/>
  <c r="J56" i="49"/>
  <c r="R71" i="47"/>
  <c r="R44" i="48"/>
  <c r="R40" i="49"/>
  <c r="J44" i="46"/>
  <c r="R52" i="46"/>
  <c r="J49" i="46"/>
  <c r="J47" i="46"/>
  <c r="R28" i="48"/>
  <c r="R28" i="72"/>
  <c r="R29" i="71"/>
  <c r="J15" i="72"/>
  <c r="J62" i="67"/>
  <c r="J42" i="49"/>
  <c r="R62" i="47"/>
  <c r="J27" i="47"/>
  <c r="J40" i="48"/>
  <c r="R20" i="49"/>
  <c r="R55" i="46"/>
  <c r="J64" i="48"/>
  <c r="R33" i="49"/>
  <c r="J27" i="73"/>
  <c r="R31" i="48"/>
  <c r="J61" i="47"/>
  <c r="J52" i="48"/>
  <c r="R25" i="69"/>
  <c r="J47" i="48"/>
  <c r="J22" i="47"/>
  <c r="R57" i="48"/>
  <c r="R36" i="49"/>
  <c r="R21" i="72"/>
  <c r="J48" i="47"/>
  <c r="R44" i="72"/>
  <c r="J24" i="49"/>
  <c r="R67" i="46"/>
  <c r="J47" i="47"/>
  <c r="J68" i="65"/>
  <c r="R25" i="46"/>
  <c r="R56" i="46"/>
  <c r="J59" i="48"/>
  <c r="R38" i="73"/>
  <c r="J56" i="46"/>
  <c r="J34" i="68"/>
  <c r="J20" i="49"/>
  <c r="R37" i="46"/>
  <c r="J34" i="46"/>
  <c r="J71" i="46"/>
  <c r="J20" i="72"/>
  <c r="J70" i="69"/>
  <c r="J15" i="49"/>
  <c r="R57" i="46"/>
  <c r="J51" i="46"/>
  <c r="J64" i="68"/>
  <c r="R32" i="47"/>
  <c r="R43" i="48"/>
  <c r="R21" i="69"/>
  <c r="J30" i="47"/>
  <c r="R47" i="73"/>
  <c r="R68" i="49"/>
  <c r="J62" i="65"/>
  <c r="R46" i="47"/>
  <c r="J49" i="47"/>
  <c r="R48" i="47"/>
  <c r="R30" i="48"/>
  <c r="J55" i="49"/>
  <c r="J32" i="47"/>
  <c r="R43" i="47"/>
  <c r="J72" i="47"/>
  <c r="R68" i="48"/>
  <c r="J22" i="48"/>
  <c r="R52" i="73"/>
  <c r="R61" i="65"/>
  <c r="R47" i="47"/>
  <c r="J49" i="48"/>
  <c r="J59" i="46"/>
  <c r="R38" i="49"/>
  <c r="J68" i="46"/>
  <c r="J32" i="46"/>
  <c r="J33" i="65"/>
  <c r="R24" i="48"/>
  <c r="R18" i="73"/>
  <c r="J52" i="65"/>
  <c r="R38" i="47"/>
  <c r="R70" i="48"/>
  <c r="R63" i="48"/>
  <c r="R62" i="73"/>
  <c r="R66" i="73"/>
  <c r="I9" i="39"/>
  <c r="I11" i="39" s="1"/>
  <c r="K13" i="39" s="1"/>
  <c r="D44" i="52" s="1"/>
  <c r="F99" i="29"/>
  <c r="J96" i="29"/>
  <c r="D9" i="39"/>
  <c r="D34" i="52"/>
  <c r="K20" i="51"/>
  <c r="S21" i="51"/>
  <c r="K73" i="51"/>
  <c r="S133" i="51"/>
  <c r="S149" i="51"/>
  <c r="K33" i="51"/>
  <c r="K147" i="51"/>
  <c r="K93" i="51"/>
  <c r="K125" i="51"/>
  <c r="S23" i="51"/>
  <c r="S88" i="51"/>
  <c r="S34" i="51"/>
  <c r="S168" i="51"/>
  <c r="S39" i="51"/>
  <c r="S111" i="51"/>
  <c r="S177" i="51"/>
  <c r="S50" i="51"/>
  <c r="K114" i="51"/>
  <c r="K194" i="51"/>
  <c r="K135" i="51"/>
  <c r="K24" i="51"/>
  <c r="S44" i="51"/>
  <c r="K164" i="51"/>
  <c r="S172" i="51"/>
  <c r="S40" i="51"/>
  <c r="K129" i="51"/>
  <c r="S51" i="51"/>
  <c r="S74" i="51"/>
  <c r="S136" i="51"/>
  <c r="K101" i="51"/>
  <c r="S73" i="51"/>
  <c r="S142" i="51"/>
  <c r="K186" i="51"/>
  <c r="S30" i="51"/>
  <c r="S108" i="51"/>
  <c r="S167" i="51"/>
  <c r="K113" i="51"/>
  <c r="K47" i="51"/>
  <c r="K76" i="51"/>
  <c r="S127" i="51"/>
  <c r="S102" i="51"/>
  <c r="S26" i="51"/>
  <c r="K166" i="51"/>
  <c r="K187" i="51"/>
  <c r="K141" i="51"/>
  <c r="K159" i="51"/>
  <c r="S72" i="51"/>
  <c r="S29" i="51"/>
  <c r="K69" i="51"/>
  <c r="K110" i="51"/>
  <c r="S156" i="51"/>
  <c r="S47" i="51"/>
  <c r="K38" i="51"/>
  <c r="K167" i="51"/>
  <c r="S146" i="51"/>
  <c r="S62" i="51"/>
  <c r="K165" i="51"/>
  <c r="K83" i="51"/>
  <c r="S32" i="51"/>
  <c r="K67" i="51"/>
  <c r="S163" i="51"/>
  <c r="K54" i="51"/>
  <c r="S81" i="51"/>
  <c r="K178" i="51"/>
  <c r="K145" i="51"/>
  <c r="S178" i="51"/>
  <c r="S112" i="51"/>
  <c r="K163" i="51"/>
  <c r="S174" i="51"/>
  <c r="K37" i="51"/>
  <c r="S105" i="51"/>
  <c r="S93" i="51"/>
  <c r="S41" i="51"/>
  <c r="S80" i="51"/>
  <c r="S91" i="51"/>
  <c r="K155" i="51"/>
  <c r="S103" i="51"/>
  <c r="K30" i="51"/>
  <c r="S76" i="51"/>
  <c r="K104" i="51"/>
  <c r="S117" i="51"/>
  <c r="S59" i="51"/>
  <c r="K196" i="51"/>
  <c r="K78" i="51"/>
  <c r="K188" i="51"/>
  <c r="S49" i="51"/>
  <c r="S118" i="51"/>
  <c r="S35" i="51"/>
  <c r="S48" i="51"/>
  <c r="K55" i="51"/>
  <c r="K154" i="51"/>
  <c r="K189" i="51"/>
  <c r="S100" i="51"/>
  <c r="S191" i="51"/>
  <c r="S45" i="51"/>
  <c r="K137" i="51"/>
  <c r="K45" i="51"/>
  <c r="K140" i="51"/>
  <c r="S38" i="51"/>
  <c r="K49" i="51"/>
  <c r="S157" i="51"/>
  <c r="S124" i="51"/>
  <c r="S57" i="51"/>
  <c r="S126" i="51"/>
  <c r="K51" i="51"/>
  <c r="S182" i="51"/>
  <c r="S160" i="51"/>
  <c r="S164" i="51"/>
  <c r="S162" i="51"/>
  <c r="S196" i="51"/>
  <c r="K174" i="51"/>
  <c r="S75" i="51"/>
  <c r="S54" i="51"/>
  <c r="S70" i="51"/>
  <c r="K32" i="51"/>
  <c r="S128" i="51"/>
  <c r="K128" i="51"/>
  <c r="S153" i="51"/>
  <c r="S69" i="51"/>
  <c r="K172" i="51"/>
  <c r="S18" i="51"/>
  <c r="K71" i="51"/>
  <c r="K31" i="51"/>
  <c r="S190" i="51"/>
  <c r="K74" i="51"/>
  <c r="K70" i="51"/>
  <c r="K23" i="51"/>
  <c r="S96" i="51"/>
  <c r="K52" i="51"/>
  <c r="K94" i="51"/>
  <c r="S140" i="51"/>
  <c r="K156" i="51"/>
  <c r="S188" i="51"/>
  <c r="K80" i="51"/>
  <c r="K162" i="51"/>
  <c r="S66" i="51"/>
  <c r="S68" i="51"/>
  <c r="K27" i="51"/>
  <c r="S110" i="51"/>
  <c r="S82" i="51"/>
  <c r="K34" i="51"/>
  <c r="K116" i="51"/>
  <c r="K153" i="51"/>
  <c r="S170" i="51"/>
  <c r="K58" i="51"/>
  <c r="S84" i="51"/>
  <c r="S31" i="51"/>
  <c r="S120" i="51"/>
  <c r="S106" i="51"/>
  <c r="K152" i="51"/>
  <c r="K127" i="51"/>
  <c r="K179" i="51"/>
  <c r="K103" i="51"/>
  <c r="S165" i="51"/>
  <c r="K21" i="51"/>
  <c r="S46" i="51"/>
  <c r="S125" i="51"/>
  <c r="K46" i="51"/>
  <c r="S92" i="51"/>
  <c r="S176" i="51"/>
  <c r="K157" i="51"/>
  <c r="K42" i="51"/>
  <c r="K131" i="51"/>
  <c r="S25" i="51"/>
  <c r="K88" i="51"/>
  <c r="S129" i="51"/>
  <c r="K63" i="51"/>
  <c r="K17" i="51"/>
  <c r="K79" i="51"/>
  <c r="K193" i="51"/>
  <c r="S195" i="51"/>
  <c r="S33" i="51"/>
  <c r="S37" i="51"/>
  <c r="S28" i="51"/>
  <c r="K180" i="51"/>
  <c r="K29" i="51"/>
  <c r="S122" i="51"/>
  <c r="S166" i="51"/>
  <c r="K122" i="51"/>
  <c r="S171" i="51"/>
  <c r="S43" i="51"/>
  <c r="K106" i="51"/>
  <c r="K151" i="51"/>
  <c r="K98" i="51"/>
  <c r="K22" i="51"/>
  <c r="S186" i="51"/>
  <c r="K61" i="51"/>
  <c r="K84" i="51"/>
  <c r="S147" i="51"/>
  <c r="K121" i="51"/>
  <c r="K195" i="51"/>
  <c r="S85" i="51"/>
  <c r="S179" i="51"/>
  <c r="S55" i="51"/>
  <c r="S95" i="51"/>
  <c r="K138" i="51"/>
  <c r="S161" i="51"/>
  <c r="S98" i="51"/>
  <c r="K81" i="51"/>
  <c r="S90" i="51"/>
  <c r="S67" i="51"/>
  <c r="S187" i="51"/>
  <c r="K190" i="51"/>
  <c r="K168" i="51"/>
  <c r="K123" i="51"/>
  <c r="S134" i="51"/>
  <c r="S83" i="51"/>
  <c r="K43" i="51"/>
  <c r="S193" i="51"/>
  <c r="S141" i="51"/>
  <c r="S119" i="51"/>
  <c r="S65" i="51"/>
  <c r="K89" i="51"/>
  <c r="S121" i="51"/>
  <c r="S56" i="51"/>
  <c r="K177" i="51"/>
  <c r="S181" i="51"/>
  <c r="K39" i="51"/>
  <c r="S151" i="51"/>
  <c r="K82" i="51"/>
  <c r="K50" i="51"/>
  <c r="S99" i="51"/>
  <c r="S116" i="51"/>
  <c r="K158" i="51"/>
  <c r="K65" i="51"/>
  <c r="S159" i="51"/>
  <c r="K136" i="51"/>
  <c r="K173" i="51"/>
  <c r="K139" i="51"/>
  <c r="S79" i="51"/>
  <c r="S123" i="51"/>
  <c r="S185" i="51"/>
  <c r="K95" i="51"/>
  <c r="S143" i="51"/>
  <c r="S36" i="51"/>
  <c r="S77" i="51"/>
  <c r="S64" i="51"/>
  <c r="K87" i="51"/>
  <c r="K192" i="51"/>
  <c r="K119" i="51"/>
  <c r="S150" i="51"/>
  <c r="K72" i="51"/>
  <c r="K44" i="51"/>
  <c r="S145" i="51"/>
  <c r="K176" i="51"/>
  <c r="S17" i="51"/>
  <c r="K132" i="51"/>
  <c r="K100" i="51"/>
  <c r="K126" i="51"/>
  <c r="K124" i="51"/>
  <c r="K26" i="51"/>
  <c r="K191" i="51"/>
  <c r="S144" i="51"/>
  <c r="K120" i="51"/>
  <c r="S58" i="51"/>
  <c r="S89" i="51"/>
  <c r="K66" i="51"/>
  <c r="K25" i="51"/>
  <c r="K56" i="51"/>
  <c r="K169" i="51"/>
  <c r="S173" i="51"/>
  <c r="K171" i="51"/>
  <c r="K146" i="51"/>
  <c r="S107" i="51"/>
  <c r="K107" i="51"/>
  <c r="K75" i="51"/>
  <c r="S78" i="51"/>
  <c r="K28" i="51"/>
  <c r="K117" i="51"/>
  <c r="S52" i="51"/>
  <c r="S24" i="51"/>
  <c r="K160" i="51"/>
  <c r="K144" i="51"/>
  <c r="K60" i="51"/>
  <c r="S194" i="51"/>
  <c r="K133" i="51"/>
  <c r="S175" i="51"/>
  <c r="K18" i="51"/>
  <c r="S87" i="51"/>
  <c r="K184" i="51"/>
  <c r="S130" i="51"/>
  <c r="S20" i="51"/>
  <c r="K64" i="51"/>
  <c r="S19" i="51"/>
  <c r="K68" i="51"/>
  <c r="K36" i="51"/>
  <c r="K62" i="51"/>
  <c r="K109" i="51"/>
  <c r="K183" i="51"/>
  <c r="K115" i="51"/>
  <c r="K181" i="51"/>
  <c r="S113" i="51"/>
  <c r="S101" i="51"/>
  <c r="S152" i="51"/>
  <c r="K99" i="51"/>
  <c r="K108" i="51"/>
  <c r="K134" i="51"/>
  <c r="K86" i="51"/>
  <c r="S189" i="51"/>
  <c r="K90" i="51"/>
  <c r="S183" i="51"/>
  <c r="S169" i="51"/>
  <c r="K150" i="51"/>
  <c r="S61" i="51"/>
  <c r="S42" i="51"/>
  <c r="K97" i="51"/>
  <c r="S71" i="51"/>
  <c r="S148" i="51"/>
  <c r="S139" i="51"/>
  <c r="S138" i="51"/>
  <c r="K175" i="51"/>
  <c r="K77" i="51"/>
  <c r="S97" i="51"/>
  <c r="S192" i="51"/>
  <c r="S63" i="51"/>
  <c r="S155" i="51"/>
  <c r="K185" i="51"/>
  <c r="K96" i="51"/>
  <c r="K57" i="51"/>
  <c r="K130" i="51"/>
  <c r="S132" i="51"/>
  <c r="S114" i="51"/>
  <c r="S109" i="51"/>
  <c r="K118" i="51"/>
  <c r="K59" i="51"/>
  <c r="S184" i="51"/>
  <c r="K102" i="51"/>
  <c r="S158" i="51"/>
  <c r="S53" i="51"/>
  <c r="S115" i="51"/>
  <c r="K148" i="51"/>
  <c r="S135" i="51"/>
  <c r="K92" i="51"/>
  <c r="S60" i="51"/>
  <c r="K105" i="51"/>
  <c r="S86" i="51"/>
  <c r="K19" i="51"/>
  <c r="K35" i="51"/>
  <c r="K40" i="51"/>
  <c r="K161" i="51"/>
  <c r="K112" i="51"/>
  <c r="K53" i="51"/>
  <c r="K149" i="51"/>
  <c r="S131" i="51"/>
  <c r="S104" i="51"/>
  <c r="K41" i="51"/>
  <c r="S27" i="51"/>
  <c r="K143" i="51"/>
  <c r="K111" i="51"/>
  <c r="S137" i="51"/>
  <c r="K182" i="51"/>
  <c r="S180" i="51"/>
  <c r="K142" i="51"/>
  <c r="K48" i="51"/>
  <c r="S94" i="51"/>
  <c r="S22" i="51"/>
  <c r="S154" i="51"/>
  <c r="K91" i="51"/>
  <c r="K85" i="51"/>
  <c r="K170" i="51"/>
  <c r="J73" i="17"/>
  <c r="G14" i="19" s="1"/>
  <c r="F73" i="17"/>
  <c r="E14" i="19" s="1"/>
  <c r="L40" i="72" l="1"/>
  <c r="G41" i="81"/>
  <c r="H41" i="81" s="1"/>
  <c r="L21" i="68"/>
  <c r="G22" i="77"/>
  <c r="H22" i="77" s="1"/>
  <c r="L23" i="68"/>
  <c r="G24" i="77"/>
  <c r="H24" i="77" s="1"/>
  <c r="K49" i="81"/>
  <c r="L49" i="81" s="1"/>
  <c r="T48" i="72"/>
  <c r="K38" i="36"/>
  <c r="T37" i="48"/>
  <c r="K29" i="37"/>
  <c r="T28" i="49"/>
  <c r="K63" i="37"/>
  <c r="T62" i="49"/>
  <c r="G17" i="74"/>
  <c r="H17" i="74" s="1"/>
  <c r="L16" i="65"/>
  <c r="L37" i="48"/>
  <c r="G38" i="36"/>
  <c r="K63" i="36"/>
  <c r="T62" i="48"/>
  <c r="L52" i="46"/>
  <c r="G53" i="34"/>
  <c r="L47" i="66"/>
  <c r="G48" i="75"/>
  <c r="H48" i="75" s="1"/>
  <c r="L60" i="47"/>
  <c r="G61" i="35"/>
  <c r="T47" i="49"/>
  <c r="K48" i="37"/>
  <c r="L18" i="46"/>
  <c r="G19" i="34"/>
  <c r="G35" i="37"/>
  <c r="L34" i="49"/>
  <c r="K55" i="79"/>
  <c r="L55" i="79" s="1"/>
  <c r="T54" i="70"/>
  <c r="L67" i="72"/>
  <c r="G68" i="81"/>
  <c r="H68" i="81" s="1"/>
  <c r="G71" i="80"/>
  <c r="H71" i="80" s="1"/>
  <c r="L70" i="71"/>
  <c r="G60" i="81"/>
  <c r="H60" i="81" s="1"/>
  <c r="L59" i="72"/>
  <c r="G58" i="81"/>
  <c r="H58" i="81" s="1"/>
  <c r="L57" i="72"/>
  <c r="K54" i="80"/>
  <c r="L54" i="80" s="1"/>
  <c r="T53" i="71"/>
  <c r="G41" i="77"/>
  <c r="H41" i="77" s="1"/>
  <c r="L40" i="68"/>
  <c r="T60" i="72"/>
  <c r="K61" i="81"/>
  <c r="L61" i="81" s="1"/>
  <c r="T45" i="68"/>
  <c r="K46" i="77"/>
  <c r="L46" i="77" s="1"/>
  <c r="K53" i="79"/>
  <c r="L53" i="79" s="1"/>
  <c r="T52" i="70"/>
  <c r="G35" i="80"/>
  <c r="H35" i="80" s="1"/>
  <c r="L34" i="71"/>
  <c r="G69" i="80"/>
  <c r="H69" i="80" s="1"/>
  <c r="L68" i="71"/>
  <c r="K42" i="75"/>
  <c r="L42" i="75" s="1"/>
  <c r="T41" i="66"/>
  <c r="L51" i="69"/>
  <c r="G52" i="78"/>
  <c r="H52" i="78" s="1"/>
  <c r="K45" i="79"/>
  <c r="L45" i="79" s="1"/>
  <c r="T44" i="70"/>
  <c r="G29" i="74"/>
  <c r="H29" i="74" s="1"/>
  <c r="L28" i="65"/>
  <c r="T53" i="66"/>
  <c r="K54" i="75"/>
  <c r="L54" i="75" s="1"/>
  <c r="K35" i="79"/>
  <c r="L35" i="79" s="1"/>
  <c r="T34" i="70"/>
  <c r="G19" i="75"/>
  <c r="H19" i="75" s="1"/>
  <c r="L18" i="66"/>
  <c r="K43" i="76"/>
  <c r="L43" i="76" s="1"/>
  <c r="T42" i="67"/>
  <c r="G29" i="79"/>
  <c r="H29" i="79" s="1"/>
  <c r="L28" i="70"/>
  <c r="T26" i="69"/>
  <c r="K27" i="78"/>
  <c r="L27" i="78" s="1"/>
  <c r="L20" i="68"/>
  <c r="G21" i="77"/>
  <c r="H21" i="77" s="1"/>
  <c r="L58" i="71"/>
  <c r="G59" i="80"/>
  <c r="H59" i="80" s="1"/>
  <c r="L24" i="69"/>
  <c r="G25" i="78"/>
  <c r="H25" i="78" s="1"/>
  <c r="T19" i="71"/>
  <c r="K20" i="80"/>
  <c r="L20" i="80" s="1"/>
  <c r="T29" i="66"/>
  <c r="K30" i="75"/>
  <c r="L30" i="75" s="1"/>
  <c r="G19" i="78"/>
  <c r="H19" i="78" s="1"/>
  <c r="L18" i="69"/>
  <c r="T62" i="71"/>
  <c r="K63" i="80"/>
  <c r="L63" i="80" s="1"/>
  <c r="G48" i="79"/>
  <c r="H48" i="79" s="1"/>
  <c r="L47" i="70"/>
  <c r="T33" i="73"/>
  <c r="K34" i="82"/>
  <c r="L34" i="82" s="1"/>
  <c r="G47" i="82"/>
  <c r="H47" i="82" s="1"/>
  <c r="L46" i="73"/>
  <c r="K28" i="82"/>
  <c r="L28" i="82" s="1"/>
  <c r="T27" i="73"/>
  <c r="T59" i="70"/>
  <c r="K60" i="79"/>
  <c r="L60" i="79" s="1"/>
  <c r="T68" i="68"/>
  <c r="K69" i="77"/>
  <c r="L69" i="77" s="1"/>
  <c r="L47" i="65"/>
  <c r="G48" i="74"/>
  <c r="H48" i="74" s="1"/>
  <c r="L54" i="68"/>
  <c r="G55" i="77"/>
  <c r="H55" i="77" s="1"/>
  <c r="K19" i="80"/>
  <c r="L19" i="80" s="1"/>
  <c r="T18" i="71"/>
  <c r="L39" i="70"/>
  <c r="G40" i="79"/>
  <c r="H40" i="79" s="1"/>
  <c r="L55" i="71"/>
  <c r="G56" i="80"/>
  <c r="H56" i="80" s="1"/>
  <c r="K26" i="79"/>
  <c r="L26" i="79" s="1"/>
  <c r="T25" i="70"/>
  <c r="T39" i="72"/>
  <c r="K40" i="81"/>
  <c r="L40" i="81" s="1"/>
  <c r="G47" i="74"/>
  <c r="H47" i="74" s="1"/>
  <c r="L46" i="65"/>
  <c r="L45" i="65"/>
  <c r="G46" i="74"/>
  <c r="H46" i="74" s="1"/>
  <c r="G17" i="78"/>
  <c r="H17" i="78" s="1"/>
  <c r="L16" i="69"/>
  <c r="T26" i="68"/>
  <c r="K27" i="77"/>
  <c r="L27" i="77" s="1"/>
  <c r="T23" i="66"/>
  <c r="K24" i="75"/>
  <c r="L24" i="75" s="1"/>
  <c r="T39" i="67"/>
  <c r="K40" i="76"/>
  <c r="L40" i="76" s="1"/>
  <c r="G38" i="80"/>
  <c r="H38" i="80" s="1"/>
  <c r="L37" i="71"/>
  <c r="G38" i="74"/>
  <c r="H38" i="74" s="1"/>
  <c r="L37" i="65"/>
  <c r="L32" i="68"/>
  <c r="G33" i="77"/>
  <c r="H33" i="77" s="1"/>
  <c r="T70" i="66"/>
  <c r="K71" i="75"/>
  <c r="L71" i="75" s="1"/>
  <c r="T70" i="72"/>
  <c r="K71" i="81"/>
  <c r="L71" i="81" s="1"/>
  <c r="T50" i="67"/>
  <c r="K51" i="76"/>
  <c r="L51" i="76" s="1"/>
  <c r="K69" i="82"/>
  <c r="L69" i="82" s="1"/>
  <c r="T68" i="73"/>
  <c r="K25" i="79"/>
  <c r="L25" i="79" s="1"/>
  <c r="T24" i="70"/>
  <c r="L33" i="65"/>
  <c r="G34" i="74"/>
  <c r="H34" i="74" s="1"/>
  <c r="K44" i="36"/>
  <c r="T43" i="48"/>
  <c r="G35" i="77"/>
  <c r="H35" i="77" s="1"/>
  <c r="L34" i="68"/>
  <c r="T21" i="72"/>
  <c r="K22" i="81"/>
  <c r="L22" i="81" s="1"/>
  <c r="K56" i="34"/>
  <c r="T55" i="46"/>
  <c r="G50" i="34"/>
  <c r="L49" i="46"/>
  <c r="T29" i="49"/>
  <c r="K30" i="37"/>
  <c r="K27" i="37"/>
  <c r="T26" i="49"/>
  <c r="K62" i="37"/>
  <c r="T61" i="49"/>
  <c r="T21" i="49"/>
  <c r="K22" i="37"/>
  <c r="G28" i="36"/>
  <c r="L27" i="48"/>
  <c r="G26" i="37"/>
  <c r="L25" i="49"/>
  <c r="K27" i="76"/>
  <c r="L27" i="76" s="1"/>
  <c r="T26" i="67"/>
  <c r="G34" i="35"/>
  <c r="L33" i="47"/>
  <c r="K67" i="34"/>
  <c r="T66" i="46"/>
  <c r="G72" i="37"/>
  <c r="L71" i="49"/>
  <c r="G56" i="75"/>
  <c r="H56" i="75" s="1"/>
  <c r="L55" i="66"/>
  <c r="G72" i="77"/>
  <c r="H72" i="77" s="1"/>
  <c r="L71" i="68"/>
  <c r="G50" i="37"/>
  <c r="L49" i="49"/>
  <c r="L32" i="72"/>
  <c r="G33" i="81"/>
  <c r="H33" i="81" s="1"/>
  <c r="T26" i="46"/>
  <c r="K27" i="34"/>
  <c r="T15" i="46"/>
  <c r="R73" i="46"/>
  <c r="K16" i="34"/>
  <c r="G63" i="37"/>
  <c r="L62" i="49"/>
  <c r="L36" i="68"/>
  <c r="G37" i="77"/>
  <c r="H37" i="77" s="1"/>
  <c r="K60" i="82"/>
  <c r="L60" i="82" s="1"/>
  <c r="T59" i="73"/>
  <c r="T58" i="48"/>
  <c r="K59" i="36"/>
  <c r="T42" i="48"/>
  <c r="K43" i="36"/>
  <c r="K64" i="34"/>
  <c r="T63" i="46"/>
  <c r="L20" i="65"/>
  <c r="G21" i="74"/>
  <c r="H21" i="74" s="1"/>
  <c r="G44" i="75"/>
  <c r="H44" i="75" s="1"/>
  <c r="L43" i="66"/>
  <c r="G42" i="34"/>
  <c r="L41" i="46"/>
  <c r="G38" i="34"/>
  <c r="L37" i="46"/>
  <c r="T26" i="48"/>
  <c r="K27" i="36"/>
  <c r="L16" i="48"/>
  <c r="G17" i="36"/>
  <c r="G22" i="78"/>
  <c r="H22" i="78" s="1"/>
  <c r="L21" i="69"/>
  <c r="T44" i="49"/>
  <c r="K45" i="37"/>
  <c r="L61" i="72"/>
  <c r="G62" i="81"/>
  <c r="H62" i="81" s="1"/>
  <c r="K57" i="36"/>
  <c r="T56" i="48"/>
  <c r="T28" i="46"/>
  <c r="K29" i="34"/>
  <c r="K63" i="77"/>
  <c r="L63" i="77" s="1"/>
  <c r="T62" i="68"/>
  <c r="K57" i="81"/>
  <c r="L57" i="81" s="1"/>
  <c r="T56" i="72"/>
  <c r="G57" i="35"/>
  <c r="L56" i="47"/>
  <c r="K50" i="34"/>
  <c r="T49" i="46"/>
  <c r="K25" i="37"/>
  <c r="T24" i="49"/>
  <c r="G37" i="34"/>
  <c r="L36" i="46"/>
  <c r="L30" i="49"/>
  <c r="G31" i="37"/>
  <c r="L46" i="68"/>
  <c r="G47" i="77"/>
  <c r="H47" i="77" s="1"/>
  <c r="K69" i="78"/>
  <c r="L69" i="78" s="1"/>
  <c r="T68" i="69"/>
  <c r="G72" i="36"/>
  <c r="L71" i="48"/>
  <c r="L50" i="48"/>
  <c r="G51" i="36"/>
  <c r="G28" i="37"/>
  <c r="L27" i="49"/>
  <c r="L63" i="73"/>
  <c r="G64" i="82"/>
  <c r="H64" i="82" s="1"/>
  <c r="G27" i="78"/>
  <c r="H27" i="78" s="1"/>
  <c r="L26" i="69"/>
  <c r="T46" i="49"/>
  <c r="K47" i="37"/>
  <c r="G17" i="35"/>
  <c r="L16" i="47"/>
  <c r="T65" i="49"/>
  <c r="K66" i="37"/>
  <c r="G71" i="37"/>
  <c r="L70" i="49"/>
  <c r="L23" i="67"/>
  <c r="G24" i="76"/>
  <c r="H24" i="76" s="1"/>
  <c r="T39" i="71"/>
  <c r="K40" i="80"/>
  <c r="L40" i="80" s="1"/>
  <c r="L64" i="72"/>
  <c r="G65" i="81"/>
  <c r="H65" i="81" s="1"/>
  <c r="T17" i="70"/>
  <c r="K18" i="79"/>
  <c r="L18" i="79" s="1"/>
  <c r="G43" i="78"/>
  <c r="H43" i="78" s="1"/>
  <c r="L42" i="69"/>
  <c r="T70" i="69"/>
  <c r="K71" i="78"/>
  <c r="L71" i="78" s="1"/>
  <c r="T31" i="68"/>
  <c r="K32" i="77"/>
  <c r="L32" i="77" s="1"/>
  <c r="T58" i="66"/>
  <c r="K59" i="75"/>
  <c r="L59" i="75" s="1"/>
  <c r="K45" i="77"/>
  <c r="L45" i="77" s="1"/>
  <c r="T44" i="68"/>
  <c r="T69" i="69"/>
  <c r="K70" i="78"/>
  <c r="L70" i="78" s="1"/>
  <c r="L19" i="72"/>
  <c r="G20" i="81"/>
  <c r="H20" i="81" s="1"/>
  <c r="L29" i="73"/>
  <c r="G30" i="82"/>
  <c r="H30" i="82" s="1"/>
  <c r="K44" i="74"/>
  <c r="L44" i="74" s="1"/>
  <c r="T43" i="65"/>
  <c r="K22" i="80"/>
  <c r="L22" i="80" s="1"/>
  <c r="T21" i="71"/>
  <c r="T71" i="70"/>
  <c r="K72" i="79"/>
  <c r="L72" i="79" s="1"/>
  <c r="K17" i="82"/>
  <c r="L17" i="82" s="1"/>
  <c r="T16" i="73"/>
  <c r="L56" i="69"/>
  <c r="G57" i="78"/>
  <c r="H57" i="78" s="1"/>
  <c r="L37" i="70"/>
  <c r="G38" i="79"/>
  <c r="H38" i="79" s="1"/>
  <c r="L35" i="72"/>
  <c r="G36" i="81"/>
  <c r="H36" i="81" s="1"/>
  <c r="L21" i="65"/>
  <c r="G22" i="74"/>
  <c r="H22" i="74" s="1"/>
  <c r="K36" i="75"/>
  <c r="L36" i="75" s="1"/>
  <c r="T35" i="66"/>
  <c r="K67" i="75"/>
  <c r="L67" i="75" s="1"/>
  <c r="T66" i="66"/>
  <c r="K61" i="78"/>
  <c r="L61" i="78" s="1"/>
  <c r="T60" i="69"/>
  <c r="L16" i="71"/>
  <c r="G17" i="80"/>
  <c r="H17" i="80" s="1"/>
  <c r="L68" i="68"/>
  <c r="G69" i="77"/>
  <c r="H69" i="77" s="1"/>
  <c r="L53" i="69"/>
  <c r="G54" i="78"/>
  <c r="H54" i="78" s="1"/>
  <c r="G23" i="82"/>
  <c r="H23" i="82" s="1"/>
  <c r="L22" i="73"/>
  <c r="T40" i="73"/>
  <c r="K41" i="82"/>
  <c r="L41" i="82" s="1"/>
  <c r="L36" i="72"/>
  <c r="G37" i="81"/>
  <c r="H37" i="81" s="1"/>
  <c r="K45" i="80"/>
  <c r="L45" i="80" s="1"/>
  <c r="T44" i="71"/>
  <c r="K41" i="76"/>
  <c r="L41" i="76" s="1"/>
  <c r="T40" i="67"/>
  <c r="G65" i="75"/>
  <c r="H65" i="75" s="1"/>
  <c r="L64" i="66"/>
  <c r="T72" i="67"/>
  <c r="K73" i="76"/>
  <c r="L73" i="76" s="1"/>
  <c r="L72" i="71"/>
  <c r="G73" i="80"/>
  <c r="H73" i="80" s="1"/>
  <c r="G55" i="76"/>
  <c r="H55" i="76" s="1"/>
  <c r="L54" i="67"/>
  <c r="G18" i="77"/>
  <c r="H18" i="77" s="1"/>
  <c r="L17" i="68"/>
  <c r="T33" i="72"/>
  <c r="K34" i="81"/>
  <c r="L34" i="81" s="1"/>
  <c r="K37" i="76"/>
  <c r="L37" i="76" s="1"/>
  <c r="T36" i="67"/>
  <c r="K16" i="81"/>
  <c r="T15" i="72"/>
  <c r="R73" i="72"/>
  <c r="T25" i="66"/>
  <c r="K26" i="75"/>
  <c r="L26" i="75" s="1"/>
  <c r="K70" i="75"/>
  <c r="L70" i="75" s="1"/>
  <c r="T69" i="66"/>
  <c r="K21" i="79"/>
  <c r="L21" i="79" s="1"/>
  <c r="T20" i="70"/>
  <c r="L31" i="68"/>
  <c r="G32" i="77"/>
  <c r="H32" i="77" s="1"/>
  <c r="L69" i="71"/>
  <c r="G70" i="80"/>
  <c r="H70" i="80" s="1"/>
  <c r="G73" i="82"/>
  <c r="H73" i="82" s="1"/>
  <c r="L72" i="73"/>
  <c r="G35" i="79"/>
  <c r="H35" i="79" s="1"/>
  <c r="L34" i="70"/>
  <c r="G56" i="82"/>
  <c r="H56" i="82" s="1"/>
  <c r="L55" i="73"/>
  <c r="G32" i="82"/>
  <c r="H32" i="82" s="1"/>
  <c r="L31" i="73"/>
  <c r="K48" i="81"/>
  <c r="L48" i="81" s="1"/>
  <c r="T47" i="72"/>
  <c r="K52" i="75"/>
  <c r="L52" i="75" s="1"/>
  <c r="T51" i="66"/>
  <c r="L29" i="68"/>
  <c r="G30" i="77"/>
  <c r="H30" i="77" s="1"/>
  <c r="L70" i="65"/>
  <c r="G71" i="74"/>
  <c r="H71" i="74" s="1"/>
  <c r="L42" i="68"/>
  <c r="G43" i="77"/>
  <c r="H43" i="77" s="1"/>
  <c r="L44" i="71"/>
  <c r="G45" i="80"/>
  <c r="H45" i="80" s="1"/>
  <c r="G30" i="79"/>
  <c r="H30" i="79" s="1"/>
  <c r="L29" i="70"/>
  <c r="G37" i="75"/>
  <c r="H37" i="75" s="1"/>
  <c r="L36" i="66"/>
  <c r="L25" i="71"/>
  <c r="G26" i="80"/>
  <c r="H26" i="80" s="1"/>
  <c r="T20" i="72"/>
  <c r="K21" i="81"/>
  <c r="L21" i="81" s="1"/>
  <c r="K32" i="74"/>
  <c r="L32" i="74" s="1"/>
  <c r="T31" i="65"/>
  <c r="L66" i="69"/>
  <c r="G67" i="78"/>
  <c r="H67" i="78" s="1"/>
  <c r="K73" i="77"/>
  <c r="L73" i="77" s="1"/>
  <c r="T72" i="68"/>
  <c r="T35" i="72"/>
  <c r="K36" i="81"/>
  <c r="L36" i="81" s="1"/>
  <c r="T43" i="67"/>
  <c r="K44" i="76"/>
  <c r="L44" i="76" s="1"/>
  <c r="G46" i="80"/>
  <c r="H46" i="80" s="1"/>
  <c r="L45" i="71"/>
  <c r="L72" i="47"/>
  <c r="G73" i="35"/>
  <c r="G41" i="37"/>
  <c r="L40" i="49"/>
  <c r="T62" i="46"/>
  <c r="K63" i="34"/>
  <c r="G66" i="37"/>
  <c r="L65" i="49"/>
  <c r="L44" i="70"/>
  <c r="G45" i="79"/>
  <c r="H45" i="79" s="1"/>
  <c r="G33" i="34"/>
  <c r="L32" i="46"/>
  <c r="K37" i="37"/>
  <c r="T36" i="49"/>
  <c r="G55" i="36"/>
  <c r="L54" i="48"/>
  <c r="G29" i="37"/>
  <c r="L28" i="49"/>
  <c r="K71" i="74"/>
  <c r="L71" i="74" s="1"/>
  <c r="T70" i="65"/>
  <c r="G70" i="37"/>
  <c r="L69" i="49"/>
  <c r="G50" i="77"/>
  <c r="H50" i="77" s="1"/>
  <c r="L49" i="68"/>
  <c r="L33" i="48"/>
  <c r="G34" i="36"/>
  <c r="K65" i="75"/>
  <c r="L65" i="75" s="1"/>
  <c r="T64" i="66"/>
  <c r="G67" i="37"/>
  <c r="L66" i="49"/>
  <c r="T56" i="49"/>
  <c r="K57" i="37"/>
  <c r="L59" i="47"/>
  <c r="G60" i="35"/>
  <c r="L32" i="71"/>
  <c r="G33" i="80"/>
  <c r="H33" i="80" s="1"/>
  <c r="K19" i="74"/>
  <c r="L19" i="74" s="1"/>
  <c r="T18" i="65"/>
  <c r="G34" i="80"/>
  <c r="H34" i="80" s="1"/>
  <c r="L33" i="71"/>
  <c r="G45" i="34"/>
  <c r="L44" i="46"/>
  <c r="L54" i="49"/>
  <c r="G55" i="37"/>
  <c r="G23" i="34"/>
  <c r="L22" i="46"/>
  <c r="L26" i="49"/>
  <c r="G27" i="37"/>
  <c r="T67" i="68"/>
  <c r="K68" i="77"/>
  <c r="L68" i="77" s="1"/>
  <c r="K23" i="37"/>
  <c r="T22" i="49"/>
  <c r="G17" i="81"/>
  <c r="H17" i="81" s="1"/>
  <c r="L16" i="72"/>
  <c r="T51" i="49"/>
  <c r="K52" i="37"/>
  <c r="K67" i="37"/>
  <c r="T66" i="49"/>
  <c r="L15" i="47"/>
  <c r="G16" i="35"/>
  <c r="J73" i="47"/>
  <c r="G54" i="74"/>
  <c r="H54" i="74" s="1"/>
  <c r="L53" i="65"/>
  <c r="L45" i="66"/>
  <c r="G46" i="75"/>
  <c r="H46" i="75" s="1"/>
  <c r="K61" i="37"/>
  <c r="T60" i="49"/>
  <c r="G71" i="34"/>
  <c r="L70" i="46"/>
  <c r="L47" i="49"/>
  <c r="G48" i="37"/>
  <c r="K54" i="74"/>
  <c r="L54" i="74" s="1"/>
  <c r="T53" i="65"/>
  <c r="T35" i="69"/>
  <c r="K36" i="78"/>
  <c r="L36" i="78" s="1"/>
  <c r="G52" i="35"/>
  <c r="L51" i="47"/>
  <c r="K58" i="37"/>
  <c r="T57" i="49"/>
  <c r="G40" i="36"/>
  <c r="L39" i="48"/>
  <c r="G24" i="37"/>
  <c r="L23" i="49"/>
  <c r="T65" i="65"/>
  <c r="K66" i="74"/>
  <c r="L66" i="74" s="1"/>
  <c r="K20" i="82"/>
  <c r="L20" i="82" s="1"/>
  <c r="T19" i="73"/>
  <c r="T18" i="46"/>
  <c r="K19" i="34"/>
  <c r="K24" i="34"/>
  <c r="T23" i="46"/>
  <c r="G18" i="79"/>
  <c r="H18" i="79" s="1"/>
  <c r="L17" i="70"/>
  <c r="K34" i="75"/>
  <c r="L34" i="75" s="1"/>
  <c r="T33" i="66"/>
  <c r="T17" i="46"/>
  <c r="K18" i="34"/>
  <c r="G67" i="36"/>
  <c r="L66" i="48"/>
  <c r="L21" i="46"/>
  <c r="G22" i="34"/>
  <c r="L30" i="65"/>
  <c r="G31" i="74"/>
  <c r="H31" i="74" s="1"/>
  <c r="G44" i="79"/>
  <c r="H44" i="79" s="1"/>
  <c r="L43" i="70"/>
  <c r="L34" i="65"/>
  <c r="G35" i="74"/>
  <c r="H35" i="74" s="1"/>
  <c r="T58" i="71"/>
  <c r="K59" i="80"/>
  <c r="L59" i="80" s="1"/>
  <c r="T34" i="72"/>
  <c r="K35" i="81"/>
  <c r="L35" i="81" s="1"/>
  <c r="L25" i="66"/>
  <c r="G26" i="75"/>
  <c r="H26" i="75" s="1"/>
  <c r="G18" i="80"/>
  <c r="H18" i="80" s="1"/>
  <c r="L17" i="71"/>
  <c r="G32" i="75"/>
  <c r="H32" i="75" s="1"/>
  <c r="L31" i="66"/>
  <c r="T39" i="68"/>
  <c r="K40" i="77"/>
  <c r="L40" i="77" s="1"/>
  <c r="K31" i="75"/>
  <c r="L31" i="75" s="1"/>
  <c r="T30" i="66"/>
  <c r="K31" i="79"/>
  <c r="L31" i="79" s="1"/>
  <c r="T30" i="70"/>
  <c r="R73" i="67"/>
  <c r="T15" i="67"/>
  <c r="K16" i="76"/>
  <c r="K51" i="81"/>
  <c r="L51" i="81" s="1"/>
  <c r="T50" i="72"/>
  <c r="G23" i="81"/>
  <c r="H23" i="81" s="1"/>
  <c r="L22" i="72"/>
  <c r="G73" i="79"/>
  <c r="H73" i="79" s="1"/>
  <c r="L72" i="70"/>
  <c r="T47" i="71"/>
  <c r="K48" i="80"/>
  <c r="L48" i="80" s="1"/>
  <c r="T71" i="71"/>
  <c r="K72" i="80"/>
  <c r="L72" i="80" s="1"/>
  <c r="K53" i="76"/>
  <c r="L53" i="76" s="1"/>
  <c r="T52" i="67"/>
  <c r="G72" i="76"/>
  <c r="H72" i="76" s="1"/>
  <c r="L71" i="67"/>
  <c r="L17" i="69"/>
  <c r="G18" i="78"/>
  <c r="H18" i="78" s="1"/>
  <c r="T33" i="69"/>
  <c r="K34" i="78"/>
  <c r="L34" i="78" s="1"/>
  <c r="K21" i="75"/>
  <c r="L21" i="75" s="1"/>
  <c r="T20" i="66"/>
  <c r="T56" i="66"/>
  <c r="K57" i="75"/>
  <c r="L57" i="75" s="1"/>
  <c r="T21" i="67"/>
  <c r="K22" i="76"/>
  <c r="L22" i="76" s="1"/>
  <c r="G53" i="76"/>
  <c r="H53" i="76" s="1"/>
  <c r="L52" i="67"/>
  <c r="K27" i="82"/>
  <c r="L27" i="82" s="1"/>
  <c r="T26" i="73"/>
  <c r="G28" i="78"/>
  <c r="H28" i="78" s="1"/>
  <c r="L27" i="69"/>
  <c r="G61" i="75"/>
  <c r="H61" i="75" s="1"/>
  <c r="L60" i="66"/>
  <c r="K42" i="81"/>
  <c r="L42" i="81" s="1"/>
  <c r="T41" i="72"/>
  <c r="G68" i="80"/>
  <c r="H68" i="80" s="1"/>
  <c r="L67" i="71"/>
  <c r="K25" i="75"/>
  <c r="L25" i="75" s="1"/>
  <c r="T24" i="66"/>
  <c r="L18" i="73"/>
  <c r="G19" i="82"/>
  <c r="H19" i="82" s="1"/>
  <c r="G65" i="80"/>
  <c r="H65" i="80" s="1"/>
  <c r="L64" i="71"/>
  <c r="K46" i="82"/>
  <c r="L46" i="82" s="1"/>
  <c r="T45" i="73"/>
  <c r="G23" i="77"/>
  <c r="H23" i="77" s="1"/>
  <c r="L22" i="68"/>
  <c r="K39" i="76"/>
  <c r="L39" i="76" s="1"/>
  <c r="T38" i="67"/>
  <c r="T51" i="67"/>
  <c r="K52" i="76"/>
  <c r="L52" i="76" s="1"/>
  <c r="T57" i="71"/>
  <c r="K58" i="80"/>
  <c r="L58" i="80" s="1"/>
  <c r="L31" i="67"/>
  <c r="G32" i="76"/>
  <c r="H32" i="76" s="1"/>
  <c r="L48" i="67"/>
  <c r="G49" i="76"/>
  <c r="H49" i="76" s="1"/>
  <c r="L38" i="68"/>
  <c r="G39" i="77"/>
  <c r="H39" i="77" s="1"/>
  <c r="G16" i="80"/>
  <c r="L15" i="71"/>
  <c r="K28" i="76"/>
  <c r="L28" i="76" s="1"/>
  <c r="T27" i="67"/>
  <c r="G56" i="77"/>
  <c r="H56" i="77" s="1"/>
  <c r="L55" i="68"/>
  <c r="L60" i="72"/>
  <c r="G61" i="81"/>
  <c r="H61" i="81" s="1"/>
  <c r="T58" i="72"/>
  <c r="K59" i="81"/>
  <c r="L59" i="81" s="1"/>
  <c r="G50" i="79"/>
  <c r="H50" i="79" s="1"/>
  <c r="L49" i="70"/>
  <c r="T23" i="72"/>
  <c r="K24" i="81"/>
  <c r="L24" i="81" s="1"/>
  <c r="L52" i="69"/>
  <c r="G53" i="78"/>
  <c r="H53" i="78" s="1"/>
  <c r="K72" i="77"/>
  <c r="L72" i="77" s="1"/>
  <c r="T71" i="68"/>
  <c r="T62" i="66"/>
  <c r="K63" i="75"/>
  <c r="L63" i="75" s="1"/>
  <c r="K47" i="75"/>
  <c r="L47" i="75" s="1"/>
  <c r="T46" i="66"/>
  <c r="K61" i="76"/>
  <c r="L61" i="76" s="1"/>
  <c r="T60" i="67"/>
  <c r="G57" i="82"/>
  <c r="H57" i="82" s="1"/>
  <c r="L56" i="73"/>
  <c r="L72" i="67"/>
  <c r="G73" i="76"/>
  <c r="H73" i="76" s="1"/>
  <c r="L32" i="67"/>
  <c r="G33" i="76"/>
  <c r="H33" i="76" s="1"/>
  <c r="K24" i="76"/>
  <c r="L24" i="76" s="1"/>
  <c r="T23" i="67"/>
  <c r="L61" i="69"/>
  <c r="G62" i="78"/>
  <c r="H62" i="78" s="1"/>
  <c r="L63" i="72"/>
  <c r="G64" i="81"/>
  <c r="H64" i="81" s="1"/>
  <c r="K66" i="82"/>
  <c r="L66" i="82" s="1"/>
  <c r="T65" i="73"/>
  <c r="G23" i="79"/>
  <c r="H23" i="79" s="1"/>
  <c r="L22" i="70"/>
  <c r="G35" i="82"/>
  <c r="H35" i="82" s="1"/>
  <c r="L34" i="73"/>
  <c r="G64" i="78"/>
  <c r="H64" i="78" s="1"/>
  <c r="L63" i="69"/>
  <c r="K47" i="76"/>
  <c r="L47" i="76" s="1"/>
  <c r="T46" i="67"/>
  <c r="T16" i="66"/>
  <c r="K17" i="75"/>
  <c r="L17" i="75" s="1"/>
  <c r="T53" i="70"/>
  <c r="K54" i="79"/>
  <c r="L54" i="79" s="1"/>
  <c r="K49" i="34"/>
  <c r="T48" i="46"/>
  <c r="G46" i="79"/>
  <c r="H46" i="79" s="1"/>
  <c r="L45" i="70"/>
  <c r="T42" i="65"/>
  <c r="K43" i="74"/>
  <c r="L43" i="74" s="1"/>
  <c r="L45" i="48"/>
  <c r="G46" i="36"/>
  <c r="T71" i="49"/>
  <c r="K72" i="37"/>
  <c r="L25" i="46"/>
  <c r="G26" i="34"/>
  <c r="L38" i="48"/>
  <c r="G39" i="36"/>
  <c r="G20" i="80"/>
  <c r="H20" i="80" s="1"/>
  <c r="L19" i="71"/>
  <c r="K66" i="36"/>
  <c r="T65" i="48"/>
  <c r="L71" i="70"/>
  <c r="G72" i="79"/>
  <c r="H72" i="79" s="1"/>
  <c r="T15" i="48"/>
  <c r="R73" i="48"/>
  <c r="K16" i="36"/>
  <c r="T66" i="48"/>
  <c r="K67" i="36"/>
  <c r="G69" i="79"/>
  <c r="H69" i="79" s="1"/>
  <c r="L68" i="70"/>
  <c r="L33" i="67"/>
  <c r="G34" i="76"/>
  <c r="H34" i="76" s="1"/>
  <c r="T34" i="71"/>
  <c r="K35" i="80"/>
  <c r="L35" i="80" s="1"/>
  <c r="T65" i="71"/>
  <c r="K66" i="80"/>
  <c r="L66" i="80" s="1"/>
  <c r="G61" i="79"/>
  <c r="H61" i="79" s="1"/>
  <c r="L60" i="70"/>
  <c r="T46" i="69"/>
  <c r="K47" i="78"/>
  <c r="L47" i="78" s="1"/>
  <c r="L23" i="66"/>
  <c r="G24" i="75"/>
  <c r="H24" i="75" s="1"/>
  <c r="K50" i="75"/>
  <c r="L50" i="75" s="1"/>
  <c r="T49" i="66"/>
  <c r="L60" i="71"/>
  <c r="G61" i="80"/>
  <c r="H61" i="80" s="1"/>
  <c r="L48" i="73"/>
  <c r="G49" i="82"/>
  <c r="H49" i="82" s="1"/>
  <c r="L45" i="72"/>
  <c r="G46" i="81"/>
  <c r="H46" i="81" s="1"/>
  <c r="K52" i="80"/>
  <c r="L52" i="80" s="1"/>
  <c r="T51" i="71"/>
  <c r="T27" i="70"/>
  <c r="K28" i="79"/>
  <c r="L28" i="79" s="1"/>
  <c r="K51" i="78"/>
  <c r="L51" i="78" s="1"/>
  <c r="T50" i="69"/>
  <c r="K57" i="79"/>
  <c r="L57" i="79" s="1"/>
  <c r="T56" i="70"/>
  <c r="K23" i="81"/>
  <c r="L23" i="81" s="1"/>
  <c r="T22" i="72"/>
  <c r="K67" i="74"/>
  <c r="L67" i="74" s="1"/>
  <c r="T66" i="65"/>
  <c r="K67" i="76"/>
  <c r="L67" i="76" s="1"/>
  <c r="T66" i="67"/>
  <c r="K45" i="75"/>
  <c r="L45" i="75" s="1"/>
  <c r="T44" i="66"/>
  <c r="K32" i="79"/>
  <c r="L32" i="79" s="1"/>
  <c r="T31" i="70"/>
  <c r="G66" i="74"/>
  <c r="H66" i="74" s="1"/>
  <c r="L65" i="65"/>
  <c r="K67" i="78"/>
  <c r="L67" i="78" s="1"/>
  <c r="T66" i="69"/>
  <c r="G47" i="79"/>
  <c r="H47" i="79" s="1"/>
  <c r="L46" i="70"/>
  <c r="T21" i="73"/>
  <c r="K22" i="82"/>
  <c r="L22" i="82" s="1"/>
  <c r="T20" i="68"/>
  <c r="K21" i="77"/>
  <c r="L21" i="77" s="1"/>
  <c r="K49" i="80"/>
  <c r="L49" i="80" s="1"/>
  <c r="T48" i="71"/>
  <c r="T52" i="68"/>
  <c r="K53" i="77"/>
  <c r="L53" i="77" s="1"/>
  <c r="K49" i="79"/>
  <c r="L49" i="79" s="1"/>
  <c r="T48" i="70"/>
  <c r="G18" i="82"/>
  <c r="H18" i="82" s="1"/>
  <c r="L17" i="73"/>
  <c r="L55" i="72"/>
  <c r="G56" i="81"/>
  <c r="H56" i="81" s="1"/>
  <c r="K73" i="78"/>
  <c r="L73" i="78" s="1"/>
  <c r="T72" i="69"/>
  <c r="T16" i="70"/>
  <c r="K17" i="79"/>
  <c r="L17" i="79" s="1"/>
  <c r="T40" i="66"/>
  <c r="K41" i="75"/>
  <c r="L41" i="75" s="1"/>
  <c r="T40" i="70"/>
  <c r="K41" i="79"/>
  <c r="L41" i="79" s="1"/>
  <c r="K39" i="78"/>
  <c r="L39" i="78" s="1"/>
  <c r="T38" i="69"/>
  <c r="L42" i="72"/>
  <c r="G43" i="81"/>
  <c r="H43" i="81" s="1"/>
  <c r="G57" i="76"/>
  <c r="H57" i="76" s="1"/>
  <c r="L56" i="67"/>
  <c r="G29" i="76"/>
  <c r="H29" i="76" s="1"/>
  <c r="L28" i="67"/>
  <c r="K32" i="75"/>
  <c r="L32" i="75" s="1"/>
  <c r="T31" i="66"/>
  <c r="K49" i="78"/>
  <c r="L49" i="78" s="1"/>
  <c r="T48" i="69"/>
  <c r="K65" i="81"/>
  <c r="L65" i="81" s="1"/>
  <c r="T64" i="72"/>
  <c r="G25" i="82"/>
  <c r="H25" i="82" s="1"/>
  <c r="L24" i="73"/>
  <c r="G43" i="79"/>
  <c r="H43" i="79" s="1"/>
  <c r="L42" i="70"/>
  <c r="L30" i="73"/>
  <c r="G31" i="82"/>
  <c r="H31" i="82" s="1"/>
  <c r="L17" i="72"/>
  <c r="G18" i="81"/>
  <c r="H18" i="81" s="1"/>
  <c r="T47" i="70"/>
  <c r="K48" i="79"/>
  <c r="L48" i="79" s="1"/>
  <c r="K32" i="82"/>
  <c r="L32" i="82" s="1"/>
  <c r="T31" i="73"/>
  <c r="G69" i="34"/>
  <c r="L68" i="46"/>
  <c r="G56" i="37"/>
  <c r="L55" i="49"/>
  <c r="L64" i="68"/>
  <c r="G65" i="77"/>
  <c r="H65" i="77" s="1"/>
  <c r="T38" i="73"/>
  <c r="K39" i="82"/>
  <c r="L39" i="82" s="1"/>
  <c r="T57" i="48"/>
  <c r="K58" i="36"/>
  <c r="L40" i="48"/>
  <c r="G41" i="36"/>
  <c r="T40" i="48"/>
  <c r="K41" i="36"/>
  <c r="K41" i="34"/>
  <c r="T40" i="46"/>
  <c r="T61" i="48"/>
  <c r="K62" i="36"/>
  <c r="G49" i="36"/>
  <c r="L48" i="48"/>
  <c r="T63" i="49"/>
  <c r="K64" i="37"/>
  <c r="L35" i="49"/>
  <c r="G36" i="37"/>
  <c r="G67" i="35"/>
  <c r="L66" i="47"/>
  <c r="G24" i="34"/>
  <c r="L23" i="46"/>
  <c r="L57" i="47"/>
  <c r="G58" i="35"/>
  <c r="L63" i="70"/>
  <c r="G64" i="79"/>
  <c r="H64" i="79" s="1"/>
  <c r="L45" i="73"/>
  <c r="G46" i="82"/>
  <c r="H46" i="82" s="1"/>
  <c r="T36" i="65"/>
  <c r="K37" i="74"/>
  <c r="L37" i="74" s="1"/>
  <c r="L55" i="48"/>
  <c r="G56" i="36"/>
  <c r="K51" i="34"/>
  <c r="T50" i="46"/>
  <c r="G59" i="81"/>
  <c r="H59" i="81" s="1"/>
  <c r="L58" i="72"/>
  <c r="L68" i="47"/>
  <c r="G69" i="35"/>
  <c r="G52" i="77"/>
  <c r="H52" i="77" s="1"/>
  <c r="L51" i="68"/>
  <c r="L53" i="47"/>
  <c r="G54" i="35"/>
  <c r="T38" i="49"/>
  <c r="K39" i="37"/>
  <c r="K31" i="36"/>
  <c r="T30" i="48"/>
  <c r="G52" i="34"/>
  <c r="L51" i="46"/>
  <c r="G60" i="36"/>
  <c r="L59" i="48"/>
  <c r="L22" i="47"/>
  <c r="G23" i="35"/>
  <c r="L27" i="47"/>
  <c r="G28" i="35"/>
  <c r="K41" i="37"/>
  <c r="T40" i="49"/>
  <c r="G18" i="34"/>
  <c r="L17" i="46"/>
  <c r="G47" i="36"/>
  <c r="L46" i="48"/>
  <c r="K32" i="34"/>
  <c r="T31" i="46"/>
  <c r="L28" i="47"/>
  <c r="G29" i="35"/>
  <c r="T50" i="49"/>
  <c r="K51" i="37"/>
  <c r="G32" i="74"/>
  <c r="H32" i="74" s="1"/>
  <c r="L31" i="65"/>
  <c r="G70" i="34"/>
  <c r="L69" i="46"/>
  <c r="L23" i="47"/>
  <c r="G24" i="35"/>
  <c r="T30" i="46"/>
  <c r="K31" i="34"/>
  <c r="G60" i="37"/>
  <c r="L59" i="49"/>
  <c r="G60" i="76"/>
  <c r="H60" i="76" s="1"/>
  <c r="L59" i="67"/>
  <c r="K58" i="81"/>
  <c r="L58" i="81" s="1"/>
  <c r="T57" i="72"/>
  <c r="T33" i="65"/>
  <c r="K34" i="74"/>
  <c r="L34" i="74" s="1"/>
  <c r="G67" i="34"/>
  <c r="L66" i="46"/>
  <c r="K33" i="34"/>
  <c r="T32" i="46"/>
  <c r="G21" i="35"/>
  <c r="L20" i="47"/>
  <c r="G32" i="37"/>
  <c r="L31" i="49"/>
  <c r="T64" i="70"/>
  <c r="K65" i="79"/>
  <c r="L65" i="79" s="1"/>
  <c r="T36" i="71"/>
  <c r="K37" i="80"/>
  <c r="L37" i="80" s="1"/>
  <c r="L54" i="47"/>
  <c r="G55" i="35"/>
  <c r="T58" i="46"/>
  <c r="K59" i="34"/>
  <c r="L15" i="46"/>
  <c r="G16" i="34"/>
  <c r="H16" i="34" s="1"/>
  <c r="J73" i="46"/>
  <c r="L50" i="71"/>
  <c r="G51" i="80"/>
  <c r="H51" i="80" s="1"/>
  <c r="T63" i="67"/>
  <c r="K64" i="76"/>
  <c r="L64" i="76" s="1"/>
  <c r="T72" i="49"/>
  <c r="K73" i="37"/>
  <c r="T52" i="49"/>
  <c r="K53" i="37"/>
  <c r="T29" i="73"/>
  <c r="K30" i="82"/>
  <c r="L30" i="82" s="1"/>
  <c r="K24" i="78"/>
  <c r="L24" i="78" s="1"/>
  <c r="T23" i="69"/>
  <c r="L71" i="47"/>
  <c r="G72" i="35"/>
  <c r="L56" i="70"/>
  <c r="G57" i="79"/>
  <c r="H57" i="79" s="1"/>
  <c r="K20" i="37"/>
  <c r="T19" i="49"/>
  <c r="L67" i="48"/>
  <c r="G68" i="36"/>
  <c r="G38" i="37"/>
  <c r="L37" i="49"/>
  <c r="K59" i="82"/>
  <c r="L59" i="82" s="1"/>
  <c r="T58" i="73"/>
  <c r="G53" i="81"/>
  <c r="H53" i="81" s="1"/>
  <c r="L52" i="72"/>
  <c r="G46" i="37"/>
  <c r="L45" i="49"/>
  <c r="G42" i="35"/>
  <c r="L41" i="47"/>
  <c r="K17" i="36"/>
  <c r="T16" i="48"/>
  <c r="T34" i="49"/>
  <c r="K35" i="37"/>
  <c r="L51" i="65"/>
  <c r="G52" i="74"/>
  <c r="H52" i="74" s="1"/>
  <c r="L52" i="66"/>
  <c r="G53" i="75"/>
  <c r="H53" i="75" s="1"/>
  <c r="G17" i="34"/>
  <c r="L16" i="46"/>
  <c r="T69" i="46"/>
  <c r="K70" i="34"/>
  <c r="L69" i="48"/>
  <c r="G70" i="36"/>
  <c r="G44" i="37"/>
  <c r="L43" i="49"/>
  <c r="L57" i="67"/>
  <c r="G58" i="76"/>
  <c r="H58" i="76" s="1"/>
  <c r="K68" i="79"/>
  <c r="L68" i="79" s="1"/>
  <c r="T67" i="70"/>
  <c r="T30" i="72"/>
  <c r="K31" i="81"/>
  <c r="L31" i="81" s="1"/>
  <c r="G39" i="34"/>
  <c r="L38" i="46"/>
  <c r="L26" i="47"/>
  <c r="G27" i="35"/>
  <c r="L36" i="48"/>
  <c r="G37" i="36"/>
  <c r="G49" i="80"/>
  <c r="H49" i="80" s="1"/>
  <c r="L48" i="71"/>
  <c r="L57" i="65"/>
  <c r="G58" i="74"/>
  <c r="H58" i="74" s="1"/>
  <c r="T58" i="69"/>
  <c r="K59" i="78"/>
  <c r="L59" i="78" s="1"/>
  <c r="G54" i="75"/>
  <c r="H54" i="75" s="1"/>
  <c r="L53" i="66"/>
  <c r="L69" i="65"/>
  <c r="G70" i="74"/>
  <c r="H70" i="74" s="1"/>
  <c r="T67" i="71"/>
  <c r="K68" i="80"/>
  <c r="L68" i="80" s="1"/>
  <c r="K40" i="78"/>
  <c r="L40" i="78" s="1"/>
  <c r="T39" i="69"/>
  <c r="T63" i="72"/>
  <c r="K64" i="81"/>
  <c r="L64" i="81" s="1"/>
  <c r="L36" i="65"/>
  <c r="G37" i="74"/>
  <c r="H37" i="74" s="1"/>
  <c r="T27" i="72"/>
  <c r="K28" i="81"/>
  <c r="L28" i="81" s="1"/>
  <c r="G41" i="82"/>
  <c r="H41" i="82" s="1"/>
  <c r="L40" i="73"/>
  <c r="G30" i="80"/>
  <c r="H30" i="80" s="1"/>
  <c r="L29" i="71"/>
  <c r="G58" i="77"/>
  <c r="H58" i="77" s="1"/>
  <c r="L57" i="68"/>
  <c r="K44" i="75"/>
  <c r="L44" i="75" s="1"/>
  <c r="T43" i="66"/>
  <c r="K20" i="79"/>
  <c r="L20" i="79" s="1"/>
  <c r="T19" i="70"/>
  <c r="K33" i="82"/>
  <c r="L33" i="82" s="1"/>
  <c r="T32" i="73"/>
  <c r="L39" i="73"/>
  <c r="G40" i="82"/>
  <c r="H40" i="82" s="1"/>
  <c r="L70" i="67"/>
  <c r="G71" i="76"/>
  <c r="H71" i="76" s="1"/>
  <c r="G39" i="81"/>
  <c r="H39" i="81" s="1"/>
  <c r="L38" i="72"/>
  <c r="L31" i="72"/>
  <c r="G32" i="81"/>
  <c r="H32" i="81" s="1"/>
  <c r="K30" i="79"/>
  <c r="L30" i="79" s="1"/>
  <c r="T29" i="70"/>
  <c r="K64" i="80"/>
  <c r="L64" i="80" s="1"/>
  <c r="T63" i="71"/>
  <c r="L43" i="71"/>
  <c r="G44" i="80"/>
  <c r="H44" i="80" s="1"/>
  <c r="G25" i="74"/>
  <c r="H25" i="74" s="1"/>
  <c r="L24" i="65"/>
  <c r="K71" i="79"/>
  <c r="L71" i="79" s="1"/>
  <c r="T70" i="70"/>
  <c r="T26" i="70"/>
  <c r="K27" i="79"/>
  <c r="L27" i="79" s="1"/>
  <c r="K23" i="78"/>
  <c r="L23" i="78" s="1"/>
  <c r="T22" i="69"/>
  <c r="K27" i="75"/>
  <c r="L27" i="75" s="1"/>
  <c r="T26" i="66"/>
  <c r="K38" i="75"/>
  <c r="L38" i="75" s="1"/>
  <c r="T37" i="66"/>
  <c r="K70" i="76"/>
  <c r="L70" i="76" s="1"/>
  <c r="T69" i="67"/>
  <c r="K67" i="79"/>
  <c r="L67" i="79" s="1"/>
  <c r="T66" i="70"/>
  <c r="T34" i="73"/>
  <c r="K35" i="82"/>
  <c r="L35" i="82" s="1"/>
  <c r="G22" i="80"/>
  <c r="H22" i="80" s="1"/>
  <c r="L21" i="71"/>
  <c r="L68" i="67"/>
  <c r="G69" i="76"/>
  <c r="H69" i="76" s="1"/>
  <c r="T60" i="68"/>
  <c r="K61" i="77"/>
  <c r="L61" i="77" s="1"/>
  <c r="T24" i="68"/>
  <c r="K25" i="77"/>
  <c r="L25" i="77" s="1"/>
  <c r="K57" i="82"/>
  <c r="L57" i="82" s="1"/>
  <c r="T56" i="73"/>
  <c r="L60" i="67"/>
  <c r="G61" i="76"/>
  <c r="H61" i="76" s="1"/>
  <c r="T34" i="69"/>
  <c r="K35" i="78"/>
  <c r="L35" i="78" s="1"/>
  <c r="L21" i="70"/>
  <c r="G22" i="79"/>
  <c r="H22" i="79" s="1"/>
  <c r="L49" i="73"/>
  <c r="G50" i="82"/>
  <c r="H50" i="82" s="1"/>
  <c r="T39" i="66"/>
  <c r="K40" i="75"/>
  <c r="L40" i="75" s="1"/>
  <c r="G31" i="78"/>
  <c r="H31" i="78" s="1"/>
  <c r="L30" i="69"/>
  <c r="T32" i="68"/>
  <c r="K33" i="77"/>
  <c r="L33" i="77" s="1"/>
  <c r="T21" i="68"/>
  <c r="K22" i="77"/>
  <c r="L22" i="77" s="1"/>
  <c r="L63" i="67"/>
  <c r="G64" i="76"/>
  <c r="H64" i="76" s="1"/>
  <c r="L62" i="68"/>
  <c r="G63" i="77"/>
  <c r="H63" i="77" s="1"/>
  <c r="G51" i="81"/>
  <c r="H51" i="81" s="1"/>
  <c r="L50" i="72"/>
  <c r="L47" i="68"/>
  <c r="G48" i="77"/>
  <c r="H48" i="77" s="1"/>
  <c r="T69" i="70"/>
  <c r="K70" i="79"/>
  <c r="L70" i="79" s="1"/>
  <c r="L71" i="72"/>
  <c r="G72" i="81"/>
  <c r="H72" i="81" s="1"/>
  <c r="T19" i="72"/>
  <c r="K20" i="81"/>
  <c r="L20" i="81" s="1"/>
  <c r="K28" i="80"/>
  <c r="L28" i="80" s="1"/>
  <c r="T27" i="71"/>
  <c r="L43" i="73"/>
  <c r="G44" i="82"/>
  <c r="H44" i="82" s="1"/>
  <c r="G47" i="78"/>
  <c r="H47" i="78" s="1"/>
  <c r="L46" i="69"/>
  <c r="G72" i="75"/>
  <c r="H72" i="75" s="1"/>
  <c r="L71" i="66"/>
  <c r="T67" i="66"/>
  <c r="K68" i="75"/>
  <c r="L68" i="75" s="1"/>
  <c r="K24" i="82"/>
  <c r="L24" i="82" s="1"/>
  <c r="T23" i="73"/>
  <c r="G61" i="78"/>
  <c r="H61" i="78" s="1"/>
  <c r="L60" i="69"/>
  <c r="K47" i="82"/>
  <c r="L47" i="82" s="1"/>
  <c r="T46" i="73"/>
  <c r="K51" i="77"/>
  <c r="L51" i="77" s="1"/>
  <c r="T50" i="68"/>
  <c r="G37" i="76"/>
  <c r="H37" i="76" s="1"/>
  <c r="L36" i="67"/>
  <c r="K65" i="78"/>
  <c r="L65" i="78" s="1"/>
  <c r="T64" i="69"/>
  <c r="G21" i="79"/>
  <c r="H21" i="79" s="1"/>
  <c r="L20" i="70"/>
  <c r="T63" i="73"/>
  <c r="K64" i="82"/>
  <c r="L64" i="82" s="1"/>
  <c r="L64" i="48"/>
  <c r="G65" i="36"/>
  <c r="L69" i="68"/>
  <c r="G70" i="77"/>
  <c r="H70" i="77" s="1"/>
  <c r="G60" i="82"/>
  <c r="H60" i="82" s="1"/>
  <c r="L59" i="73"/>
  <c r="G23" i="75"/>
  <c r="H23" i="75" s="1"/>
  <c r="L22" i="66"/>
  <c r="K26" i="36"/>
  <c r="T25" i="48"/>
  <c r="K43" i="77"/>
  <c r="L43" i="77" s="1"/>
  <c r="T42" i="68"/>
  <c r="K31" i="76"/>
  <c r="L31" i="76" s="1"/>
  <c r="T30" i="67"/>
  <c r="L27" i="46"/>
  <c r="G28" i="34"/>
  <c r="L39" i="66"/>
  <c r="G40" i="75"/>
  <c r="H40" i="75" s="1"/>
  <c r="L15" i="69"/>
  <c r="G16" i="78"/>
  <c r="T66" i="73"/>
  <c r="K67" i="82"/>
  <c r="L67" i="82" s="1"/>
  <c r="G60" i="34"/>
  <c r="L59" i="46"/>
  <c r="K58" i="34"/>
  <c r="T57" i="46"/>
  <c r="K57" i="34"/>
  <c r="T56" i="46"/>
  <c r="G48" i="36"/>
  <c r="L47" i="48"/>
  <c r="T44" i="48"/>
  <c r="K45" i="36"/>
  <c r="K20" i="34"/>
  <c r="T19" i="46"/>
  <c r="G66" i="35"/>
  <c r="L65" i="47"/>
  <c r="G44" i="35"/>
  <c r="L43" i="47"/>
  <c r="K21" i="36"/>
  <c r="T20" i="48"/>
  <c r="G40" i="37"/>
  <c r="L39" i="49"/>
  <c r="T63" i="65"/>
  <c r="K64" i="74"/>
  <c r="L64" i="74" s="1"/>
  <c r="G45" i="36"/>
  <c r="L44" i="48"/>
  <c r="G43" i="35"/>
  <c r="L42" i="47"/>
  <c r="K56" i="36"/>
  <c r="T55" i="48"/>
  <c r="L26" i="70"/>
  <c r="G27" i="79"/>
  <c r="H27" i="79" s="1"/>
  <c r="L43" i="68"/>
  <c r="G44" i="77"/>
  <c r="H44" i="77" s="1"/>
  <c r="G59" i="76"/>
  <c r="H59" i="76" s="1"/>
  <c r="L58" i="67"/>
  <c r="L72" i="48"/>
  <c r="G73" i="36"/>
  <c r="L63" i="48"/>
  <c r="G64" i="36"/>
  <c r="L51" i="48"/>
  <c r="G52" i="36"/>
  <c r="G55" i="82"/>
  <c r="H55" i="82" s="1"/>
  <c r="L54" i="73"/>
  <c r="G66" i="81"/>
  <c r="H66" i="81" s="1"/>
  <c r="L65" i="72"/>
  <c r="G70" i="35"/>
  <c r="L69" i="47"/>
  <c r="T45" i="46"/>
  <c r="K46" i="34"/>
  <c r="G51" i="77"/>
  <c r="H51" i="77" s="1"/>
  <c r="L50" i="68"/>
  <c r="T61" i="67"/>
  <c r="K62" i="76"/>
  <c r="L62" i="76" s="1"/>
  <c r="G34" i="37"/>
  <c r="L33" i="49"/>
  <c r="T35" i="48"/>
  <c r="K36" i="36"/>
  <c r="K66" i="34"/>
  <c r="T65" i="46"/>
  <c r="T38" i="72"/>
  <c r="K39" i="81"/>
  <c r="L39" i="81" s="1"/>
  <c r="G39" i="76"/>
  <c r="H39" i="76" s="1"/>
  <c r="L38" i="67"/>
  <c r="T18" i="48"/>
  <c r="K19" i="36"/>
  <c r="T34" i="46"/>
  <c r="K35" i="34"/>
  <c r="K19" i="37"/>
  <c r="T18" i="49"/>
  <c r="G46" i="34"/>
  <c r="L45" i="46"/>
  <c r="G51" i="37"/>
  <c r="L50" i="49"/>
  <c r="T32" i="67"/>
  <c r="K33" i="76"/>
  <c r="L33" i="76" s="1"/>
  <c r="K24" i="77"/>
  <c r="L24" i="77" s="1"/>
  <c r="T23" i="68"/>
  <c r="G30" i="37"/>
  <c r="L29" i="49"/>
  <c r="L46" i="46"/>
  <c r="G47" i="34"/>
  <c r="T39" i="46"/>
  <c r="K40" i="34"/>
  <c r="K39" i="36"/>
  <c r="T38" i="48"/>
  <c r="G73" i="74"/>
  <c r="H73" i="74" s="1"/>
  <c r="L72" i="65"/>
  <c r="G71" i="77"/>
  <c r="H71" i="77" s="1"/>
  <c r="L70" i="68"/>
  <c r="G20" i="36"/>
  <c r="L19" i="48"/>
  <c r="G41" i="34"/>
  <c r="L40" i="46"/>
  <c r="L59" i="65"/>
  <c r="G60" i="74"/>
  <c r="H60" i="74" s="1"/>
  <c r="G19" i="76"/>
  <c r="H19" i="76" s="1"/>
  <c r="L18" i="67"/>
  <c r="L61" i="48"/>
  <c r="G62" i="36"/>
  <c r="G50" i="80"/>
  <c r="H50" i="80" s="1"/>
  <c r="L49" i="71"/>
  <c r="K35" i="36"/>
  <c r="T34" i="48"/>
  <c r="K37" i="34"/>
  <c r="T36" i="46"/>
  <c r="L32" i="65"/>
  <c r="G33" i="74"/>
  <c r="H33" i="74" s="1"/>
  <c r="G42" i="78"/>
  <c r="H42" i="78" s="1"/>
  <c r="L41" i="69"/>
  <c r="L43" i="65"/>
  <c r="G44" i="74"/>
  <c r="H44" i="74" s="1"/>
  <c r="T30" i="65"/>
  <c r="K31" i="74"/>
  <c r="L31" i="74" s="1"/>
  <c r="L72" i="69"/>
  <c r="G73" i="78"/>
  <c r="H73" i="78" s="1"/>
  <c r="G31" i="77"/>
  <c r="H31" i="77" s="1"/>
  <c r="L30" i="68"/>
  <c r="T34" i="66"/>
  <c r="K35" i="75"/>
  <c r="L35" i="75" s="1"/>
  <c r="T47" i="67"/>
  <c r="K48" i="76"/>
  <c r="L48" i="76" s="1"/>
  <c r="T61" i="72"/>
  <c r="K62" i="81"/>
  <c r="L62" i="81" s="1"/>
  <c r="T48" i="65"/>
  <c r="K49" i="74"/>
  <c r="L49" i="74" s="1"/>
  <c r="L48" i="69"/>
  <c r="G49" i="78"/>
  <c r="H49" i="78" s="1"/>
  <c r="K65" i="76"/>
  <c r="L65" i="76" s="1"/>
  <c r="T64" i="67"/>
  <c r="K57" i="74"/>
  <c r="L57" i="74" s="1"/>
  <c r="T56" i="65"/>
  <c r="T71" i="69"/>
  <c r="K72" i="78"/>
  <c r="L72" i="78" s="1"/>
  <c r="K22" i="75"/>
  <c r="L22" i="75" s="1"/>
  <c r="T21" i="66"/>
  <c r="K36" i="77"/>
  <c r="L36" i="77" s="1"/>
  <c r="T35" i="68"/>
  <c r="G51" i="82"/>
  <c r="H51" i="82" s="1"/>
  <c r="L50" i="73"/>
  <c r="L66" i="73"/>
  <c r="G67" i="82"/>
  <c r="H67" i="82" s="1"/>
  <c r="G34" i="77"/>
  <c r="H34" i="77" s="1"/>
  <c r="L33" i="68"/>
  <c r="T38" i="65"/>
  <c r="K39" i="74"/>
  <c r="L39" i="74" s="1"/>
  <c r="T49" i="67"/>
  <c r="K50" i="76"/>
  <c r="L50" i="76" s="1"/>
  <c r="T28" i="68"/>
  <c r="K29" i="77"/>
  <c r="L29" i="77" s="1"/>
  <c r="T20" i="69"/>
  <c r="K21" i="78"/>
  <c r="L21" i="78" s="1"/>
  <c r="T57" i="68"/>
  <c r="K58" i="77"/>
  <c r="L58" i="77" s="1"/>
  <c r="L72" i="68"/>
  <c r="G73" i="77"/>
  <c r="H73" i="77" s="1"/>
  <c r="T69" i="72"/>
  <c r="K70" i="81"/>
  <c r="L70" i="81" s="1"/>
  <c r="T50" i="73"/>
  <c r="K51" i="82"/>
  <c r="L51" i="82" s="1"/>
  <c r="K18" i="80"/>
  <c r="L18" i="80" s="1"/>
  <c r="T17" i="71"/>
  <c r="K24" i="80"/>
  <c r="L24" i="80" s="1"/>
  <c r="T23" i="71"/>
  <c r="L51" i="71"/>
  <c r="G52" i="80"/>
  <c r="H52" i="80" s="1"/>
  <c r="T23" i="65"/>
  <c r="K24" i="74"/>
  <c r="L24" i="74" s="1"/>
  <c r="T57" i="66"/>
  <c r="K58" i="75"/>
  <c r="L58" i="75" s="1"/>
  <c r="L33" i="70"/>
  <c r="G34" i="79"/>
  <c r="H34" i="79" s="1"/>
  <c r="L55" i="70"/>
  <c r="G56" i="79"/>
  <c r="H56" i="79" s="1"/>
  <c r="T53" i="67"/>
  <c r="K54" i="76"/>
  <c r="L54" i="76" s="1"/>
  <c r="T47" i="68"/>
  <c r="K48" i="77"/>
  <c r="L48" i="77" s="1"/>
  <c r="L39" i="69"/>
  <c r="G40" i="78"/>
  <c r="H40" i="78" s="1"/>
  <c r="T57" i="73"/>
  <c r="K58" i="82"/>
  <c r="L58" i="82" s="1"/>
  <c r="G27" i="80"/>
  <c r="H27" i="80" s="1"/>
  <c r="L26" i="71"/>
  <c r="G24" i="82"/>
  <c r="H24" i="82" s="1"/>
  <c r="L23" i="73"/>
  <c r="G55" i="81"/>
  <c r="H55" i="81" s="1"/>
  <c r="L54" i="72"/>
  <c r="T19" i="67"/>
  <c r="K20" i="76"/>
  <c r="L20" i="76" s="1"/>
  <c r="T65" i="67"/>
  <c r="K66" i="76"/>
  <c r="L66" i="76" s="1"/>
  <c r="T33" i="71"/>
  <c r="K34" i="80"/>
  <c r="L34" i="80" s="1"/>
  <c r="K46" i="74"/>
  <c r="L46" i="74" s="1"/>
  <c r="T45" i="65"/>
  <c r="K42" i="78"/>
  <c r="L42" i="78" s="1"/>
  <c r="T41" i="69"/>
  <c r="K31" i="80"/>
  <c r="L31" i="80" s="1"/>
  <c r="T30" i="71"/>
  <c r="G46" i="76"/>
  <c r="H46" i="76" s="1"/>
  <c r="L45" i="67"/>
  <c r="T33" i="70"/>
  <c r="K34" i="79"/>
  <c r="L34" i="79" s="1"/>
  <c r="T16" i="69"/>
  <c r="K17" i="78"/>
  <c r="L17" i="78" s="1"/>
  <c r="K20" i="77"/>
  <c r="L20" i="77" s="1"/>
  <c r="T19" i="68"/>
  <c r="K30" i="77"/>
  <c r="L30" i="77" s="1"/>
  <c r="T29" i="68"/>
  <c r="L66" i="67"/>
  <c r="G67" i="76"/>
  <c r="H67" i="76" s="1"/>
  <c r="L28" i="68"/>
  <c r="G29" i="77"/>
  <c r="H29" i="77" s="1"/>
  <c r="L46" i="72"/>
  <c r="G47" i="81"/>
  <c r="H47" i="81" s="1"/>
  <c r="T15" i="68"/>
  <c r="K16" i="77"/>
  <c r="R73" i="68"/>
  <c r="T39" i="70"/>
  <c r="K40" i="79"/>
  <c r="L40" i="79" s="1"/>
  <c r="K68" i="82"/>
  <c r="L68" i="82" s="1"/>
  <c r="T67" i="73"/>
  <c r="L58" i="73"/>
  <c r="G59" i="82"/>
  <c r="H59" i="82" s="1"/>
  <c r="G26" i="77"/>
  <c r="H26" i="77" s="1"/>
  <c r="L25" i="68"/>
  <c r="T49" i="73"/>
  <c r="K50" i="82"/>
  <c r="L50" i="82" s="1"/>
  <c r="G59" i="78"/>
  <c r="H59" i="78" s="1"/>
  <c r="L58" i="69"/>
  <c r="L32" i="66"/>
  <c r="G33" i="75"/>
  <c r="H33" i="75" s="1"/>
  <c r="G20" i="75"/>
  <c r="H20" i="75" s="1"/>
  <c r="L19" i="66"/>
  <c r="K17" i="77"/>
  <c r="L17" i="77" s="1"/>
  <c r="T16" i="68"/>
  <c r="T21" i="69"/>
  <c r="K22" i="78"/>
  <c r="L22" i="78" s="1"/>
  <c r="L17" i="49"/>
  <c r="G18" i="37"/>
  <c r="L67" i="47"/>
  <c r="G68" i="35"/>
  <c r="T71" i="72"/>
  <c r="K72" i="81"/>
  <c r="L72" i="81" s="1"/>
  <c r="T20" i="49"/>
  <c r="K21" i="37"/>
  <c r="T41" i="48"/>
  <c r="K42" i="36"/>
  <c r="T59" i="68"/>
  <c r="K60" i="77"/>
  <c r="L60" i="77" s="1"/>
  <c r="K25" i="34"/>
  <c r="T24" i="46"/>
  <c r="T60" i="46"/>
  <c r="K61" i="34"/>
  <c r="K43" i="37"/>
  <c r="T42" i="49"/>
  <c r="T45" i="66"/>
  <c r="K46" i="75"/>
  <c r="L46" i="75" s="1"/>
  <c r="T37" i="68"/>
  <c r="K38" i="77"/>
  <c r="L38" i="77" s="1"/>
  <c r="G61" i="37"/>
  <c r="L60" i="49"/>
  <c r="L72" i="66"/>
  <c r="G73" i="75"/>
  <c r="H73" i="75" s="1"/>
  <c r="L63" i="68"/>
  <c r="G64" i="77"/>
  <c r="H64" i="77" s="1"/>
  <c r="T49" i="69"/>
  <c r="K50" i="78"/>
  <c r="L50" i="78" s="1"/>
  <c r="T60" i="73"/>
  <c r="K61" i="82"/>
  <c r="L61" i="82" s="1"/>
  <c r="T59" i="66"/>
  <c r="K60" i="75"/>
  <c r="L60" i="75" s="1"/>
  <c r="T62" i="73"/>
  <c r="K63" i="82"/>
  <c r="L63" i="82" s="1"/>
  <c r="L49" i="48"/>
  <c r="G50" i="36"/>
  <c r="L49" i="47"/>
  <c r="G50" i="35"/>
  <c r="L15" i="49"/>
  <c r="G16" i="37"/>
  <c r="K26" i="34"/>
  <c r="T25" i="46"/>
  <c r="T25" i="69"/>
  <c r="K26" i="78"/>
  <c r="L26" i="78" s="1"/>
  <c r="L42" i="49"/>
  <c r="G43" i="37"/>
  <c r="G35" i="36"/>
  <c r="L34" i="48"/>
  <c r="G37" i="35"/>
  <c r="L36" i="47"/>
  <c r="L38" i="47"/>
  <c r="G39" i="35"/>
  <c r="G47" i="37"/>
  <c r="L46" i="49"/>
  <c r="L61" i="65"/>
  <c r="G62" i="74"/>
  <c r="H62" i="74" s="1"/>
  <c r="K54" i="82"/>
  <c r="L54" i="82" s="1"/>
  <c r="T53" i="73"/>
  <c r="K40" i="37"/>
  <c r="T39" i="49"/>
  <c r="L57" i="48"/>
  <c r="G58" i="36"/>
  <c r="K44" i="34"/>
  <c r="T43" i="46"/>
  <c r="K48" i="74"/>
  <c r="L48" i="74" s="1"/>
  <c r="T47" i="65"/>
  <c r="T58" i="70"/>
  <c r="K59" i="79"/>
  <c r="L59" i="79" s="1"/>
  <c r="L60" i="48"/>
  <c r="G61" i="36"/>
  <c r="T17" i="65"/>
  <c r="K18" i="74"/>
  <c r="L18" i="74" s="1"/>
  <c r="T31" i="49"/>
  <c r="K32" i="37"/>
  <c r="T52" i="48"/>
  <c r="K53" i="36"/>
  <c r="L24" i="47"/>
  <c r="G25" i="35"/>
  <c r="L58" i="65"/>
  <c r="G59" i="74"/>
  <c r="H59" i="74" s="1"/>
  <c r="L26" i="72"/>
  <c r="G27" i="81"/>
  <c r="H27" i="81" s="1"/>
  <c r="G45" i="77"/>
  <c r="H45" i="77" s="1"/>
  <c r="L44" i="68"/>
  <c r="T22" i="46"/>
  <c r="K23" i="34"/>
  <c r="K55" i="36"/>
  <c r="T54" i="48"/>
  <c r="L44" i="49"/>
  <c r="G45" i="37"/>
  <c r="G31" i="80"/>
  <c r="H31" i="80" s="1"/>
  <c r="L30" i="71"/>
  <c r="K30" i="76"/>
  <c r="L30" i="76" s="1"/>
  <c r="T29" i="67"/>
  <c r="T26" i="65"/>
  <c r="K27" i="74"/>
  <c r="L27" i="74" s="1"/>
  <c r="G63" i="36"/>
  <c r="L62" i="48"/>
  <c r="T51" i="48"/>
  <c r="K52" i="36"/>
  <c r="K55" i="82"/>
  <c r="L55" i="82" s="1"/>
  <c r="T54" i="73"/>
  <c r="T44" i="69"/>
  <c r="K45" i="78"/>
  <c r="L45" i="78" s="1"/>
  <c r="L25" i="48"/>
  <c r="G26" i="36"/>
  <c r="L37" i="47"/>
  <c r="G38" i="35"/>
  <c r="L25" i="47"/>
  <c r="G26" i="35"/>
  <c r="L62" i="47"/>
  <c r="G63" i="35"/>
  <c r="G73" i="37"/>
  <c r="L72" i="49"/>
  <c r="G41" i="79"/>
  <c r="H41" i="79" s="1"/>
  <c r="L40" i="70"/>
  <c r="K33" i="81"/>
  <c r="L33" i="81" s="1"/>
  <c r="T32" i="72"/>
  <c r="T29" i="48"/>
  <c r="K30" i="36"/>
  <c r="K47" i="34"/>
  <c r="T46" i="46"/>
  <c r="L40" i="65"/>
  <c r="G41" i="74"/>
  <c r="H41" i="74" s="1"/>
  <c r="L55" i="67"/>
  <c r="G56" i="76"/>
  <c r="H56" i="76" s="1"/>
  <c r="K72" i="76"/>
  <c r="L72" i="76" s="1"/>
  <c r="T71" i="67"/>
  <c r="T49" i="49"/>
  <c r="K50" i="37"/>
  <c r="T48" i="48"/>
  <c r="K49" i="36"/>
  <c r="L35" i="65"/>
  <c r="G36" i="74"/>
  <c r="H36" i="74" s="1"/>
  <c r="K34" i="77"/>
  <c r="L34" i="77" s="1"/>
  <c r="T33" i="68"/>
  <c r="T54" i="46"/>
  <c r="K55" i="34"/>
  <c r="T51" i="73"/>
  <c r="K52" i="82"/>
  <c r="L52" i="82" s="1"/>
  <c r="K49" i="37"/>
  <c r="T48" i="49"/>
  <c r="L53" i="46"/>
  <c r="G54" i="34"/>
  <c r="T72" i="65"/>
  <c r="K73" i="74"/>
  <c r="L73" i="74" s="1"/>
  <c r="L57" i="66"/>
  <c r="G58" i="75"/>
  <c r="H58" i="75" s="1"/>
  <c r="T19" i="65"/>
  <c r="K20" i="74"/>
  <c r="L20" i="74" s="1"/>
  <c r="T30" i="68"/>
  <c r="K31" i="77"/>
  <c r="L31" i="77" s="1"/>
  <c r="K51" i="80"/>
  <c r="L51" i="80" s="1"/>
  <c r="T50" i="71"/>
  <c r="K67" i="80"/>
  <c r="L67" i="80" s="1"/>
  <c r="T66" i="71"/>
  <c r="K58" i="79"/>
  <c r="L58" i="79" s="1"/>
  <c r="T57" i="70"/>
  <c r="L53" i="71"/>
  <c r="G54" i="80"/>
  <c r="H54" i="80" s="1"/>
  <c r="T19" i="69"/>
  <c r="K20" i="78"/>
  <c r="L20" i="78" s="1"/>
  <c r="T27" i="65"/>
  <c r="K28" i="74"/>
  <c r="L28" i="74" s="1"/>
  <c r="T62" i="65"/>
  <c r="K63" i="74"/>
  <c r="L63" i="74" s="1"/>
  <c r="G33" i="78"/>
  <c r="H33" i="78" s="1"/>
  <c r="L32" i="69"/>
  <c r="K63" i="78"/>
  <c r="L63" i="78" s="1"/>
  <c r="T62" i="69"/>
  <c r="K48" i="75"/>
  <c r="L48" i="75" s="1"/>
  <c r="T47" i="66"/>
  <c r="L46" i="67"/>
  <c r="G47" i="76"/>
  <c r="H47" i="76" s="1"/>
  <c r="K38" i="81"/>
  <c r="L38" i="81" s="1"/>
  <c r="T37" i="72"/>
  <c r="T71" i="65"/>
  <c r="K72" i="74"/>
  <c r="L72" i="74" s="1"/>
  <c r="K23" i="79"/>
  <c r="L23" i="79" s="1"/>
  <c r="T22" i="70"/>
  <c r="L40" i="67"/>
  <c r="G41" i="76"/>
  <c r="H41" i="76" s="1"/>
  <c r="T35" i="65"/>
  <c r="K36" i="74"/>
  <c r="L36" i="74" s="1"/>
  <c r="L38" i="66"/>
  <c r="G39" i="75"/>
  <c r="H39" i="75" s="1"/>
  <c r="K57" i="77"/>
  <c r="L57" i="77" s="1"/>
  <c r="T56" i="68"/>
  <c r="T27" i="66"/>
  <c r="K28" i="75"/>
  <c r="L28" i="75" s="1"/>
  <c r="G56" i="74"/>
  <c r="H56" i="74" s="1"/>
  <c r="L55" i="65"/>
  <c r="L41" i="70"/>
  <c r="G42" i="79"/>
  <c r="H42" i="79" s="1"/>
  <c r="G43" i="82"/>
  <c r="H43" i="82" s="1"/>
  <c r="L42" i="73"/>
  <c r="G58" i="80"/>
  <c r="H58" i="80" s="1"/>
  <c r="L57" i="71"/>
  <c r="G29" i="81"/>
  <c r="H29" i="81" s="1"/>
  <c r="L28" i="72"/>
  <c r="L42" i="67"/>
  <c r="G43" i="76"/>
  <c r="H43" i="76" s="1"/>
  <c r="K38" i="79"/>
  <c r="L38" i="79" s="1"/>
  <c r="T37" i="70"/>
  <c r="L38" i="69"/>
  <c r="G39" i="78"/>
  <c r="H39" i="78" s="1"/>
  <c r="G18" i="76"/>
  <c r="H18" i="76" s="1"/>
  <c r="L17" i="67"/>
  <c r="L51" i="70"/>
  <c r="G52" i="79"/>
  <c r="H52" i="79" s="1"/>
  <c r="L26" i="73"/>
  <c r="G27" i="82"/>
  <c r="H27" i="82" s="1"/>
  <c r="L32" i="73"/>
  <c r="G33" i="82"/>
  <c r="H33" i="82" s="1"/>
  <c r="K66" i="81"/>
  <c r="L66" i="81" s="1"/>
  <c r="T65" i="72"/>
  <c r="T36" i="72"/>
  <c r="K37" i="81"/>
  <c r="L37" i="81" s="1"/>
  <c r="T43" i="73"/>
  <c r="K44" i="82"/>
  <c r="L44" i="82" s="1"/>
  <c r="T18" i="72"/>
  <c r="K19" i="81"/>
  <c r="L19" i="81" s="1"/>
  <c r="G62" i="77"/>
  <c r="H62" i="77" s="1"/>
  <c r="L61" i="68"/>
  <c r="L48" i="66"/>
  <c r="G49" i="75"/>
  <c r="H49" i="75" s="1"/>
  <c r="K55" i="77"/>
  <c r="L55" i="77" s="1"/>
  <c r="T54" i="68"/>
  <c r="L34" i="69"/>
  <c r="G35" i="78"/>
  <c r="H35" i="78" s="1"/>
  <c r="T68" i="71"/>
  <c r="K69" i="80"/>
  <c r="L69" i="80" s="1"/>
  <c r="T24" i="69"/>
  <c r="K25" i="78"/>
  <c r="L25" i="78" s="1"/>
  <c r="L69" i="67"/>
  <c r="G70" i="76"/>
  <c r="H70" i="76" s="1"/>
  <c r="G40" i="81"/>
  <c r="H40" i="81" s="1"/>
  <c r="L39" i="72"/>
  <c r="T72" i="73"/>
  <c r="K73" i="82"/>
  <c r="L73" i="82" s="1"/>
  <c r="L66" i="65"/>
  <c r="G67" i="74"/>
  <c r="H67" i="74" s="1"/>
  <c r="L59" i="69"/>
  <c r="G60" i="78"/>
  <c r="H60" i="78" s="1"/>
  <c r="T37" i="67"/>
  <c r="K38" i="76"/>
  <c r="L38" i="76" s="1"/>
  <c r="T35" i="71"/>
  <c r="K36" i="80"/>
  <c r="L36" i="80" s="1"/>
  <c r="G64" i="75"/>
  <c r="H64" i="75" s="1"/>
  <c r="L63" i="66"/>
  <c r="G55" i="78"/>
  <c r="H55" i="78" s="1"/>
  <c r="L54" i="69"/>
  <c r="L24" i="71"/>
  <c r="G25" i="80"/>
  <c r="H25" i="80" s="1"/>
  <c r="G54" i="82"/>
  <c r="H54" i="82" s="1"/>
  <c r="L53" i="73"/>
  <c r="L68" i="66"/>
  <c r="G69" i="75"/>
  <c r="H69" i="75" s="1"/>
  <c r="L61" i="71"/>
  <c r="G62" i="80"/>
  <c r="H62" i="80" s="1"/>
  <c r="T49" i="70"/>
  <c r="K50" i="79"/>
  <c r="L50" i="79" s="1"/>
  <c r="T30" i="69"/>
  <c r="K31" i="78"/>
  <c r="L31" i="78" s="1"/>
  <c r="L51" i="67"/>
  <c r="G52" i="76"/>
  <c r="H52" i="76" s="1"/>
  <c r="L28" i="69"/>
  <c r="G29" i="78"/>
  <c r="H29" i="78" s="1"/>
  <c r="L23" i="72"/>
  <c r="G24" i="81"/>
  <c r="H24" i="81" s="1"/>
  <c r="K16" i="78"/>
  <c r="T15" i="69"/>
  <c r="R73" i="69"/>
  <c r="T69" i="71"/>
  <c r="K70" i="80"/>
  <c r="L70" i="80" s="1"/>
  <c r="G21" i="82"/>
  <c r="H21" i="82" s="1"/>
  <c r="L20" i="73"/>
  <c r="K25" i="36"/>
  <c r="T24" i="48"/>
  <c r="T28" i="67"/>
  <c r="K29" i="76"/>
  <c r="L29" i="76" s="1"/>
  <c r="T28" i="65"/>
  <c r="K29" i="74"/>
  <c r="L29" i="74" s="1"/>
  <c r="G31" i="34"/>
  <c r="L30" i="46"/>
  <c r="L40" i="69"/>
  <c r="G41" i="78"/>
  <c r="H41" i="78" s="1"/>
  <c r="L32" i="47"/>
  <c r="G33" i="35"/>
  <c r="T58" i="49"/>
  <c r="K59" i="37"/>
  <c r="L17" i="65"/>
  <c r="G18" i="74"/>
  <c r="H18" i="74" s="1"/>
  <c r="K68" i="37"/>
  <c r="T67" i="49"/>
  <c r="T15" i="71"/>
  <c r="K16" i="80"/>
  <c r="R73" i="71"/>
  <c r="G67" i="77"/>
  <c r="H67" i="77" s="1"/>
  <c r="L66" i="68"/>
  <c r="K64" i="36"/>
  <c r="T63" i="48"/>
  <c r="G71" i="78"/>
  <c r="H71" i="78" s="1"/>
  <c r="L70" i="69"/>
  <c r="L68" i="65"/>
  <c r="G69" i="74"/>
  <c r="H69" i="74" s="1"/>
  <c r="L52" i="48"/>
  <c r="G53" i="36"/>
  <c r="L62" i="67"/>
  <c r="G63" i="76"/>
  <c r="H63" i="76" s="1"/>
  <c r="G57" i="37"/>
  <c r="L56" i="49"/>
  <c r="K34" i="34"/>
  <c r="T33" i="46"/>
  <c r="L61" i="66"/>
  <c r="G62" i="75"/>
  <c r="H62" i="75" s="1"/>
  <c r="T65" i="69"/>
  <c r="K66" i="78"/>
  <c r="L66" i="78" s="1"/>
  <c r="L27" i="66"/>
  <c r="G28" i="75"/>
  <c r="H28" i="75" s="1"/>
  <c r="G30" i="34"/>
  <c r="L29" i="46"/>
  <c r="L32" i="48"/>
  <c r="G33" i="36"/>
  <c r="L56" i="48"/>
  <c r="G57" i="36"/>
  <c r="T25" i="65"/>
  <c r="K26" i="74"/>
  <c r="L26" i="74" s="1"/>
  <c r="G23" i="80"/>
  <c r="H23" i="80" s="1"/>
  <c r="L22" i="71"/>
  <c r="L65" i="48"/>
  <c r="G66" i="36"/>
  <c r="L30" i="70"/>
  <c r="G31" i="79"/>
  <c r="H31" i="79" s="1"/>
  <c r="L17" i="47"/>
  <c r="G18" i="35"/>
  <c r="T64" i="49"/>
  <c r="K65" i="37"/>
  <c r="T50" i="48"/>
  <c r="K51" i="36"/>
  <c r="L56" i="65"/>
  <c r="G57" i="74"/>
  <c r="H57" i="74" s="1"/>
  <c r="K43" i="82"/>
  <c r="L43" i="82" s="1"/>
  <c r="T42" i="73"/>
  <c r="G31" i="76"/>
  <c r="H31" i="76" s="1"/>
  <c r="L30" i="67"/>
  <c r="T59" i="48"/>
  <c r="K60" i="36"/>
  <c r="T16" i="49"/>
  <c r="K17" i="37"/>
  <c r="L58" i="70"/>
  <c r="G59" i="79"/>
  <c r="H59" i="79" s="1"/>
  <c r="T61" i="66"/>
  <c r="K62" i="75"/>
  <c r="L62" i="75" s="1"/>
  <c r="L55" i="69"/>
  <c r="G56" i="78"/>
  <c r="H56" i="78" s="1"/>
  <c r="T68" i="46"/>
  <c r="K69" i="34"/>
  <c r="T32" i="48"/>
  <c r="K33" i="36"/>
  <c r="G54" i="37"/>
  <c r="L53" i="49"/>
  <c r="T62" i="72"/>
  <c r="K63" i="81"/>
  <c r="L63" i="81" s="1"/>
  <c r="L20" i="67"/>
  <c r="G21" i="76"/>
  <c r="H21" i="76" s="1"/>
  <c r="G59" i="37"/>
  <c r="L58" i="49"/>
  <c r="K70" i="37"/>
  <c r="T69" i="49"/>
  <c r="G53" i="35"/>
  <c r="L52" i="47"/>
  <c r="L23" i="48"/>
  <c r="G24" i="36"/>
  <c r="G52" i="37"/>
  <c r="L51" i="49"/>
  <c r="G34" i="81"/>
  <c r="H34" i="81" s="1"/>
  <c r="L33" i="72"/>
  <c r="T36" i="70"/>
  <c r="K37" i="79"/>
  <c r="L37" i="79" s="1"/>
  <c r="T22" i="71"/>
  <c r="K23" i="80"/>
  <c r="L23" i="80" s="1"/>
  <c r="G25" i="34"/>
  <c r="L24" i="46"/>
  <c r="L63" i="46"/>
  <c r="G64" i="34"/>
  <c r="L63" i="65"/>
  <c r="G64" i="74"/>
  <c r="H64" i="74" s="1"/>
  <c r="T17" i="72"/>
  <c r="K18" i="81"/>
  <c r="L18" i="81" s="1"/>
  <c r="L19" i="46"/>
  <c r="G20" i="34"/>
  <c r="T53" i="46"/>
  <c r="K54" i="34"/>
  <c r="T16" i="65"/>
  <c r="K17" i="74"/>
  <c r="L17" i="74" s="1"/>
  <c r="T44" i="67"/>
  <c r="K45" i="76"/>
  <c r="L45" i="76" s="1"/>
  <c r="K26" i="37"/>
  <c r="T25" i="49"/>
  <c r="K31" i="37"/>
  <c r="T30" i="49"/>
  <c r="G44" i="36"/>
  <c r="L43" i="48"/>
  <c r="K54" i="37"/>
  <c r="T53" i="49"/>
  <c r="T72" i="66"/>
  <c r="K73" i="75"/>
  <c r="L73" i="75" s="1"/>
  <c r="L54" i="66"/>
  <c r="G55" i="75"/>
  <c r="H55" i="75" s="1"/>
  <c r="K21" i="76"/>
  <c r="L21" i="76" s="1"/>
  <c r="T20" i="67"/>
  <c r="L23" i="71"/>
  <c r="G24" i="80"/>
  <c r="H24" i="80" s="1"/>
  <c r="T24" i="73"/>
  <c r="K25" i="82"/>
  <c r="L25" i="82" s="1"/>
  <c r="G26" i="78"/>
  <c r="H26" i="78" s="1"/>
  <c r="L25" i="69"/>
  <c r="T32" i="66"/>
  <c r="K33" i="75"/>
  <c r="L33" i="75" s="1"/>
  <c r="T52" i="66"/>
  <c r="K53" i="75"/>
  <c r="L53" i="75" s="1"/>
  <c r="K60" i="78"/>
  <c r="L60" i="78" s="1"/>
  <c r="T59" i="69"/>
  <c r="T22" i="65"/>
  <c r="K23" i="74"/>
  <c r="L23" i="74" s="1"/>
  <c r="K19" i="77"/>
  <c r="L19" i="77" s="1"/>
  <c r="T18" i="68"/>
  <c r="T38" i="71"/>
  <c r="K39" i="80"/>
  <c r="L39" i="80" s="1"/>
  <c r="L28" i="71"/>
  <c r="G29" i="80"/>
  <c r="H29" i="80" s="1"/>
  <c r="T59" i="72"/>
  <c r="K60" i="81"/>
  <c r="L60" i="81" s="1"/>
  <c r="L27" i="71"/>
  <c r="G28" i="80"/>
  <c r="H28" i="80" s="1"/>
  <c r="K32" i="78"/>
  <c r="L32" i="78" s="1"/>
  <c r="T31" i="69"/>
  <c r="G39" i="74"/>
  <c r="H39" i="74" s="1"/>
  <c r="L38" i="65"/>
  <c r="L69" i="66"/>
  <c r="G70" i="75"/>
  <c r="H70" i="75" s="1"/>
  <c r="L49" i="69"/>
  <c r="G50" i="78"/>
  <c r="H50" i="78" s="1"/>
  <c r="L36" i="69"/>
  <c r="G37" i="78"/>
  <c r="H37" i="78" s="1"/>
  <c r="L24" i="68"/>
  <c r="G25" i="77"/>
  <c r="H25" i="77" s="1"/>
  <c r="T25" i="67"/>
  <c r="K26" i="76"/>
  <c r="L26" i="76" s="1"/>
  <c r="K69" i="81"/>
  <c r="L69" i="81" s="1"/>
  <c r="T68" i="72"/>
  <c r="L15" i="65"/>
  <c r="G16" i="74"/>
  <c r="T46" i="70"/>
  <c r="K47" i="79"/>
  <c r="L47" i="79" s="1"/>
  <c r="T24" i="67"/>
  <c r="K25" i="76"/>
  <c r="L25" i="76" s="1"/>
  <c r="T21" i="65"/>
  <c r="K22" i="74"/>
  <c r="L22" i="74" s="1"/>
  <c r="T59" i="67"/>
  <c r="K60" i="76"/>
  <c r="L60" i="76" s="1"/>
  <c r="L56" i="66"/>
  <c r="G57" i="75"/>
  <c r="H57" i="75" s="1"/>
  <c r="G30" i="76"/>
  <c r="H30" i="76" s="1"/>
  <c r="L29" i="67"/>
  <c r="T58" i="65"/>
  <c r="K59" i="74"/>
  <c r="L59" i="74" s="1"/>
  <c r="T43" i="70"/>
  <c r="K44" i="79"/>
  <c r="L44" i="79" s="1"/>
  <c r="T20" i="65"/>
  <c r="K21" i="74"/>
  <c r="L21" i="74" s="1"/>
  <c r="K55" i="74"/>
  <c r="L55" i="74" s="1"/>
  <c r="T54" i="65"/>
  <c r="G26" i="76"/>
  <c r="H26" i="76" s="1"/>
  <c r="L25" i="67"/>
  <c r="T45" i="71"/>
  <c r="K46" i="80"/>
  <c r="L46" i="80" s="1"/>
  <c r="K16" i="82"/>
  <c r="T15" i="73"/>
  <c r="R73" i="73"/>
  <c r="T67" i="72"/>
  <c r="K68" i="81"/>
  <c r="L68" i="81" s="1"/>
  <c r="G67" i="79"/>
  <c r="H67" i="79" s="1"/>
  <c r="L66" i="70"/>
  <c r="G62" i="82"/>
  <c r="H62" i="82" s="1"/>
  <c r="L61" i="73"/>
  <c r="L20" i="71"/>
  <c r="G21" i="80"/>
  <c r="H21" i="80" s="1"/>
  <c r="L59" i="70"/>
  <c r="G60" i="79"/>
  <c r="H60" i="79" s="1"/>
  <c r="T57" i="67"/>
  <c r="K58" i="76"/>
  <c r="L58" i="76" s="1"/>
  <c r="L39" i="68"/>
  <c r="G40" i="77"/>
  <c r="H40" i="77" s="1"/>
  <c r="T56" i="69"/>
  <c r="K57" i="78"/>
  <c r="L57" i="78" s="1"/>
  <c r="G71" i="81"/>
  <c r="H71" i="81" s="1"/>
  <c r="L70" i="72"/>
  <c r="L50" i="66"/>
  <c r="G51" i="75"/>
  <c r="H51" i="75" s="1"/>
  <c r="L26" i="68"/>
  <c r="G27" i="77"/>
  <c r="H27" i="77" s="1"/>
  <c r="K26" i="77"/>
  <c r="L26" i="77" s="1"/>
  <c r="T25" i="68"/>
  <c r="L22" i="69"/>
  <c r="G23" i="78"/>
  <c r="H23" i="78" s="1"/>
  <c r="K65" i="77"/>
  <c r="L65" i="77" s="1"/>
  <c r="T64" i="68"/>
  <c r="K52" i="77"/>
  <c r="L52" i="77" s="1"/>
  <c r="T51" i="68"/>
  <c r="T65" i="68"/>
  <c r="K66" i="77"/>
  <c r="L66" i="77" s="1"/>
  <c r="K67" i="81"/>
  <c r="L67" i="81" s="1"/>
  <c r="T66" i="72"/>
  <c r="L44" i="73"/>
  <c r="G45" i="82"/>
  <c r="H45" i="82" s="1"/>
  <c r="L54" i="65"/>
  <c r="G55" i="74"/>
  <c r="H55" i="74" s="1"/>
  <c r="G54" i="79"/>
  <c r="H54" i="79" s="1"/>
  <c r="L53" i="70"/>
  <c r="L59" i="68"/>
  <c r="G60" i="77"/>
  <c r="H60" i="77" s="1"/>
  <c r="L47" i="71"/>
  <c r="G48" i="80"/>
  <c r="H48" i="80" s="1"/>
  <c r="G23" i="76"/>
  <c r="H23" i="76" s="1"/>
  <c r="L22" i="67"/>
  <c r="G63" i="78"/>
  <c r="H63" i="78" s="1"/>
  <c r="L62" i="69"/>
  <c r="K47" i="80"/>
  <c r="L47" i="80" s="1"/>
  <c r="T46" i="71"/>
  <c r="G38" i="76"/>
  <c r="H38" i="76" s="1"/>
  <c r="L37" i="67"/>
  <c r="L29" i="66"/>
  <c r="G30" i="75"/>
  <c r="H30" i="75" s="1"/>
  <c r="T45" i="70"/>
  <c r="K46" i="79"/>
  <c r="L46" i="79" s="1"/>
  <c r="T63" i="68"/>
  <c r="K64" i="77"/>
  <c r="L64" i="77" s="1"/>
  <c r="G21" i="37"/>
  <c r="L20" i="49"/>
  <c r="G48" i="34"/>
  <c r="L47" i="46"/>
  <c r="G20" i="35"/>
  <c r="L19" i="47"/>
  <c r="L58" i="48"/>
  <c r="G59" i="36"/>
  <c r="T53" i="48"/>
  <c r="K54" i="36"/>
  <c r="K28" i="34"/>
  <c r="T27" i="46"/>
  <c r="K72" i="34"/>
  <c r="T71" i="46"/>
  <c r="T48" i="68"/>
  <c r="K49" i="77"/>
  <c r="L49" i="77" s="1"/>
  <c r="G64" i="80"/>
  <c r="H64" i="80" s="1"/>
  <c r="L63" i="71"/>
  <c r="L44" i="47"/>
  <c r="G45" i="35"/>
  <c r="T46" i="68"/>
  <c r="K47" i="77"/>
  <c r="L47" i="77" s="1"/>
  <c r="G32" i="35"/>
  <c r="L31" i="47"/>
  <c r="L64" i="47"/>
  <c r="G65" i="35"/>
  <c r="T28" i="71"/>
  <c r="K29" i="80"/>
  <c r="L29" i="80" s="1"/>
  <c r="K71" i="36"/>
  <c r="T70" i="48"/>
  <c r="K62" i="74"/>
  <c r="L62" i="74" s="1"/>
  <c r="T61" i="65"/>
  <c r="L62" i="65"/>
  <c r="G63" i="74"/>
  <c r="H63" i="74" s="1"/>
  <c r="L20" i="72"/>
  <c r="G21" i="81"/>
  <c r="H21" i="81" s="1"/>
  <c r="L47" i="47"/>
  <c r="G48" i="35"/>
  <c r="L61" i="47"/>
  <c r="G62" i="35"/>
  <c r="L15" i="72"/>
  <c r="G16" i="81"/>
  <c r="L20" i="69"/>
  <c r="G21" i="78"/>
  <c r="H21" i="78" s="1"/>
  <c r="L18" i="49"/>
  <c r="G19" i="37"/>
  <c r="G53" i="37"/>
  <c r="L52" i="49"/>
  <c r="T67" i="65"/>
  <c r="K68" i="74"/>
  <c r="L68" i="74" s="1"/>
  <c r="T41" i="73"/>
  <c r="K42" i="82"/>
  <c r="L42" i="82" s="1"/>
  <c r="T61" i="73"/>
  <c r="K62" i="82"/>
  <c r="L62" i="82" s="1"/>
  <c r="T50" i="70"/>
  <c r="K51" i="79"/>
  <c r="L51" i="79" s="1"/>
  <c r="K38" i="37"/>
  <c r="T37" i="49"/>
  <c r="G31" i="36"/>
  <c r="L30" i="48"/>
  <c r="G19" i="74"/>
  <c r="H19" i="74" s="1"/>
  <c r="L18" i="65"/>
  <c r="K43" i="79"/>
  <c r="L43" i="79" s="1"/>
  <c r="T42" i="70"/>
  <c r="G43" i="80"/>
  <c r="H43" i="80" s="1"/>
  <c r="L42" i="71"/>
  <c r="G40" i="34"/>
  <c r="L39" i="46"/>
  <c r="T71" i="48"/>
  <c r="K72" i="36"/>
  <c r="T37" i="65"/>
  <c r="K38" i="74"/>
  <c r="L38" i="74" s="1"/>
  <c r="G71" i="82"/>
  <c r="H71" i="82" s="1"/>
  <c r="L70" i="73"/>
  <c r="K36" i="82"/>
  <c r="L36" i="82" s="1"/>
  <c r="T35" i="73"/>
  <c r="T39" i="48"/>
  <c r="K40" i="36"/>
  <c r="T19" i="48"/>
  <c r="K20" i="36"/>
  <c r="L22" i="49"/>
  <c r="G23" i="37"/>
  <c r="L53" i="67"/>
  <c r="G54" i="76"/>
  <c r="H54" i="76" s="1"/>
  <c r="L72" i="72"/>
  <c r="G73" i="81"/>
  <c r="H73" i="81" s="1"/>
  <c r="L41" i="65"/>
  <c r="G42" i="74"/>
  <c r="H42" i="74" s="1"/>
  <c r="T59" i="49"/>
  <c r="K60" i="37"/>
  <c r="G66" i="34"/>
  <c r="L65" i="46"/>
  <c r="L19" i="49"/>
  <c r="G20" i="37"/>
  <c r="L40" i="71"/>
  <c r="G41" i="80"/>
  <c r="H41" i="80" s="1"/>
  <c r="L16" i="67"/>
  <c r="G17" i="76"/>
  <c r="H17" i="76" s="1"/>
  <c r="G50" i="74"/>
  <c r="H50" i="74" s="1"/>
  <c r="L49" i="65"/>
  <c r="L42" i="46"/>
  <c r="G43" i="34"/>
  <c r="L28" i="48"/>
  <c r="G29" i="36"/>
  <c r="T23" i="49"/>
  <c r="K24" i="37"/>
  <c r="G67" i="75"/>
  <c r="H67" i="75" s="1"/>
  <c r="L66" i="66"/>
  <c r="G49" i="34"/>
  <c r="L48" i="46"/>
  <c r="L62" i="71"/>
  <c r="G63" i="80"/>
  <c r="H63" i="80" s="1"/>
  <c r="G71" i="36"/>
  <c r="L70" i="48"/>
  <c r="K73" i="34"/>
  <c r="T72" i="46"/>
  <c r="L64" i="67"/>
  <c r="G65" i="76"/>
  <c r="H65" i="76" s="1"/>
  <c r="L50" i="67"/>
  <c r="G51" i="76"/>
  <c r="H51" i="76" s="1"/>
  <c r="T29" i="46"/>
  <c r="K30" i="34"/>
  <c r="G63" i="34"/>
  <c r="L62" i="46"/>
  <c r="T24" i="65"/>
  <c r="K25" i="74"/>
  <c r="L25" i="74" s="1"/>
  <c r="G29" i="75"/>
  <c r="H29" i="75" s="1"/>
  <c r="L28" i="66"/>
  <c r="K48" i="36"/>
  <c r="T47" i="48"/>
  <c r="L58" i="47"/>
  <c r="G59" i="35"/>
  <c r="T41" i="49"/>
  <c r="K42" i="37"/>
  <c r="G32" i="36"/>
  <c r="L31" i="48"/>
  <c r="G48" i="76"/>
  <c r="H48" i="76" s="1"/>
  <c r="L47" i="67"/>
  <c r="K69" i="75"/>
  <c r="L69" i="75" s="1"/>
  <c r="T68" i="66"/>
  <c r="G34" i="82"/>
  <c r="H34" i="82" s="1"/>
  <c r="L33" i="73"/>
  <c r="L68" i="73"/>
  <c r="G69" i="82"/>
  <c r="H69" i="82" s="1"/>
  <c r="T49" i="68"/>
  <c r="K50" i="77"/>
  <c r="L50" i="77" s="1"/>
  <c r="T48" i="67"/>
  <c r="K49" i="76"/>
  <c r="L49" i="76" s="1"/>
  <c r="T59" i="71"/>
  <c r="K60" i="80"/>
  <c r="L60" i="80" s="1"/>
  <c r="T41" i="71"/>
  <c r="K42" i="80"/>
  <c r="L42" i="80" s="1"/>
  <c r="T39" i="73"/>
  <c r="K40" i="82"/>
  <c r="L40" i="82" s="1"/>
  <c r="G24" i="79"/>
  <c r="H24" i="79" s="1"/>
  <c r="L23" i="70"/>
  <c r="L66" i="71"/>
  <c r="G67" i="80"/>
  <c r="H67" i="80" s="1"/>
  <c r="L53" i="72"/>
  <c r="G54" i="81"/>
  <c r="H54" i="81" s="1"/>
  <c r="L29" i="72"/>
  <c r="G30" i="81"/>
  <c r="H30" i="81" s="1"/>
  <c r="L43" i="69"/>
  <c r="G44" i="78"/>
  <c r="H44" i="78" s="1"/>
  <c r="G35" i="75"/>
  <c r="H35" i="75" s="1"/>
  <c r="L34" i="66"/>
  <c r="K16" i="79"/>
  <c r="T15" i="70"/>
  <c r="R73" i="70"/>
  <c r="L48" i="65"/>
  <c r="G49" i="74"/>
  <c r="H49" i="74" s="1"/>
  <c r="T53" i="69"/>
  <c r="K54" i="78"/>
  <c r="L54" i="78" s="1"/>
  <c r="T54" i="72"/>
  <c r="K55" i="81"/>
  <c r="L55" i="81" s="1"/>
  <c r="G52" i="81"/>
  <c r="H52" i="81" s="1"/>
  <c r="L51" i="72"/>
  <c r="K44" i="78"/>
  <c r="L44" i="78" s="1"/>
  <c r="T43" i="69"/>
  <c r="K30" i="81"/>
  <c r="L30" i="81" s="1"/>
  <c r="T29" i="72"/>
  <c r="K49" i="82"/>
  <c r="L49" i="82" s="1"/>
  <c r="T48" i="73"/>
  <c r="K52" i="74"/>
  <c r="L52" i="74" s="1"/>
  <c r="T51" i="65"/>
  <c r="G59" i="75"/>
  <c r="H59" i="75" s="1"/>
  <c r="L58" i="66"/>
  <c r="T62" i="70"/>
  <c r="K63" i="79"/>
  <c r="L63" i="79" s="1"/>
  <c r="K30" i="78"/>
  <c r="L30" i="78" s="1"/>
  <c r="T29" i="69"/>
  <c r="K52" i="79"/>
  <c r="L52" i="79" s="1"/>
  <c r="T51" i="70"/>
  <c r="K35" i="76"/>
  <c r="L35" i="76" s="1"/>
  <c r="T34" i="67"/>
  <c r="G69" i="81"/>
  <c r="H69" i="81" s="1"/>
  <c r="L68" i="72"/>
  <c r="T39" i="65"/>
  <c r="K40" i="74"/>
  <c r="L40" i="74" s="1"/>
  <c r="T22" i="73"/>
  <c r="K23" i="82"/>
  <c r="L23" i="82" s="1"/>
  <c r="T70" i="68"/>
  <c r="K71" i="77"/>
  <c r="L71" i="77" s="1"/>
  <c r="L27" i="67"/>
  <c r="G28" i="76"/>
  <c r="H28" i="76" s="1"/>
  <c r="L35" i="66"/>
  <c r="G36" i="75"/>
  <c r="H36" i="75" s="1"/>
  <c r="G31" i="75"/>
  <c r="H31" i="75" s="1"/>
  <c r="L30" i="66"/>
  <c r="K66" i="79"/>
  <c r="L66" i="79" s="1"/>
  <c r="T65" i="70"/>
  <c r="K47" i="74"/>
  <c r="L47" i="74" s="1"/>
  <c r="T46" i="65"/>
  <c r="K23" i="77"/>
  <c r="L23" i="77" s="1"/>
  <c r="T22" i="68"/>
  <c r="L35" i="70"/>
  <c r="G36" i="79"/>
  <c r="H36" i="79" s="1"/>
  <c r="T17" i="73"/>
  <c r="K18" i="82"/>
  <c r="L18" i="82" s="1"/>
  <c r="K70" i="82"/>
  <c r="L70" i="82" s="1"/>
  <c r="T69" i="73"/>
  <c r="K53" i="81"/>
  <c r="L53" i="81" s="1"/>
  <c r="T52" i="72"/>
  <c r="K65" i="82"/>
  <c r="L65" i="82" s="1"/>
  <c r="T64" i="73"/>
  <c r="T51" i="69"/>
  <c r="K52" i="78"/>
  <c r="L52" i="78" s="1"/>
  <c r="L38" i="71"/>
  <c r="G39" i="80"/>
  <c r="H39" i="80" s="1"/>
  <c r="G21" i="75"/>
  <c r="H21" i="75" s="1"/>
  <c r="L20" i="66"/>
  <c r="G19" i="80"/>
  <c r="H19" i="80" s="1"/>
  <c r="L18" i="71"/>
  <c r="T60" i="70"/>
  <c r="K61" i="79"/>
  <c r="L61" i="79" s="1"/>
  <c r="K23" i="76"/>
  <c r="L23" i="76" s="1"/>
  <c r="T22" i="67"/>
  <c r="G72" i="78"/>
  <c r="H72" i="78" s="1"/>
  <c r="L71" i="69"/>
  <c r="K41" i="78"/>
  <c r="L41" i="78" s="1"/>
  <c r="T40" i="69"/>
  <c r="L38" i="73"/>
  <c r="G39" i="82"/>
  <c r="H39" i="82" s="1"/>
  <c r="T41" i="65"/>
  <c r="K42" i="74"/>
  <c r="L42" i="74" s="1"/>
  <c r="T53" i="68"/>
  <c r="K54" i="77"/>
  <c r="L54" i="77" s="1"/>
  <c r="T17" i="69"/>
  <c r="K18" i="78"/>
  <c r="L18" i="78" s="1"/>
  <c r="T63" i="66"/>
  <c r="K64" i="75"/>
  <c r="L64" i="75" s="1"/>
  <c r="L41" i="66"/>
  <c r="G42" i="75"/>
  <c r="H42" i="75" s="1"/>
  <c r="G66" i="76"/>
  <c r="H66" i="76" s="1"/>
  <c r="L65" i="67"/>
  <c r="L56" i="72"/>
  <c r="G57" i="81"/>
  <c r="H57" i="81" s="1"/>
  <c r="K27" i="81"/>
  <c r="L27" i="81" s="1"/>
  <c r="T26" i="72"/>
  <c r="L25" i="73"/>
  <c r="G26" i="82"/>
  <c r="H26" i="82" s="1"/>
  <c r="T44" i="65"/>
  <c r="K45" i="74"/>
  <c r="L45" i="74" s="1"/>
  <c r="L57" i="70"/>
  <c r="G58" i="79"/>
  <c r="H58" i="79" s="1"/>
  <c r="T43" i="68"/>
  <c r="K44" i="77"/>
  <c r="L44" i="77" s="1"/>
  <c r="K65" i="80"/>
  <c r="L65" i="80" s="1"/>
  <c r="T64" i="71"/>
  <c r="L46" i="47"/>
  <c r="G47" i="35"/>
  <c r="K23" i="36"/>
  <c r="T22" i="48"/>
  <c r="T50" i="65"/>
  <c r="K51" i="74"/>
  <c r="L51" i="74" s="1"/>
  <c r="T36" i="73"/>
  <c r="K37" i="82"/>
  <c r="L37" i="82" s="1"/>
  <c r="G20" i="74"/>
  <c r="H20" i="74" s="1"/>
  <c r="L19" i="65"/>
  <c r="J102" i="29"/>
  <c r="K102" i="29" s="1"/>
  <c r="D12" i="52"/>
  <c r="G57" i="34"/>
  <c r="L56" i="46"/>
  <c r="L39" i="47"/>
  <c r="G40" i="35"/>
  <c r="G17" i="37"/>
  <c r="L16" i="49"/>
  <c r="L37" i="72"/>
  <c r="G38" i="81"/>
  <c r="H38" i="81" s="1"/>
  <c r="T36" i="48"/>
  <c r="K37" i="36"/>
  <c r="K50" i="81"/>
  <c r="L50" i="81" s="1"/>
  <c r="T49" i="72"/>
  <c r="L35" i="47"/>
  <c r="G36" i="35"/>
  <c r="L52" i="68"/>
  <c r="G53" i="77"/>
  <c r="H53" i="77" s="1"/>
  <c r="G56" i="34"/>
  <c r="L55" i="46"/>
  <c r="K37" i="78"/>
  <c r="L37" i="78" s="1"/>
  <c r="T36" i="69"/>
  <c r="G42" i="81"/>
  <c r="H42" i="81" s="1"/>
  <c r="L41" i="72"/>
  <c r="L64" i="65"/>
  <c r="G65" i="74"/>
  <c r="H65" i="74" s="1"/>
  <c r="K53" i="82"/>
  <c r="L53" i="82" s="1"/>
  <c r="T52" i="73"/>
  <c r="T68" i="49"/>
  <c r="K69" i="37"/>
  <c r="G72" i="34"/>
  <c r="L71" i="46"/>
  <c r="K68" i="34"/>
  <c r="T67" i="46"/>
  <c r="T31" i="48"/>
  <c r="K32" i="36"/>
  <c r="T29" i="71"/>
  <c r="K30" i="80"/>
  <c r="L30" i="80" s="1"/>
  <c r="T42" i="72"/>
  <c r="K43" i="81"/>
  <c r="L43" i="81" s="1"/>
  <c r="T37" i="73"/>
  <c r="K38" i="82"/>
  <c r="L38" i="82" s="1"/>
  <c r="L67" i="73"/>
  <c r="G68" i="82"/>
  <c r="H68" i="82" s="1"/>
  <c r="G63" i="82"/>
  <c r="H63" i="82" s="1"/>
  <c r="L62" i="73"/>
  <c r="G32" i="80"/>
  <c r="H32" i="80" s="1"/>
  <c r="L31" i="71"/>
  <c r="K53" i="80"/>
  <c r="L53" i="80" s="1"/>
  <c r="T52" i="71"/>
  <c r="L43" i="67"/>
  <c r="G44" i="76"/>
  <c r="H44" i="76" s="1"/>
  <c r="G61" i="34"/>
  <c r="L60" i="46"/>
  <c r="L35" i="46"/>
  <c r="G36" i="34"/>
  <c r="L71" i="65"/>
  <c r="G72" i="74"/>
  <c r="H72" i="74" s="1"/>
  <c r="T70" i="67"/>
  <c r="K71" i="76"/>
  <c r="L71" i="76" s="1"/>
  <c r="L15" i="70"/>
  <c r="G16" i="79"/>
  <c r="L57" i="46"/>
  <c r="G58" i="34"/>
  <c r="G27" i="34"/>
  <c r="L26" i="46"/>
  <c r="G25" i="75"/>
  <c r="H25" i="75" s="1"/>
  <c r="L24" i="66"/>
  <c r="T28" i="69"/>
  <c r="K29" i="78"/>
  <c r="L29" i="78" s="1"/>
  <c r="K52" i="34"/>
  <c r="T51" i="46"/>
  <c r="T69" i="48"/>
  <c r="K70" i="36"/>
  <c r="G65" i="34"/>
  <c r="L64" i="46"/>
  <c r="L53" i="68"/>
  <c r="G54" i="77"/>
  <c r="H54" i="77" s="1"/>
  <c r="T37" i="71"/>
  <c r="K38" i="80"/>
  <c r="L38" i="80" s="1"/>
  <c r="K64" i="79"/>
  <c r="L64" i="79" s="1"/>
  <c r="T63" i="70"/>
  <c r="T70" i="46"/>
  <c r="K71" i="34"/>
  <c r="G22" i="36"/>
  <c r="L21" i="48"/>
  <c r="G58" i="37"/>
  <c r="L57" i="49"/>
  <c r="G23" i="74"/>
  <c r="H23" i="74" s="1"/>
  <c r="L22" i="65"/>
  <c r="K56" i="82"/>
  <c r="L56" i="82" s="1"/>
  <c r="T55" i="73"/>
  <c r="L43" i="72"/>
  <c r="G44" i="81"/>
  <c r="H44" i="81" s="1"/>
  <c r="K68" i="36"/>
  <c r="T67" i="48"/>
  <c r="K17" i="34"/>
  <c r="T16" i="46"/>
  <c r="G51" i="35"/>
  <c r="L50" i="47"/>
  <c r="K60" i="74"/>
  <c r="L60" i="74" s="1"/>
  <c r="T59" i="65"/>
  <c r="K59" i="77"/>
  <c r="L59" i="77" s="1"/>
  <c r="T58" i="68"/>
  <c r="T47" i="46"/>
  <c r="K48" i="34"/>
  <c r="T31" i="72"/>
  <c r="K32" i="81"/>
  <c r="L32" i="81" s="1"/>
  <c r="K34" i="36"/>
  <c r="T33" i="48"/>
  <c r="L18" i="47"/>
  <c r="G19" i="35"/>
  <c r="T54" i="69"/>
  <c r="K55" i="78"/>
  <c r="L55" i="78" s="1"/>
  <c r="L21" i="72"/>
  <c r="G22" i="81"/>
  <c r="H22" i="81" s="1"/>
  <c r="K56" i="37"/>
  <c r="T55" i="49"/>
  <c r="G71" i="35"/>
  <c r="L70" i="47"/>
  <c r="L16" i="68"/>
  <c r="G17" i="77"/>
  <c r="H17" i="77" s="1"/>
  <c r="L65" i="70"/>
  <c r="G66" i="79"/>
  <c r="H66" i="79" s="1"/>
  <c r="T32" i="49"/>
  <c r="K33" i="37"/>
  <c r="L40" i="47"/>
  <c r="G41" i="35"/>
  <c r="G36" i="36"/>
  <c r="L35" i="48"/>
  <c r="L20" i="48"/>
  <c r="G21" i="36"/>
  <c r="G49" i="37"/>
  <c r="L48" i="49"/>
  <c r="L44" i="67"/>
  <c r="G45" i="76"/>
  <c r="H45" i="76" s="1"/>
  <c r="G35" i="76"/>
  <c r="H35" i="76" s="1"/>
  <c r="L34" i="67"/>
  <c r="L29" i="69"/>
  <c r="G30" i="78"/>
  <c r="H30" i="78" s="1"/>
  <c r="L41" i="71"/>
  <c r="G42" i="80"/>
  <c r="H42" i="80" s="1"/>
  <c r="L42" i="65"/>
  <c r="G43" i="74"/>
  <c r="H43" i="74" s="1"/>
  <c r="L37" i="69"/>
  <c r="G38" i="78"/>
  <c r="H38" i="78" s="1"/>
  <c r="T65" i="66"/>
  <c r="K66" i="75"/>
  <c r="L66" i="75" s="1"/>
  <c r="T54" i="67"/>
  <c r="K55" i="76"/>
  <c r="L55" i="76" s="1"/>
  <c r="T48" i="66"/>
  <c r="K49" i="75"/>
  <c r="L49" i="75" s="1"/>
  <c r="L70" i="66"/>
  <c r="G71" i="75"/>
  <c r="H71" i="75" s="1"/>
  <c r="L36" i="73"/>
  <c r="G37" i="82"/>
  <c r="H37" i="82" s="1"/>
  <c r="L50" i="69"/>
  <c r="G51" i="78"/>
  <c r="H51" i="78" s="1"/>
  <c r="G40" i="76"/>
  <c r="H40" i="76" s="1"/>
  <c r="L39" i="67"/>
  <c r="L57" i="73"/>
  <c r="G58" i="82"/>
  <c r="H58" i="82" s="1"/>
  <c r="T71" i="73"/>
  <c r="K72" i="82"/>
  <c r="L72" i="82" s="1"/>
  <c r="K61" i="80"/>
  <c r="L61" i="80" s="1"/>
  <c r="T60" i="71"/>
  <c r="L50" i="70"/>
  <c r="G51" i="79"/>
  <c r="H51" i="79" s="1"/>
  <c r="L46" i="71"/>
  <c r="G47" i="80"/>
  <c r="H47" i="80" s="1"/>
  <c r="G62" i="79"/>
  <c r="H62" i="79" s="1"/>
  <c r="L61" i="70"/>
  <c r="G50" i="76"/>
  <c r="H50" i="76" s="1"/>
  <c r="L49" i="67"/>
  <c r="T45" i="72"/>
  <c r="K46" i="81"/>
  <c r="L46" i="81" s="1"/>
  <c r="T38" i="66"/>
  <c r="K39" i="75"/>
  <c r="L39" i="75" s="1"/>
  <c r="L32" i="70"/>
  <c r="G33" i="79"/>
  <c r="H33" i="79" s="1"/>
  <c r="G27" i="74"/>
  <c r="H27" i="74" s="1"/>
  <c r="L26" i="65"/>
  <c r="K38" i="78"/>
  <c r="L38" i="78" s="1"/>
  <c r="T37" i="69"/>
  <c r="L30" i="72"/>
  <c r="G31" i="81"/>
  <c r="H31" i="81" s="1"/>
  <c r="G63" i="81"/>
  <c r="H63" i="81" s="1"/>
  <c r="L62" i="72"/>
  <c r="K19" i="75"/>
  <c r="L19" i="75" s="1"/>
  <c r="T18" i="66"/>
  <c r="G26" i="81"/>
  <c r="H26" i="81" s="1"/>
  <c r="L25" i="72"/>
  <c r="K43" i="75"/>
  <c r="L43" i="75" s="1"/>
  <c r="T42" i="66"/>
  <c r="G40" i="74"/>
  <c r="H40" i="74" s="1"/>
  <c r="L39" i="65"/>
  <c r="L41" i="67"/>
  <c r="G42" i="76"/>
  <c r="H42" i="76" s="1"/>
  <c r="L27" i="70"/>
  <c r="G28" i="79"/>
  <c r="H28" i="79" s="1"/>
  <c r="L70" i="70"/>
  <c r="G71" i="79"/>
  <c r="H71" i="79" s="1"/>
  <c r="K42" i="76"/>
  <c r="L42" i="76" s="1"/>
  <c r="T41" i="67"/>
  <c r="G66" i="78"/>
  <c r="H66" i="78" s="1"/>
  <c r="L65" i="69"/>
  <c r="L69" i="73"/>
  <c r="G70" i="82"/>
  <c r="H70" i="82" s="1"/>
  <c r="T40" i="65"/>
  <c r="K41" i="74"/>
  <c r="L41" i="74" s="1"/>
  <c r="T55" i="65"/>
  <c r="K56" i="74"/>
  <c r="L56" i="74" s="1"/>
  <c r="L24" i="67"/>
  <c r="G25" i="76"/>
  <c r="H25" i="76" s="1"/>
  <c r="L41" i="68"/>
  <c r="G42" i="77"/>
  <c r="H42" i="77" s="1"/>
  <c r="G25" i="81"/>
  <c r="H25" i="81" s="1"/>
  <c r="L24" i="72"/>
  <c r="T47" i="69"/>
  <c r="K48" i="78"/>
  <c r="L48" i="78" s="1"/>
  <c r="T34" i="65"/>
  <c r="K35" i="74"/>
  <c r="L35" i="74" s="1"/>
  <c r="L57" i="69"/>
  <c r="G58" i="78"/>
  <c r="H58" i="78" s="1"/>
  <c r="L56" i="71"/>
  <c r="G57" i="80"/>
  <c r="H57" i="80" s="1"/>
  <c r="L61" i="67"/>
  <c r="G62" i="76"/>
  <c r="H62" i="76" s="1"/>
  <c r="L21" i="73"/>
  <c r="G22" i="82"/>
  <c r="H22" i="82" s="1"/>
  <c r="L59" i="66"/>
  <c r="G60" i="75"/>
  <c r="H60" i="75" s="1"/>
  <c r="K28" i="78"/>
  <c r="L28" i="78" s="1"/>
  <c r="T27" i="69"/>
  <c r="K29" i="79"/>
  <c r="L29" i="79" s="1"/>
  <c r="T28" i="70"/>
  <c r="G48" i="81"/>
  <c r="H48" i="81" s="1"/>
  <c r="L47" i="72"/>
  <c r="L44" i="72"/>
  <c r="G45" i="81"/>
  <c r="H45" i="81" s="1"/>
  <c r="K43" i="80"/>
  <c r="L43" i="80" s="1"/>
  <c r="T42" i="71"/>
  <c r="G68" i="79"/>
  <c r="H68" i="79" s="1"/>
  <c r="L67" i="70"/>
  <c r="G20" i="76"/>
  <c r="H20" i="76" s="1"/>
  <c r="L19" i="67"/>
  <c r="L35" i="69"/>
  <c r="G36" i="78"/>
  <c r="H36" i="78" s="1"/>
  <c r="T49" i="71"/>
  <c r="K50" i="80"/>
  <c r="L50" i="80" s="1"/>
  <c r="L37" i="68"/>
  <c r="G38" i="77"/>
  <c r="H38" i="77" s="1"/>
  <c r="L37" i="73"/>
  <c r="G38" i="82"/>
  <c r="H38" i="82" s="1"/>
  <c r="K46" i="78"/>
  <c r="L46" i="78" s="1"/>
  <c r="T45" i="69"/>
  <c r="K62" i="78"/>
  <c r="L62" i="78" s="1"/>
  <c r="T61" i="69"/>
  <c r="K22" i="79"/>
  <c r="L22" i="79" s="1"/>
  <c r="T21" i="70"/>
  <c r="T17" i="66"/>
  <c r="K18" i="75"/>
  <c r="L18" i="75" s="1"/>
  <c r="R73" i="66"/>
  <c r="K16" i="75"/>
  <c r="T15" i="66"/>
  <c r="L48" i="47"/>
  <c r="G49" i="35"/>
  <c r="L15" i="48"/>
  <c r="J73" i="48"/>
  <c r="G16" i="36"/>
  <c r="L23" i="65"/>
  <c r="G24" i="74"/>
  <c r="H24" i="74" s="1"/>
  <c r="G64" i="35"/>
  <c r="L63" i="47"/>
  <c r="L48" i="72"/>
  <c r="G49" i="81"/>
  <c r="H49" i="81" s="1"/>
  <c r="L60" i="73"/>
  <c r="G61" i="82"/>
  <c r="H61" i="82" s="1"/>
  <c r="L35" i="71"/>
  <c r="G36" i="80"/>
  <c r="H36" i="80" s="1"/>
  <c r="T45" i="48"/>
  <c r="K46" i="36"/>
  <c r="K65" i="36"/>
  <c r="T64" i="48"/>
  <c r="L52" i="71"/>
  <c r="G53" i="80"/>
  <c r="H53" i="80" s="1"/>
  <c r="L52" i="65"/>
  <c r="G53" i="74"/>
  <c r="H53" i="74" s="1"/>
  <c r="L22" i="48"/>
  <c r="G23" i="36"/>
  <c r="T47" i="73"/>
  <c r="K48" i="82"/>
  <c r="L48" i="82" s="1"/>
  <c r="G35" i="34"/>
  <c r="L34" i="46"/>
  <c r="L24" i="49"/>
  <c r="G25" i="37"/>
  <c r="L27" i="73"/>
  <c r="G28" i="82"/>
  <c r="H28" i="82" s="1"/>
  <c r="T28" i="72"/>
  <c r="K29" i="81"/>
  <c r="L29" i="81" s="1"/>
  <c r="T22" i="66"/>
  <c r="K23" i="75"/>
  <c r="L23" i="75" s="1"/>
  <c r="L19" i="70"/>
  <c r="G20" i="79"/>
  <c r="H20" i="79" s="1"/>
  <c r="L38" i="70"/>
  <c r="G39" i="79"/>
  <c r="H39" i="79" s="1"/>
  <c r="L39" i="71"/>
  <c r="G40" i="80"/>
  <c r="H40" i="80" s="1"/>
  <c r="T21" i="46"/>
  <c r="K22" i="34"/>
  <c r="T27" i="48"/>
  <c r="K28" i="36"/>
  <c r="K69" i="79"/>
  <c r="L69" i="79" s="1"/>
  <c r="T68" i="70"/>
  <c r="G29" i="34"/>
  <c r="L28" i="46"/>
  <c r="G22" i="35"/>
  <c r="L21" i="47"/>
  <c r="G50" i="75"/>
  <c r="H50" i="75" s="1"/>
  <c r="L49" i="66"/>
  <c r="K56" i="76"/>
  <c r="L56" i="76" s="1"/>
  <c r="T55" i="67"/>
  <c r="T35" i="67"/>
  <c r="K36" i="76"/>
  <c r="L36" i="76" s="1"/>
  <c r="G34" i="34"/>
  <c r="L33" i="46"/>
  <c r="T38" i="46"/>
  <c r="K39" i="34"/>
  <c r="G67" i="81"/>
  <c r="H67" i="81" s="1"/>
  <c r="L66" i="72"/>
  <c r="T32" i="70"/>
  <c r="K33" i="79"/>
  <c r="L33" i="79" s="1"/>
  <c r="L17" i="48"/>
  <c r="G18" i="36"/>
  <c r="G51" i="34"/>
  <c r="L50" i="46"/>
  <c r="G56" i="35"/>
  <c r="L55" i="47"/>
  <c r="G22" i="37"/>
  <c r="L21" i="49"/>
  <c r="T46" i="72"/>
  <c r="K47" i="81"/>
  <c r="L47" i="81" s="1"/>
  <c r="L52" i="70"/>
  <c r="G53" i="79"/>
  <c r="H53" i="79" s="1"/>
  <c r="T70" i="49"/>
  <c r="K71" i="37"/>
  <c r="K36" i="37"/>
  <c r="T35" i="49"/>
  <c r="L54" i="46"/>
  <c r="G55" i="34"/>
  <c r="L61" i="49"/>
  <c r="G62" i="37"/>
  <c r="K70" i="74"/>
  <c r="L70" i="74" s="1"/>
  <c r="T69" i="65"/>
  <c r="K32" i="80"/>
  <c r="L32" i="80" s="1"/>
  <c r="T31" i="71"/>
  <c r="K73" i="81"/>
  <c r="L73" i="81" s="1"/>
  <c r="T72" i="72"/>
  <c r="K44" i="37"/>
  <c r="T43" i="49"/>
  <c r="L29" i="47"/>
  <c r="G30" i="35"/>
  <c r="L50" i="65"/>
  <c r="G51" i="74"/>
  <c r="H51" i="74" s="1"/>
  <c r="G36" i="76"/>
  <c r="H36" i="76" s="1"/>
  <c r="L35" i="67"/>
  <c r="K62" i="34"/>
  <c r="T61" i="46"/>
  <c r="T68" i="67"/>
  <c r="K69" i="76"/>
  <c r="L69" i="76" s="1"/>
  <c r="T46" i="48"/>
  <c r="K47" i="36"/>
  <c r="K22" i="36"/>
  <c r="T21" i="48"/>
  <c r="L54" i="71"/>
  <c r="G55" i="80"/>
  <c r="H55" i="80" s="1"/>
  <c r="T28" i="66"/>
  <c r="K29" i="75"/>
  <c r="L29" i="75" s="1"/>
  <c r="T54" i="49"/>
  <c r="K55" i="37"/>
  <c r="T15" i="49"/>
  <c r="K16" i="37"/>
  <c r="R73" i="49"/>
  <c r="T35" i="70"/>
  <c r="K36" i="79"/>
  <c r="L36" i="79" s="1"/>
  <c r="T51" i="72"/>
  <c r="K52" i="81"/>
  <c r="L52" i="81" s="1"/>
  <c r="G43" i="36"/>
  <c r="L42" i="48"/>
  <c r="L53" i="48"/>
  <c r="G54" i="36"/>
  <c r="G68" i="34"/>
  <c r="L67" i="46"/>
  <c r="G44" i="34"/>
  <c r="L43" i="46"/>
  <c r="G39" i="37"/>
  <c r="L38" i="49"/>
  <c r="T57" i="65"/>
  <c r="K58" i="74"/>
  <c r="L58" i="74" s="1"/>
  <c r="G27" i="76"/>
  <c r="H27" i="76" s="1"/>
  <c r="L26" i="67"/>
  <c r="L68" i="69"/>
  <c r="G69" i="78"/>
  <c r="H69" i="78" s="1"/>
  <c r="T18" i="67"/>
  <c r="K19" i="76"/>
  <c r="L19" i="76" s="1"/>
  <c r="T18" i="69"/>
  <c r="K19" i="78"/>
  <c r="L19" i="78" s="1"/>
  <c r="G19" i="81"/>
  <c r="H19" i="81" s="1"/>
  <c r="L18" i="72"/>
  <c r="G70" i="79"/>
  <c r="H70" i="79" s="1"/>
  <c r="L69" i="70"/>
  <c r="T53" i="72"/>
  <c r="K54" i="81"/>
  <c r="L54" i="81" s="1"/>
  <c r="K21" i="80"/>
  <c r="L21" i="80" s="1"/>
  <c r="T20" i="71"/>
  <c r="G46" i="77"/>
  <c r="H46" i="77" s="1"/>
  <c r="L45" i="68"/>
  <c r="G66" i="80"/>
  <c r="H66" i="80" s="1"/>
  <c r="L65" i="71"/>
  <c r="T68" i="65"/>
  <c r="K69" i="74"/>
  <c r="L69" i="74" s="1"/>
  <c r="L18" i="70"/>
  <c r="G19" i="79"/>
  <c r="H19" i="79" s="1"/>
  <c r="L51" i="66"/>
  <c r="G52" i="75"/>
  <c r="H52" i="75" s="1"/>
  <c r="T67" i="67"/>
  <c r="K68" i="76"/>
  <c r="L68" i="76" s="1"/>
  <c r="K33" i="78"/>
  <c r="L33" i="78" s="1"/>
  <c r="T32" i="69"/>
  <c r="L67" i="67"/>
  <c r="G68" i="76"/>
  <c r="H68" i="76" s="1"/>
  <c r="L19" i="73"/>
  <c r="G20" i="82"/>
  <c r="H20" i="82" s="1"/>
  <c r="L64" i="69"/>
  <c r="G65" i="78"/>
  <c r="H65" i="78" s="1"/>
  <c r="K62" i="77"/>
  <c r="L62" i="77" s="1"/>
  <c r="T61" i="68"/>
  <c r="K29" i="82"/>
  <c r="L29" i="82" s="1"/>
  <c r="T28" i="73"/>
  <c r="K41" i="80"/>
  <c r="L41" i="80" s="1"/>
  <c r="T40" i="71"/>
  <c r="T40" i="72"/>
  <c r="K41" i="81"/>
  <c r="L41" i="81" s="1"/>
  <c r="K73" i="80"/>
  <c r="L73" i="80" s="1"/>
  <c r="T72" i="71"/>
  <c r="K27" i="80"/>
  <c r="L27" i="80" s="1"/>
  <c r="T26" i="71"/>
  <c r="G20" i="78"/>
  <c r="H20" i="78" s="1"/>
  <c r="L19" i="69"/>
  <c r="G30" i="74"/>
  <c r="H30" i="74" s="1"/>
  <c r="L29" i="65"/>
  <c r="G38" i="75"/>
  <c r="H38" i="75" s="1"/>
  <c r="L37" i="66"/>
  <c r="K51" i="75"/>
  <c r="L51" i="75" s="1"/>
  <c r="T50" i="66"/>
  <c r="K62" i="80"/>
  <c r="L62" i="80" s="1"/>
  <c r="T61" i="71"/>
  <c r="T72" i="70"/>
  <c r="K73" i="79"/>
  <c r="L73" i="79" s="1"/>
  <c r="L69" i="69"/>
  <c r="G70" i="78"/>
  <c r="H70" i="78" s="1"/>
  <c r="L35" i="73"/>
  <c r="G36" i="82"/>
  <c r="H36" i="82" s="1"/>
  <c r="T30" i="73"/>
  <c r="K31" i="82"/>
  <c r="L31" i="82" s="1"/>
  <c r="L35" i="68"/>
  <c r="G36" i="77"/>
  <c r="H36" i="77" s="1"/>
  <c r="K53" i="78"/>
  <c r="L53" i="78" s="1"/>
  <c r="T52" i="69"/>
  <c r="K28" i="77"/>
  <c r="L28" i="77" s="1"/>
  <c r="T27" i="68"/>
  <c r="L25" i="65"/>
  <c r="G26" i="74"/>
  <c r="H26" i="74" s="1"/>
  <c r="G72" i="82"/>
  <c r="H72" i="82" s="1"/>
  <c r="L71" i="73"/>
  <c r="L15" i="68"/>
  <c r="G16" i="77"/>
  <c r="L21" i="67"/>
  <c r="G22" i="76"/>
  <c r="H22" i="76" s="1"/>
  <c r="G66" i="77"/>
  <c r="H66" i="77" s="1"/>
  <c r="L65" i="68"/>
  <c r="T55" i="66"/>
  <c r="K56" i="75"/>
  <c r="L56" i="75" s="1"/>
  <c r="T55" i="70"/>
  <c r="K56" i="79"/>
  <c r="L56" i="79" s="1"/>
  <c r="L27" i="65"/>
  <c r="G28" i="74"/>
  <c r="H28" i="74" s="1"/>
  <c r="T56" i="67"/>
  <c r="K57" i="76"/>
  <c r="L57" i="76" s="1"/>
  <c r="T64" i="65"/>
  <c r="K65" i="74"/>
  <c r="L65" i="74" s="1"/>
  <c r="T16" i="67"/>
  <c r="K17" i="76"/>
  <c r="L17" i="76" s="1"/>
  <c r="K68" i="78"/>
  <c r="L68" i="78" s="1"/>
  <c r="T67" i="69"/>
  <c r="T43" i="72"/>
  <c r="K44" i="81"/>
  <c r="L44" i="81" s="1"/>
  <c r="K42" i="79"/>
  <c r="L42" i="79" s="1"/>
  <c r="T41" i="70"/>
  <c r="T60" i="65"/>
  <c r="K61" i="74"/>
  <c r="L61" i="74" s="1"/>
  <c r="G32" i="79"/>
  <c r="H32" i="79" s="1"/>
  <c r="L31" i="70"/>
  <c r="T54" i="71"/>
  <c r="K55" i="80"/>
  <c r="L55" i="80" s="1"/>
  <c r="L45" i="69"/>
  <c r="G46" i="78"/>
  <c r="H46" i="78" s="1"/>
  <c r="G24" i="78"/>
  <c r="H24" i="78" s="1"/>
  <c r="L23" i="69"/>
  <c r="L17" i="66"/>
  <c r="G18" i="75"/>
  <c r="H18" i="75" s="1"/>
  <c r="K17" i="80"/>
  <c r="L17" i="80" s="1"/>
  <c r="T16" i="71"/>
  <c r="T32" i="71"/>
  <c r="K33" i="80"/>
  <c r="L33" i="80" s="1"/>
  <c r="T70" i="73"/>
  <c r="K71" i="82"/>
  <c r="L71" i="82" s="1"/>
  <c r="G41" i="75"/>
  <c r="H41" i="75" s="1"/>
  <c r="L40" i="66"/>
  <c r="G37" i="80"/>
  <c r="H37" i="80" s="1"/>
  <c r="L36" i="71"/>
  <c r="L54" i="70"/>
  <c r="G55" i="79"/>
  <c r="H55" i="79" s="1"/>
  <c r="L67" i="68"/>
  <c r="G68" i="77"/>
  <c r="H68" i="77" s="1"/>
  <c r="L47" i="69"/>
  <c r="G48" i="78"/>
  <c r="H48" i="78" s="1"/>
  <c r="T25" i="71"/>
  <c r="K26" i="80"/>
  <c r="L26" i="80" s="1"/>
  <c r="K18" i="37"/>
  <c r="T17" i="49"/>
  <c r="L18" i="48"/>
  <c r="G19" i="36"/>
  <c r="K43" i="78"/>
  <c r="L43" i="78" s="1"/>
  <c r="T42" i="69"/>
  <c r="T45" i="49"/>
  <c r="K46" i="37"/>
  <c r="G66" i="75"/>
  <c r="H66" i="75" s="1"/>
  <c r="L65" i="66"/>
  <c r="L64" i="49"/>
  <c r="G65" i="37"/>
  <c r="G50" i="81"/>
  <c r="H50" i="81" s="1"/>
  <c r="L49" i="72"/>
  <c r="T52" i="46"/>
  <c r="K53" i="34"/>
  <c r="T33" i="67"/>
  <c r="K34" i="76"/>
  <c r="L34" i="76" s="1"/>
  <c r="T44" i="46"/>
  <c r="K45" i="34"/>
  <c r="K32" i="76"/>
  <c r="L32" i="76" s="1"/>
  <c r="T31" i="67"/>
  <c r="L71" i="71"/>
  <c r="G72" i="80"/>
  <c r="H72" i="80" s="1"/>
  <c r="K19" i="82"/>
  <c r="L19" i="82" s="1"/>
  <c r="T18" i="73"/>
  <c r="T68" i="48"/>
  <c r="K69" i="36"/>
  <c r="L30" i="47"/>
  <c r="G31" i="35"/>
  <c r="K38" i="34"/>
  <c r="T37" i="46"/>
  <c r="T44" i="72"/>
  <c r="K45" i="81"/>
  <c r="L45" i="81" s="1"/>
  <c r="T33" i="49"/>
  <c r="K34" i="37"/>
  <c r="T28" i="48"/>
  <c r="K29" i="36"/>
  <c r="T55" i="68"/>
  <c r="K56" i="77"/>
  <c r="L56" i="77" s="1"/>
  <c r="K64" i="78"/>
  <c r="L64" i="78" s="1"/>
  <c r="T63" i="69"/>
  <c r="K56" i="78"/>
  <c r="L56" i="78" s="1"/>
  <c r="T55" i="69"/>
  <c r="K18" i="36"/>
  <c r="T17" i="48"/>
  <c r="L34" i="47"/>
  <c r="G35" i="35"/>
  <c r="L58" i="46"/>
  <c r="G59" i="34"/>
  <c r="L21" i="66"/>
  <c r="G22" i="75"/>
  <c r="H22" i="75" s="1"/>
  <c r="L20" i="46"/>
  <c r="G21" i="34"/>
  <c r="T72" i="48"/>
  <c r="K73" i="36"/>
  <c r="L16" i="66"/>
  <c r="G17" i="75"/>
  <c r="H17" i="75" s="1"/>
  <c r="T45" i="67"/>
  <c r="K46" i="76"/>
  <c r="L46" i="76" s="1"/>
  <c r="G68" i="37"/>
  <c r="L67" i="49"/>
  <c r="K63" i="76"/>
  <c r="L63" i="76" s="1"/>
  <c r="T62" i="67"/>
  <c r="T59" i="46"/>
  <c r="K60" i="34"/>
  <c r="L68" i="48"/>
  <c r="G69" i="36"/>
  <c r="G48" i="82"/>
  <c r="H48" i="82" s="1"/>
  <c r="L47" i="73"/>
  <c r="K56" i="80"/>
  <c r="L56" i="80" s="1"/>
  <c r="T55" i="71"/>
  <c r="K42" i="34"/>
  <c r="T41" i="46"/>
  <c r="L45" i="47"/>
  <c r="G46" i="35"/>
  <c r="T20" i="46"/>
  <c r="K21" i="34"/>
  <c r="L68" i="49"/>
  <c r="G69" i="37"/>
  <c r="K33" i="74"/>
  <c r="L33" i="74" s="1"/>
  <c r="T32" i="65"/>
  <c r="K37" i="77"/>
  <c r="L37" i="77" s="1"/>
  <c r="T36" i="68"/>
  <c r="K43" i="34"/>
  <c r="T42" i="46"/>
  <c r="T35" i="46"/>
  <c r="K36" i="34"/>
  <c r="T64" i="46"/>
  <c r="K65" i="34"/>
  <c r="G42" i="37"/>
  <c r="L41" i="49"/>
  <c r="L51" i="73"/>
  <c r="G52" i="82"/>
  <c r="H52" i="82" s="1"/>
  <c r="L24" i="70"/>
  <c r="G25" i="79"/>
  <c r="H25" i="79" s="1"/>
  <c r="T25" i="73"/>
  <c r="K26" i="82"/>
  <c r="L26" i="82" s="1"/>
  <c r="T27" i="49"/>
  <c r="K28" i="37"/>
  <c r="L72" i="46"/>
  <c r="G73" i="34"/>
  <c r="G45" i="74"/>
  <c r="H45" i="74" s="1"/>
  <c r="L44" i="65"/>
  <c r="K24" i="79"/>
  <c r="L24" i="79" s="1"/>
  <c r="T23" i="70"/>
  <c r="T60" i="48"/>
  <c r="K61" i="36"/>
  <c r="L56" i="68"/>
  <c r="G57" i="77"/>
  <c r="H57" i="77" s="1"/>
  <c r="G32" i="34"/>
  <c r="L31" i="46"/>
  <c r="G62" i="34"/>
  <c r="L61" i="46"/>
  <c r="G33" i="37"/>
  <c r="L32" i="49"/>
  <c r="G42" i="82"/>
  <c r="H42" i="82" s="1"/>
  <c r="L41" i="73"/>
  <c r="K41" i="77"/>
  <c r="L41" i="77" s="1"/>
  <c r="T40" i="68"/>
  <c r="G27" i="36"/>
  <c r="L26" i="48"/>
  <c r="L24" i="48"/>
  <c r="G25" i="36"/>
  <c r="G64" i="37"/>
  <c r="L63" i="49"/>
  <c r="G53" i="82"/>
  <c r="H53" i="82" s="1"/>
  <c r="L52" i="73"/>
  <c r="L33" i="66"/>
  <c r="G34" i="75"/>
  <c r="H34" i="75" s="1"/>
  <c r="K24" i="36"/>
  <c r="T23" i="48"/>
  <c r="L29" i="48"/>
  <c r="G30" i="36"/>
  <c r="K50" i="36"/>
  <c r="T49" i="48"/>
  <c r="L41" i="48"/>
  <c r="G42" i="36"/>
  <c r="G37" i="37"/>
  <c r="L36" i="49"/>
  <c r="G29" i="82"/>
  <c r="H29" i="82" s="1"/>
  <c r="L28" i="73"/>
  <c r="G16" i="76"/>
  <c r="L15" i="67"/>
  <c r="T41" i="68"/>
  <c r="K42" i="77"/>
  <c r="L42" i="77" s="1"/>
  <c r="T38" i="70"/>
  <c r="K39" i="79"/>
  <c r="L39" i="79" s="1"/>
  <c r="T70" i="71"/>
  <c r="K71" i="80"/>
  <c r="L71" i="80" s="1"/>
  <c r="T29" i="65"/>
  <c r="K30" i="74"/>
  <c r="L30" i="74" s="1"/>
  <c r="T71" i="66"/>
  <c r="K72" i="75"/>
  <c r="L72" i="75" s="1"/>
  <c r="L44" i="66"/>
  <c r="G45" i="75"/>
  <c r="H45" i="75" s="1"/>
  <c r="L27" i="68"/>
  <c r="G28" i="77"/>
  <c r="H28" i="77" s="1"/>
  <c r="L62" i="70"/>
  <c r="G63" i="79"/>
  <c r="H63" i="79" s="1"/>
  <c r="K18" i="77"/>
  <c r="L18" i="77" s="1"/>
  <c r="T17" i="68"/>
  <c r="K58" i="78"/>
  <c r="L58" i="78" s="1"/>
  <c r="T57" i="69"/>
  <c r="L64" i="73"/>
  <c r="G65" i="82"/>
  <c r="H65" i="82" s="1"/>
  <c r="K44" i="80"/>
  <c r="L44" i="80" s="1"/>
  <c r="T43" i="71"/>
  <c r="K26" i="81"/>
  <c r="L26" i="81" s="1"/>
  <c r="T25" i="72"/>
  <c r="K21" i="82"/>
  <c r="L21" i="82" s="1"/>
  <c r="T20" i="73"/>
  <c r="L62" i="66"/>
  <c r="G63" i="75"/>
  <c r="H63" i="75" s="1"/>
  <c r="L26" i="66"/>
  <c r="G27" i="75"/>
  <c r="H27" i="75" s="1"/>
  <c r="T52" i="65"/>
  <c r="K53" i="74"/>
  <c r="L53" i="74" s="1"/>
  <c r="L48" i="70"/>
  <c r="G49" i="79"/>
  <c r="H49" i="79" s="1"/>
  <c r="T19" i="66"/>
  <c r="K20" i="75"/>
  <c r="L20" i="75" s="1"/>
  <c r="T17" i="67"/>
  <c r="K18" i="76"/>
  <c r="L18" i="76" s="1"/>
  <c r="K62" i="79"/>
  <c r="L62" i="79" s="1"/>
  <c r="T61" i="70"/>
  <c r="L18" i="68"/>
  <c r="G19" i="77"/>
  <c r="H19" i="77" s="1"/>
  <c r="T24" i="72"/>
  <c r="K25" i="81"/>
  <c r="L25" i="81" s="1"/>
  <c r="L44" i="69"/>
  <c r="G45" i="78"/>
  <c r="H45" i="78" s="1"/>
  <c r="T34" i="68"/>
  <c r="K35" i="77"/>
  <c r="L35" i="77" s="1"/>
  <c r="T44" i="73"/>
  <c r="K45" i="82"/>
  <c r="L45" i="82" s="1"/>
  <c r="K57" i="80"/>
  <c r="L57" i="80" s="1"/>
  <c r="T56" i="71"/>
  <c r="T16" i="72"/>
  <c r="K17" i="81"/>
  <c r="L17" i="81" s="1"/>
  <c r="L15" i="73"/>
  <c r="G16" i="82"/>
  <c r="L27" i="72"/>
  <c r="G28" i="81"/>
  <c r="H28" i="81" s="1"/>
  <c r="L67" i="66"/>
  <c r="G68" i="75"/>
  <c r="H68" i="75" s="1"/>
  <c r="L33" i="69"/>
  <c r="G34" i="78"/>
  <c r="H34" i="78" s="1"/>
  <c r="L19" i="68"/>
  <c r="G20" i="77"/>
  <c r="H20" i="77" s="1"/>
  <c r="G61" i="77"/>
  <c r="H61" i="77" s="1"/>
  <c r="L60" i="68"/>
  <c r="L59" i="71"/>
  <c r="G60" i="80"/>
  <c r="H60" i="80" s="1"/>
  <c r="T15" i="65"/>
  <c r="R73" i="65"/>
  <c r="K16" i="74"/>
  <c r="T69" i="68"/>
  <c r="K70" i="77"/>
  <c r="L70" i="77" s="1"/>
  <c r="G26" i="79"/>
  <c r="H26" i="79" s="1"/>
  <c r="L25" i="70"/>
  <c r="T18" i="70"/>
  <c r="K19" i="79"/>
  <c r="L19" i="79" s="1"/>
  <c r="L31" i="69"/>
  <c r="G32" i="78"/>
  <c r="H32" i="78" s="1"/>
  <c r="L64" i="70"/>
  <c r="G65" i="79"/>
  <c r="H65" i="79" s="1"/>
  <c r="L16" i="73"/>
  <c r="G17" i="82"/>
  <c r="H17" i="82" s="1"/>
  <c r="G61" i="74"/>
  <c r="H61" i="74" s="1"/>
  <c r="L60" i="65"/>
  <c r="G66" i="82"/>
  <c r="H66" i="82" s="1"/>
  <c r="L65" i="73"/>
  <c r="T66" i="68"/>
  <c r="K67" i="77"/>
  <c r="L67" i="77" s="1"/>
  <c r="T38" i="68"/>
  <c r="K39" i="77"/>
  <c r="L39" i="77" s="1"/>
  <c r="K61" i="75"/>
  <c r="L61" i="75" s="1"/>
  <c r="T60" i="66"/>
  <c r="K59" i="76"/>
  <c r="L59" i="76" s="1"/>
  <c r="T58" i="67"/>
  <c r="G17" i="79"/>
  <c r="H17" i="79" s="1"/>
  <c r="L16" i="70"/>
  <c r="G68" i="74"/>
  <c r="H68" i="74" s="1"/>
  <c r="L67" i="65"/>
  <c r="L48" i="68"/>
  <c r="G49" i="77"/>
  <c r="H49" i="77" s="1"/>
  <c r="L42" i="66"/>
  <c r="G43" i="75"/>
  <c r="H43" i="75" s="1"/>
  <c r="G59" i="77"/>
  <c r="H59" i="77" s="1"/>
  <c r="L58" i="68"/>
  <c r="L15" i="66"/>
  <c r="G16" i="75"/>
  <c r="T55" i="72"/>
  <c r="K56" i="81"/>
  <c r="L56" i="81" s="1"/>
  <c r="T36" i="66"/>
  <c r="K37" i="75"/>
  <c r="L37" i="75" s="1"/>
  <c r="T49" i="65"/>
  <c r="K50" i="74"/>
  <c r="L50" i="74" s="1"/>
  <c r="L36" i="70"/>
  <c r="G37" i="79"/>
  <c r="H37" i="79" s="1"/>
  <c r="L34" i="72"/>
  <c r="G35" i="81"/>
  <c r="H35" i="81" s="1"/>
  <c r="L67" i="69"/>
  <c r="G68" i="78"/>
  <c r="H68" i="78" s="1"/>
  <c r="L69" i="72"/>
  <c r="G70" i="81"/>
  <c r="H70" i="81" s="1"/>
  <c r="G47" i="75"/>
  <c r="H47" i="75" s="1"/>
  <c r="L46" i="66"/>
  <c r="K25" i="80"/>
  <c r="L25" i="80" s="1"/>
  <c r="T24" i="71"/>
  <c r="K55" i="75"/>
  <c r="L55" i="75" s="1"/>
  <c r="T54" i="66"/>
  <c r="J28" i="2"/>
  <c r="L73" i="46" l="1"/>
  <c r="H16" i="77"/>
  <c r="H74" i="77" s="1"/>
  <c r="G74" i="77"/>
  <c r="F23" i="33" s="1"/>
  <c r="T73" i="70"/>
  <c r="L16" i="82"/>
  <c r="L74" i="82" s="1"/>
  <c r="K74" i="82"/>
  <c r="H28" i="33" s="1"/>
  <c r="H16" i="78"/>
  <c r="H74" i="78" s="1"/>
  <c r="G74" i="78"/>
  <c r="F24" i="33" s="1"/>
  <c r="L16" i="81"/>
  <c r="L74" i="81" s="1"/>
  <c r="K74" i="81"/>
  <c r="H27" i="33" s="1"/>
  <c r="L73" i="68"/>
  <c r="L16" i="79"/>
  <c r="L74" i="79" s="1"/>
  <c r="K74" i="79"/>
  <c r="H25" i="33" s="1"/>
  <c r="H16" i="74"/>
  <c r="H74" i="74" s="1"/>
  <c r="G74" i="74"/>
  <c r="F20" i="33" s="1"/>
  <c r="L73" i="69"/>
  <c r="L73" i="65"/>
  <c r="L16" i="80"/>
  <c r="L74" i="80" s="1"/>
  <c r="K74" i="80"/>
  <c r="H26" i="33" s="1"/>
  <c r="K74" i="76"/>
  <c r="H22" i="33" s="1"/>
  <c r="L16" i="76"/>
  <c r="L74" i="76" s="1"/>
  <c r="T73" i="71"/>
  <c r="T73" i="69"/>
  <c r="G74" i="80"/>
  <c r="F26" i="33" s="1"/>
  <c r="H16" i="80"/>
  <c r="H74" i="80" s="1"/>
  <c r="T73" i="67"/>
  <c r="L73" i="71"/>
  <c r="L16" i="78"/>
  <c r="L74" i="78" s="1"/>
  <c r="K74" i="78"/>
  <c r="H24" i="33" s="1"/>
  <c r="L73" i="48"/>
  <c r="T73" i="48"/>
  <c r="T73" i="46"/>
  <c r="H16" i="75"/>
  <c r="H74" i="75" s="1"/>
  <c r="G74" i="75"/>
  <c r="F21" i="33" s="1"/>
  <c r="L16" i="74"/>
  <c r="L74" i="74" s="1"/>
  <c r="K74" i="74"/>
  <c r="H20" i="33" s="1"/>
  <c r="H16" i="79"/>
  <c r="H74" i="79" s="1"/>
  <c r="G74" i="79"/>
  <c r="F25" i="33" s="1"/>
  <c r="L73" i="72"/>
  <c r="L73" i="66"/>
  <c r="L73" i="67"/>
  <c r="T73" i="66"/>
  <c r="L73" i="70"/>
  <c r="H16" i="81"/>
  <c r="H74" i="81" s="1"/>
  <c r="G74" i="81"/>
  <c r="F27" i="33" s="1"/>
  <c r="T73" i="65"/>
  <c r="H16" i="76"/>
  <c r="H74" i="76" s="1"/>
  <c r="G74" i="76"/>
  <c r="F22" i="33" s="1"/>
  <c r="L16" i="75"/>
  <c r="L74" i="75" s="1"/>
  <c r="K74" i="75"/>
  <c r="H21" i="33" s="1"/>
  <c r="H16" i="82"/>
  <c r="H74" i="82" s="1"/>
  <c r="G74" i="82"/>
  <c r="F28" i="33" s="1"/>
  <c r="L16" i="77"/>
  <c r="L74" i="77" s="1"/>
  <c r="K74" i="77"/>
  <c r="H23" i="33" s="1"/>
  <c r="L73" i="73"/>
  <c r="T73" i="73"/>
  <c r="T73" i="68"/>
  <c r="T73" i="72"/>
  <c r="O167" i="12"/>
  <c r="M167" i="12"/>
  <c r="E34" i="19" s="1"/>
  <c r="F167" i="12"/>
  <c r="E241" i="52"/>
  <c r="F241" i="52" s="1"/>
  <c r="E232" i="52"/>
  <c r="F232" i="52" s="1"/>
  <c r="E229" i="52"/>
  <c r="F229" i="52" s="1"/>
  <c r="E223" i="52"/>
  <c r="F223" i="52" s="1"/>
  <c r="E220" i="52"/>
  <c r="F220" i="52" s="1"/>
  <c r="E214" i="52"/>
  <c r="F214" i="52" s="1"/>
  <c r="E211" i="52"/>
  <c r="F211" i="52" s="1"/>
  <c r="E205" i="52"/>
  <c r="F205" i="52" s="1"/>
  <c r="E196" i="52"/>
  <c r="F196" i="52" s="1"/>
  <c r="E193" i="52"/>
  <c r="F193" i="52" s="1"/>
  <c r="E187" i="52"/>
  <c r="F187" i="52" s="1"/>
  <c r="E184" i="52"/>
  <c r="F184" i="52" s="1"/>
  <c r="E178" i="52"/>
  <c r="F178" i="52" s="1"/>
  <c r="E175" i="52"/>
  <c r="F175" i="52" s="1"/>
  <c r="E169" i="52"/>
  <c r="F169" i="52" s="1"/>
  <c r="E160" i="52"/>
  <c r="F160" i="52" s="1"/>
  <c r="E157" i="52"/>
  <c r="F157" i="52" s="1"/>
  <c r="E151" i="52"/>
  <c r="F151" i="52" s="1"/>
  <c r="E148" i="52"/>
  <c r="F148" i="52" s="1"/>
  <c r="E142" i="52"/>
  <c r="F142" i="52" s="1"/>
  <c r="E139" i="52"/>
  <c r="F139" i="52" s="1"/>
  <c r="E133" i="52"/>
  <c r="F133" i="52" s="1"/>
  <c r="E124" i="52"/>
  <c r="F124" i="52" s="1"/>
  <c r="E115" i="52"/>
  <c r="F115" i="52" s="1"/>
  <c r="E112" i="52"/>
  <c r="F112" i="52" s="1"/>
  <c r="E106" i="52"/>
  <c r="F106" i="52" s="1"/>
  <c r="E103" i="52"/>
  <c r="F103" i="52" s="1"/>
  <c r="E97" i="52"/>
  <c r="F97" i="52" s="1"/>
  <c r="E88" i="52"/>
  <c r="F88" i="52" s="1"/>
  <c r="E79" i="52"/>
  <c r="F79" i="52" s="1"/>
  <c r="E76" i="52"/>
  <c r="F76" i="52" s="1"/>
  <c r="K177" i="12"/>
  <c r="K178" i="12"/>
  <c r="K179" i="12"/>
  <c r="K180" i="12"/>
  <c r="K181" i="12"/>
  <c r="K182" i="12"/>
  <c r="K183" i="12"/>
  <c r="L183" i="12"/>
  <c r="L178" i="12"/>
  <c r="L179" i="12"/>
  <c r="L177" i="12"/>
  <c r="L176" i="12"/>
  <c r="L175" i="12"/>
  <c r="E70" i="52"/>
  <c r="F70" i="52" s="1"/>
  <c r="E67" i="52"/>
  <c r="F67" i="52" s="1"/>
  <c r="E61" i="52"/>
  <c r="F61" i="52" s="1"/>
  <c r="E58" i="52"/>
  <c r="F58" i="52" s="1"/>
  <c r="I24" i="33" l="1"/>
  <c r="F76" i="81"/>
  <c r="D26" i="52" s="1"/>
  <c r="H75" i="73"/>
  <c r="F76" i="74"/>
  <c r="D19" i="52" s="1"/>
  <c r="F76" i="75"/>
  <c r="D20" i="52" s="1"/>
  <c r="H75" i="67"/>
  <c r="F76" i="82"/>
  <c r="D27" i="52" s="1"/>
  <c r="F27" i="52" s="1"/>
  <c r="H75" i="71"/>
  <c r="I23" i="33"/>
  <c r="F76" i="76"/>
  <c r="D21" i="52" s="1"/>
  <c r="H75" i="66"/>
  <c r="H75" i="72"/>
  <c r="H75" i="48"/>
  <c r="I25" i="33"/>
  <c r="H75" i="65"/>
  <c r="F76" i="78"/>
  <c r="D23" i="52" s="1"/>
  <c r="H75" i="69"/>
  <c r="F76" i="79"/>
  <c r="D24" i="52" s="1"/>
  <c r="I22" i="33"/>
  <c r="I20" i="33"/>
  <c r="F76" i="80"/>
  <c r="D25" i="52" s="1"/>
  <c r="I27" i="33"/>
  <c r="I21" i="33"/>
  <c r="I26" i="33"/>
  <c r="H75" i="68"/>
  <c r="F76" i="77"/>
  <c r="D22" i="52" s="1"/>
  <c r="I28" i="33"/>
  <c r="H75" i="70"/>
  <c r="E29" i="52"/>
  <c r="E121" i="52"/>
  <c r="F121" i="52" s="1"/>
  <c r="E94" i="52"/>
  <c r="F94" i="52" s="1"/>
  <c r="E130" i="52"/>
  <c r="F130" i="52" s="1"/>
  <c r="E166" i="52"/>
  <c r="F166" i="52" s="1"/>
  <c r="E202" i="52"/>
  <c r="F202" i="52" s="1"/>
  <c r="E238" i="52"/>
  <c r="F238" i="52" s="1"/>
  <c r="E49" i="52"/>
  <c r="F49" i="52" s="1"/>
  <c r="E54" i="52"/>
  <c r="F54" i="52" s="1"/>
  <c r="E162" i="52"/>
  <c r="F162" i="52" s="1"/>
  <c r="E198" i="52"/>
  <c r="F198" i="52" s="1"/>
  <c r="E234" i="52"/>
  <c r="F234" i="52" s="1"/>
  <c r="E72" i="52"/>
  <c r="F72" i="52" s="1"/>
  <c r="E107" i="52"/>
  <c r="F107" i="52" s="1"/>
  <c r="E144" i="52"/>
  <c r="F144" i="52" s="1"/>
  <c r="E180" i="52"/>
  <c r="F180" i="52" s="1"/>
  <c r="E215" i="52"/>
  <c r="F215" i="52" s="1"/>
  <c r="E63" i="52"/>
  <c r="F63" i="52" s="1"/>
  <c r="E81" i="52"/>
  <c r="F81" i="52" s="1"/>
  <c r="E117" i="52"/>
  <c r="F117" i="52" s="1"/>
  <c r="E153" i="52"/>
  <c r="F153" i="52" s="1"/>
  <c r="E188" i="52"/>
  <c r="F188" i="52" s="1"/>
  <c r="E224" i="52"/>
  <c r="F224" i="52" s="1"/>
  <c r="M175" i="12"/>
  <c r="N175" i="12" s="1"/>
  <c r="E216" i="52"/>
  <c r="F216" i="52" s="1"/>
  <c r="E109" i="52"/>
  <c r="F109" i="52" s="1"/>
  <c r="E172" i="52"/>
  <c r="F172" i="52" s="1"/>
  <c r="E244" i="52"/>
  <c r="F244" i="52" s="1"/>
  <c r="E217" i="52"/>
  <c r="F217" i="52" s="1"/>
  <c r="E199" i="52"/>
  <c r="F199" i="52" s="1"/>
  <c r="E189" i="52"/>
  <c r="F189" i="52" s="1"/>
  <c r="E190" i="52"/>
  <c r="F190" i="52" s="1"/>
  <c r="E171" i="52"/>
  <c r="F171" i="52" s="1"/>
  <c r="E91" i="52"/>
  <c r="F91" i="52" s="1"/>
  <c r="E179" i="52"/>
  <c r="F179" i="52" s="1"/>
  <c r="E226" i="52"/>
  <c r="F226" i="52" s="1"/>
  <c r="E181" i="52"/>
  <c r="F181" i="52" s="1"/>
  <c r="E136" i="52"/>
  <c r="F136" i="52" s="1"/>
  <c r="E163" i="52"/>
  <c r="F163" i="52" s="1"/>
  <c r="E208" i="52"/>
  <c r="F208" i="52" s="1"/>
  <c r="E225" i="52"/>
  <c r="F225" i="52" s="1"/>
  <c r="E235" i="52"/>
  <c r="F235" i="52" s="1"/>
  <c r="E108" i="52"/>
  <c r="F108" i="52" s="1"/>
  <c r="E98" i="52"/>
  <c r="F98" i="52" s="1"/>
  <c r="E143" i="52"/>
  <c r="F143" i="52" s="1"/>
  <c r="E99" i="52"/>
  <c r="F99" i="52" s="1"/>
  <c r="E118" i="52"/>
  <c r="F118" i="52" s="1"/>
  <c r="E207" i="52"/>
  <c r="F207" i="52" s="1"/>
  <c r="E243" i="52"/>
  <c r="F243" i="52" s="1"/>
  <c r="E100" i="52"/>
  <c r="F100" i="52" s="1"/>
  <c r="E127" i="52"/>
  <c r="F127" i="52" s="1"/>
  <c r="E145" i="52"/>
  <c r="F145" i="52" s="1"/>
  <c r="E82" i="52"/>
  <c r="F82" i="52" s="1"/>
  <c r="E154" i="52"/>
  <c r="F154" i="52" s="1"/>
  <c r="K167" i="12"/>
  <c r="E28" i="52" s="1"/>
  <c r="F28" i="52" s="1"/>
  <c r="M177" i="12"/>
  <c r="N177" i="12" s="1"/>
  <c r="E170" i="52"/>
  <c r="F170" i="52" s="1"/>
  <c r="E206" i="52"/>
  <c r="F206" i="52" s="1"/>
  <c r="E242" i="52"/>
  <c r="F242" i="52" s="1"/>
  <c r="E161" i="52"/>
  <c r="F161" i="52" s="1"/>
  <c r="E197" i="52"/>
  <c r="F197" i="52" s="1"/>
  <c r="E233" i="52"/>
  <c r="F233" i="52" s="1"/>
  <c r="E134" i="52"/>
  <c r="F134" i="52" s="1"/>
  <c r="E135" i="52"/>
  <c r="F135" i="52" s="1"/>
  <c r="M176" i="12"/>
  <c r="N176" i="12" s="1"/>
  <c r="E126" i="52"/>
  <c r="F126" i="52" s="1"/>
  <c r="E125" i="52"/>
  <c r="F125" i="52" s="1"/>
  <c r="E116" i="52"/>
  <c r="F116" i="52" s="1"/>
  <c r="E152" i="52"/>
  <c r="F152" i="52" s="1"/>
  <c r="E90" i="52"/>
  <c r="F90" i="52" s="1"/>
  <c r="E80" i="52"/>
  <c r="F80" i="52" s="1"/>
  <c r="M179" i="12"/>
  <c r="N179" i="12" s="1"/>
  <c r="M178" i="12"/>
  <c r="N178" i="12" s="1"/>
  <c r="E89" i="52"/>
  <c r="F89" i="52" s="1"/>
  <c r="M183" i="12"/>
  <c r="N183" i="12" s="1"/>
  <c r="E64" i="52"/>
  <c r="F64" i="52" s="1"/>
  <c r="E73" i="52"/>
  <c r="F73" i="52" s="1"/>
  <c r="E62" i="52"/>
  <c r="F62" i="52" s="1"/>
  <c r="E71" i="52"/>
  <c r="F71" i="52" s="1"/>
  <c r="E53" i="52"/>
  <c r="F53" i="52" s="1"/>
  <c r="J63" i="2"/>
  <c r="J64" i="2"/>
  <c r="J65" i="2"/>
  <c r="J76" i="2"/>
  <c r="J47" i="2"/>
  <c r="F78" i="2" l="1"/>
  <c r="G78" i="2"/>
  <c r="H78" i="2"/>
  <c r="I78" i="2"/>
  <c r="E78" i="2"/>
  <c r="J83" i="2"/>
  <c r="J84" i="2"/>
  <c r="J62" i="2"/>
  <c r="J77" i="2" l="1"/>
  <c r="J82" i="2"/>
  <c r="J73" i="2"/>
  <c r="J54" i="2"/>
  <c r="D15" i="2"/>
  <c r="A29" i="28" l="1"/>
  <c r="A30" i="28" s="1"/>
  <c r="A30" i="20"/>
  <c r="J36" i="2" l="1"/>
  <c r="J35" i="2"/>
  <c r="J27" i="2"/>
  <c r="I30" i="2"/>
  <c r="H30" i="2"/>
  <c r="G30" i="2"/>
  <c r="F30" i="2"/>
  <c r="E30" i="2"/>
  <c r="J19" i="2"/>
  <c r="J18" i="2"/>
  <c r="F16" i="28"/>
  <c r="F17" i="28"/>
  <c r="F18" i="28"/>
  <c r="F19" i="28"/>
  <c r="F20" i="28"/>
  <c r="F21" i="28"/>
  <c r="F29" i="28" s="1"/>
  <c r="F22" i="28"/>
  <c r="F23" i="28"/>
  <c r="F24" i="28"/>
  <c r="F30" i="28" s="1"/>
  <c r="F15" i="28"/>
  <c r="A21" i="20"/>
  <c r="A22" i="20" s="1"/>
  <c r="A23" i="20" s="1"/>
  <c r="A24" i="20" s="1"/>
  <c r="A25" i="20" s="1"/>
  <c r="J73" i="16"/>
  <c r="G17" i="19" s="1"/>
  <c r="F73" i="16"/>
  <c r="E17" i="19" s="1"/>
  <c r="J73" i="23"/>
  <c r="G16" i="19" s="1"/>
  <c r="F73" i="23"/>
  <c r="J73" i="18"/>
  <c r="G15" i="19" s="1"/>
  <c r="F73" i="18"/>
  <c r="E15" i="19" s="1"/>
  <c r="F28" i="28" l="1"/>
  <c r="F88" i="2" s="1"/>
  <c r="F89" i="2" s="1"/>
  <c r="G28" i="19"/>
  <c r="H88" i="2"/>
  <c r="H89" i="2" s="1"/>
  <c r="P89" i="40"/>
  <c r="P90" i="40" s="1"/>
  <c r="G88" i="2"/>
  <c r="G89" i="2" s="1"/>
  <c r="M89" i="40"/>
  <c r="M90" i="40" s="1"/>
  <c r="E16" i="19"/>
  <c r="E28" i="19" s="1"/>
  <c r="F25" i="28"/>
  <c r="E14" i="52" s="1"/>
  <c r="F14" i="52" s="1"/>
  <c r="J38" i="2"/>
  <c r="J30" i="2"/>
  <c r="F27" i="28"/>
  <c r="J89" i="40" l="1"/>
  <c r="J90" i="40" s="1"/>
  <c r="G89" i="40"/>
  <c r="E88" i="2"/>
  <c r="F31" i="28"/>
  <c r="A16" i="28"/>
  <c r="A17" i="28" s="1"/>
  <c r="A18" i="28" s="1"/>
  <c r="A19" i="28" s="1"/>
  <c r="A20" i="28" s="1"/>
  <c r="A21" i="28" s="1"/>
  <c r="A22" i="28" s="1"/>
  <c r="A23" i="28" s="1"/>
  <c r="A24" i="28" s="1"/>
  <c r="A25" i="28" s="1"/>
  <c r="I88" i="2" l="1"/>
  <c r="J88" i="2" s="1"/>
  <c r="G90" i="40"/>
  <c r="S89" i="40"/>
  <c r="S90" i="40" s="1"/>
  <c r="E89" i="2"/>
  <c r="J72" i="2"/>
  <c r="J71" i="2"/>
  <c r="J70" i="2"/>
  <c r="F67" i="2"/>
  <c r="G67" i="2"/>
  <c r="H67" i="2"/>
  <c r="I67" i="2"/>
  <c r="E67" i="2"/>
  <c r="J66" i="2"/>
  <c r="J75" i="2"/>
  <c r="J61" i="2"/>
  <c r="J60" i="2"/>
  <c r="J55" i="2"/>
  <c r="I57" i="2"/>
  <c r="H57" i="2"/>
  <c r="G57" i="2"/>
  <c r="F57" i="2"/>
  <c r="E57" i="2"/>
  <c r="J56" i="2"/>
  <c r="J53" i="2"/>
  <c r="J44" i="2"/>
  <c r="J45" i="2"/>
  <c r="J46" i="2"/>
  <c r="J49" i="2"/>
  <c r="J43" i="2"/>
  <c r="F50" i="2"/>
  <c r="G50" i="2"/>
  <c r="H50" i="2"/>
  <c r="I50" i="2"/>
  <c r="E50" i="2"/>
  <c r="I20" i="2"/>
  <c r="H20" i="2"/>
  <c r="G20" i="2"/>
  <c r="F20" i="2"/>
  <c r="E20" i="2"/>
  <c r="H15" i="2"/>
  <c r="G15" i="2"/>
  <c r="F15" i="2"/>
  <c r="E15" i="2"/>
  <c r="I15" i="2"/>
  <c r="J29" i="2"/>
  <c r="D20" i="2"/>
  <c r="V89" i="40" l="1"/>
  <c r="V90" i="40"/>
  <c r="J15" i="2"/>
  <c r="J20" i="2"/>
  <c r="I89" i="2"/>
  <c r="J89" i="2" s="1"/>
  <c r="J50" i="2"/>
  <c r="J78" i="2"/>
  <c r="J67" i="2"/>
  <c r="J57" i="2"/>
  <c r="H197" i="22" l="1"/>
  <c r="E31" i="52" s="1"/>
  <c r="F31" i="52" s="1"/>
  <c r="D197" i="22"/>
  <c r="E30" i="52" s="1"/>
  <c r="F30" i="52" s="1"/>
  <c r="J196" i="22"/>
  <c r="F196" i="22"/>
  <c r="J195" i="22"/>
  <c r="F195" i="22"/>
  <c r="J194" i="22"/>
  <c r="F194" i="22"/>
  <c r="J193" i="22"/>
  <c r="F193" i="22"/>
  <c r="J192" i="22"/>
  <c r="F192" i="22"/>
  <c r="J191" i="22"/>
  <c r="F191" i="22"/>
  <c r="J190" i="22"/>
  <c r="F190" i="22"/>
  <c r="J189" i="22"/>
  <c r="F189" i="22"/>
  <c r="J188" i="22"/>
  <c r="F188" i="22"/>
  <c r="J187" i="22"/>
  <c r="F187" i="22"/>
  <c r="J186" i="22"/>
  <c r="F186" i="22"/>
  <c r="J185" i="22"/>
  <c r="F185" i="22"/>
  <c r="J184" i="22"/>
  <c r="F184" i="22"/>
  <c r="J183" i="22"/>
  <c r="F183" i="22"/>
  <c r="J182" i="22"/>
  <c r="F182" i="22"/>
  <c r="J181" i="22"/>
  <c r="F181" i="22"/>
  <c r="J180" i="22"/>
  <c r="F180" i="22"/>
  <c r="J179" i="22"/>
  <c r="F179" i="22"/>
  <c r="J178" i="22"/>
  <c r="F178" i="22"/>
  <c r="J177" i="22"/>
  <c r="F177" i="22"/>
  <c r="J176" i="22"/>
  <c r="F176" i="22"/>
  <c r="J175" i="22"/>
  <c r="F175" i="22"/>
  <c r="J174" i="22"/>
  <c r="F174" i="22"/>
  <c r="J173" i="22"/>
  <c r="F173" i="22"/>
  <c r="J172" i="22"/>
  <c r="F172" i="22"/>
  <c r="J171" i="22"/>
  <c r="F171" i="22"/>
  <c r="J170" i="22"/>
  <c r="F170" i="22"/>
  <c r="J169" i="22"/>
  <c r="F169" i="22"/>
  <c r="J168" i="22"/>
  <c r="F168" i="22"/>
  <c r="J167" i="22"/>
  <c r="F167" i="22"/>
  <c r="J166" i="22"/>
  <c r="F166" i="22"/>
  <c r="J165" i="22"/>
  <c r="F165" i="22"/>
  <c r="J164" i="22"/>
  <c r="F164" i="22"/>
  <c r="J163" i="22"/>
  <c r="F163" i="22"/>
  <c r="J162" i="22"/>
  <c r="F162" i="22"/>
  <c r="J161" i="22"/>
  <c r="F161" i="22"/>
  <c r="J160" i="22"/>
  <c r="F160" i="22"/>
  <c r="J159" i="22"/>
  <c r="F159" i="22"/>
  <c r="J158" i="22"/>
  <c r="F158" i="22"/>
  <c r="J157" i="22"/>
  <c r="F157" i="22"/>
  <c r="J156" i="22"/>
  <c r="F156" i="22"/>
  <c r="J155" i="22"/>
  <c r="F155" i="22"/>
  <c r="J154" i="22"/>
  <c r="F154" i="22"/>
  <c r="J153" i="22"/>
  <c r="F153" i="22"/>
  <c r="J152" i="22"/>
  <c r="F152" i="22"/>
  <c r="J150" i="22"/>
  <c r="F150" i="22"/>
  <c r="J149" i="22"/>
  <c r="F149" i="22"/>
  <c r="J148" i="22"/>
  <c r="F148" i="22"/>
  <c r="J147" i="22"/>
  <c r="F147" i="22"/>
  <c r="J146" i="22"/>
  <c r="F146" i="22"/>
  <c r="J145" i="22"/>
  <c r="F145" i="22"/>
  <c r="J144" i="22"/>
  <c r="F144" i="22"/>
  <c r="J143" i="22"/>
  <c r="F143" i="22"/>
  <c r="J142" i="22"/>
  <c r="F142" i="22"/>
  <c r="J141" i="22"/>
  <c r="F141" i="22"/>
  <c r="J140" i="22"/>
  <c r="F140" i="22"/>
  <c r="J139" i="22"/>
  <c r="F139" i="22"/>
  <c r="J138" i="22"/>
  <c r="F138" i="22"/>
  <c r="J137" i="22"/>
  <c r="F137" i="22"/>
  <c r="J136" i="22"/>
  <c r="F136" i="22"/>
  <c r="J135" i="22"/>
  <c r="F135" i="22"/>
  <c r="J134" i="22"/>
  <c r="F134" i="22"/>
  <c r="J133" i="22"/>
  <c r="F133" i="22"/>
  <c r="J132" i="22"/>
  <c r="F132" i="22"/>
  <c r="J131" i="22"/>
  <c r="F131" i="22"/>
  <c r="J130" i="22"/>
  <c r="F130" i="22"/>
  <c r="J129" i="22"/>
  <c r="F129" i="22"/>
  <c r="J128" i="22"/>
  <c r="F128" i="22"/>
  <c r="J127" i="22"/>
  <c r="F127" i="22"/>
  <c r="J126" i="22"/>
  <c r="F126" i="22"/>
  <c r="J125" i="22"/>
  <c r="F125" i="22"/>
  <c r="J124" i="22"/>
  <c r="F124" i="22"/>
  <c r="J123" i="22"/>
  <c r="F123" i="22"/>
  <c r="J122" i="22"/>
  <c r="F122" i="22"/>
  <c r="J121" i="22"/>
  <c r="F121" i="22"/>
  <c r="J120" i="22"/>
  <c r="F120" i="22"/>
  <c r="J119" i="22"/>
  <c r="F119" i="22"/>
  <c r="J118" i="22"/>
  <c r="F118" i="22"/>
  <c r="J117" i="22"/>
  <c r="F117" i="22"/>
  <c r="J116" i="22"/>
  <c r="F116" i="22"/>
  <c r="J115" i="22"/>
  <c r="F115" i="22"/>
  <c r="J114" i="22"/>
  <c r="F114" i="22"/>
  <c r="J113" i="22"/>
  <c r="F113" i="22"/>
  <c r="J112" i="22"/>
  <c r="F112" i="22"/>
  <c r="J111" i="22"/>
  <c r="F111" i="22"/>
  <c r="J110" i="22"/>
  <c r="F110" i="22"/>
  <c r="J109" i="22"/>
  <c r="F109" i="22"/>
  <c r="J108" i="22"/>
  <c r="F108" i="22"/>
  <c r="J107" i="22"/>
  <c r="F107" i="22"/>
  <c r="J106" i="22"/>
  <c r="F106" i="22"/>
  <c r="J105" i="22"/>
  <c r="F105" i="22"/>
  <c r="J104" i="22"/>
  <c r="F104" i="22"/>
  <c r="J103" i="22"/>
  <c r="F103" i="22"/>
  <c r="J102" i="22"/>
  <c r="F102" i="22"/>
  <c r="J101" i="22"/>
  <c r="F101" i="22"/>
  <c r="J100" i="22"/>
  <c r="F100" i="22"/>
  <c r="J99" i="22"/>
  <c r="F99" i="22"/>
  <c r="J98" i="22"/>
  <c r="F98" i="22"/>
  <c r="J97" i="22"/>
  <c r="F97" i="22"/>
  <c r="J96" i="22"/>
  <c r="F96" i="22"/>
  <c r="J95" i="22"/>
  <c r="F95" i="22"/>
  <c r="J94" i="22"/>
  <c r="F94" i="22"/>
  <c r="J93" i="22"/>
  <c r="F93" i="22"/>
  <c r="J92" i="22"/>
  <c r="F92" i="22"/>
  <c r="J91" i="22"/>
  <c r="F91" i="22"/>
  <c r="J90" i="22"/>
  <c r="F90" i="22"/>
  <c r="J89" i="22"/>
  <c r="F89" i="22"/>
  <c r="J88" i="22"/>
  <c r="F88" i="22"/>
  <c r="J87" i="22"/>
  <c r="F87" i="22"/>
  <c r="J86" i="22"/>
  <c r="F86" i="22"/>
  <c r="J85" i="22"/>
  <c r="F85" i="22"/>
  <c r="J84" i="22"/>
  <c r="F84" i="22"/>
  <c r="J83" i="22"/>
  <c r="F83" i="22"/>
  <c r="J82" i="22"/>
  <c r="F82" i="22"/>
  <c r="J81" i="22"/>
  <c r="F81" i="22"/>
  <c r="J80" i="22"/>
  <c r="F80" i="22"/>
  <c r="J79" i="22"/>
  <c r="F79" i="22"/>
  <c r="J78" i="22"/>
  <c r="F78" i="22"/>
  <c r="J77" i="22"/>
  <c r="F77" i="22"/>
  <c r="J76" i="22"/>
  <c r="F76" i="22"/>
  <c r="J75" i="22"/>
  <c r="F75" i="22"/>
  <c r="J74" i="22"/>
  <c r="F74" i="22"/>
  <c r="J73" i="22"/>
  <c r="F73" i="22"/>
  <c r="J72" i="22"/>
  <c r="F72" i="22"/>
  <c r="J71" i="22"/>
  <c r="F71" i="22"/>
  <c r="J70" i="22"/>
  <c r="F70" i="22"/>
  <c r="J69" i="22"/>
  <c r="F69" i="22"/>
  <c r="J68" i="22"/>
  <c r="F68" i="22"/>
  <c r="J67" i="22"/>
  <c r="F67" i="22"/>
  <c r="J66" i="22"/>
  <c r="F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F20" i="22"/>
  <c r="J19" i="22"/>
  <c r="J18" i="22"/>
  <c r="F18" i="22"/>
  <c r="F197" i="22" l="1"/>
  <c r="F8" i="22" s="1"/>
  <c r="E36" i="52" s="1"/>
  <c r="F36" i="52" s="1"/>
  <c r="J197" i="22"/>
  <c r="F9" i="22" s="1"/>
  <c r="E37" i="52" s="1"/>
  <c r="F37" i="52" s="1"/>
  <c r="F10" i="22" l="1"/>
  <c r="M170" i="12" l="1"/>
  <c r="H30" i="20"/>
  <c r="H29" i="20"/>
  <c r="H21" i="20"/>
  <c r="H27" i="20" s="1"/>
  <c r="H22" i="20"/>
  <c r="H23" i="20"/>
  <c r="H24" i="20"/>
  <c r="H28" i="20" l="1"/>
  <c r="F23" i="2" s="1"/>
  <c r="F24" i="2" s="1"/>
  <c r="G23" i="2"/>
  <c r="G24" i="2" s="1"/>
  <c r="M24" i="40"/>
  <c r="M25" i="40" s="1"/>
  <c r="M33" i="40" s="1"/>
  <c r="M41" i="40" s="1"/>
  <c r="M92" i="40" s="1"/>
  <c r="M96" i="40" s="1"/>
  <c r="E23" i="2"/>
  <c r="E24" i="2" s="1"/>
  <c r="E32" i="2" s="1"/>
  <c r="G24" i="40"/>
  <c r="H23" i="2"/>
  <c r="H24" i="2" s="1"/>
  <c r="P24" i="40"/>
  <c r="P25" i="40" s="1"/>
  <c r="P33" i="40" s="1"/>
  <c r="P41" i="40" s="1"/>
  <c r="P92" i="40" s="1"/>
  <c r="P96" i="40" s="1"/>
  <c r="H25" i="20"/>
  <c r="J24" i="40" l="1"/>
  <c r="J25" i="40" s="1"/>
  <c r="J33" i="40" s="1"/>
  <c r="J41" i="40" s="1"/>
  <c r="J92" i="40"/>
  <c r="J96" i="40" s="1"/>
  <c r="J99" i="40" s="1"/>
  <c r="S24" i="40"/>
  <c r="S25" i="40" s="1"/>
  <c r="S33" i="40" s="1"/>
  <c r="S41" i="40" s="1"/>
  <c r="S92" i="40" s="1"/>
  <c r="S96" i="40" s="1"/>
  <c r="H31" i="20"/>
  <c r="E13" i="52"/>
  <c r="F13" i="52" s="1"/>
  <c r="I23" i="2"/>
  <c r="I24" i="2" s="1"/>
  <c r="I32" i="2" s="1"/>
  <c r="I40" i="2" s="1"/>
  <c r="G25" i="40"/>
  <c r="G33" i="40" s="1"/>
  <c r="H32" i="2"/>
  <c r="H40" i="2" s="1"/>
  <c r="G32" i="2"/>
  <c r="G40" i="2" s="1"/>
  <c r="F32" i="2"/>
  <c r="F40" i="2" s="1"/>
  <c r="J24" i="2" l="1"/>
  <c r="J23" i="2"/>
  <c r="E55" i="52"/>
  <c r="F55" i="52" s="1"/>
  <c r="E52" i="52"/>
  <c r="F52" i="52" s="1"/>
  <c r="V24" i="40"/>
  <c r="V25" i="40"/>
  <c r="I91" i="2"/>
  <c r="R171" i="38" s="1"/>
  <c r="R172" i="38" s="1"/>
  <c r="R173" i="38" s="1"/>
  <c r="F91" i="2"/>
  <c r="G91" i="2"/>
  <c r="H91" i="2"/>
  <c r="E40" i="2"/>
  <c r="E91" i="2" s="1"/>
  <c r="J32" i="2"/>
  <c r="F95" i="2" l="1"/>
  <c r="E29" i="19"/>
  <c r="E30" i="19" s="1"/>
  <c r="H95" i="2"/>
  <c r="G29" i="19"/>
  <c r="G30" i="19" s="1"/>
  <c r="D11" i="39"/>
  <c r="F13" i="39" s="1"/>
  <c r="K152" i="39" s="1"/>
  <c r="G95" i="2"/>
  <c r="E35" i="19" s="1"/>
  <c r="P169" i="38"/>
  <c r="P171" i="38" s="1"/>
  <c r="P172" i="38" s="1"/>
  <c r="P173" i="38" s="1"/>
  <c r="M172" i="50"/>
  <c r="G41" i="40"/>
  <c r="V33" i="40"/>
  <c r="E103" i="2"/>
  <c r="J91" i="2"/>
  <c r="I95" i="2"/>
  <c r="J40" i="2"/>
  <c r="P167" i="12"/>
  <c r="L167" i="12"/>
  <c r="G16" i="16" l="1"/>
  <c r="H16" i="16" s="1"/>
  <c r="G18" i="16"/>
  <c r="H18" i="16" s="1"/>
  <c r="G15" i="16"/>
  <c r="H15" i="16" s="1"/>
  <c r="G17" i="16"/>
  <c r="H17" i="16" s="1"/>
  <c r="D8" i="51"/>
  <c r="D10" i="51" s="1"/>
  <c r="H12" i="51" s="1"/>
  <c r="R18" i="51" s="1"/>
  <c r="E41" i="52"/>
  <c r="F41" i="52" s="1"/>
  <c r="D8" i="22"/>
  <c r="E34" i="52"/>
  <c r="F34" i="52" s="1"/>
  <c r="F98" i="2"/>
  <c r="M8" i="51"/>
  <c r="M10" i="51" s="1"/>
  <c r="Q12" i="51" s="1"/>
  <c r="I8" i="22"/>
  <c r="I10" i="22" s="1"/>
  <c r="K12" i="22" s="1"/>
  <c r="E44" i="52" s="1"/>
  <c r="F44" i="52" s="1"/>
  <c r="I15" i="46"/>
  <c r="K15" i="46" s="1"/>
  <c r="Q68" i="73"/>
  <c r="S68" i="73" s="1"/>
  <c r="Q44" i="73"/>
  <c r="S44" i="73" s="1"/>
  <c r="I35" i="73"/>
  <c r="K35" i="73" s="1"/>
  <c r="I19" i="73"/>
  <c r="K19" i="73" s="1"/>
  <c r="Q72" i="72"/>
  <c r="S72" i="72" s="1"/>
  <c r="Q60" i="72"/>
  <c r="S60" i="72" s="1"/>
  <c r="I47" i="72"/>
  <c r="K47" i="72" s="1"/>
  <c r="I36" i="72"/>
  <c r="K36" i="72" s="1"/>
  <c r="Q28" i="72"/>
  <c r="S28" i="72" s="1"/>
  <c r="Q20" i="72"/>
  <c r="S20" i="72" s="1"/>
  <c r="I67" i="71"/>
  <c r="K67" i="71" s="1"/>
  <c r="Q56" i="71"/>
  <c r="S56" i="71" s="1"/>
  <c r="I47" i="71"/>
  <c r="K47" i="71" s="1"/>
  <c r="I35" i="71"/>
  <c r="K35" i="71" s="1"/>
  <c r="I27" i="71"/>
  <c r="K27" i="71" s="1"/>
  <c r="Q16" i="71"/>
  <c r="S16" i="71" s="1"/>
  <c r="Q69" i="70"/>
  <c r="S69" i="70" s="1"/>
  <c r="Q47" i="70"/>
  <c r="S47" i="70" s="1"/>
  <c r="Q35" i="70"/>
  <c r="S35" i="70" s="1"/>
  <c r="Q25" i="70"/>
  <c r="S25" i="70" s="1"/>
  <c r="I16" i="70"/>
  <c r="K16" i="70" s="1"/>
  <c r="Q71" i="69"/>
  <c r="S71" i="69" s="1"/>
  <c r="I63" i="69"/>
  <c r="K63" i="69" s="1"/>
  <c r="I54" i="69"/>
  <c r="K54" i="69" s="1"/>
  <c r="I38" i="69"/>
  <c r="K38" i="69" s="1"/>
  <c r="Q27" i="69"/>
  <c r="S27" i="69" s="1"/>
  <c r="Q16" i="69"/>
  <c r="S16" i="69" s="1"/>
  <c r="Q71" i="68"/>
  <c r="S71" i="68" s="1"/>
  <c r="Q60" i="68"/>
  <c r="S60" i="68" s="1"/>
  <c r="I51" i="68"/>
  <c r="K51" i="68" s="1"/>
  <c r="I39" i="68"/>
  <c r="K39" i="68" s="1"/>
  <c r="Q28" i="68"/>
  <c r="S28" i="68" s="1"/>
  <c r="Q16" i="68"/>
  <c r="S16" i="68" s="1"/>
  <c r="Q72" i="67"/>
  <c r="S72" i="67" s="1"/>
  <c r="I66" i="67"/>
  <c r="K66" i="67" s="1"/>
  <c r="Q59" i="67"/>
  <c r="S59" i="67" s="1"/>
  <c r="Q52" i="67"/>
  <c r="S52" i="67" s="1"/>
  <c r="Q45" i="67"/>
  <c r="S45" i="67" s="1"/>
  <c r="Q39" i="67"/>
  <c r="S39" i="67" s="1"/>
  <c r="Q33" i="67"/>
  <c r="S33" i="67" s="1"/>
  <c r="Q26" i="67"/>
  <c r="S26" i="67" s="1"/>
  <c r="I18" i="67"/>
  <c r="K18" i="67" s="1"/>
  <c r="Q63" i="66"/>
  <c r="S63" i="66" s="1"/>
  <c r="Q54" i="66"/>
  <c r="S54" i="66" s="1"/>
  <c r="Q44" i="66"/>
  <c r="S44" i="66" s="1"/>
  <c r="Q26" i="66"/>
  <c r="S26" i="66" s="1"/>
  <c r="Q16" i="66"/>
  <c r="S16" i="66" s="1"/>
  <c r="Q71" i="71"/>
  <c r="S71" i="71" s="1"/>
  <c r="Q60" i="73"/>
  <c r="S60" i="73" s="1"/>
  <c r="Q52" i="73"/>
  <c r="S52" i="73" s="1"/>
  <c r="Q43" i="73"/>
  <c r="S43" i="73" s="1"/>
  <c r="Q31" i="73"/>
  <c r="S31" i="73" s="1"/>
  <c r="I72" i="72"/>
  <c r="K72" i="72" s="1"/>
  <c r="Q59" i="72"/>
  <c r="S59" i="72" s="1"/>
  <c r="Q35" i="72"/>
  <c r="S35" i="72" s="1"/>
  <c r="I28" i="72"/>
  <c r="K28" i="72" s="1"/>
  <c r="I20" i="72"/>
  <c r="K20" i="72" s="1"/>
  <c r="Q65" i="71"/>
  <c r="S65" i="71" s="1"/>
  <c r="Q55" i="71"/>
  <c r="S55" i="71" s="1"/>
  <c r="Q45" i="71"/>
  <c r="S45" i="71" s="1"/>
  <c r="I34" i="71"/>
  <c r="K34" i="71" s="1"/>
  <c r="I26" i="71"/>
  <c r="K26" i="71" s="1"/>
  <c r="I15" i="71"/>
  <c r="I69" i="70"/>
  <c r="K69" i="70" s="1"/>
  <c r="Q45" i="70"/>
  <c r="S45" i="70" s="1"/>
  <c r="Q33" i="70"/>
  <c r="S33" i="70" s="1"/>
  <c r="Q24" i="70"/>
  <c r="S24" i="70" s="1"/>
  <c r="Q15" i="70"/>
  <c r="I71" i="69"/>
  <c r="K71" i="69" s="1"/>
  <c r="Q62" i="69"/>
  <c r="S62" i="69" s="1"/>
  <c r="I46" i="69"/>
  <c r="K46" i="69" s="1"/>
  <c r="I26" i="69"/>
  <c r="K26" i="69" s="1"/>
  <c r="Q15" i="69"/>
  <c r="S15" i="69" s="1"/>
  <c r="I71" i="68"/>
  <c r="K71" i="68" s="1"/>
  <c r="Q59" i="68"/>
  <c r="S59" i="68" s="1"/>
  <c r="Q27" i="68"/>
  <c r="S27" i="68" s="1"/>
  <c r="Q15" i="68"/>
  <c r="I72" i="67"/>
  <c r="K72" i="67" s="1"/>
  <c r="Q65" i="67"/>
  <c r="S65" i="67" s="1"/>
  <c r="Q58" i="67"/>
  <c r="S58" i="67" s="1"/>
  <c r="I52" i="67"/>
  <c r="K52" i="67" s="1"/>
  <c r="Q44" i="67"/>
  <c r="S44" i="67" s="1"/>
  <c r="Q38" i="67"/>
  <c r="S38" i="67" s="1"/>
  <c r="I26" i="67"/>
  <c r="K26" i="67" s="1"/>
  <c r="Q17" i="67"/>
  <c r="S17" i="67" s="1"/>
  <c r="Q72" i="66"/>
  <c r="S72" i="66" s="1"/>
  <c r="Q62" i="66"/>
  <c r="S62" i="66" s="1"/>
  <c r="Q52" i="66"/>
  <c r="S52" i="66" s="1"/>
  <c r="Q43" i="66"/>
  <c r="S43" i="66" s="1"/>
  <c r="I35" i="66"/>
  <c r="K35" i="66" s="1"/>
  <c r="Q15" i="66"/>
  <c r="Q72" i="73"/>
  <c r="S72" i="73" s="1"/>
  <c r="Q67" i="73"/>
  <c r="S67" i="73" s="1"/>
  <c r="I43" i="73"/>
  <c r="K43" i="73" s="1"/>
  <c r="I31" i="73"/>
  <c r="K31" i="73" s="1"/>
  <c r="Q15" i="73"/>
  <c r="I59" i="72"/>
  <c r="K59" i="72" s="1"/>
  <c r="Q44" i="72"/>
  <c r="S44" i="72" s="1"/>
  <c r="I35" i="72"/>
  <c r="K35" i="72" s="1"/>
  <c r="I19" i="72"/>
  <c r="K19" i="72" s="1"/>
  <c r="Q64" i="71"/>
  <c r="S64" i="71" s="1"/>
  <c r="I55" i="71"/>
  <c r="K55" i="71" s="1"/>
  <c r="Q44" i="71"/>
  <c r="S44" i="71" s="1"/>
  <c r="Q33" i="71"/>
  <c r="S33" i="71" s="1"/>
  <c r="Q25" i="71"/>
  <c r="S25" i="71" s="1"/>
  <c r="Q67" i="70"/>
  <c r="S67" i="70" s="1"/>
  <c r="I45" i="70"/>
  <c r="K45" i="70" s="1"/>
  <c r="I24" i="70"/>
  <c r="K24" i="70" s="1"/>
  <c r="I62" i="69"/>
  <c r="K62" i="69" s="1"/>
  <c r="Q52" i="69"/>
  <c r="S52" i="69" s="1"/>
  <c r="Q36" i="69"/>
  <c r="S36" i="69" s="1"/>
  <c r="Q24" i="69"/>
  <c r="S24" i="69" s="1"/>
  <c r="I59" i="68"/>
  <c r="K59" i="68" s="1"/>
  <c r="Q48" i="68"/>
  <c r="S48" i="68" s="1"/>
  <c r="Q36" i="68"/>
  <c r="S36" i="68" s="1"/>
  <c r="I27" i="68"/>
  <c r="K27" i="68" s="1"/>
  <c r="I15" i="68"/>
  <c r="Q71" i="67"/>
  <c r="S71" i="67" s="1"/>
  <c r="Q64" i="67"/>
  <c r="S64" i="67" s="1"/>
  <c r="I58" i="67"/>
  <c r="K58" i="67" s="1"/>
  <c r="Q51" i="67"/>
  <c r="S51" i="67" s="1"/>
  <c r="I44" i="67"/>
  <c r="K44" i="67" s="1"/>
  <c r="Q32" i="67"/>
  <c r="S32" i="67" s="1"/>
  <c r="Q25" i="67"/>
  <c r="S25" i="67" s="1"/>
  <c r="I16" i="67"/>
  <c r="K16" i="67" s="1"/>
  <c r="Q71" i="66"/>
  <c r="S71" i="66" s="1"/>
  <c r="Q51" i="66"/>
  <c r="S51" i="66" s="1"/>
  <c r="I43" i="66"/>
  <c r="K43" i="66" s="1"/>
  <c r="Q34" i="66"/>
  <c r="S34" i="66" s="1"/>
  <c r="Q24" i="66"/>
  <c r="S24" i="66" s="1"/>
  <c r="Q64" i="73"/>
  <c r="S64" i="73" s="1"/>
  <c r="I31" i="71"/>
  <c r="K31" i="71" s="1"/>
  <c r="Q20" i="70"/>
  <c r="S20" i="70" s="1"/>
  <c r="I67" i="73"/>
  <c r="K67" i="73" s="1"/>
  <c r="Q59" i="73"/>
  <c r="S59" i="73" s="1"/>
  <c r="Q51" i="73"/>
  <c r="S51" i="73" s="1"/>
  <c r="Q28" i="73"/>
  <c r="S28" i="73" s="1"/>
  <c r="I15" i="73"/>
  <c r="Q71" i="72"/>
  <c r="S71" i="72" s="1"/>
  <c r="Q55" i="72"/>
  <c r="S55" i="72" s="1"/>
  <c r="Q43" i="72"/>
  <c r="S43" i="72" s="1"/>
  <c r="Q27" i="72"/>
  <c r="S27" i="72" s="1"/>
  <c r="Q63" i="71"/>
  <c r="S63" i="71" s="1"/>
  <c r="Q53" i="71"/>
  <c r="S53" i="71" s="1"/>
  <c r="Q43" i="71"/>
  <c r="S43" i="71" s="1"/>
  <c r="Q24" i="71"/>
  <c r="S24" i="71" s="1"/>
  <c r="Q65" i="70"/>
  <c r="S65" i="70" s="1"/>
  <c r="Q43" i="70"/>
  <c r="S43" i="70" s="1"/>
  <c r="Q32" i="70"/>
  <c r="S32" i="70" s="1"/>
  <c r="Q70" i="69"/>
  <c r="S70" i="69" s="1"/>
  <c r="Q60" i="69"/>
  <c r="S60" i="69" s="1"/>
  <c r="Q51" i="69"/>
  <c r="S51" i="69" s="1"/>
  <c r="Q44" i="69"/>
  <c r="S44" i="69" s="1"/>
  <c r="Q35" i="69"/>
  <c r="S35" i="69" s="1"/>
  <c r="Q23" i="69"/>
  <c r="S23" i="69" s="1"/>
  <c r="I69" i="68"/>
  <c r="K69" i="68" s="1"/>
  <c r="I48" i="68"/>
  <c r="K48" i="68" s="1"/>
  <c r="I36" i="68"/>
  <c r="K36" i="68" s="1"/>
  <c r="Q70" i="67"/>
  <c r="S70" i="67" s="1"/>
  <c r="I64" i="67"/>
  <c r="K64" i="67" s="1"/>
  <c r="Q57" i="67"/>
  <c r="S57" i="67" s="1"/>
  <c r="Q50" i="67"/>
  <c r="S50" i="67" s="1"/>
  <c r="I38" i="67"/>
  <c r="K38" i="67" s="1"/>
  <c r="I32" i="67"/>
  <c r="K32" i="67" s="1"/>
  <c r="Q24" i="67"/>
  <c r="S24" i="67" s="1"/>
  <c r="I71" i="66"/>
  <c r="K71" i="66" s="1"/>
  <c r="Q60" i="66"/>
  <c r="S60" i="66" s="1"/>
  <c r="Q50" i="66"/>
  <c r="S50" i="66" s="1"/>
  <c r="Q42" i="66"/>
  <c r="S42" i="66" s="1"/>
  <c r="Q33" i="66"/>
  <c r="S33" i="66" s="1"/>
  <c r="Q23" i="66"/>
  <c r="S23" i="66" s="1"/>
  <c r="Q67" i="72"/>
  <c r="S67" i="72" s="1"/>
  <c r="Q40" i="72"/>
  <c r="S40" i="72" s="1"/>
  <c r="Q15" i="72"/>
  <c r="Q40" i="71"/>
  <c r="S40" i="71" s="1"/>
  <c r="Q59" i="70"/>
  <c r="S59" i="70" s="1"/>
  <c r="I59" i="73"/>
  <c r="K59" i="73" s="1"/>
  <c r="I51" i="73"/>
  <c r="K51" i="73" s="1"/>
  <c r="Q27" i="73"/>
  <c r="S27" i="73" s="1"/>
  <c r="I71" i="72"/>
  <c r="K71" i="72" s="1"/>
  <c r="I55" i="72"/>
  <c r="K55" i="72" s="1"/>
  <c r="I43" i="72"/>
  <c r="K43" i="72" s="1"/>
  <c r="Q32" i="72"/>
  <c r="S32" i="72" s="1"/>
  <c r="I27" i="72"/>
  <c r="K27" i="72" s="1"/>
  <c r="Q16" i="72"/>
  <c r="S16" i="72" s="1"/>
  <c r="Q72" i="71"/>
  <c r="S72" i="71" s="1"/>
  <c r="I63" i="71"/>
  <c r="K63" i="71" s="1"/>
  <c r="I53" i="71"/>
  <c r="K53" i="71" s="1"/>
  <c r="I43" i="71"/>
  <c r="K43" i="71" s="1"/>
  <c r="Q32" i="71"/>
  <c r="S32" i="71" s="1"/>
  <c r="Q63" i="70"/>
  <c r="S63" i="70" s="1"/>
  <c r="Q41" i="70"/>
  <c r="S41" i="70" s="1"/>
  <c r="I32" i="70"/>
  <c r="K32" i="70" s="1"/>
  <c r="Q23" i="70"/>
  <c r="S23" i="70" s="1"/>
  <c r="I70" i="69"/>
  <c r="K70" i="69" s="1"/>
  <c r="Q59" i="69"/>
  <c r="S59" i="69" s="1"/>
  <c r="Q50" i="69"/>
  <c r="S50" i="69" s="1"/>
  <c r="Q43" i="69"/>
  <c r="S43" i="69" s="1"/>
  <c r="Q22" i="69"/>
  <c r="S22" i="69" s="1"/>
  <c r="Q68" i="68"/>
  <c r="S68" i="68" s="1"/>
  <c r="Q56" i="68"/>
  <c r="S56" i="68" s="1"/>
  <c r="Q47" i="68"/>
  <c r="S47" i="68" s="1"/>
  <c r="Q35" i="68"/>
  <c r="S35" i="68" s="1"/>
  <c r="Q24" i="68"/>
  <c r="S24" i="68" s="1"/>
  <c r="I70" i="67"/>
  <c r="K70" i="67" s="1"/>
  <c r="Q56" i="67"/>
  <c r="S56" i="67" s="1"/>
  <c r="I50" i="67"/>
  <c r="K50" i="67" s="1"/>
  <c r="Q43" i="67"/>
  <c r="S43" i="67" s="1"/>
  <c r="Q37" i="67"/>
  <c r="S37" i="67" s="1"/>
  <c r="I24" i="67"/>
  <c r="K24" i="67" s="1"/>
  <c r="Q70" i="66"/>
  <c r="S70" i="66" s="1"/>
  <c r="Q59" i="66"/>
  <c r="S59" i="66" s="1"/>
  <c r="Q41" i="66"/>
  <c r="S41" i="66" s="1"/>
  <c r="Q32" i="66"/>
  <c r="S32" i="66" s="1"/>
  <c r="I23" i="66"/>
  <c r="K23" i="66" s="1"/>
  <c r="Q71" i="73"/>
  <c r="S71" i="73" s="1"/>
  <c r="Q40" i="73"/>
  <c r="S40" i="73" s="1"/>
  <c r="I27" i="73"/>
  <c r="K27" i="73" s="1"/>
  <c r="Q68" i="72"/>
  <c r="S68" i="72" s="1"/>
  <c r="I32" i="72"/>
  <c r="K32" i="72" s="1"/>
  <c r="Q61" i="71"/>
  <c r="S61" i="71" s="1"/>
  <c r="Q52" i="71"/>
  <c r="S52" i="71" s="1"/>
  <c r="Q41" i="71"/>
  <c r="S41" i="71" s="1"/>
  <c r="Q31" i="71"/>
  <c r="S31" i="71" s="1"/>
  <c r="I23" i="71"/>
  <c r="K23" i="71" s="1"/>
  <c r="Q61" i="70"/>
  <c r="S61" i="70" s="1"/>
  <c r="I41" i="70"/>
  <c r="K41" i="70" s="1"/>
  <c r="Q31" i="70"/>
  <c r="S31" i="70" s="1"/>
  <c r="Q22" i="70"/>
  <c r="S22" i="70" s="1"/>
  <c r="Q68" i="69"/>
  <c r="S68" i="69" s="1"/>
  <c r="Q58" i="69"/>
  <c r="S58" i="69" s="1"/>
  <c r="I43" i="69"/>
  <c r="K43" i="69" s="1"/>
  <c r="I34" i="69"/>
  <c r="K34" i="69" s="1"/>
  <c r="I22" i="69"/>
  <c r="K22" i="69" s="1"/>
  <c r="Q67" i="68"/>
  <c r="S67" i="68" s="1"/>
  <c r="I56" i="68"/>
  <c r="K56" i="68" s="1"/>
  <c r="I47" i="68"/>
  <c r="K47" i="68" s="1"/>
  <c r="I35" i="68"/>
  <c r="K35" i="68" s="1"/>
  <c r="Q23" i="68"/>
  <c r="S23" i="68" s="1"/>
  <c r="Q69" i="67"/>
  <c r="S69" i="67" s="1"/>
  <c r="Q63" i="67"/>
  <c r="S63" i="67" s="1"/>
  <c r="I56" i="67"/>
  <c r="K56" i="67" s="1"/>
  <c r="Q49" i="67"/>
  <c r="S49" i="67" s="1"/>
  <c r="Q42" i="67"/>
  <c r="S42" i="67" s="1"/>
  <c r="Q36" i="67"/>
  <c r="S36" i="67" s="1"/>
  <c r="Q31" i="67"/>
  <c r="S31" i="67" s="1"/>
  <c r="Q23" i="67"/>
  <c r="S23" i="67" s="1"/>
  <c r="Q49" i="66"/>
  <c r="S49" i="66" s="1"/>
  <c r="I41" i="66"/>
  <c r="K41" i="66" s="1"/>
  <c r="I32" i="66"/>
  <c r="K32" i="66" s="1"/>
  <c r="Q22" i="66"/>
  <c r="S22" i="66" s="1"/>
  <c r="I71" i="73"/>
  <c r="K71" i="73" s="1"/>
  <c r="Q39" i="73"/>
  <c r="S39" i="73" s="1"/>
  <c r="Q52" i="72"/>
  <c r="S52" i="72" s="1"/>
  <c r="Q25" i="72"/>
  <c r="S25" i="72" s="1"/>
  <c r="Q51" i="71"/>
  <c r="S51" i="71" s="1"/>
  <c r="Q21" i="71"/>
  <c r="S21" i="71" s="1"/>
  <c r="Q40" i="70"/>
  <c r="S40" i="70" s="1"/>
  <c r="Q30" i="70"/>
  <c r="S30" i="70" s="1"/>
  <c r="I63" i="73"/>
  <c r="K63" i="73" s="1"/>
  <c r="Q47" i="73"/>
  <c r="S47" i="73" s="1"/>
  <c r="Q23" i="73"/>
  <c r="S23" i="73" s="1"/>
  <c r="Q64" i="72"/>
  <c r="S64" i="72" s="1"/>
  <c r="I39" i="72"/>
  <c r="K39" i="72" s="1"/>
  <c r="I31" i="72"/>
  <c r="K31" i="72" s="1"/>
  <c r="I23" i="72"/>
  <c r="K23" i="72" s="1"/>
  <c r="Q68" i="71"/>
  <c r="S68" i="71" s="1"/>
  <c r="Q59" i="71"/>
  <c r="S59" i="71" s="1"/>
  <c r="Q48" i="71"/>
  <c r="S48" i="71" s="1"/>
  <c r="Q37" i="71"/>
  <c r="S37" i="71" s="1"/>
  <c r="I29" i="71"/>
  <c r="K29" i="71" s="1"/>
  <c r="I19" i="71"/>
  <c r="K19" i="71" s="1"/>
  <c r="Q53" i="70"/>
  <c r="S53" i="70" s="1"/>
  <c r="Q39" i="70"/>
  <c r="S39" i="70" s="1"/>
  <c r="Q28" i="70"/>
  <c r="S28" i="70" s="1"/>
  <c r="Q19" i="70"/>
  <c r="S19" i="70" s="1"/>
  <c r="I66" i="69"/>
  <c r="K66" i="69" s="1"/>
  <c r="Q55" i="69"/>
  <c r="S55" i="69" s="1"/>
  <c r="I47" i="69"/>
  <c r="K47" i="69" s="1"/>
  <c r="Q40" i="69"/>
  <c r="S40" i="69" s="1"/>
  <c r="I30" i="69"/>
  <c r="K30" i="69" s="1"/>
  <c r="Q63" i="68"/>
  <c r="S63" i="68" s="1"/>
  <c r="Q52" i="68"/>
  <c r="S52" i="68" s="1"/>
  <c r="Q32" i="68"/>
  <c r="S32" i="68" s="1"/>
  <c r="Q19" i="68"/>
  <c r="S19" i="68" s="1"/>
  <c r="I61" i="67"/>
  <c r="K61" i="67" s="1"/>
  <c r="Q47" i="67"/>
  <c r="S47" i="67" s="1"/>
  <c r="Q40" i="67"/>
  <c r="S40" i="67" s="1"/>
  <c r="Q34" i="67"/>
  <c r="S34" i="67" s="1"/>
  <c r="Q29" i="67"/>
  <c r="S29" i="67" s="1"/>
  <c r="Q19" i="67"/>
  <c r="S19" i="67" s="1"/>
  <c r="Q67" i="66"/>
  <c r="S67" i="66" s="1"/>
  <c r="I47" i="66"/>
  <c r="K47" i="66" s="1"/>
  <c r="Q37" i="66"/>
  <c r="S37" i="66" s="1"/>
  <c r="Q29" i="66"/>
  <c r="S29" i="66" s="1"/>
  <c r="Q19" i="66"/>
  <c r="S19" i="66" s="1"/>
  <c r="Q55" i="73"/>
  <c r="S55" i="73" s="1"/>
  <c r="I47" i="73"/>
  <c r="K47" i="73" s="1"/>
  <c r="Q36" i="73"/>
  <c r="S36" i="73" s="1"/>
  <c r="I23" i="73"/>
  <c r="K23" i="73" s="1"/>
  <c r="Q63" i="72"/>
  <c r="S63" i="72" s="1"/>
  <c r="Q48" i="72"/>
  <c r="S48" i="72" s="1"/>
  <c r="I59" i="71"/>
  <c r="K59" i="71" s="1"/>
  <c r="Q36" i="71"/>
  <c r="S36" i="71" s="1"/>
  <c r="Q17" i="71"/>
  <c r="S17" i="71" s="1"/>
  <c r="Q72" i="70"/>
  <c r="S72" i="70" s="1"/>
  <c r="Q51" i="70"/>
  <c r="S51" i="70" s="1"/>
  <c r="Q37" i="70"/>
  <c r="S37" i="70" s="1"/>
  <c r="I28" i="70"/>
  <c r="K28" i="70" s="1"/>
  <c r="Q17" i="70"/>
  <c r="S17" i="70" s="1"/>
  <c r="Q19" i="73"/>
  <c r="S19" i="73" s="1"/>
  <c r="Q51" i="72"/>
  <c r="S51" i="72" s="1"/>
  <c r="Q69" i="71"/>
  <c r="S69" i="71" s="1"/>
  <c r="Q35" i="71"/>
  <c r="S35" i="71" s="1"/>
  <c r="Q29" i="70"/>
  <c r="S29" i="70" s="1"/>
  <c r="Q54" i="69"/>
  <c r="S54" i="69" s="1"/>
  <c r="I33" i="68"/>
  <c r="K33" i="68" s="1"/>
  <c r="I62" i="67"/>
  <c r="K62" i="67" s="1"/>
  <c r="Q46" i="67"/>
  <c r="S46" i="67" s="1"/>
  <c r="Q30" i="67"/>
  <c r="S30" i="67" s="1"/>
  <c r="I65" i="66"/>
  <c r="K65" i="66" s="1"/>
  <c r="Q39" i="66"/>
  <c r="S39" i="66" s="1"/>
  <c r="I19" i="66"/>
  <c r="K19" i="66" s="1"/>
  <c r="Q38" i="66"/>
  <c r="S38" i="66" s="1"/>
  <c r="Q72" i="68"/>
  <c r="S72" i="68" s="1"/>
  <c r="Q63" i="73"/>
  <c r="S63" i="73" s="1"/>
  <c r="I51" i="72"/>
  <c r="K51" i="72" s="1"/>
  <c r="I15" i="72"/>
  <c r="I29" i="70"/>
  <c r="K29" i="70" s="1"/>
  <c r="Q32" i="69"/>
  <c r="S32" i="69" s="1"/>
  <c r="Q55" i="68"/>
  <c r="S55" i="68" s="1"/>
  <c r="Q61" i="67"/>
  <c r="S61" i="67" s="1"/>
  <c r="I46" i="67"/>
  <c r="K46" i="67" s="1"/>
  <c r="I59" i="66"/>
  <c r="K59" i="66" s="1"/>
  <c r="I17" i="66"/>
  <c r="K17" i="66" s="1"/>
  <c r="Q19" i="71"/>
  <c r="S19" i="71" s="1"/>
  <c r="Q47" i="72"/>
  <c r="S47" i="72" s="1"/>
  <c r="Q67" i="71"/>
  <c r="S67" i="71" s="1"/>
  <c r="I30" i="71"/>
  <c r="K30" i="71" s="1"/>
  <c r="Q27" i="70"/>
  <c r="S27" i="70" s="1"/>
  <c r="I50" i="69"/>
  <c r="K50" i="69" s="1"/>
  <c r="Q31" i="69"/>
  <c r="S31" i="69" s="1"/>
  <c r="I55" i="68"/>
  <c r="K55" i="68" s="1"/>
  <c r="Q31" i="68"/>
  <c r="S31" i="68" s="1"/>
  <c r="Q60" i="67"/>
  <c r="S60" i="67" s="1"/>
  <c r="I30" i="67"/>
  <c r="K30" i="67" s="1"/>
  <c r="Q58" i="66"/>
  <c r="S58" i="66" s="1"/>
  <c r="Q36" i="66"/>
  <c r="S36" i="66" s="1"/>
  <c r="Q48" i="69"/>
  <c r="S48" i="69" s="1"/>
  <c r="I60" i="67"/>
  <c r="K60" i="67" s="1"/>
  <c r="I42" i="67"/>
  <c r="K42" i="67" s="1"/>
  <c r="Q56" i="66"/>
  <c r="S56" i="66" s="1"/>
  <c r="I54" i="67"/>
  <c r="K54" i="67" s="1"/>
  <c r="Q48" i="73"/>
  <c r="S48" i="73" s="1"/>
  <c r="I40" i="72"/>
  <c r="K40" i="72" s="1"/>
  <c r="Q60" i="71"/>
  <c r="S60" i="71" s="1"/>
  <c r="Q29" i="71"/>
  <c r="S29" i="71" s="1"/>
  <c r="Q72" i="69"/>
  <c r="S72" i="69" s="1"/>
  <c r="I31" i="68"/>
  <c r="K31" i="68" s="1"/>
  <c r="Q28" i="67"/>
  <c r="S28" i="67" s="1"/>
  <c r="Q35" i="66"/>
  <c r="S35" i="66" s="1"/>
  <c r="Q39" i="72"/>
  <c r="S39" i="72" s="1"/>
  <c r="Q28" i="71"/>
  <c r="S28" i="71" s="1"/>
  <c r="I20" i="70"/>
  <c r="K20" i="70" s="1"/>
  <c r="Q67" i="69"/>
  <c r="S67" i="69" s="1"/>
  <c r="Q47" i="69"/>
  <c r="S47" i="69" s="1"/>
  <c r="Q28" i="69"/>
  <c r="S28" i="69" s="1"/>
  <c r="I52" i="68"/>
  <c r="K52" i="68" s="1"/>
  <c r="I23" i="68"/>
  <c r="K23" i="68" s="1"/>
  <c r="Q41" i="67"/>
  <c r="S41" i="67" s="1"/>
  <c r="Q27" i="67"/>
  <c r="S27" i="67" s="1"/>
  <c r="Q55" i="66"/>
  <c r="S55" i="66" s="1"/>
  <c r="Q31" i="66"/>
  <c r="S31" i="66" s="1"/>
  <c r="Q57" i="70"/>
  <c r="S57" i="70" s="1"/>
  <c r="Q46" i="69"/>
  <c r="S46" i="69" s="1"/>
  <c r="Q20" i="68"/>
  <c r="S20" i="68" s="1"/>
  <c r="Q54" i="67"/>
  <c r="S54" i="67" s="1"/>
  <c r="I22" i="67"/>
  <c r="K22" i="67" s="1"/>
  <c r="I49" i="66"/>
  <c r="K49" i="66" s="1"/>
  <c r="Q64" i="69"/>
  <c r="S64" i="69" s="1"/>
  <c r="Q42" i="69"/>
  <c r="S42" i="69" s="1"/>
  <c r="Q18" i="69"/>
  <c r="S18" i="69" s="1"/>
  <c r="Q43" i="68"/>
  <c r="S43" i="68" s="1"/>
  <c r="I19" i="68"/>
  <c r="K19" i="68" s="1"/>
  <c r="I68" i="67"/>
  <c r="K68" i="67" s="1"/>
  <c r="I36" i="67"/>
  <c r="K36" i="67" s="1"/>
  <c r="Q21" i="67"/>
  <c r="S21" i="67" s="1"/>
  <c r="Q47" i="66"/>
  <c r="S47" i="66" s="1"/>
  <c r="Q28" i="66"/>
  <c r="S28" i="66" s="1"/>
  <c r="Q36" i="72"/>
  <c r="S36" i="72" s="1"/>
  <c r="Q57" i="71"/>
  <c r="S57" i="71" s="1"/>
  <c r="Q71" i="70"/>
  <c r="S71" i="70" s="1"/>
  <c r="Q16" i="70"/>
  <c r="S16" i="70" s="1"/>
  <c r="Q66" i="69"/>
  <c r="S66" i="69" s="1"/>
  <c r="Q20" i="69"/>
  <c r="S20" i="69" s="1"/>
  <c r="Q51" i="68"/>
  <c r="S51" i="68" s="1"/>
  <c r="Q55" i="67"/>
  <c r="S55" i="67" s="1"/>
  <c r="I40" i="67"/>
  <c r="K40" i="67" s="1"/>
  <c r="Q22" i="67"/>
  <c r="S22" i="67" s="1"/>
  <c r="I55" i="66"/>
  <c r="K55" i="66" s="1"/>
  <c r="I31" i="66"/>
  <c r="K31" i="66" s="1"/>
  <c r="I39" i="73"/>
  <c r="K39" i="73" s="1"/>
  <c r="Q31" i="72"/>
  <c r="S31" i="72" s="1"/>
  <c r="I51" i="71"/>
  <c r="K51" i="71" s="1"/>
  <c r="Q20" i="71"/>
  <c r="S20" i="71" s="1"/>
  <c r="Q19" i="69"/>
  <c r="S19" i="69" s="1"/>
  <c r="Q44" i="68"/>
  <c r="S44" i="68" s="1"/>
  <c r="Q68" i="67"/>
  <c r="S68" i="67" s="1"/>
  <c r="Q30" i="66"/>
  <c r="S30" i="66" s="1"/>
  <c r="Q49" i="71"/>
  <c r="S49" i="71" s="1"/>
  <c r="Q55" i="70"/>
  <c r="S55" i="70" s="1"/>
  <c r="I39" i="71"/>
  <c r="K39" i="71" s="1"/>
  <c r="Q56" i="73"/>
  <c r="S56" i="73" s="1"/>
  <c r="Q29" i="72"/>
  <c r="S29" i="72" s="1"/>
  <c r="Q49" i="70"/>
  <c r="S49" i="70" s="1"/>
  <c r="Q63" i="69"/>
  <c r="S63" i="69" s="1"/>
  <c r="I42" i="69"/>
  <c r="K42" i="69" s="1"/>
  <c r="I18" i="69"/>
  <c r="K18" i="69" s="1"/>
  <c r="I67" i="68"/>
  <c r="K67" i="68" s="1"/>
  <c r="I43" i="68"/>
  <c r="K43" i="68" s="1"/>
  <c r="Q53" i="67"/>
  <c r="S53" i="67" s="1"/>
  <c r="Q69" i="66"/>
  <c r="S69" i="66" s="1"/>
  <c r="Q27" i="66"/>
  <c r="S27" i="66" s="1"/>
  <c r="Q35" i="73"/>
  <c r="S35" i="73" s="1"/>
  <c r="I67" i="72"/>
  <c r="K67" i="72" s="1"/>
  <c r="Q23" i="72"/>
  <c r="S23" i="72" s="1"/>
  <c r="Q47" i="71"/>
  <c r="S47" i="71" s="1"/>
  <c r="I58" i="69"/>
  <c r="K58" i="69" s="1"/>
  <c r="Q40" i="68"/>
  <c r="S40" i="68" s="1"/>
  <c r="Q67" i="67"/>
  <c r="S67" i="67" s="1"/>
  <c r="Q48" i="67"/>
  <c r="S48" i="67" s="1"/>
  <c r="Q35" i="67"/>
  <c r="S35" i="67" s="1"/>
  <c r="Q18" i="67"/>
  <c r="S18" i="67" s="1"/>
  <c r="Q68" i="66"/>
  <c r="S68" i="66" s="1"/>
  <c r="Q46" i="66"/>
  <c r="S46" i="66" s="1"/>
  <c r="I22" i="66"/>
  <c r="K22" i="66" s="1"/>
  <c r="I55" i="73"/>
  <c r="K55" i="73" s="1"/>
  <c r="I65" i="72"/>
  <c r="K65" i="72" s="1"/>
  <c r="Q39" i="71"/>
  <c r="S39" i="71" s="1"/>
  <c r="I40" i="70"/>
  <c r="K40" i="70" s="1"/>
  <c r="I57" i="69"/>
  <c r="K57" i="69" s="1"/>
  <c r="Q39" i="69"/>
  <c r="S39" i="69" s="1"/>
  <c r="Q64" i="68"/>
  <c r="S64" i="68" s="1"/>
  <c r="Q39" i="68"/>
  <c r="S39" i="68" s="1"/>
  <c r="Q66" i="67"/>
  <c r="S66" i="67" s="1"/>
  <c r="I48" i="67"/>
  <c r="K48" i="67" s="1"/>
  <c r="Q20" i="66"/>
  <c r="S20" i="66" s="1"/>
  <c r="Q24" i="73"/>
  <c r="S24" i="73" s="1"/>
  <c r="I63" i="72"/>
  <c r="K63" i="72" s="1"/>
  <c r="Q21" i="72"/>
  <c r="S21" i="72" s="1"/>
  <c r="I71" i="71"/>
  <c r="K71" i="71" s="1"/>
  <c r="I36" i="70"/>
  <c r="K36" i="70" s="1"/>
  <c r="Q56" i="69"/>
  <c r="S56" i="69" s="1"/>
  <c r="I63" i="68"/>
  <c r="K63" i="68" s="1"/>
  <c r="Q62" i="67"/>
  <c r="S62" i="67" s="1"/>
  <c r="I34" i="67"/>
  <c r="K34" i="67" s="1"/>
  <c r="I67" i="66"/>
  <c r="K67" i="66" s="1"/>
  <c r="I40" i="66"/>
  <c r="K40" i="66" s="1"/>
  <c r="Q24" i="72"/>
  <c r="S24" i="72" s="1"/>
  <c r="I40" i="68"/>
  <c r="K40" i="68" s="1"/>
  <c r="I37" i="71"/>
  <c r="K37" i="71" s="1"/>
  <c r="I27" i="69"/>
  <c r="K27" i="69" s="1"/>
  <c r="I33" i="73"/>
  <c r="K33" i="73" s="1"/>
  <c r="I17" i="67"/>
  <c r="K17" i="67" s="1"/>
  <c r="Q34" i="68"/>
  <c r="S34" i="68" s="1"/>
  <c r="I65" i="68"/>
  <c r="K65" i="68" s="1"/>
  <c r="I69" i="69"/>
  <c r="K69" i="69" s="1"/>
  <c r="I44" i="66"/>
  <c r="K44" i="66" s="1"/>
  <c r="I64" i="72"/>
  <c r="K64" i="72" s="1"/>
  <c r="I69" i="73"/>
  <c r="K69" i="73" s="1"/>
  <c r="I52" i="73"/>
  <c r="K52" i="73" s="1"/>
  <c r="I20" i="73"/>
  <c r="K20" i="73" s="1"/>
  <c r="Q21" i="73"/>
  <c r="S21" i="73" s="1"/>
  <c r="Q69" i="73"/>
  <c r="S69" i="73" s="1"/>
  <c r="I50" i="73"/>
  <c r="K50" i="73" s="1"/>
  <c r="Q58" i="72"/>
  <c r="S58" i="72" s="1"/>
  <c r="Q65" i="72"/>
  <c r="S65" i="72" s="1"/>
  <c r="I46" i="72"/>
  <c r="K46" i="72" s="1"/>
  <c r="I44" i="71"/>
  <c r="K44" i="71" s="1"/>
  <c r="I40" i="71"/>
  <c r="K40" i="71" s="1"/>
  <c r="Q30" i="71"/>
  <c r="S30" i="71" s="1"/>
  <c r="I54" i="71"/>
  <c r="K54" i="71" s="1"/>
  <c r="I56" i="70"/>
  <c r="K56" i="70" s="1"/>
  <c r="I60" i="70"/>
  <c r="K60" i="70" s="1"/>
  <c r="I59" i="70"/>
  <c r="K59" i="70" s="1"/>
  <c r="Q26" i="69"/>
  <c r="S26" i="69" s="1"/>
  <c r="Q17" i="69"/>
  <c r="Q53" i="69"/>
  <c r="S53" i="69" s="1"/>
  <c r="Q38" i="69"/>
  <c r="S38" i="69" s="1"/>
  <c r="Q21" i="68"/>
  <c r="S21" i="68" s="1"/>
  <c r="Q29" i="68"/>
  <c r="S29" i="68" s="1"/>
  <c r="Q61" i="68"/>
  <c r="S61" i="68" s="1"/>
  <c r="Q58" i="68"/>
  <c r="S58" i="68" s="1"/>
  <c r="I54" i="68"/>
  <c r="K54" i="68" s="1"/>
  <c r="I29" i="67"/>
  <c r="K29" i="67" s="1"/>
  <c r="I23" i="67"/>
  <c r="K23" i="67" s="1"/>
  <c r="I28" i="67"/>
  <c r="K28" i="67" s="1"/>
  <c r="I63" i="67"/>
  <c r="K63" i="67" s="1"/>
  <c r="I16" i="66"/>
  <c r="K16" i="66" s="1"/>
  <c r="I39" i="66"/>
  <c r="K39" i="66" s="1"/>
  <c r="Q70" i="65"/>
  <c r="S70" i="65" s="1"/>
  <c r="Q56" i="65"/>
  <c r="S56" i="65" s="1"/>
  <c r="Q53" i="65"/>
  <c r="S53" i="65" s="1"/>
  <c r="Q50" i="65"/>
  <c r="S50" i="65" s="1"/>
  <c r="Q31" i="65"/>
  <c r="S31" i="65" s="1"/>
  <c r="Q28" i="65"/>
  <c r="S28" i="65" s="1"/>
  <c r="Q20" i="65"/>
  <c r="S20" i="65" s="1"/>
  <c r="Q17" i="65"/>
  <c r="S17" i="65" s="1"/>
  <c r="I41" i="65"/>
  <c r="K41" i="65" s="1"/>
  <c r="Q58" i="71"/>
  <c r="S58" i="71" s="1"/>
  <c r="I58" i="71"/>
  <c r="K58" i="71" s="1"/>
  <c r="I64" i="70"/>
  <c r="K64" i="70" s="1"/>
  <c r="Q64" i="70"/>
  <c r="S64" i="70" s="1"/>
  <c r="I68" i="70"/>
  <c r="K68" i="70" s="1"/>
  <c r="I48" i="70"/>
  <c r="K48" i="70" s="1"/>
  <c r="I60" i="69"/>
  <c r="K60" i="69" s="1"/>
  <c r="I64" i="69"/>
  <c r="K64" i="69" s="1"/>
  <c r="I52" i="69"/>
  <c r="K52" i="69" s="1"/>
  <c r="I58" i="68"/>
  <c r="K58" i="68" s="1"/>
  <c r="I39" i="67"/>
  <c r="K39" i="67" s="1"/>
  <c r="I67" i="67"/>
  <c r="K67" i="67" s="1"/>
  <c r="I37" i="66"/>
  <c r="K37" i="66" s="1"/>
  <c r="Q34" i="65"/>
  <c r="S34" i="65" s="1"/>
  <c r="Q56" i="72"/>
  <c r="S56" i="72" s="1"/>
  <c r="I44" i="68"/>
  <c r="K44" i="68" s="1"/>
  <c r="I41" i="71"/>
  <c r="K41" i="71" s="1"/>
  <c r="I31" i="69"/>
  <c r="K31" i="69" s="1"/>
  <c r="I37" i="73"/>
  <c r="K37" i="73" s="1"/>
  <c r="I21" i="67"/>
  <c r="K21" i="67" s="1"/>
  <c r="Q38" i="68"/>
  <c r="S38" i="68" s="1"/>
  <c r="Q45" i="66"/>
  <c r="S45" i="66" s="1"/>
  <c r="I17" i="69"/>
  <c r="K17" i="69" s="1"/>
  <c r="I52" i="66"/>
  <c r="K52" i="66" s="1"/>
  <c r="I68" i="72"/>
  <c r="K68" i="72" s="1"/>
  <c r="Q30" i="73"/>
  <c r="S30" i="73" s="1"/>
  <c r="I24" i="73"/>
  <c r="K24" i="73" s="1"/>
  <c r="Q58" i="73"/>
  <c r="S58" i="73" s="1"/>
  <c r="I56" i="73"/>
  <c r="K56" i="73" s="1"/>
  <c r="Q25" i="73"/>
  <c r="S25" i="73" s="1"/>
  <c r="I54" i="73"/>
  <c r="K54" i="73" s="1"/>
  <c r="Q62" i="72"/>
  <c r="S62" i="72" s="1"/>
  <c r="Q69" i="72"/>
  <c r="S69" i="72" s="1"/>
  <c r="I50" i="72"/>
  <c r="K50" i="72" s="1"/>
  <c r="I56" i="71"/>
  <c r="K56" i="71" s="1"/>
  <c r="Q54" i="71"/>
  <c r="S54" i="71" s="1"/>
  <c r="I63" i="70"/>
  <c r="K63" i="70" s="1"/>
  <c r="I64" i="68"/>
  <c r="K64" i="68" s="1"/>
  <c r="I65" i="67"/>
  <c r="K65" i="67" s="1"/>
  <c r="I26" i="66"/>
  <c r="K26" i="66" s="1"/>
  <c r="I42" i="66"/>
  <c r="K42" i="66" s="1"/>
  <c r="Q40" i="66"/>
  <c r="S40" i="66" s="1"/>
  <c r="I45" i="71"/>
  <c r="K45" i="71" s="1"/>
  <c r="I35" i="69"/>
  <c r="K35" i="69" s="1"/>
  <c r="I41" i="73"/>
  <c r="K41" i="73" s="1"/>
  <c r="I33" i="67"/>
  <c r="K33" i="67" s="1"/>
  <c r="Q42" i="68"/>
  <c r="S42" i="68" s="1"/>
  <c r="Q57" i="66"/>
  <c r="S57" i="66" s="1"/>
  <c r="I21" i="69"/>
  <c r="K21" i="69" s="1"/>
  <c r="I33" i="70"/>
  <c r="K33" i="70" s="1"/>
  <c r="I56" i="66"/>
  <c r="K56" i="66" s="1"/>
  <c r="Q21" i="70"/>
  <c r="S21" i="70" s="1"/>
  <c r="I25" i="73"/>
  <c r="K25" i="73" s="1"/>
  <c r="Q66" i="73"/>
  <c r="S66" i="73" s="1"/>
  <c r="Q29" i="73"/>
  <c r="S29" i="73" s="1"/>
  <c r="I58" i="73"/>
  <c r="K58" i="73" s="1"/>
  <c r="I49" i="72"/>
  <c r="K49" i="72" s="1"/>
  <c r="Q18" i="72"/>
  <c r="S18" i="72" s="1"/>
  <c r="Q66" i="72"/>
  <c r="S66" i="72" s="1"/>
  <c r="I54" i="72"/>
  <c r="K54" i="72" s="1"/>
  <c r="Q46" i="71"/>
  <c r="S46" i="71" s="1"/>
  <c r="I16" i="71"/>
  <c r="K16" i="71" s="1"/>
  <c r="I62" i="71"/>
  <c r="K62" i="71" s="1"/>
  <c r="I25" i="70"/>
  <c r="K25" i="70" s="1"/>
  <c r="I18" i="70"/>
  <c r="K18" i="70" s="1"/>
  <c r="Q46" i="70"/>
  <c r="S46" i="70" s="1"/>
  <c r="I67" i="70"/>
  <c r="K67" i="70" s="1"/>
  <c r="I34" i="70"/>
  <c r="K34" i="70" s="1"/>
  <c r="I59" i="69"/>
  <c r="K59" i="69" s="1"/>
  <c r="Q45" i="69"/>
  <c r="S45" i="69" s="1"/>
  <c r="I44" i="69"/>
  <c r="K44" i="69" s="1"/>
  <c r="I20" i="68"/>
  <c r="K20" i="68" s="1"/>
  <c r="Q33" i="68"/>
  <c r="S33" i="68" s="1"/>
  <c r="Q65" i="68"/>
  <c r="S65" i="68" s="1"/>
  <c r="Q53" i="68"/>
  <c r="S53" i="68" s="1"/>
  <c r="Q69" i="68"/>
  <c r="S69" i="68" s="1"/>
  <c r="I62" i="68"/>
  <c r="K62" i="68" s="1"/>
  <c r="I51" i="67"/>
  <c r="K51" i="67" s="1"/>
  <c r="I71" i="67"/>
  <c r="K71" i="67" s="1"/>
  <c r="I29" i="66"/>
  <c r="K29" i="66" s="1"/>
  <c r="I45" i="66"/>
  <c r="K45" i="66" s="1"/>
  <c r="I48" i="65"/>
  <c r="K48" i="65" s="1"/>
  <c r="I24" i="65"/>
  <c r="K24" i="65" s="1"/>
  <c r="Q66" i="65"/>
  <c r="S66" i="65" s="1"/>
  <c r="Q41" i="65"/>
  <c r="S41" i="65" s="1"/>
  <c r="Q38" i="65"/>
  <c r="S38" i="65" s="1"/>
  <c r="I57" i="65"/>
  <c r="K57" i="65" s="1"/>
  <c r="I23" i="65"/>
  <c r="K23" i="65" s="1"/>
  <c r="Q48" i="66"/>
  <c r="S48" i="66" s="1"/>
  <c r="I15" i="70"/>
  <c r="I49" i="71"/>
  <c r="K49" i="71" s="1"/>
  <c r="I39" i="69"/>
  <c r="K39" i="69" s="1"/>
  <c r="I45" i="73"/>
  <c r="K45" i="73" s="1"/>
  <c r="I37" i="67"/>
  <c r="K37" i="67" s="1"/>
  <c r="Q46" i="68"/>
  <c r="S46" i="68" s="1"/>
  <c r="Q61" i="66"/>
  <c r="S61" i="66" s="1"/>
  <c r="I25" i="69"/>
  <c r="K25" i="69" s="1"/>
  <c r="I37" i="70"/>
  <c r="K37" i="70" s="1"/>
  <c r="I64" i="66"/>
  <c r="K64" i="66" s="1"/>
  <c r="Q15" i="71"/>
  <c r="Q34" i="73"/>
  <c r="S34" i="73" s="1"/>
  <c r="Q22" i="73"/>
  <c r="S22" i="73" s="1"/>
  <c r="I32" i="73"/>
  <c r="K32" i="73" s="1"/>
  <c r="Q33" i="73"/>
  <c r="S33" i="73" s="1"/>
  <c r="I62" i="73"/>
  <c r="K62" i="73" s="1"/>
  <c r="I41" i="72"/>
  <c r="K41" i="72" s="1"/>
  <c r="Q17" i="72"/>
  <c r="S17" i="72" s="1"/>
  <c r="Q22" i="72"/>
  <c r="S22" i="72" s="1"/>
  <c r="Q70" i="72"/>
  <c r="S70" i="72" s="1"/>
  <c r="I58" i="72"/>
  <c r="K58" i="72" s="1"/>
  <c r="I72" i="71"/>
  <c r="K72" i="71" s="1"/>
  <c r="I66" i="71"/>
  <c r="K66" i="71" s="1"/>
  <c r="Q62" i="70"/>
  <c r="S62" i="70" s="1"/>
  <c r="I35" i="70"/>
  <c r="K35" i="70" s="1"/>
  <c r="I19" i="70"/>
  <c r="K19" i="70" s="1"/>
  <c r="Q52" i="70"/>
  <c r="S52" i="70" s="1"/>
  <c r="I71" i="70"/>
  <c r="K71" i="70" s="1"/>
  <c r="I38" i="70"/>
  <c r="K38" i="70" s="1"/>
  <c r="Q69" i="69"/>
  <c r="S69" i="69" s="1"/>
  <c r="I68" i="69"/>
  <c r="K68" i="69" s="1"/>
  <c r="I25" i="68"/>
  <c r="K25" i="68" s="1"/>
  <c r="I24" i="68"/>
  <c r="K24" i="68" s="1"/>
  <c r="I66" i="68"/>
  <c r="K66" i="68" s="1"/>
  <c r="Q16" i="67"/>
  <c r="S16" i="67" s="1"/>
  <c r="Q53" i="66"/>
  <c r="S53" i="66" s="1"/>
  <c r="I48" i="66"/>
  <c r="K48" i="66" s="1"/>
  <c r="Q69" i="65"/>
  <c r="S69" i="65" s="1"/>
  <c r="Q63" i="65"/>
  <c r="S63" i="65" s="1"/>
  <c r="Q44" i="65"/>
  <c r="S44" i="65" s="1"/>
  <c r="Q64" i="66"/>
  <c r="S64" i="66" s="1"/>
  <c r="I34" i="66"/>
  <c r="K34" i="66" s="1"/>
  <c r="I57" i="71"/>
  <c r="K57" i="71" s="1"/>
  <c r="I49" i="73"/>
  <c r="K49" i="73" s="1"/>
  <c r="I41" i="67"/>
  <c r="K41" i="67" s="1"/>
  <c r="Q50" i="68"/>
  <c r="S50" i="68" s="1"/>
  <c r="Q65" i="66"/>
  <c r="S65" i="66" s="1"/>
  <c r="I29" i="69"/>
  <c r="K29" i="69" s="1"/>
  <c r="I68" i="66"/>
  <c r="K68" i="66" s="1"/>
  <c r="Q23" i="71"/>
  <c r="S23" i="71" s="1"/>
  <c r="I48" i="73"/>
  <c r="K48" i="73" s="1"/>
  <c r="Q46" i="73"/>
  <c r="S46" i="73" s="1"/>
  <c r="Q37" i="73"/>
  <c r="S37" i="73" s="1"/>
  <c r="I18" i="73"/>
  <c r="K18" i="73" s="1"/>
  <c r="I66" i="73"/>
  <c r="K66" i="73" s="1"/>
  <c r="Q26" i="72"/>
  <c r="S26" i="72" s="1"/>
  <c r="I62" i="72"/>
  <c r="K62" i="72" s="1"/>
  <c r="Q18" i="71"/>
  <c r="S18" i="71" s="1"/>
  <c r="I32" i="71"/>
  <c r="K32" i="71" s="1"/>
  <c r="I68" i="71"/>
  <c r="K68" i="71" s="1"/>
  <c r="Q42" i="71"/>
  <c r="S42" i="71" s="1"/>
  <c r="I20" i="71"/>
  <c r="K20" i="71" s="1"/>
  <c r="I70" i="71"/>
  <c r="K70" i="71" s="1"/>
  <c r="Q70" i="70"/>
  <c r="S70" i="70" s="1"/>
  <c r="I22" i="70"/>
  <c r="K22" i="70" s="1"/>
  <c r="I42" i="70"/>
  <c r="K42" i="70" s="1"/>
  <c r="I65" i="69"/>
  <c r="K65" i="69" s="1"/>
  <c r="Q65" i="69"/>
  <c r="S65" i="69" s="1"/>
  <c r="Q57" i="69"/>
  <c r="S57" i="69" s="1"/>
  <c r="I56" i="69"/>
  <c r="K56" i="69" s="1"/>
  <c r="I32" i="69"/>
  <c r="K32" i="69" s="1"/>
  <c r="I72" i="69"/>
  <c r="K72" i="69" s="1"/>
  <c r="I68" i="68"/>
  <c r="K68" i="68" s="1"/>
  <c r="Q45" i="68"/>
  <c r="S45" i="68" s="1"/>
  <c r="I70" i="68"/>
  <c r="K70" i="68" s="1"/>
  <c r="I20" i="67"/>
  <c r="K20" i="67" s="1"/>
  <c r="I31" i="67"/>
  <c r="K31" i="67" s="1"/>
  <c r="Q15" i="67"/>
  <c r="I53" i="66"/>
  <c r="K53" i="66" s="1"/>
  <c r="I62" i="66"/>
  <c r="K62" i="66" s="1"/>
  <c r="I15" i="66"/>
  <c r="I51" i="66"/>
  <c r="K51" i="66" s="1"/>
  <c r="Q58" i="65"/>
  <c r="S58" i="65" s="1"/>
  <c r="Q55" i="65"/>
  <c r="S55" i="65" s="1"/>
  <c r="Q52" i="65"/>
  <c r="S52" i="65" s="1"/>
  <c r="Q33" i="65"/>
  <c r="S33" i="65" s="1"/>
  <c r="Q30" i="65"/>
  <c r="S30" i="65" s="1"/>
  <c r="Q27" i="65"/>
  <c r="S27" i="65" s="1"/>
  <c r="Q19" i="65"/>
  <c r="S19" i="65" s="1"/>
  <c r="Q16" i="65"/>
  <c r="S16" i="65" s="1"/>
  <c r="I67" i="65"/>
  <c r="K67" i="65" s="1"/>
  <c r="I19" i="65"/>
  <c r="K19" i="65" s="1"/>
  <c r="I38" i="66"/>
  <c r="K38" i="66" s="1"/>
  <c r="I61" i="71"/>
  <c r="K61" i="71" s="1"/>
  <c r="I51" i="69"/>
  <c r="K51" i="69" s="1"/>
  <c r="I61" i="73"/>
  <c r="K61" i="73" s="1"/>
  <c r="I45" i="67"/>
  <c r="K45" i="67" s="1"/>
  <c r="Q54" i="68"/>
  <c r="S54" i="68" s="1"/>
  <c r="I17" i="68"/>
  <c r="K17" i="68" s="1"/>
  <c r="I33" i="69"/>
  <c r="K33" i="69" s="1"/>
  <c r="I24" i="72"/>
  <c r="K24" i="72" s="1"/>
  <c r="Q27" i="71"/>
  <c r="S27" i="71" s="1"/>
  <c r="I29" i="73"/>
  <c r="K29" i="73" s="1"/>
  <c r="Q26" i="73"/>
  <c r="S26" i="73" s="1"/>
  <c r="Q62" i="73"/>
  <c r="S62" i="73" s="1"/>
  <c r="I70" i="66"/>
  <c r="K70" i="66" s="1"/>
  <c r="I67" i="69"/>
  <c r="K67" i="69" s="1"/>
  <c r="I17" i="72"/>
  <c r="K17" i="72" s="1"/>
  <c r="Q70" i="68"/>
  <c r="S70" i="68" s="1"/>
  <c r="I41" i="68"/>
  <c r="K41" i="68" s="1"/>
  <c r="I45" i="69"/>
  <c r="K45" i="69" s="1"/>
  <c r="I48" i="72"/>
  <c r="K48" i="72" s="1"/>
  <c r="Q32" i="73"/>
  <c r="S32" i="73" s="1"/>
  <c r="I53" i="73"/>
  <c r="K53" i="73" s="1"/>
  <c r="Q42" i="73"/>
  <c r="S42" i="73" s="1"/>
  <c r="I64" i="73"/>
  <c r="K64" i="73" s="1"/>
  <c r="Q18" i="73"/>
  <c r="S18" i="73" s="1"/>
  <c r="I40" i="73"/>
  <c r="K40" i="73" s="1"/>
  <c r="Q53" i="73"/>
  <c r="S53" i="73" s="1"/>
  <c r="I34" i="73"/>
  <c r="K34" i="73" s="1"/>
  <c r="I61" i="72"/>
  <c r="K61" i="72" s="1"/>
  <c r="I45" i="72"/>
  <c r="K45" i="72" s="1"/>
  <c r="I37" i="72"/>
  <c r="K37" i="72" s="1"/>
  <c r="Q42" i="72"/>
  <c r="S42" i="72" s="1"/>
  <c r="Q49" i="72"/>
  <c r="S49" i="72" s="1"/>
  <c r="I30" i="72"/>
  <c r="K30" i="72" s="1"/>
  <c r="Q62" i="71"/>
  <c r="S62" i="71" s="1"/>
  <c r="Q34" i="71"/>
  <c r="S34" i="71" s="1"/>
  <c r="I38" i="71"/>
  <c r="K38" i="71" s="1"/>
  <c r="I30" i="70"/>
  <c r="K30" i="70" s="1"/>
  <c r="Q66" i="70"/>
  <c r="S66" i="70" s="1"/>
  <c r="Q68" i="70"/>
  <c r="S68" i="70" s="1"/>
  <c r="I43" i="70"/>
  <c r="K43" i="70" s="1"/>
  <c r="I58" i="70"/>
  <c r="K58" i="70" s="1"/>
  <c r="Q49" i="69"/>
  <c r="S49" i="69" s="1"/>
  <c r="Q37" i="69"/>
  <c r="S37" i="69" s="1"/>
  <c r="Q25" i="69"/>
  <c r="S25" i="69" s="1"/>
  <c r="Q41" i="68"/>
  <c r="S41" i="68" s="1"/>
  <c r="Q22" i="68"/>
  <c r="S22" i="68" s="1"/>
  <c r="I42" i="68"/>
  <c r="K42" i="68" s="1"/>
  <c r="I25" i="67"/>
  <c r="K25" i="67" s="1"/>
  <c r="I35" i="67"/>
  <c r="K35" i="67" s="1"/>
  <c r="Q20" i="67"/>
  <c r="S20" i="67" s="1"/>
  <c r="I27" i="66"/>
  <c r="K27" i="66" s="1"/>
  <c r="I63" i="66"/>
  <c r="K63" i="66" s="1"/>
  <c r="Q54" i="65"/>
  <c r="S54" i="65" s="1"/>
  <c r="Q51" i="65"/>
  <c r="S51" i="65" s="1"/>
  <c r="Q32" i="65"/>
  <c r="S32" i="65" s="1"/>
  <c r="Q29" i="65"/>
  <c r="S29" i="65" s="1"/>
  <c r="Q21" i="65"/>
  <c r="S21" i="65" s="1"/>
  <c r="Q18" i="65"/>
  <c r="S18" i="65" s="1"/>
  <c r="I15" i="69"/>
  <c r="I69" i="72"/>
  <c r="K69" i="72" s="1"/>
  <c r="I37" i="68"/>
  <c r="K37" i="68" s="1"/>
  <c r="I20" i="66"/>
  <c r="K20" i="66" s="1"/>
  <c r="Q61" i="73"/>
  <c r="S61" i="73" s="1"/>
  <c r="Q41" i="72"/>
  <c r="S41" i="72" s="1"/>
  <c r="I42" i="72"/>
  <c r="K42" i="72" s="1"/>
  <c r="I52" i="71"/>
  <c r="K52" i="71" s="1"/>
  <c r="Q22" i="71"/>
  <c r="S22" i="71" s="1"/>
  <c r="Q66" i="71"/>
  <c r="S66" i="71" s="1"/>
  <c r="I50" i="71"/>
  <c r="K50" i="71" s="1"/>
  <c r="I61" i="70"/>
  <c r="K61" i="70" s="1"/>
  <c r="Q48" i="70"/>
  <c r="S48" i="70" s="1"/>
  <c r="I52" i="70"/>
  <c r="K52" i="70" s="1"/>
  <c r="I47" i="70"/>
  <c r="K47" i="70" s="1"/>
  <c r="Q41" i="69"/>
  <c r="S41" i="69" s="1"/>
  <c r="Q25" i="68"/>
  <c r="S25" i="68" s="1"/>
  <c r="I38" i="68"/>
  <c r="K38" i="68" s="1"/>
  <c r="I55" i="67"/>
  <c r="K55" i="67" s="1"/>
  <c r="I46" i="66"/>
  <c r="K46" i="66" s="1"/>
  <c r="I60" i="66"/>
  <c r="K60" i="66" s="1"/>
  <c r="Q42" i="65"/>
  <c r="S42" i="65" s="1"/>
  <c r="I72" i="65"/>
  <c r="K72" i="65" s="1"/>
  <c r="I60" i="65"/>
  <c r="K60" i="65" s="1"/>
  <c r="I58" i="66"/>
  <c r="K58" i="66" s="1"/>
  <c r="I40" i="69"/>
  <c r="K40" i="69" s="1"/>
  <c r="I24" i="66"/>
  <c r="K24" i="66" s="1"/>
  <c r="I29" i="65"/>
  <c r="K29" i="65" s="1"/>
  <c r="Q66" i="68"/>
  <c r="S66" i="68" s="1"/>
  <c r="I65" i="73"/>
  <c r="K65" i="73" s="1"/>
  <c r="I21" i="72"/>
  <c r="K21" i="72" s="1"/>
  <c r="I18" i="72"/>
  <c r="K18" i="72" s="1"/>
  <c r="I23" i="70"/>
  <c r="K23" i="70" s="1"/>
  <c r="I48" i="69"/>
  <c r="K48" i="69" s="1"/>
  <c r="Q19" i="72"/>
  <c r="S19" i="72" s="1"/>
  <c r="I19" i="69"/>
  <c r="K19" i="69" s="1"/>
  <c r="I49" i="67"/>
  <c r="K49" i="67" s="1"/>
  <c r="I45" i="68"/>
  <c r="K45" i="68" s="1"/>
  <c r="I28" i="66"/>
  <c r="K28" i="66" s="1"/>
  <c r="Q65" i="73"/>
  <c r="S65" i="73" s="1"/>
  <c r="I16" i="72"/>
  <c r="K16" i="72" s="1"/>
  <c r="Q45" i="72"/>
  <c r="S45" i="72" s="1"/>
  <c r="I66" i="72"/>
  <c r="K66" i="72" s="1"/>
  <c r="Q70" i="71"/>
  <c r="S70" i="71" s="1"/>
  <c r="I21" i="70"/>
  <c r="K21" i="70" s="1"/>
  <c r="Q60" i="70"/>
  <c r="S60" i="70" s="1"/>
  <c r="I51" i="70"/>
  <c r="K51" i="70" s="1"/>
  <c r="I46" i="70"/>
  <c r="K46" i="70" s="1"/>
  <c r="I60" i="68"/>
  <c r="K60" i="68" s="1"/>
  <c r="I15" i="67"/>
  <c r="I59" i="67"/>
  <c r="K59" i="67" s="1"/>
  <c r="Q17" i="66"/>
  <c r="S17" i="66" s="1"/>
  <c r="I66" i="66"/>
  <c r="K66" i="66" s="1"/>
  <c r="Q45" i="65"/>
  <c r="S45" i="65" s="1"/>
  <c r="Q62" i="68"/>
  <c r="S62" i="68" s="1"/>
  <c r="I30" i="73"/>
  <c r="K30" i="73" s="1"/>
  <c r="I16" i="68"/>
  <c r="K16" i="68" s="1"/>
  <c r="I23" i="69"/>
  <c r="K23" i="69" s="1"/>
  <c r="I57" i="67"/>
  <c r="K57" i="67" s="1"/>
  <c r="I57" i="68"/>
  <c r="K57" i="68" s="1"/>
  <c r="Q38" i="73"/>
  <c r="S38" i="73" s="1"/>
  <c r="Q53" i="72"/>
  <c r="S53" i="72" s="1"/>
  <c r="I70" i="72"/>
  <c r="K70" i="72" s="1"/>
  <c r="Q34" i="70"/>
  <c r="S34" i="70" s="1"/>
  <c r="I55" i="70"/>
  <c r="K55" i="70" s="1"/>
  <c r="I50" i="70"/>
  <c r="K50" i="70" s="1"/>
  <c r="Q30" i="69"/>
  <c r="S30" i="69" s="1"/>
  <c r="I27" i="67"/>
  <c r="K27" i="67" s="1"/>
  <c r="Q21" i="66"/>
  <c r="S21" i="66" s="1"/>
  <c r="I69" i="66"/>
  <c r="K69" i="66" s="1"/>
  <c r="Q15" i="65"/>
  <c r="I69" i="65"/>
  <c r="K69" i="65" s="1"/>
  <c r="I60" i="72"/>
  <c r="K60" i="72" s="1"/>
  <c r="I21" i="71"/>
  <c r="K21" i="71" s="1"/>
  <c r="Q17" i="73"/>
  <c r="S17" i="73" s="1"/>
  <c r="Q46" i="72"/>
  <c r="S46" i="72" s="1"/>
  <c r="I28" i="68"/>
  <c r="K28" i="68" s="1"/>
  <c r="I55" i="69"/>
  <c r="K55" i="69" s="1"/>
  <c r="I69" i="67"/>
  <c r="K69" i="67" s="1"/>
  <c r="I61" i="68"/>
  <c r="K61" i="68" s="1"/>
  <c r="I44" i="72"/>
  <c r="K44" i="72" s="1"/>
  <c r="I57" i="72"/>
  <c r="K57" i="72" s="1"/>
  <c r="Q57" i="72"/>
  <c r="S57" i="72" s="1"/>
  <c r="Q50" i="71"/>
  <c r="S50" i="71" s="1"/>
  <c r="Q38" i="71"/>
  <c r="S38" i="71" s="1"/>
  <c r="I17" i="70"/>
  <c r="K17" i="70" s="1"/>
  <c r="Q54" i="70"/>
  <c r="S54" i="70" s="1"/>
  <c r="I72" i="70"/>
  <c r="K72" i="70" s="1"/>
  <c r="I54" i="70"/>
  <c r="K54" i="70" s="1"/>
  <c r="I20" i="69"/>
  <c r="K20" i="69" s="1"/>
  <c r="I36" i="69"/>
  <c r="K36" i="69" s="1"/>
  <c r="Q34" i="69"/>
  <c r="S34" i="69" s="1"/>
  <c r="Q37" i="68"/>
  <c r="S37" i="68" s="1"/>
  <c r="I72" i="66"/>
  <c r="K72" i="66" s="1"/>
  <c r="Q66" i="66"/>
  <c r="S66" i="66" s="1"/>
  <c r="I53" i="69"/>
  <c r="K53" i="69" s="1"/>
  <c r="I32" i="68"/>
  <c r="K32" i="68" s="1"/>
  <c r="Q18" i="68"/>
  <c r="S18" i="68" s="1"/>
  <c r="I37" i="69"/>
  <c r="K37" i="69" s="1"/>
  <c r="I52" i="72"/>
  <c r="K52" i="72" s="1"/>
  <c r="I44" i="73"/>
  <c r="K44" i="73" s="1"/>
  <c r="I22" i="73"/>
  <c r="K22" i="73" s="1"/>
  <c r="I33" i="72"/>
  <c r="K33" i="72" s="1"/>
  <c r="Q30" i="72"/>
  <c r="S30" i="72" s="1"/>
  <c r="Q61" i="72"/>
  <c r="S61" i="72" s="1"/>
  <c r="Q36" i="70"/>
  <c r="S36" i="70" s="1"/>
  <c r="Q58" i="70"/>
  <c r="S58" i="70" s="1"/>
  <c r="I62" i="70"/>
  <c r="K62" i="70" s="1"/>
  <c r="I21" i="68"/>
  <c r="K21" i="68" s="1"/>
  <c r="I30" i="68"/>
  <c r="K30" i="68" s="1"/>
  <c r="I18" i="66"/>
  <c r="K18" i="66" s="1"/>
  <c r="Q62" i="65"/>
  <c r="S62" i="65" s="1"/>
  <c r="Q57" i="65"/>
  <c r="S57" i="65" s="1"/>
  <c r="I65" i="65"/>
  <c r="K65" i="65" s="1"/>
  <c r="I45" i="65"/>
  <c r="K45" i="65" s="1"/>
  <c r="I49" i="69"/>
  <c r="K49" i="69" s="1"/>
  <c r="Q50" i="73"/>
  <c r="S50" i="73" s="1"/>
  <c r="Q38" i="72"/>
  <c r="S38" i="72" s="1"/>
  <c r="I24" i="71"/>
  <c r="K24" i="71" s="1"/>
  <c r="I70" i="70"/>
  <c r="K70" i="70" s="1"/>
  <c r="Q65" i="65"/>
  <c r="S65" i="65" s="1"/>
  <c r="I21" i="73"/>
  <c r="K21" i="73" s="1"/>
  <c r="Q16" i="73"/>
  <c r="S16" i="73" s="1"/>
  <c r="I72" i="73"/>
  <c r="K72" i="73" s="1"/>
  <c r="I38" i="73"/>
  <c r="K38" i="73" s="1"/>
  <c r="I28" i="71"/>
  <c r="K28" i="71" s="1"/>
  <c r="I48" i="71"/>
  <c r="K48" i="71" s="1"/>
  <c r="I50" i="66"/>
  <c r="K50" i="66" s="1"/>
  <c r="Q18" i="66"/>
  <c r="S18" i="66" s="1"/>
  <c r="Q30" i="68"/>
  <c r="S30" i="68" s="1"/>
  <c r="I41" i="69"/>
  <c r="K41" i="69" s="1"/>
  <c r="I56" i="72"/>
  <c r="K56" i="72" s="1"/>
  <c r="I68" i="73"/>
  <c r="K68" i="73" s="1"/>
  <c r="I36" i="73"/>
  <c r="K36" i="73" s="1"/>
  <c r="I26" i="73"/>
  <c r="K26" i="73" s="1"/>
  <c r="Q34" i="72"/>
  <c r="S34" i="72" s="1"/>
  <c r="I17" i="71"/>
  <c r="K17" i="71" s="1"/>
  <c r="I65" i="70"/>
  <c r="K65" i="70" s="1"/>
  <c r="I66" i="70"/>
  <c r="K66" i="70" s="1"/>
  <c r="I24" i="69"/>
  <c r="K24" i="69" s="1"/>
  <c r="I28" i="69"/>
  <c r="K28" i="69" s="1"/>
  <c r="I46" i="68"/>
  <c r="K46" i="68" s="1"/>
  <c r="I21" i="66"/>
  <c r="K21" i="66" s="1"/>
  <c r="I57" i="70"/>
  <c r="K57" i="70" s="1"/>
  <c r="I50" i="68"/>
  <c r="K50" i="68" s="1"/>
  <c r="I25" i="71"/>
  <c r="K25" i="71" s="1"/>
  <c r="Q18" i="70"/>
  <c r="S18" i="70" s="1"/>
  <c r="Q20" i="73"/>
  <c r="S20" i="73" s="1"/>
  <c r="I17" i="73"/>
  <c r="K17" i="73" s="1"/>
  <c r="Q70" i="73"/>
  <c r="S70" i="73" s="1"/>
  <c r="Q41" i="73"/>
  <c r="S41" i="73" s="1"/>
  <c r="I42" i="73"/>
  <c r="K42" i="73" s="1"/>
  <c r="Q50" i="72"/>
  <c r="S50" i="72" s="1"/>
  <c r="I22" i="72"/>
  <c r="K22" i="72" s="1"/>
  <c r="Q26" i="71"/>
  <c r="S26" i="71" s="1"/>
  <c r="I60" i="71"/>
  <c r="K60" i="71" s="1"/>
  <c r="I18" i="71"/>
  <c r="K18" i="71" s="1"/>
  <c r="I26" i="70"/>
  <c r="K26" i="70" s="1"/>
  <c r="I27" i="70"/>
  <c r="K27" i="70" s="1"/>
  <c r="Q38" i="70"/>
  <c r="S38" i="70" s="1"/>
  <c r="Q61" i="69"/>
  <c r="S61" i="69" s="1"/>
  <c r="I53" i="68"/>
  <c r="K53" i="68" s="1"/>
  <c r="I22" i="68"/>
  <c r="K22" i="68" s="1"/>
  <c r="I43" i="67"/>
  <c r="K43" i="67" s="1"/>
  <c r="I33" i="66"/>
  <c r="K33" i="66" s="1"/>
  <c r="Q43" i="65"/>
  <c r="S43" i="65" s="1"/>
  <c r="Q22" i="65"/>
  <c r="S22" i="65" s="1"/>
  <c r="I33" i="71"/>
  <c r="K33" i="71" s="1"/>
  <c r="I61" i="66"/>
  <c r="K61" i="66" s="1"/>
  <c r="Q26" i="70"/>
  <c r="S26" i="70" s="1"/>
  <c r="I49" i="70"/>
  <c r="K49" i="70" s="1"/>
  <c r="I57" i="73"/>
  <c r="K57" i="73" s="1"/>
  <c r="I60" i="73"/>
  <c r="K60" i="73" s="1"/>
  <c r="I28" i="73"/>
  <c r="K28" i="73" s="1"/>
  <c r="Q45" i="73"/>
  <c r="S45" i="73" s="1"/>
  <c r="I46" i="73"/>
  <c r="K46" i="73" s="1"/>
  <c r="I25" i="72"/>
  <c r="K25" i="72" s="1"/>
  <c r="Q54" i="72"/>
  <c r="S54" i="72" s="1"/>
  <c r="I26" i="72"/>
  <c r="K26" i="72" s="1"/>
  <c r="I64" i="71"/>
  <c r="K64" i="71" s="1"/>
  <c r="I22" i="71"/>
  <c r="K22" i="71" s="1"/>
  <c r="Q50" i="70"/>
  <c r="S50" i="70" s="1"/>
  <c r="Q33" i="69"/>
  <c r="S33" i="69" s="1"/>
  <c r="Q29" i="69"/>
  <c r="S29" i="69" s="1"/>
  <c r="I26" i="68"/>
  <c r="K26" i="68" s="1"/>
  <c r="I25" i="66"/>
  <c r="K25" i="66" s="1"/>
  <c r="I36" i="66"/>
  <c r="K36" i="66" s="1"/>
  <c r="I72" i="68"/>
  <c r="K72" i="68" s="1"/>
  <c r="I18" i="68"/>
  <c r="K18" i="68" s="1"/>
  <c r="I47" i="67"/>
  <c r="K47" i="67" s="1"/>
  <c r="I19" i="67"/>
  <c r="K19" i="67" s="1"/>
  <c r="I54" i="66"/>
  <c r="K54" i="66" s="1"/>
  <c r="Q64" i="65"/>
  <c r="S64" i="65" s="1"/>
  <c r="Q26" i="65"/>
  <c r="S26" i="65" s="1"/>
  <c r="I33" i="65"/>
  <c r="K33" i="65" s="1"/>
  <c r="I69" i="71"/>
  <c r="K69" i="71" s="1"/>
  <c r="I29" i="68"/>
  <c r="K29" i="68" s="1"/>
  <c r="Q33" i="72"/>
  <c r="S33" i="72" s="1"/>
  <c r="I16" i="73"/>
  <c r="K16" i="73" s="1"/>
  <c r="Q54" i="73"/>
  <c r="S54" i="73" s="1"/>
  <c r="Q57" i="73"/>
  <c r="S57" i="73" s="1"/>
  <c r="Q37" i="72"/>
  <c r="S37" i="72" s="1"/>
  <c r="I38" i="72"/>
  <c r="K38" i="72" s="1"/>
  <c r="I36" i="71"/>
  <c r="K36" i="71" s="1"/>
  <c r="I46" i="71"/>
  <c r="K46" i="71" s="1"/>
  <c r="I44" i="70"/>
  <c r="K44" i="70" s="1"/>
  <c r="I31" i="70"/>
  <c r="K31" i="70" s="1"/>
  <c r="I65" i="71"/>
  <c r="K65" i="71" s="1"/>
  <c r="I53" i="72"/>
  <c r="K53" i="72" s="1"/>
  <c r="Q25" i="66"/>
  <c r="S25" i="66" s="1"/>
  <c r="I53" i="70"/>
  <c r="K53" i="70" s="1"/>
  <c r="Q49" i="73"/>
  <c r="S49" i="73" s="1"/>
  <c r="I70" i="73"/>
  <c r="K70" i="73" s="1"/>
  <c r="I29" i="72"/>
  <c r="K29" i="72" s="1"/>
  <c r="I34" i="72"/>
  <c r="K34" i="72" s="1"/>
  <c r="I42" i="71"/>
  <c r="K42" i="71" s="1"/>
  <c r="Q56" i="70"/>
  <c r="S56" i="70" s="1"/>
  <c r="I61" i="69"/>
  <c r="K61" i="69" s="1"/>
  <c r="Q44" i="70"/>
  <c r="S44" i="70" s="1"/>
  <c r="Q17" i="68"/>
  <c r="S17" i="68" s="1"/>
  <c r="I34" i="68"/>
  <c r="K34" i="68" s="1"/>
  <c r="Q42" i="70"/>
  <c r="S42" i="70" s="1"/>
  <c r="Q39" i="65"/>
  <c r="S39" i="65" s="1"/>
  <c r="I57" i="66"/>
  <c r="K57" i="66" s="1"/>
  <c r="Q68" i="65"/>
  <c r="S68" i="65" s="1"/>
  <c r="Q40" i="65"/>
  <c r="S40" i="65" s="1"/>
  <c r="I70" i="65"/>
  <c r="K70" i="65" s="1"/>
  <c r="Q26" i="68"/>
  <c r="S26" i="68" s="1"/>
  <c r="I30" i="66"/>
  <c r="K30" i="66" s="1"/>
  <c r="Q21" i="69"/>
  <c r="S21" i="69" s="1"/>
  <c r="I49" i="68"/>
  <c r="K49" i="68" s="1"/>
  <c r="Q57" i="68"/>
  <c r="S57" i="68" s="1"/>
  <c r="I53" i="67"/>
  <c r="K53" i="67" s="1"/>
  <c r="I39" i="70"/>
  <c r="K39" i="70" s="1"/>
  <c r="Q67" i="65"/>
  <c r="S67" i="65" s="1"/>
  <c r="I16" i="69"/>
  <c r="K16" i="69" s="1"/>
  <c r="Q49" i="68"/>
  <c r="S49" i="68" s="1"/>
  <c r="I34" i="65"/>
  <c r="K34" i="65" s="1"/>
  <c r="I55" i="65"/>
  <c r="K55" i="65" s="1"/>
  <c r="Q71" i="65"/>
  <c r="S71" i="65" s="1"/>
  <c r="I46" i="65"/>
  <c r="K46" i="65" s="1"/>
  <c r="I43" i="65"/>
  <c r="K43" i="65" s="1"/>
  <c r="I26" i="65"/>
  <c r="K26" i="65" s="1"/>
  <c r="I40" i="65"/>
  <c r="K40" i="65" s="1"/>
  <c r="I25" i="65"/>
  <c r="K25" i="65" s="1"/>
  <c r="I68" i="65"/>
  <c r="K68" i="65" s="1"/>
  <c r="K25" i="64"/>
  <c r="L25" i="64" s="1"/>
  <c r="K37" i="64"/>
  <c r="L37" i="64" s="1"/>
  <c r="K49" i="64"/>
  <c r="L49" i="64" s="1"/>
  <c r="K61" i="64"/>
  <c r="L61" i="64" s="1"/>
  <c r="G16" i="64"/>
  <c r="H16" i="64" s="1"/>
  <c r="G28" i="64"/>
  <c r="H28" i="64" s="1"/>
  <c r="G40" i="64"/>
  <c r="H40" i="64" s="1"/>
  <c r="G52" i="64"/>
  <c r="H52" i="64" s="1"/>
  <c r="G64" i="64"/>
  <c r="H64" i="64" s="1"/>
  <c r="K20" i="63"/>
  <c r="L20" i="63" s="1"/>
  <c r="K32" i="63"/>
  <c r="L32" i="63" s="1"/>
  <c r="K44" i="63"/>
  <c r="L44" i="63" s="1"/>
  <c r="K56" i="63"/>
  <c r="L56" i="63" s="1"/>
  <c r="K68" i="63"/>
  <c r="L68" i="63" s="1"/>
  <c r="G22" i="63"/>
  <c r="H22" i="63" s="1"/>
  <c r="G34" i="63"/>
  <c r="H34" i="63" s="1"/>
  <c r="G46" i="63"/>
  <c r="H46" i="63" s="1"/>
  <c r="G58" i="63"/>
  <c r="H58" i="63" s="1"/>
  <c r="G70" i="63"/>
  <c r="H70" i="63" s="1"/>
  <c r="K24" i="62"/>
  <c r="L24" i="62" s="1"/>
  <c r="K36" i="62"/>
  <c r="L36" i="62" s="1"/>
  <c r="K48" i="62"/>
  <c r="L48" i="62" s="1"/>
  <c r="K60" i="62"/>
  <c r="L60" i="62" s="1"/>
  <c r="K72" i="62"/>
  <c r="L72" i="62" s="1"/>
  <c r="G26" i="62"/>
  <c r="H26" i="62" s="1"/>
  <c r="G38" i="62"/>
  <c r="H38" i="62" s="1"/>
  <c r="G50" i="62"/>
  <c r="H50" i="62" s="1"/>
  <c r="G62" i="62"/>
  <c r="H62" i="62" s="1"/>
  <c r="K21" i="61"/>
  <c r="L21" i="61" s="1"/>
  <c r="K33" i="61"/>
  <c r="L33" i="61" s="1"/>
  <c r="K45" i="61"/>
  <c r="L45" i="61" s="1"/>
  <c r="K57" i="61"/>
  <c r="L57" i="61" s="1"/>
  <c r="K69" i="61"/>
  <c r="L69" i="61" s="1"/>
  <c r="G24" i="61"/>
  <c r="H24" i="61" s="1"/>
  <c r="G36" i="61"/>
  <c r="H36" i="61" s="1"/>
  <c r="G48" i="61"/>
  <c r="H48" i="61" s="1"/>
  <c r="G60" i="61"/>
  <c r="H60" i="61" s="1"/>
  <c r="G72" i="61"/>
  <c r="H72" i="61" s="1"/>
  <c r="K16" i="60"/>
  <c r="L16" i="60" s="1"/>
  <c r="K28" i="60"/>
  <c r="L28" i="60" s="1"/>
  <c r="K40" i="60"/>
  <c r="L40" i="60" s="1"/>
  <c r="K52" i="60"/>
  <c r="L52" i="60" s="1"/>
  <c r="K64" i="60"/>
  <c r="L64" i="60" s="1"/>
  <c r="G18" i="60"/>
  <c r="H18" i="60" s="1"/>
  <c r="G30" i="60"/>
  <c r="H30" i="60" s="1"/>
  <c r="G42" i="60"/>
  <c r="H42" i="60" s="1"/>
  <c r="G54" i="60"/>
  <c r="H54" i="60" s="1"/>
  <c r="G66" i="60"/>
  <c r="H66" i="60" s="1"/>
  <c r="I58" i="65"/>
  <c r="K58" i="65" s="1"/>
  <c r="I31" i="65"/>
  <c r="K31" i="65" s="1"/>
  <c r="Q46" i="65"/>
  <c r="S46" i="65" s="1"/>
  <c r="I18" i="65"/>
  <c r="K18" i="65" s="1"/>
  <c r="I42" i="65"/>
  <c r="K42" i="65" s="1"/>
  <c r="K26" i="64"/>
  <c r="L26" i="64" s="1"/>
  <c r="K38" i="64"/>
  <c r="L38" i="64" s="1"/>
  <c r="K50" i="64"/>
  <c r="L50" i="64" s="1"/>
  <c r="K62" i="64"/>
  <c r="L62" i="64" s="1"/>
  <c r="G17" i="64"/>
  <c r="H17" i="64" s="1"/>
  <c r="G29" i="64"/>
  <c r="H29" i="64" s="1"/>
  <c r="G41" i="64"/>
  <c r="H41" i="64" s="1"/>
  <c r="G53" i="64"/>
  <c r="H53" i="64" s="1"/>
  <c r="G65" i="64"/>
  <c r="H65" i="64" s="1"/>
  <c r="K21" i="63"/>
  <c r="L21" i="63" s="1"/>
  <c r="K33" i="63"/>
  <c r="L33" i="63" s="1"/>
  <c r="K45" i="63"/>
  <c r="L45" i="63" s="1"/>
  <c r="K57" i="63"/>
  <c r="L57" i="63" s="1"/>
  <c r="K69" i="63"/>
  <c r="L69" i="63" s="1"/>
  <c r="G23" i="63"/>
  <c r="H23" i="63" s="1"/>
  <c r="G35" i="63"/>
  <c r="H35" i="63" s="1"/>
  <c r="G47" i="63"/>
  <c r="H47" i="63" s="1"/>
  <c r="G59" i="63"/>
  <c r="H59" i="63" s="1"/>
  <c r="G71" i="63"/>
  <c r="H71" i="63" s="1"/>
  <c r="K25" i="62"/>
  <c r="L25" i="62" s="1"/>
  <c r="K37" i="62"/>
  <c r="L37" i="62" s="1"/>
  <c r="K49" i="62"/>
  <c r="L49" i="62" s="1"/>
  <c r="K61" i="62"/>
  <c r="L61" i="62" s="1"/>
  <c r="K15" i="62"/>
  <c r="G27" i="62"/>
  <c r="H27" i="62" s="1"/>
  <c r="G39" i="62"/>
  <c r="H39" i="62" s="1"/>
  <c r="G51" i="62"/>
  <c r="H51" i="62" s="1"/>
  <c r="G63" i="62"/>
  <c r="H63" i="62" s="1"/>
  <c r="K22" i="61"/>
  <c r="L22" i="61" s="1"/>
  <c r="K34" i="61"/>
  <c r="L34" i="61" s="1"/>
  <c r="K46" i="61"/>
  <c r="L46" i="61" s="1"/>
  <c r="K58" i="61"/>
  <c r="L58" i="61" s="1"/>
  <c r="K70" i="61"/>
  <c r="L70" i="61" s="1"/>
  <c r="G25" i="61"/>
  <c r="H25" i="61" s="1"/>
  <c r="G37" i="61"/>
  <c r="H37" i="61" s="1"/>
  <c r="G49" i="61"/>
  <c r="H49" i="61" s="1"/>
  <c r="G61" i="61"/>
  <c r="H61" i="61" s="1"/>
  <c r="K15" i="61"/>
  <c r="K17" i="60"/>
  <c r="L17" i="60" s="1"/>
  <c r="K29" i="60"/>
  <c r="L29" i="60" s="1"/>
  <c r="K41" i="60"/>
  <c r="L41" i="60" s="1"/>
  <c r="K53" i="60"/>
  <c r="L53" i="60" s="1"/>
  <c r="K65" i="60"/>
  <c r="L65" i="60" s="1"/>
  <c r="G19" i="60"/>
  <c r="H19" i="60" s="1"/>
  <c r="G31" i="60"/>
  <c r="H31" i="60" s="1"/>
  <c r="G43" i="60"/>
  <c r="H43" i="60" s="1"/>
  <c r="G55" i="60"/>
  <c r="H55" i="60" s="1"/>
  <c r="G67" i="60"/>
  <c r="H67" i="60" s="1"/>
  <c r="I71" i="65"/>
  <c r="K71" i="65" s="1"/>
  <c r="Q72" i="65"/>
  <c r="S72" i="65" s="1"/>
  <c r="I52" i="65"/>
  <c r="K52" i="65" s="1"/>
  <c r="I37" i="65"/>
  <c r="K37" i="65" s="1"/>
  <c r="I30" i="65"/>
  <c r="K30" i="65" s="1"/>
  <c r="I15" i="65"/>
  <c r="K27" i="64"/>
  <c r="L27" i="64" s="1"/>
  <c r="K39" i="64"/>
  <c r="L39" i="64" s="1"/>
  <c r="K51" i="64"/>
  <c r="L51" i="64" s="1"/>
  <c r="K63" i="64"/>
  <c r="L63" i="64" s="1"/>
  <c r="G18" i="64"/>
  <c r="H18" i="64" s="1"/>
  <c r="G30" i="64"/>
  <c r="H30" i="64" s="1"/>
  <c r="G42" i="64"/>
  <c r="H42" i="64" s="1"/>
  <c r="G54" i="64"/>
  <c r="H54" i="64" s="1"/>
  <c r="G66" i="64"/>
  <c r="H66" i="64" s="1"/>
  <c r="K22" i="63"/>
  <c r="L22" i="63" s="1"/>
  <c r="K34" i="63"/>
  <c r="L34" i="63" s="1"/>
  <c r="K46" i="63"/>
  <c r="L46" i="63" s="1"/>
  <c r="K58" i="63"/>
  <c r="L58" i="63" s="1"/>
  <c r="K70" i="63"/>
  <c r="L70" i="63" s="1"/>
  <c r="G24" i="63"/>
  <c r="H24" i="63" s="1"/>
  <c r="G36" i="63"/>
  <c r="H36" i="63" s="1"/>
  <c r="G48" i="63"/>
  <c r="H48" i="63" s="1"/>
  <c r="G60" i="63"/>
  <c r="H60" i="63" s="1"/>
  <c r="G72" i="63"/>
  <c r="H72" i="63" s="1"/>
  <c r="K26" i="62"/>
  <c r="L26" i="62" s="1"/>
  <c r="K38" i="62"/>
  <c r="L38" i="62" s="1"/>
  <c r="K50" i="62"/>
  <c r="L50" i="62" s="1"/>
  <c r="K62" i="62"/>
  <c r="L62" i="62" s="1"/>
  <c r="G16" i="62"/>
  <c r="H16" i="62" s="1"/>
  <c r="G28" i="62"/>
  <c r="H28" i="62" s="1"/>
  <c r="G40" i="62"/>
  <c r="H40" i="62" s="1"/>
  <c r="G52" i="62"/>
  <c r="H52" i="62" s="1"/>
  <c r="G64" i="62"/>
  <c r="H64" i="62" s="1"/>
  <c r="K23" i="61"/>
  <c r="L23" i="61" s="1"/>
  <c r="K35" i="61"/>
  <c r="L35" i="61" s="1"/>
  <c r="K47" i="61"/>
  <c r="L47" i="61" s="1"/>
  <c r="K59" i="61"/>
  <c r="L59" i="61" s="1"/>
  <c r="K71" i="61"/>
  <c r="L71" i="61" s="1"/>
  <c r="G26" i="61"/>
  <c r="H26" i="61" s="1"/>
  <c r="G38" i="61"/>
  <c r="H38" i="61" s="1"/>
  <c r="G50" i="61"/>
  <c r="H50" i="61" s="1"/>
  <c r="G62" i="61"/>
  <c r="H62" i="61" s="1"/>
  <c r="G15" i="61"/>
  <c r="K18" i="60"/>
  <c r="L18" i="60" s="1"/>
  <c r="K30" i="60"/>
  <c r="L30" i="60" s="1"/>
  <c r="K42" i="60"/>
  <c r="L42" i="60" s="1"/>
  <c r="K54" i="60"/>
  <c r="L54" i="60" s="1"/>
  <c r="K66" i="60"/>
  <c r="L66" i="60" s="1"/>
  <c r="G20" i="60"/>
  <c r="H20" i="60" s="1"/>
  <c r="G32" i="60"/>
  <c r="H32" i="60" s="1"/>
  <c r="G44" i="60"/>
  <c r="H44" i="60" s="1"/>
  <c r="G56" i="60"/>
  <c r="H56" i="60" s="1"/>
  <c r="I59" i="65"/>
  <c r="K59" i="65" s="1"/>
  <c r="I27" i="65"/>
  <c r="K27" i="65" s="1"/>
  <c r="K16" i="64"/>
  <c r="L16" i="64" s="1"/>
  <c r="K28" i="64"/>
  <c r="L28" i="64" s="1"/>
  <c r="K40" i="64"/>
  <c r="L40" i="64" s="1"/>
  <c r="K52" i="64"/>
  <c r="L52" i="64" s="1"/>
  <c r="K64" i="64"/>
  <c r="L64" i="64" s="1"/>
  <c r="G19" i="64"/>
  <c r="H19" i="64" s="1"/>
  <c r="G31" i="64"/>
  <c r="H31" i="64" s="1"/>
  <c r="G43" i="64"/>
  <c r="H43" i="64" s="1"/>
  <c r="G55" i="64"/>
  <c r="H55" i="64" s="1"/>
  <c r="G67" i="64"/>
  <c r="H67" i="64" s="1"/>
  <c r="K23" i="63"/>
  <c r="L23" i="63" s="1"/>
  <c r="K35" i="63"/>
  <c r="L35" i="63" s="1"/>
  <c r="K47" i="63"/>
  <c r="L47" i="63" s="1"/>
  <c r="K59" i="63"/>
  <c r="L59" i="63" s="1"/>
  <c r="K71" i="63"/>
  <c r="L71" i="63" s="1"/>
  <c r="G25" i="63"/>
  <c r="H25" i="63" s="1"/>
  <c r="G37" i="63"/>
  <c r="H37" i="63" s="1"/>
  <c r="G49" i="63"/>
  <c r="H49" i="63" s="1"/>
  <c r="G61" i="63"/>
  <c r="H61" i="63" s="1"/>
  <c r="G15" i="63"/>
  <c r="K27" i="62"/>
  <c r="L27" i="62" s="1"/>
  <c r="K39" i="62"/>
  <c r="L39" i="62" s="1"/>
  <c r="K51" i="62"/>
  <c r="L51" i="62" s="1"/>
  <c r="K63" i="62"/>
  <c r="L63" i="62" s="1"/>
  <c r="G17" i="62"/>
  <c r="H17" i="62" s="1"/>
  <c r="G29" i="62"/>
  <c r="H29" i="62" s="1"/>
  <c r="G41" i="62"/>
  <c r="H41" i="62" s="1"/>
  <c r="G53" i="62"/>
  <c r="H53" i="62" s="1"/>
  <c r="G65" i="62"/>
  <c r="H65" i="62" s="1"/>
  <c r="K24" i="61"/>
  <c r="L24" i="61" s="1"/>
  <c r="K36" i="61"/>
  <c r="L36" i="61" s="1"/>
  <c r="K48" i="61"/>
  <c r="L48" i="61" s="1"/>
  <c r="K60" i="61"/>
  <c r="L60" i="61" s="1"/>
  <c r="K72" i="61"/>
  <c r="L72" i="61" s="1"/>
  <c r="G27" i="61"/>
  <c r="H27" i="61" s="1"/>
  <c r="G39" i="61"/>
  <c r="H39" i="61" s="1"/>
  <c r="G51" i="61"/>
  <c r="H51" i="61" s="1"/>
  <c r="G63" i="61"/>
  <c r="H63" i="61" s="1"/>
  <c r="K19" i="60"/>
  <c r="L19" i="60" s="1"/>
  <c r="K31" i="60"/>
  <c r="L31" i="60" s="1"/>
  <c r="K43" i="60"/>
  <c r="L43" i="60" s="1"/>
  <c r="K55" i="60"/>
  <c r="L55" i="60" s="1"/>
  <c r="K67" i="60"/>
  <c r="L67" i="60" s="1"/>
  <c r="G21" i="60"/>
  <c r="H21" i="60" s="1"/>
  <c r="G33" i="60"/>
  <c r="H33" i="60" s="1"/>
  <c r="G45" i="60"/>
  <c r="H45" i="60" s="1"/>
  <c r="G57" i="60"/>
  <c r="H57" i="60" s="1"/>
  <c r="G69" i="60"/>
  <c r="H69" i="60" s="1"/>
  <c r="I17" i="65"/>
  <c r="K17" i="65" s="1"/>
  <c r="Q36" i="65"/>
  <c r="S36" i="65" s="1"/>
  <c r="Q61" i="65"/>
  <c r="S61" i="65" s="1"/>
  <c r="I32" i="65"/>
  <c r="K32" i="65" s="1"/>
  <c r="I63" i="65"/>
  <c r="K63" i="65" s="1"/>
  <c r="K19" i="64"/>
  <c r="L19" i="64" s="1"/>
  <c r="K31" i="64"/>
  <c r="L31" i="64" s="1"/>
  <c r="K43" i="64"/>
  <c r="L43" i="64" s="1"/>
  <c r="K55" i="64"/>
  <c r="L55" i="64" s="1"/>
  <c r="K67" i="64"/>
  <c r="L67" i="64" s="1"/>
  <c r="G22" i="64"/>
  <c r="H22" i="64" s="1"/>
  <c r="G34" i="64"/>
  <c r="H34" i="64" s="1"/>
  <c r="G46" i="64"/>
  <c r="H46" i="64" s="1"/>
  <c r="G58" i="64"/>
  <c r="H58" i="64" s="1"/>
  <c r="G70" i="64"/>
  <c r="H70" i="64" s="1"/>
  <c r="K26" i="63"/>
  <c r="L26" i="63" s="1"/>
  <c r="K38" i="63"/>
  <c r="L38" i="63" s="1"/>
  <c r="K50" i="63"/>
  <c r="L50" i="63" s="1"/>
  <c r="K62" i="63"/>
  <c r="L62" i="63" s="1"/>
  <c r="G19" i="63"/>
  <c r="H19" i="63" s="1"/>
  <c r="G28" i="63"/>
  <c r="H28" i="63" s="1"/>
  <c r="G40" i="63"/>
  <c r="H40" i="63" s="1"/>
  <c r="G52" i="63"/>
  <c r="H52" i="63" s="1"/>
  <c r="G64" i="63"/>
  <c r="H64" i="63" s="1"/>
  <c r="K18" i="62"/>
  <c r="L18" i="62" s="1"/>
  <c r="K30" i="62"/>
  <c r="L30" i="62" s="1"/>
  <c r="K42" i="62"/>
  <c r="L42" i="62" s="1"/>
  <c r="K54" i="62"/>
  <c r="L54" i="62" s="1"/>
  <c r="K66" i="62"/>
  <c r="L66" i="62" s="1"/>
  <c r="G20" i="62"/>
  <c r="H20" i="62" s="1"/>
  <c r="G32" i="62"/>
  <c r="H32" i="62" s="1"/>
  <c r="G44" i="62"/>
  <c r="H44" i="62" s="1"/>
  <c r="G56" i="62"/>
  <c r="H56" i="62" s="1"/>
  <c r="G68" i="62"/>
  <c r="H68" i="62" s="1"/>
  <c r="K27" i="61"/>
  <c r="L27" i="61" s="1"/>
  <c r="K39" i="61"/>
  <c r="L39" i="61" s="1"/>
  <c r="K51" i="61"/>
  <c r="L51" i="61" s="1"/>
  <c r="K63" i="61"/>
  <c r="L63" i="61" s="1"/>
  <c r="G18" i="61"/>
  <c r="H18" i="61" s="1"/>
  <c r="G30" i="61"/>
  <c r="H30" i="61" s="1"/>
  <c r="G42" i="61"/>
  <c r="H42" i="61" s="1"/>
  <c r="G54" i="61"/>
  <c r="H54" i="61" s="1"/>
  <c r="G66" i="61"/>
  <c r="H66" i="61" s="1"/>
  <c r="K22" i="60"/>
  <c r="L22" i="60" s="1"/>
  <c r="K34" i="60"/>
  <c r="L34" i="60" s="1"/>
  <c r="K46" i="60"/>
  <c r="L46" i="60" s="1"/>
  <c r="K58" i="60"/>
  <c r="L58" i="60" s="1"/>
  <c r="K70" i="60"/>
  <c r="L70" i="60" s="1"/>
  <c r="G24" i="60"/>
  <c r="H24" i="60" s="1"/>
  <c r="G36" i="60"/>
  <c r="H36" i="60" s="1"/>
  <c r="G48" i="60"/>
  <c r="H48" i="60" s="1"/>
  <c r="G60" i="60"/>
  <c r="H60" i="60" s="1"/>
  <c r="G72" i="60"/>
  <c r="H72" i="60" s="1"/>
  <c r="I50" i="65"/>
  <c r="K50" i="65" s="1"/>
  <c r="I22" i="65"/>
  <c r="K22" i="65" s="1"/>
  <c r="Q59" i="65"/>
  <c r="S59" i="65" s="1"/>
  <c r="I66" i="65"/>
  <c r="K66" i="65" s="1"/>
  <c r="K22" i="64"/>
  <c r="L22" i="64" s="1"/>
  <c r="K34" i="64"/>
  <c r="L34" i="64" s="1"/>
  <c r="K46" i="64"/>
  <c r="L46" i="64" s="1"/>
  <c r="K58" i="64"/>
  <c r="L58" i="64" s="1"/>
  <c r="K70" i="64"/>
  <c r="L70" i="64" s="1"/>
  <c r="G25" i="64"/>
  <c r="H25" i="64" s="1"/>
  <c r="G37" i="64"/>
  <c r="H37" i="64" s="1"/>
  <c r="G49" i="64"/>
  <c r="H49" i="64" s="1"/>
  <c r="G61" i="64"/>
  <c r="H61" i="64" s="1"/>
  <c r="K15" i="64"/>
  <c r="K17" i="63"/>
  <c r="L17" i="63" s="1"/>
  <c r="K29" i="63"/>
  <c r="L29" i="63" s="1"/>
  <c r="K41" i="63"/>
  <c r="L41" i="63" s="1"/>
  <c r="K53" i="63"/>
  <c r="L53" i="63" s="1"/>
  <c r="K65" i="63"/>
  <c r="L65" i="63" s="1"/>
  <c r="G18" i="63"/>
  <c r="H18" i="63" s="1"/>
  <c r="G31" i="63"/>
  <c r="H31" i="63" s="1"/>
  <c r="G43" i="63"/>
  <c r="H43" i="63" s="1"/>
  <c r="G55" i="63"/>
  <c r="H55" i="63" s="1"/>
  <c r="G67" i="63"/>
  <c r="H67" i="63" s="1"/>
  <c r="K21" i="62"/>
  <c r="L21" i="62" s="1"/>
  <c r="K33" i="62"/>
  <c r="L33" i="62" s="1"/>
  <c r="K45" i="62"/>
  <c r="L45" i="62" s="1"/>
  <c r="K57" i="62"/>
  <c r="L57" i="62" s="1"/>
  <c r="K69" i="62"/>
  <c r="L69" i="62" s="1"/>
  <c r="G23" i="62"/>
  <c r="H23" i="62" s="1"/>
  <c r="G35" i="62"/>
  <c r="H35" i="62" s="1"/>
  <c r="G47" i="62"/>
  <c r="H47" i="62" s="1"/>
  <c r="G59" i="62"/>
  <c r="H59" i="62" s="1"/>
  <c r="G71" i="62"/>
  <c r="H71" i="62" s="1"/>
  <c r="K18" i="61"/>
  <c r="L18" i="61" s="1"/>
  <c r="K30" i="61"/>
  <c r="L30" i="61" s="1"/>
  <c r="K42" i="61"/>
  <c r="L42" i="61" s="1"/>
  <c r="K54" i="61"/>
  <c r="L54" i="61" s="1"/>
  <c r="K66" i="61"/>
  <c r="L66" i="61" s="1"/>
  <c r="G21" i="61"/>
  <c r="H21" i="61" s="1"/>
  <c r="G33" i="61"/>
  <c r="H33" i="61" s="1"/>
  <c r="G45" i="61"/>
  <c r="H45" i="61" s="1"/>
  <c r="G57" i="61"/>
  <c r="H57" i="61" s="1"/>
  <c r="G69" i="61"/>
  <c r="H69" i="61" s="1"/>
  <c r="K25" i="60"/>
  <c r="L25" i="60" s="1"/>
  <c r="K37" i="60"/>
  <c r="L37" i="60" s="1"/>
  <c r="K49" i="60"/>
  <c r="L49" i="60" s="1"/>
  <c r="K61" i="60"/>
  <c r="L61" i="60" s="1"/>
  <c r="K15" i="60"/>
  <c r="G27" i="60"/>
  <c r="H27" i="60" s="1"/>
  <c r="G39" i="60"/>
  <c r="H39" i="60" s="1"/>
  <c r="G51" i="60"/>
  <c r="H51" i="60" s="1"/>
  <c r="G63" i="60"/>
  <c r="H63" i="60" s="1"/>
  <c r="I38" i="65"/>
  <c r="K38" i="65" s="1"/>
  <c r="I53" i="65"/>
  <c r="K53" i="65" s="1"/>
  <c r="I28" i="65"/>
  <c r="K28" i="65" s="1"/>
  <c r="K29" i="64"/>
  <c r="L29" i="64" s="1"/>
  <c r="K53" i="64"/>
  <c r="L53" i="64" s="1"/>
  <c r="G20" i="64"/>
  <c r="H20" i="64" s="1"/>
  <c r="G44" i="64"/>
  <c r="H44" i="64" s="1"/>
  <c r="G68" i="64"/>
  <c r="H68" i="64" s="1"/>
  <c r="K16" i="63"/>
  <c r="L16" i="63" s="1"/>
  <c r="K40" i="63"/>
  <c r="L40" i="63" s="1"/>
  <c r="K64" i="63"/>
  <c r="L64" i="63" s="1"/>
  <c r="G30" i="63"/>
  <c r="H30" i="63" s="1"/>
  <c r="G54" i="63"/>
  <c r="H54" i="63" s="1"/>
  <c r="K19" i="62"/>
  <c r="L19" i="62" s="1"/>
  <c r="K43" i="62"/>
  <c r="L43" i="62" s="1"/>
  <c r="K67" i="62"/>
  <c r="L67" i="62" s="1"/>
  <c r="G33" i="62"/>
  <c r="H33" i="62" s="1"/>
  <c r="G57" i="62"/>
  <c r="H57" i="62" s="1"/>
  <c r="K31" i="61"/>
  <c r="L31" i="61" s="1"/>
  <c r="K55" i="61"/>
  <c r="L55" i="61" s="1"/>
  <c r="G22" i="61"/>
  <c r="H22" i="61" s="1"/>
  <c r="G46" i="61"/>
  <c r="H46" i="61" s="1"/>
  <c r="G70" i="61"/>
  <c r="H70" i="61" s="1"/>
  <c r="K23" i="60"/>
  <c r="L23" i="60" s="1"/>
  <c r="K47" i="60"/>
  <c r="L47" i="60" s="1"/>
  <c r="K71" i="60"/>
  <c r="L71" i="60" s="1"/>
  <c r="G37" i="60"/>
  <c r="H37" i="60" s="1"/>
  <c r="G61" i="60"/>
  <c r="H61" i="60" s="1"/>
  <c r="K21" i="59"/>
  <c r="L21" i="59" s="1"/>
  <c r="K33" i="59"/>
  <c r="L33" i="59" s="1"/>
  <c r="K45" i="59"/>
  <c r="L45" i="59" s="1"/>
  <c r="K57" i="59"/>
  <c r="L57" i="59" s="1"/>
  <c r="K69" i="59"/>
  <c r="L69" i="59" s="1"/>
  <c r="G23" i="59"/>
  <c r="H23" i="59" s="1"/>
  <c r="G35" i="59"/>
  <c r="H35" i="59" s="1"/>
  <c r="G47" i="59"/>
  <c r="H47" i="59" s="1"/>
  <c r="G59" i="59"/>
  <c r="H59" i="59" s="1"/>
  <c r="G71" i="59"/>
  <c r="H71" i="59" s="1"/>
  <c r="K20" i="58"/>
  <c r="L20" i="58" s="1"/>
  <c r="K32" i="58"/>
  <c r="L32" i="58" s="1"/>
  <c r="K44" i="58"/>
  <c r="L44" i="58" s="1"/>
  <c r="K56" i="58"/>
  <c r="L56" i="58" s="1"/>
  <c r="K68" i="58"/>
  <c r="L68" i="58" s="1"/>
  <c r="G22" i="58"/>
  <c r="H22" i="58" s="1"/>
  <c r="G34" i="58"/>
  <c r="H34" i="58" s="1"/>
  <c r="G46" i="58"/>
  <c r="H46" i="58" s="1"/>
  <c r="G58" i="58"/>
  <c r="H58" i="58" s="1"/>
  <c r="G70" i="58"/>
  <c r="H70" i="58" s="1"/>
  <c r="K21" i="57"/>
  <c r="L21" i="57" s="1"/>
  <c r="K42" i="57"/>
  <c r="L42" i="57" s="1"/>
  <c r="K52" i="57"/>
  <c r="L52" i="57" s="1"/>
  <c r="K62" i="57"/>
  <c r="L62" i="57" s="1"/>
  <c r="G24" i="57"/>
  <c r="H24" i="57" s="1"/>
  <c r="G40" i="57"/>
  <c r="H40" i="57" s="1"/>
  <c r="G49" i="57"/>
  <c r="H49" i="57" s="1"/>
  <c r="I21" i="65"/>
  <c r="K21" i="65" s="1"/>
  <c r="I62" i="65"/>
  <c r="K62" i="65" s="1"/>
  <c r="K33" i="64"/>
  <c r="L33" i="64" s="1"/>
  <c r="K57" i="64"/>
  <c r="L57" i="64" s="1"/>
  <c r="G24" i="64"/>
  <c r="H24" i="64" s="1"/>
  <c r="G48" i="64"/>
  <c r="H48" i="64" s="1"/>
  <c r="G72" i="64"/>
  <c r="H72" i="64" s="1"/>
  <c r="K24" i="63"/>
  <c r="L24" i="63" s="1"/>
  <c r="K48" i="63"/>
  <c r="L48" i="63" s="1"/>
  <c r="K72" i="63"/>
  <c r="L72" i="63" s="1"/>
  <c r="G38" i="63"/>
  <c r="H38" i="63" s="1"/>
  <c r="G62" i="63"/>
  <c r="H62" i="63" s="1"/>
  <c r="K23" i="62"/>
  <c r="L23" i="62" s="1"/>
  <c r="K47" i="62"/>
  <c r="L47" i="62" s="1"/>
  <c r="K71" i="62"/>
  <c r="L71" i="62" s="1"/>
  <c r="G37" i="62"/>
  <c r="H37" i="62" s="1"/>
  <c r="G61" i="62"/>
  <c r="H61" i="62" s="1"/>
  <c r="K38" i="61"/>
  <c r="L38" i="61" s="1"/>
  <c r="K62" i="61"/>
  <c r="L62" i="61" s="1"/>
  <c r="G29" i="61"/>
  <c r="H29" i="61" s="1"/>
  <c r="G53" i="61"/>
  <c r="H53" i="61" s="1"/>
  <c r="K27" i="60"/>
  <c r="L27" i="60" s="1"/>
  <c r="K51" i="60"/>
  <c r="L51" i="60" s="1"/>
  <c r="G17" i="60"/>
  <c r="H17" i="60" s="1"/>
  <c r="G41" i="60"/>
  <c r="H41" i="60" s="1"/>
  <c r="G65" i="60"/>
  <c r="H65" i="60" s="1"/>
  <c r="K24" i="59"/>
  <c r="L24" i="59" s="1"/>
  <c r="K36" i="59"/>
  <c r="L36" i="59" s="1"/>
  <c r="K48" i="59"/>
  <c r="L48" i="59" s="1"/>
  <c r="K60" i="59"/>
  <c r="L60" i="59" s="1"/>
  <c r="K72" i="59"/>
  <c r="L72" i="59" s="1"/>
  <c r="G26" i="59"/>
  <c r="H26" i="59" s="1"/>
  <c r="G38" i="59"/>
  <c r="H38" i="59" s="1"/>
  <c r="G50" i="59"/>
  <c r="H50" i="59" s="1"/>
  <c r="G62" i="59"/>
  <c r="H62" i="59" s="1"/>
  <c r="G15" i="59"/>
  <c r="K23" i="58"/>
  <c r="L23" i="58" s="1"/>
  <c r="K35" i="58"/>
  <c r="L35" i="58" s="1"/>
  <c r="K47" i="58"/>
  <c r="L47" i="58" s="1"/>
  <c r="K59" i="58"/>
  <c r="L59" i="58" s="1"/>
  <c r="K71" i="58"/>
  <c r="L71" i="58" s="1"/>
  <c r="G25" i="58"/>
  <c r="H25" i="58" s="1"/>
  <c r="G37" i="58"/>
  <c r="H37" i="58" s="1"/>
  <c r="G49" i="58"/>
  <c r="H49" i="58" s="1"/>
  <c r="G61" i="58"/>
  <c r="H61" i="58" s="1"/>
  <c r="K24" i="57"/>
  <c r="L24" i="57" s="1"/>
  <c r="K34" i="57"/>
  <c r="L34" i="57" s="1"/>
  <c r="K44" i="57"/>
  <c r="L44" i="57" s="1"/>
  <c r="I61" i="65"/>
  <c r="K61" i="65" s="1"/>
  <c r="K36" i="64"/>
  <c r="L36" i="64" s="1"/>
  <c r="K60" i="64"/>
  <c r="L60" i="64" s="1"/>
  <c r="G27" i="64"/>
  <c r="H27" i="64" s="1"/>
  <c r="G51" i="64"/>
  <c r="H51" i="64" s="1"/>
  <c r="K27" i="63"/>
  <c r="L27" i="63" s="1"/>
  <c r="K51" i="63"/>
  <c r="L51" i="63" s="1"/>
  <c r="G16" i="63"/>
  <c r="H16" i="63" s="1"/>
  <c r="G41" i="63"/>
  <c r="H41" i="63" s="1"/>
  <c r="G65" i="63"/>
  <c r="H65" i="63" s="1"/>
  <c r="K29" i="62"/>
  <c r="L29" i="62" s="1"/>
  <c r="K53" i="62"/>
  <c r="L53" i="62" s="1"/>
  <c r="G19" i="62"/>
  <c r="H19" i="62" s="1"/>
  <c r="G43" i="62"/>
  <c r="H43" i="62" s="1"/>
  <c r="G67" i="62"/>
  <c r="H67" i="62" s="1"/>
  <c r="K17" i="61"/>
  <c r="L17" i="61" s="1"/>
  <c r="K41" i="61"/>
  <c r="L41" i="61" s="1"/>
  <c r="K65" i="61"/>
  <c r="L65" i="61" s="1"/>
  <c r="G32" i="61"/>
  <c r="H32" i="61" s="1"/>
  <c r="G56" i="61"/>
  <c r="H56" i="61" s="1"/>
  <c r="K33" i="60"/>
  <c r="L33" i="60" s="1"/>
  <c r="K57" i="60"/>
  <c r="L57" i="60" s="1"/>
  <c r="G23" i="60"/>
  <c r="H23" i="60" s="1"/>
  <c r="G47" i="60"/>
  <c r="H47" i="60" s="1"/>
  <c r="G70" i="60"/>
  <c r="H70" i="60" s="1"/>
  <c r="K26" i="59"/>
  <c r="L26" i="59" s="1"/>
  <c r="K38" i="59"/>
  <c r="L38" i="59" s="1"/>
  <c r="K50" i="59"/>
  <c r="L50" i="59" s="1"/>
  <c r="K62" i="59"/>
  <c r="L62" i="59" s="1"/>
  <c r="G16" i="59"/>
  <c r="H16" i="59" s="1"/>
  <c r="G28" i="59"/>
  <c r="H28" i="59" s="1"/>
  <c r="G40" i="59"/>
  <c r="H40" i="59" s="1"/>
  <c r="G52" i="59"/>
  <c r="H52" i="59" s="1"/>
  <c r="G64" i="59"/>
  <c r="H64" i="59" s="1"/>
  <c r="K25" i="58"/>
  <c r="L25" i="58" s="1"/>
  <c r="K37" i="58"/>
  <c r="L37" i="58" s="1"/>
  <c r="K49" i="58"/>
  <c r="L49" i="58" s="1"/>
  <c r="K61" i="58"/>
  <c r="L61" i="58" s="1"/>
  <c r="K15" i="58"/>
  <c r="G27" i="58"/>
  <c r="H27" i="58" s="1"/>
  <c r="G39" i="58"/>
  <c r="H39" i="58" s="1"/>
  <c r="G51" i="58"/>
  <c r="H51" i="58" s="1"/>
  <c r="G63" i="58"/>
  <c r="H63" i="58" s="1"/>
  <c r="K71" i="57"/>
  <c r="L71" i="57" s="1"/>
  <c r="K36" i="57"/>
  <c r="L36" i="57" s="1"/>
  <c r="K46" i="57"/>
  <c r="L46" i="57" s="1"/>
  <c r="K56" i="57"/>
  <c r="L56" i="57" s="1"/>
  <c r="K67" i="57"/>
  <c r="L67" i="57" s="1"/>
  <c r="G36" i="57"/>
  <c r="H36" i="57" s="1"/>
  <c r="G44" i="57"/>
  <c r="H44" i="57" s="1"/>
  <c r="Q47" i="65"/>
  <c r="S47" i="65" s="1"/>
  <c r="I54" i="65"/>
  <c r="K54" i="65" s="1"/>
  <c r="K20" i="64"/>
  <c r="L20" i="64" s="1"/>
  <c r="K44" i="64"/>
  <c r="L44" i="64" s="1"/>
  <c r="K68" i="64"/>
  <c r="L68" i="64" s="1"/>
  <c r="G35" i="64"/>
  <c r="H35" i="64" s="1"/>
  <c r="G59" i="64"/>
  <c r="H59" i="64" s="1"/>
  <c r="K31" i="63"/>
  <c r="L31" i="63" s="1"/>
  <c r="K55" i="63"/>
  <c r="L55" i="63" s="1"/>
  <c r="G21" i="63"/>
  <c r="H21" i="63" s="1"/>
  <c r="G45" i="63"/>
  <c r="H45" i="63" s="1"/>
  <c r="G69" i="63"/>
  <c r="H69" i="63" s="1"/>
  <c r="K34" i="62"/>
  <c r="L34" i="62" s="1"/>
  <c r="K58" i="62"/>
  <c r="L58" i="62" s="1"/>
  <c r="G24" i="62"/>
  <c r="H24" i="62" s="1"/>
  <c r="G48" i="62"/>
  <c r="H48" i="62" s="1"/>
  <c r="G72" i="62"/>
  <c r="H72" i="62" s="1"/>
  <c r="K25" i="61"/>
  <c r="L25" i="61" s="1"/>
  <c r="K49" i="61"/>
  <c r="L49" i="61" s="1"/>
  <c r="G16" i="61"/>
  <c r="H16" i="61" s="1"/>
  <c r="G40" i="61"/>
  <c r="H40" i="61" s="1"/>
  <c r="G64" i="61"/>
  <c r="H64" i="61" s="1"/>
  <c r="K38" i="60"/>
  <c r="L38" i="60" s="1"/>
  <c r="K62" i="60"/>
  <c r="L62" i="60" s="1"/>
  <c r="G28" i="60"/>
  <c r="H28" i="60" s="1"/>
  <c r="G52" i="60"/>
  <c r="H52" i="60" s="1"/>
  <c r="K17" i="59"/>
  <c r="K29" i="59"/>
  <c r="L29" i="59" s="1"/>
  <c r="K41" i="59"/>
  <c r="L41" i="59" s="1"/>
  <c r="K53" i="59"/>
  <c r="L53" i="59" s="1"/>
  <c r="K65" i="59"/>
  <c r="L65" i="59" s="1"/>
  <c r="G19" i="59"/>
  <c r="H19" i="59" s="1"/>
  <c r="G31" i="59"/>
  <c r="H31" i="59" s="1"/>
  <c r="G43" i="59"/>
  <c r="H43" i="59" s="1"/>
  <c r="G55" i="59"/>
  <c r="H55" i="59" s="1"/>
  <c r="G67" i="59"/>
  <c r="H67" i="59" s="1"/>
  <c r="K16" i="58"/>
  <c r="L16" i="58" s="1"/>
  <c r="K28" i="58"/>
  <c r="L28" i="58" s="1"/>
  <c r="K40" i="58"/>
  <c r="L40" i="58" s="1"/>
  <c r="K52" i="58"/>
  <c r="L52" i="58" s="1"/>
  <c r="K64" i="58"/>
  <c r="L64" i="58" s="1"/>
  <c r="G18" i="58"/>
  <c r="H18" i="58" s="1"/>
  <c r="G30" i="58"/>
  <c r="H30" i="58" s="1"/>
  <c r="G42" i="58"/>
  <c r="H42" i="58" s="1"/>
  <c r="G54" i="58"/>
  <c r="H54" i="58" s="1"/>
  <c r="G66" i="58"/>
  <c r="H66" i="58" s="1"/>
  <c r="K18" i="57"/>
  <c r="L18" i="57" s="1"/>
  <c r="K28" i="57"/>
  <c r="L28" i="57" s="1"/>
  <c r="K38" i="57"/>
  <c r="L38" i="57" s="1"/>
  <c r="K49" i="57"/>
  <c r="L49" i="57" s="1"/>
  <c r="K59" i="57"/>
  <c r="L59" i="57" s="1"/>
  <c r="K69" i="57"/>
  <c r="L69" i="57" s="1"/>
  <c r="G21" i="57"/>
  <c r="H21" i="57" s="1"/>
  <c r="G30" i="57"/>
  <c r="H30" i="57" s="1"/>
  <c r="G38" i="57"/>
  <c r="H38" i="57" s="1"/>
  <c r="G54" i="57"/>
  <c r="H54" i="57" s="1"/>
  <c r="Q37" i="65"/>
  <c r="S37" i="65" s="1"/>
  <c r="I16" i="65"/>
  <c r="K16" i="65" s="1"/>
  <c r="K23" i="64"/>
  <c r="L23" i="64" s="1"/>
  <c r="K47" i="64"/>
  <c r="L47" i="64" s="1"/>
  <c r="K71" i="64"/>
  <c r="L71" i="64" s="1"/>
  <c r="G38" i="64"/>
  <c r="H38" i="64" s="1"/>
  <c r="G62" i="64"/>
  <c r="H62" i="64" s="1"/>
  <c r="K37" i="63"/>
  <c r="L37" i="63" s="1"/>
  <c r="K61" i="63"/>
  <c r="L61" i="63" s="1"/>
  <c r="G27" i="63"/>
  <c r="H27" i="63" s="1"/>
  <c r="G51" i="63"/>
  <c r="H51" i="63" s="1"/>
  <c r="K16" i="62"/>
  <c r="L16" i="62" s="1"/>
  <c r="K40" i="62"/>
  <c r="L40" i="62" s="1"/>
  <c r="K64" i="62"/>
  <c r="L64" i="62" s="1"/>
  <c r="G30" i="62"/>
  <c r="H30" i="62" s="1"/>
  <c r="G54" i="62"/>
  <c r="H54" i="62" s="1"/>
  <c r="K28" i="61"/>
  <c r="L28" i="61" s="1"/>
  <c r="K52" i="61"/>
  <c r="L52" i="61" s="1"/>
  <c r="G19" i="61"/>
  <c r="H19" i="61" s="1"/>
  <c r="G43" i="61"/>
  <c r="H43" i="61" s="1"/>
  <c r="G67" i="61"/>
  <c r="H67" i="61" s="1"/>
  <c r="K20" i="60"/>
  <c r="L20" i="60" s="1"/>
  <c r="K44" i="60"/>
  <c r="L44" i="60" s="1"/>
  <c r="K68" i="60"/>
  <c r="L68" i="60" s="1"/>
  <c r="G34" i="60"/>
  <c r="H34" i="60" s="1"/>
  <c r="G58" i="60"/>
  <c r="H58" i="60" s="1"/>
  <c r="K19" i="59"/>
  <c r="L19" i="59" s="1"/>
  <c r="K31" i="59"/>
  <c r="L31" i="59" s="1"/>
  <c r="K43" i="59"/>
  <c r="L43" i="59" s="1"/>
  <c r="K55" i="59"/>
  <c r="L55" i="59" s="1"/>
  <c r="K67" i="59"/>
  <c r="L67" i="59" s="1"/>
  <c r="G21" i="59"/>
  <c r="H21" i="59" s="1"/>
  <c r="G33" i="59"/>
  <c r="H33" i="59" s="1"/>
  <c r="G45" i="59"/>
  <c r="H45" i="59" s="1"/>
  <c r="G57" i="59"/>
  <c r="H57" i="59" s="1"/>
  <c r="G69" i="59"/>
  <c r="H69" i="59" s="1"/>
  <c r="K18" i="58"/>
  <c r="L18" i="58" s="1"/>
  <c r="K30" i="58"/>
  <c r="L30" i="58" s="1"/>
  <c r="K42" i="58"/>
  <c r="L42" i="58" s="1"/>
  <c r="K54" i="58"/>
  <c r="L54" i="58" s="1"/>
  <c r="K66" i="58"/>
  <c r="L66" i="58" s="1"/>
  <c r="G20" i="58"/>
  <c r="H20" i="58" s="1"/>
  <c r="G32" i="58"/>
  <c r="H32" i="58" s="1"/>
  <c r="G44" i="58"/>
  <c r="H44" i="58" s="1"/>
  <c r="G56" i="58"/>
  <c r="H56" i="58" s="1"/>
  <c r="G68" i="58"/>
  <c r="H68" i="58" s="1"/>
  <c r="K30" i="57"/>
  <c r="L30" i="57" s="1"/>
  <c r="K40" i="57"/>
  <c r="L40" i="57" s="1"/>
  <c r="K50" i="57"/>
  <c r="L50" i="57" s="1"/>
  <c r="K61" i="57"/>
  <c r="L61" i="57" s="1"/>
  <c r="G22" i="57"/>
  <c r="H22" i="57" s="1"/>
  <c r="G39" i="57"/>
  <c r="H39" i="57" s="1"/>
  <c r="G47" i="57"/>
  <c r="H47" i="57" s="1"/>
  <c r="Q49" i="65"/>
  <c r="S49" i="65" s="1"/>
  <c r="I20" i="65"/>
  <c r="K20" i="65" s="1"/>
  <c r="K24" i="64"/>
  <c r="L24" i="64" s="1"/>
  <c r="K48" i="64"/>
  <c r="L48" i="64" s="1"/>
  <c r="K72" i="64"/>
  <c r="L72" i="64" s="1"/>
  <c r="G39" i="64"/>
  <c r="H39" i="64" s="1"/>
  <c r="G63" i="64"/>
  <c r="H63" i="64" s="1"/>
  <c r="K39" i="63"/>
  <c r="L39" i="63" s="1"/>
  <c r="K63" i="63"/>
  <c r="L63" i="63" s="1"/>
  <c r="G29" i="63"/>
  <c r="H29" i="63" s="1"/>
  <c r="G53" i="63"/>
  <c r="H53" i="63" s="1"/>
  <c r="K17" i="62"/>
  <c r="L17" i="62" s="1"/>
  <c r="K41" i="62"/>
  <c r="L41" i="62" s="1"/>
  <c r="K65" i="62"/>
  <c r="L65" i="62" s="1"/>
  <c r="G31" i="62"/>
  <c r="H31" i="62" s="1"/>
  <c r="G55" i="62"/>
  <c r="H55" i="62" s="1"/>
  <c r="K29" i="61"/>
  <c r="L29" i="61" s="1"/>
  <c r="K53" i="61"/>
  <c r="L53" i="61" s="1"/>
  <c r="G20" i="61"/>
  <c r="H20" i="61" s="1"/>
  <c r="G44" i="61"/>
  <c r="H44" i="61" s="1"/>
  <c r="G68" i="61"/>
  <c r="H68" i="61" s="1"/>
  <c r="K21" i="60"/>
  <c r="L21" i="60" s="1"/>
  <c r="K45" i="60"/>
  <c r="L45" i="60" s="1"/>
  <c r="K69" i="60"/>
  <c r="L69" i="60" s="1"/>
  <c r="G35" i="60"/>
  <c r="H35" i="60" s="1"/>
  <c r="G59" i="60"/>
  <c r="H59" i="60" s="1"/>
  <c r="K20" i="59"/>
  <c r="L20" i="59" s="1"/>
  <c r="K32" i="59"/>
  <c r="L32" i="59" s="1"/>
  <c r="K44" i="59"/>
  <c r="L44" i="59" s="1"/>
  <c r="K56" i="59"/>
  <c r="L56" i="59" s="1"/>
  <c r="K68" i="59"/>
  <c r="L68" i="59" s="1"/>
  <c r="G22" i="59"/>
  <c r="H22" i="59" s="1"/>
  <c r="G34" i="59"/>
  <c r="H34" i="59" s="1"/>
  <c r="G46" i="59"/>
  <c r="H46" i="59" s="1"/>
  <c r="G58" i="59"/>
  <c r="H58" i="59" s="1"/>
  <c r="G70" i="59"/>
  <c r="H70" i="59" s="1"/>
  <c r="K19" i="58"/>
  <c r="L19" i="58" s="1"/>
  <c r="K31" i="58"/>
  <c r="L31" i="58" s="1"/>
  <c r="K43" i="58"/>
  <c r="L43" i="58" s="1"/>
  <c r="K55" i="58"/>
  <c r="L55" i="58" s="1"/>
  <c r="K67" i="58"/>
  <c r="L67" i="58" s="1"/>
  <c r="I47" i="65"/>
  <c r="K47" i="65" s="1"/>
  <c r="K32" i="64"/>
  <c r="L32" i="64" s="1"/>
  <c r="G23" i="64"/>
  <c r="G71" i="64"/>
  <c r="H71" i="64" s="1"/>
  <c r="K60" i="63"/>
  <c r="L60" i="63" s="1"/>
  <c r="G50" i="63"/>
  <c r="H50" i="63" s="1"/>
  <c r="K52" i="62"/>
  <c r="L52" i="62" s="1"/>
  <c r="G42" i="62"/>
  <c r="H42" i="62" s="1"/>
  <c r="K26" i="61"/>
  <c r="L26" i="61" s="1"/>
  <c r="G17" i="61"/>
  <c r="H17" i="61" s="1"/>
  <c r="G65" i="61"/>
  <c r="H65" i="61" s="1"/>
  <c r="K59" i="60"/>
  <c r="L59" i="60" s="1"/>
  <c r="G49" i="60"/>
  <c r="H49" i="60" s="1"/>
  <c r="K22" i="59"/>
  <c r="L22" i="59" s="1"/>
  <c r="K46" i="59"/>
  <c r="L46" i="59" s="1"/>
  <c r="K70" i="59"/>
  <c r="L70" i="59" s="1"/>
  <c r="G36" i="59"/>
  <c r="H36" i="59" s="1"/>
  <c r="G60" i="59"/>
  <c r="H60" i="59" s="1"/>
  <c r="K17" i="58"/>
  <c r="L17" i="58" s="1"/>
  <c r="K41" i="58"/>
  <c r="L41" i="58" s="1"/>
  <c r="K65" i="58"/>
  <c r="L65" i="58" s="1"/>
  <c r="G29" i="58"/>
  <c r="H29" i="58" s="1"/>
  <c r="G50" i="58"/>
  <c r="H50" i="58" s="1"/>
  <c r="G71" i="58"/>
  <c r="H71" i="58" s="1"/>
  <c r="K17" i="57"/>
  <c r="L17" i="57" s="1"/>
  <c r="K35" i="57"/>
  <c r="L35" i="57" s="1"/>
  <c r="K53" i="57"/>
  <c r="L53" i="57" s="1"/>
  <c r="G25" i="57"/>
  <c r="H25" i="57" s="1"/>
  <c r="G37" i="57"/>
  <c r="H37" i="57" s="1"/>
  <c r="G58" i="57"/>
  <c r="H58" i="57" s="1"/>
  <c r="G67" i="57"/>
  <c r="H67" i="57" s="1"/>
  <c r="G17" i="56"/>
  <c r="H17" i="56" s="1"/>
  <c r="K21" i="56"/>
  <c r="L21" i="56" s="1"/>
  <c r="G29" i="56"/>
  <c r="H29" i="56" s="1"/>
  <c r="K33" i="56"/>
  <c r="L33" i="56" s="1"/>
  <c r="G41" i="56"/>
  <c r="H41" i="56" s="1"/>
  <c r="K45" i="56"/>
  <c r="L45" i="56" s="1"/>
  <c r="G53" i="56"/>
  <c r="H53" i="56" s="1"/>
  <c r="K57" i="56"/>
  <c r="L57" i="56" s="1"/>
  <c r="G65" i="56"/>
  <c r="H65" i="56" s="1"/>
  <c r="K69" i="56"/>
  <c r="L69" i="56" s="1"/>
  <c r="K70" i="58"/>
  <c r="L70" i="58" s="1"/>
  <c r="G60" i="57"/>
  <c r="H60" i="57" s="1"/>
  <c r="G34" i="56"/>
  <c r="H34" i="56" s="1"/>
  <c r="G17" i="63"/>
  <c r="H17" i="63" s="1"/>
  <c r="K26" i="58"/>
  <c r="L26" i="58" s="1"/>
  <c r="I39" i="65"/>
  <c r="K39" i="65" s="1"/>
  <c r="K35" i="64"/>
  <c r="L35" i="64" s="1"/>
  <c r="G26" i="64"/>
  <c r="H26" i="64" s="1"/>
  <c r="G15" i="64"/>
  <c r="H15" i="64" s="1"/>
  <c r="K18" i="63"/>
  <c r="L18" i="63" s="1"/>
  <c r="K66" i="63"/>
  <c r="L66" i="63" s="1"/>
  <c r="G56" i="63"/>
  <c r="H56" i="63" s="1"/>
  <c r="K55" i="62"/>
  <c r="L55" i="62" s="1"/>
  <c r="G45" i="62"/>
  <c r="H45" i="62" s="1"/>
  <c r="K32" i="61"/>
  <c r="L32" i="61" s="1"/>
  <c r="G23" i="61"/>
  <c r="H23" i="61" s="1"/>
  <c r="G71" i="61"/>
  <c r="H71" i="61" s="1"/>
  <c r="K60" i="60"/>
  <c r="L60" i="60" s="1"/>
  <c r="G50" i="60"/>
  <c r="H50" i="60" s="1"/>
  <c r="K23" i="59"/>
  <c r="L23" i="59" s="1"/>
  <c r="K47" i="59"/>
  <c r="L47" i="59" s="1"/>
  <c r="K71" i="59"/>
  <c r="L71" i="59" s="1"/>
  <c r="G37" i="59"/>
  <c r="H37" i="59" s="1"/>
  <c r="G61" i="59"/>
  <c r="H61" i="59" s="1"/>
  <c r="K21" i="58"/>
  <c r="L21" i="58" s="1"/>
  <c r="K45" i="58"/>
  <c r="L45" i="58" s="1"/>
  <c r="K69" i="58"/>
  <c r="L69" i="58" s="1"/>
  <c r="G31" i="58"/>
  <c r="H31" i="58" s="1"/>
  <c r="G52" i="58"/>
  <c r="H52" i="58" s="1"/>
  <c r="G72" i="58"/>
  <c r="H72" i="58" s="1"/>
  <c r="K19" i="57"/>
  <c r="L19" i="57" s="1"/>
  <c r="K37" i="57"/>
  <c r="L37" i="57" s="1"/>
  <c r="K54" i="57"/>
  <c r="L54" i="57" s="1"/>
  <c r="K68" i="57"/>
  <c r="L68" i="57" s="1"/>
  <c r="G26" i="57"/>
  <c r="H26" i="57" s="1"/>
  <c r="G50" i="57"/>
  <c r="H50" i="57" s="1"/>
  <c r="G59" i="57"/>
  <c r="H59" i="57" s="1"/>
  <c r="K17" i="56"/>
  <c r="L17" i="56" s="1"/>
  <c r="K25" i="56"/>
  <c r="L25" i="56" s="1"/>
  <c r="K29" i="56"/>
  <c r="L29" i="56" s="1"/>
  <c r="K37" i="56"/>
  <c r="L37" i="56" s="1"/>
  <c r="K41" i="56"/>
  <c r="L41" i="56" s="1"/>
  <c r="K49" i="56"/>
  <c r="L49" i="56" s="1"/>
  <c r="K53" i="56"/>
  <c r="L53" i="56" s="1"/>
  <c r="K61" i="56"/>
  <c r="L61" i="56" s="1"/>
  <c r="K65" i="56"/>
  <c r="L65" i="56" s="1"/>
  <c r="G53" i="58"/>
  <c r="H53" i="58" s="1"/>
  <c r="K70" i="57"/>
  <c r="L70" i="57" s="1"/>
  <c r="G18" i="56"/>
  <c r="H18" i="56" s="1"/>
  <c r="G22" i="56"/>
  <c r="H22" i="56" s="1"/>
  <c r="G30" i="56"/>
  <c r="H30" i="56" s="1"/>
  <c r="G42" i="56"/>
  <c r="H42" i="56" s="1"/>
  <c r="G54" i="56"/>
  <c r="H54" i="56" s="1"/>
  <c r="G58" i="56"/>
  <c r="H58" i="56" s="1"/>
  <c r="G66" i="56"/>
  <c r="H66" i="56" s="1"/>
  <c r="G66" i="63"/>
  <c r="H66" i="63" s="1"/>
  <c r="Q23" i="65"/>
  <c r="S23" i="65" s="1"/>
  <c r="I51" i="65"/>
  <c r="K51" i="65" s="1"/>
  <c r="K41" i="64"/>
  <c r="L41" i="64" s="1"/>
  <c r="G32" i="64"/>
  <c r="H32" i="64" s="1"/>
  <c r="K19" i="63"/>
  <c r="L19" i="63" s="1"/>
  <c r="K67" i="63"/>
  <c r="L67" i="63" s="1"/>
  <c r="G57" i="63"/>
  <c r="H57" i="63" s="1"/>
  <c r="K56" i="62"/>
  <c r="L56" i="62" s="1"/>
  <c r="G46" i="62"/>
  <c r="H46" i="62" s="1"/>
  <c r="K37" i="61"/>
  <c r="L37" i="61" s="1"/>
  <c r="G28" i="61"/>
  <c r="H28" i="61" s="1"/>
  <c r="K72" i="60"/>
  <c r="L72" i="60" s="1"/>
  <c r="K63" i="60"/>
  <c r="L63" i="60" s="1"/>
  <c r="G53" i="60"/>
  <c r="H53" i="60" s="1"/>
  <c r="K25" i="59"/>
  <c r="L25" i="59" s="1"/>
  <c r="K49" i="59"/>
  <c r="L49" i="59" s="1"/>
  <c r="K15" i="59"/>
  <c r="L15" i="59" s="1"/>
  <c r="G39" i="59"/>
  <c r="H39" i="59" s="1"/>
  <c r="G63" i="59"/>
  <c r="H63" i="59" s="1"/>
  <c r="K22" i="58"/>
  <c r="L22" i="58" s="1"/>
  <c r="K46" i="58"/>
  <c r="L46" i="58" s="1"/>
  <c r="G33" i="58"/>
  <c r="H33" i="58" s="1"/>
  <c r="K20" i="57"/>
  <c r="L20" i="57" s="1"/>
  <c r="K55" i="57"/>
  <c r="L55" i="57" s="1"/>
  <c r="G68" i="57"/>
  <c r="H68" i="57" s="1"/>
  <c r="G46" i="56"/>
  <c r="H46" i="56" s="1"/>
  <c r="G70" i="56"/>
  <c r="H70" i="56" s="1"/>
  <c r="K20" i="62"/>
  <c r="L20" i="62" s="1"/>
  <c r="I64" i="65"/>
  <c r="K64" i="65" s="1"/>
  <c r="K42" i="64"/>
  <c r="L42" i="64" s="1"/>
  <c r="G33" i="64"/>
  <c r="H33" i="64" s="1"/>
  <c r="K25" i="63"/>
  <c r="L25" i="63" s="1"/>
  <c r="K15" i="63"/>
  <c r="G63" i="63"/>
  <c r="H63" i="63" s="1"/>
  <c r="K59" i="62"/>
  <c r="L59" i="62" s="1"/>
  <c r="G49" i="62"/>
  <c r="H49" i="62" s="1"/>
  <c r="K40" i="61"/>
  <c r="L40" i="61" s="1"/>
  <c r="G31" i="61"/>
  <c r="H31" i="61" s="1"/>
  <c r="K24" i="60"/>
  <c r="L24" i="60" s="1"/>
  <c r="G62" i="60"/>
  <c r="H62" i="60" s="1"/>
  <c r="K27" i="59"/>
  <c r="L27" i="59" s="1"/>
  <c r="K51" i="59"/>
  <c r="L51" i="59" s="1"/>
  <c r="G17" i="59"/>
  <c r="H17" i="59" s="1"/>
  <c r="G41" i="59"/>
  <c r="H41" i="59" s="1"/>
  <c r="G65" i="59"/>
  <c r="H65" i="59" s="1"/>
  <c r="K24" i="58"/>
  <c r="L24" i="58" s="1"/>
  <c r="K48" i="58"/>
  <c r="L48" i="58" s="1"/>
  <c r="K72" i="58"/>
  <c r="L72" i="58" s="1"/>
  <c r="G35" i="58"/>
  <c r="H35" i="58" s="1"/>
  <c r="G55" i="58"/>
  <c r="H55" i="58" s="1"/>
  <c r="K22" i="57"/>
  <c r="L22" i="57" s="1"/>
  <c r="K39" i="57"/>
  <c r="L39" i="57" s="1"/>
  <c r="K72" i="57"/>
  <c r="L72" i="57" s="1"/>
  <c r="G27" i="57"/>
  <c r="H27" i="57" s="1"/>
  <c r="G51" i="57"/>
  <c r="H51" i="57" s="1"/>
  <c r="G61" i="57"/>
  <c r="H61" i="57" s="1"/>
  <c r="K18" i="56"/>
  <c r="L18" i="56" s="1"/>
  <c r="G26" i="56"/>
  <c r="H26" i="56" s="1"/>
  <c r="K30" i="56"/>
  <c r="L30" i="56" s="1"/>
  <c r="G38" i="56"/>
  <c r="H38" i="56" s="1"/>
  <c r="K42" i="56"/>
  <c r="L42" i="56" s="1"/>
  <c r="G50" i="56"/>
  <c r="H50" i="56" s="1"/>
  <c r="K54" i="56"/>
  <c r="L54" i="56" s="1"/>
  <c r="G62" i="56"/>
  <c r="H62" i="56" s="1"/>
  <c r="K66" i="56"/>
  <c r="L66" i="56" s="1"/>
  <c r="K68" i="62"/>
  <c r="L68" i="62" s="1"/>
  <c r="K43" i="61"/>
  <c r="L43" i="61" s="1"/>
  <c r="G34" i="61"/>
  <c r="H34" i="61" s="1"/>
  <c r="K26" i="60"/>
  <c r="L26" i="60" s="1"/>
  <c r="G16" i="60"/>
  <c r="H16" i="60" s="1"/>
  <c r="G64" i="60"/>
  <c r="H64" i="60" s="1"/>
  <c r="K52" i="59"/>
  <c r="L52" i="59" s="1"/>
  <c r="G18" i="59"/>
  <c r="H18" i="59" s="1"/>
  <c r="G42" i="59"/>
  <c r="H42" i="59" s="1"/>
  <c r="G66" i="59"/>
  <c r="H66" i="59" s="1"/>
  <c r="K50" i="58"/>
  <c r="L50" i="58" s="1"/>
  <c r="G16" i="58"/>
  <c r="H16" i="58" s="1"/>
  <c r="G57" i="58"/>
  <c r="H57" i="58" s="1"/>
  <c r="Q24" i="65"/>
  <c r="S24" i="65" s="1"/>
  <c r="K45" i="64"/>
  <c r="L45" i="64" s="1"/>
  <c r="G36" i="64"/>
  <c r="H36" i="64" s="1"/>
  <c r="K28" i="63"/>
  <c r="L28" i="63" s="1"/>
  <c r="G58" i="62"/>
  <c r="H58" i="62" s="1"/>
  <c r="K28" i="59"/>
  <c r="L28" i="59" s="1"/>
  <c r="Q25" i="65"/>
  <c r="S25" i="65" s="1"/>
  <c r="K54" i="64"/>
  <c r="L54" i="64" s="1"/>
  <c r="G45" i="64"/>
  <c r="H45" i="64" s="1"/>
  <c r="K30" i="63"/>
  <c r="L30" i="63" s="1"/>
  <c r="G20" i="63"/>
  <c r="H20" i="63" s="1"/>
  <c r="G68" i="63"/>
  <c r="H68" i="63" s="1"/>
  <c r="K22" i="62"/>
  <c r="L22" i="62" s="1"/>
  <c r="K70" i="62"/>
  <c r="L70" i="62" s="1"/>
  <c r="G60" i="62"/>
  <c r="H60" i="62" s="1"/>
  <c r="K44" i="61"/>
  <c r="L44" i="61" s="1"/>
  <c r="G35" i="61"/>
  <c r="H35" i="61" s="1"/>
  <c r="K32" i="60"/>
  <c r="L32" i="60" s="1"/>
  <c r="G22" i="60"/>
  <c r="H22" i="60" s="1"/>
  <c r="G68" i="60"/>
  <c r="H68" i="60" s="1"/>
  <c r="K30" i="59"/>
  <c r="L30" i="59" s="1"/>
  <c r="K54" i="59"/>
  <c r="L54" i="59" s="1"/>
  <c r="G20" i="59"/>
  <c r="H20" i="59" s="1"/>
  <c r="G44" i="59"/>
  <c r="H44" i="59" s="1"/>
  <c r="G68" i="59"/>
  <c r="H68" i="59" s="1"/>
  <c r="K27" i="58"/>
  <c r="L27" i="58" s="1"/>
  <c r="K51" i="58"/>
  <c r="L51" i="58" s="1"/>
  <c r="G17" i="58"/>
  <c r="H17" i="58" s="1"/>
  <c r="G38" i="58"/>
  <c r="H38" i="58" s="1"/>
  <c r="G59" i="58"/>
  <c r="H59" i="58" s="1"/>
  <c r="K25" i="57"/>
  <c r="L25" i="57" s="1"/>
  <c r="K43" i="57"/>
  <c r="L43" i="57" s="1"/>
  <c r="K58" i="57"/>
  <c r="L58" i="57" s="1"/>
  <c r="G17" i="57"/>
  <c r="H17" i="57" s="1"/>
  <c r="G29" i="57"/>
  <c r="H29" i="57" s="1"/>
  <c r="G42" i="57"/>
  <c r="H42" i="57" s="1"/>
  <c r="G52" i="57"/>
  <c r="H52" i="57" s="1"/>
  <c r="G62" i="57"/>
  <c r="H62" i="57" s="1"/>
  <c r="G19" i="56"/>
  <c r="H19" i="56" s="1"/>
  <c r="G27" i="56"/>
  <c r="H27" i="56" s="1"/>
  <c r="G31" i="56"/>
  <c r="H31" i="56" s="1"/>
  <c r="G39" i="56"/>
  <c r="H39" i="56" s="1"/>
  <c r="G43" i="56"/>
  <c r="H43" i="56" s="1"/>
  <c r="G51" i="56"/>
  <c r="H51" i="56" s="1"/>
  <c r="G55" i="56"/>
  <c r="H55" i="56" s="1"/>
  <c r="G63" i="56"/>
  <c r="H63" i="56" s="1"/>
  <c r="G67" i="56"/>
  <c r="H67" i="56" s="1"/>
  <c r="G71" i="56"/>
  <c r="H71" i="56" s="1"/>
  <c r="I35" i="65"/>
  <c r="K35" i="65" s="1"/>
  <c r="K56" i="64"/>
  <c r="L56" i="64" s="1"/>
  <c r="G47" i="64"/>
  <c r="H47" i="64" s="1"/>
  <c r="K36" i="63"/>
  <c r="L36" i="63" s="1"/>
  <c r="G26" i="63"/>
  <c r="H26" i="63" s="1"/>
  <c r="K28" i="62"/>
  <c r="L28" i="62" s="1"/>
  <c r="G18" i="62"/>
  <c r="H18" i="62" s="1"/>
  <c r="G66" i="62"/>
  <c r="H66" i="62" s="1"/>
  <c r="K50" i="61"/>
  <c r="L50" i="61" s="1"/>
  <c r="G41" i="61"/>
  <c r="H41" i="61" s="1"/>
  <c r="K35" i="60"/>
  <c r="L35" i="60" s="1"/>
  <c r="G25" i="60"/>
  <c r="H25" i="60" s="1"/>
  <c r="G71" i="60"/>
  <c r="H71" i="60" s="1"/>
  <c r="K34" i="59"/>
  <c r="L34" i="59" s="1"/>
  <c r="K58" i="59"/>
  <c r="L58" i="59" s="1"/>
  <c r="G24" i="59"/>
  <c r="H24" i="59" s="1"/>
  <c r="G48" i="59"/>
  <c r="H48" i="59" s="1"/>
  <c r="G72" i="59"/>
  <c r="H72" i="59" s="1"/>
  <c r="K29" i="58"/>
  <c r="L29" i="58" s="1"/>
  <c r="K53" i="58"/>
  <c r="L53" i="58" s="1"/>
  <c r="G19" i="58"/>
  <c r="H19" i="58" s="1"/>
  <c r="G40" i="58"/>
  <c r="H40" i="58" s="1"/>
  <c r="G60" i="58"/>
  <c r="H60" i="58" s="1"/>
  <c r="K26" i="57"/>
  <c r="L26" i="57" s="1"/>
  <c r="K60" i="57"/>
  <c r="L60" i="57" s="1"/>
  <c r="G18" i="57"/>
  <c r="H18" i="57" s="1"/>
  <c r="G31" i="57"/>
  <c r="H31" i="57" s="1"/>
  <c r="G43" i="57"/>
  <c r="H43" i="57" s="1"/>
  <c r="G53" i="57"/>
  <c r="H53" i="57" s="1"/>
  <c r="G70" i="57"/>
  <c r="H70" i="57" s="1"/>
  <c r="G23" i="56"/>
  <c r="H23" i="56" s="1"/>
  <c r="K27" i="56"/>
  <c r="L27" i="56" s="1"/>
  <c r="G35" i="56"/>
  <c r="H35" i="56" s="1"/>
  <c r="K39" i="56"/>
  <c r="L39" i="56" s="1"/>
  <c r="G47" i="56"/>
  <c r="H47" i="56" s="1"/>
  <c r="K51" i="56"/>
  <c r="L51" i="56" s="1"/>
  <c r="G59" i="56"/>
  <c r="H59" i="56" s="1"/>
  <c r="K63" i="56"/>
  <c r="L63" i="56" s="1"/>
  <c r="Q48" i="65"/>
  <c r="S48" i="65" s="1"/>
  <c r="K59" i="64"/>
  <c r="L59" i="64" s="1"/>
  <c r="G50" i="64"/>
  <c r="H50" i="64" s="1"/>
  <c r="K42" i="63"/>
  <c r="L42" i="63" s="1"/>
  <c r="G32" i="63"/>
  <c r="H32" i="63" s="1"/>
  <c r="K31" i="62"/>
  <c r="L31" i="62" s="1"/>
  <c r="G21" i="62"/>
  <c r="H21" i="62" s="1"/>
  <c r="G69" i="62"/>
  <c r="H69" i="62" s="1"/>
  <c r="K56" i="61"/>
  <c r="L56" i="61" s="1"/>
  <c r="G47" i="61"/>
  <c r="H47" i="61" s="1"/>
  <c r="K36" i="60"/>
  <c r="L36" i="60" s="1"/>
  <c r="G26" i="60"/>
  <c r="H26" i="60" s="1"/>
  <c r="G15" i="60"/>
  <c r="K35" i="59"/>
  <c r="L35" i="59" s="1"/>
  <c r="K59" i="59"/>
  <c r="L59" i="59" s="1"/>
  <c r="G25" i="59"/>
  <c r="H25" i="59" s="1"/>
  <c r="G49" i="59"/>
  <c r="H49" i="59" s="1"/>
  <c r="K33" i="58"/>
  <c r="L33" i="58" s="1"/>
  <c r="K57" i="58"/>
  <c r="L57" i="58" s="1"/>
  <c r="G21" i="58"/>
  <c r="H21" i="58" s="1"/>
  <c r="G41" i="58"/>
  <c r="H41" i="58" s="1"/>
  <c r="G62" i="58"/>
  <c r="H62" i="58" s="1"/>
  <c r="K27" i="57"/>
  <c r="L27" i="57" s="1"/>
  <c r="K45" i="57"/>
  <c r="L45" i="57" s="1"/>
  <c r="G19" i="57"/>
  <c r="H19" i="57" s="1"/>
  <c r="G32" i="57"/>
  <c r="H32" i="57" s="1"/>
  <c r="G55" i="57"/>
  <c r="H55" i="57" s="1"/>
  <c r="G63" i="57"/>
  <c r="H63" i="57" s="1"/>
  <c r="G71" i="57"/>
  <c r="H71" i="57" s="1"/>
  <c r="G15" i="56"/>
  <c r="K19" i="56"/>
  <c r="L19" i="56" s="1"/>
  <c r="K23" i="56"/>
  <c r="L23" i="56" s="1"/>
  <c r="K31" i="56"/>
  <c r="L31" i="56" s="1"/>
  <c r="K35" i="56"/>
  <c r="L35" i="56" s="1"/>
  <c r="K43" i="56"/>
  <c r="L43" i="56" s="1"/>
  <c r="K47" i="56"/>
  <c r="L47" i="56" s="1"/>
  <c r="K55" i="56"/>
  <c r="L55" i="56" s="1"/>
  <c r="K59" i="56"/>
  <c r="L59" i="56" s="1"/>
  <c r="K67" i="56"/>
  <c r="L67" i="56" s="1"/>
  <c r="K71" i="56"/>
  <c r="L71" i="56" s="1"/>
  <c r="K21" i="64"/>
  <c r="L21" i="64" s="1"/>
  <c r="K52" i="63"/>
  <c r="L52" i="63" s="1"/>
  <c r="G70" i="62"/>
  <c r="H70" i="62" s="1"/>
  <c r="K19" i="61"/>
  <c r="L19" i="61" s="1"/>
  <c r="K50" i="60"/>
  <c r="L50" i="60" s="1"/>
  <c r="K40" i="59"/>
  <c r="L40" i="59" s="1"/>
  <c r="G54" i="59"/>
  <c r="H54" i="59" s="1"/>
  <c r="K62" i="58"/>
  <c r="L62" i="58" s="1"/>
  <c r="G65" i="58"/>
  <c r="H65" i="58" s="1"/>
  <c r="K51" i="57"/>
  <c r="L51" i="57" s="1"/>
  <c r="G33" i="57"/>
  <c r="H33" i="57" s="1"/>
  <c r="G57" i="57"/>
  <c r="H57" i="57" s="1"/>
  <c r="K20" i="56"/>
  <c r="L20" i="56" s="1"/>
  <c r="G49" i="56"/>
  <c r="H49" i="56" s="1"/>
  <c r="G60" i="56"/>
  <c r="H60" i="56" s="1"/>
  <c r="K68" i="56"/>
  <c r="L68" i="56" s="1"/>
  <c r="K63" i="58"/>
  <c r="L63" i="58" s="1"/>
  <c r="G67" i="58"/>
  <c r="H67" i="58" s="1"/>
  <c r="K57" i="57"/>
  <c r="L57" i="57" s="1"/>
  <c r="G21" i="56"/>
  <c r="H21" i="56" s="1"/>
  <c r="K40" i="56"/>
  <c r="L40" i="56" s="1"/>
  <c r="K50" i="56"/>
  <c r="L50" i="56" s="1"/>
  <c r="K60" i="56"/>
  <c r="L60" i="56" s="1"/>
  <c r="G69" i="56"/>
  <c r="H69" i="56" s="1"/>
  <c r="G34" i="57"/>
  <c r="H34" i="57" s="1"/>
  <c r="K22" i="56"/>
  <c r="L22" i="56" s="1"/>
  <c r="G32" i="56"/>
  <c r="H32" i="56" s="1"/>
  <c r="G52" i="56"/>
  <c r="H52" i="56" s="1"/>
  <c r="K70" i="56"/>
  <c r="L70" i="56" s="1"/>
  <c r="G24" i="58"/>
  <c r="H24" i="58" s="1"/>
  <c r="K64" i="57"/>
  <c r="L64" i="57" s="1"/>
  <c r="K32" i="56"/>
  <c r="L32" i="56" s="1"/>
  <c r="G61" i="56"/>
  <c r="H61" i="56" s="1"/>
  <c r="K29" i="57"/>
  <c r="L29" i="57" s="1"/>
  <c r="K24" i="56"/>
  <c r="L24" i="56" s="1"/>
  <c r="K62" i="56"/>
  <c r="L62" i="56" s="1"/>
  <c r="G44" i="63"/>
  <c r="H44" i="63" s="1"/>
  <c r="G28" i="58"/>
  <c r="H28" i="58" s="1"/>
  <c r="K66" i="57"/>
  <c r="L66" i="57" s="1"/>
  <c r="K15" i="56"/>
  <c r="L15" i="56" s="1"/>
  <c r="K44" i="62"/>
  <c r="L44" i="62" s="1"/>
  <c r="G16" i="57"/>
  <c r="H16" i="57" s="1"/>
  <c r="G66" i="57"/>
  <c r="H66" i="57" s="1"/>
  <c r="G36" i="56"/>
  <c r="H36" i="56" s="1"/>
  <c r="G69" i="64"/>
  <c r="H69" i="64" s="1"/>
  <c r="G32" i="59"/>
  <c r="H32" i="59" s="1"/>
  <c r="G34" i="62"/>
  <c r="H34" i="62" s="1"/>
  <c r="K39" i="60"/>
  <c r="L39" i="60" s="1"/>
  <c r="K38" i="56"/>
  <c r="L38" i="56" s="1"/>
  <c r="K49" i="63"/>
  <c r="L49" i="63" s="1"/>
  <c r="G53" i="59"/>
  <c r="H53" i="59" s="1"/>
  <c r="Q35" i="65"/>
  <c r="S35" i="65" s="1"/>
  <c r="I44" i="65"/>
  <c r="K44" i="65" s="1"/>
  <c r="K30" i="64"/>
  <c r="L30" i="64" s="1"/>
  <c r="K54" i="63"/>
  <c r="L54" i="63" s="1"/>
  <c r="G15" i="62"/>
  <c r="K20" i="61"/>
  <c r="L20" i="61" s="1"/>
  <c r="K56" i="60"/>
  <c r="L56" i="60" s="1"/>
  <c r="K42" i="59"/>
  <c r="L42" i="59" s="1"/>
  <c r="G56" i="59"/>
  <c r="H56" i="59" s="1"/>
  <c r="G41" i="57"/>
  <c r="H41" i="57" s="1"/>
  <c r="G64" i="57"/>
  <c r="H64" i="57" s="1"/>
  <c r="K52" i="56"/>
  <c r="L52" i="56" s="1"/>
  <c r="G21" i="64"/>
  <c r="H21" i="64" s="1"/>
  <c r="K68" i="61"/>
  <c r="L68" i="61" s="1"/>
  <c r="K66" i="59"/>
  <c r="L66" i="59" s="1"/>
  <c r="G44" i="56"/>
  <c r="H44" i="56" s="1"/>
  <c r="G23" i="57"/>
  <c r="H23" i="57" s="1"/>
  <c r="K48" i="56"/>
  <c r="L48" i="56" s="1"/>
  <c r="K18" i="64"/>
  <c r="L18" i="64" s="1"/>
  <c r="K16" i="61"/>
  <c r="L16" i="61" s="1"/>
  <c r="G40" i="56"/>
  <c r="H40" i="56" s="1"/>
  <c r="K65" i="64"/>
  <c r="L65" i="64" s="1"/>
  <c r="G33" i="63"/>
  <c r="H33" i="63" s="1"/>
  <c r="K61" i="61"/>
  <c r="L61" i="61" s="1"/>
  <c r="G29" i="60"/>
  <c r="H29" i="60" s="1"/>
  <c r="K61" i="59"/>
  <c r="L61" i="59" s="1"/>
  <c r="G23" i="58"/>
  <c r="H23" i="58" s="1"/>
  <c r="G69" i="58"/>
  <c r="H69" i="58" s="1"/>
  <c r="K16" i="57"/>
  <c r="L16" i="57" s="1"/>
  <c r="K63" i="57"/>
  <c r="L63" i="57" s="1"/>
  <c r="G35" i="57"/>
  <c r="H35" i="57" s="1"/>
  <c r="G24" i="56"/>
  <c r="H24" i="56" s="1"/>
  <c r="K65" i="57"/>
  <c r="L65" i="57" s="1"/>
  <c r="I49" i="65"/>
  <c r="K49" i="65" s="1"/>
  <c r="K35" i="62"/>
  <c r="L35" i="62" s="1"/>
  <c r="G46" i="60"/>
  <c r="H46" i="60" s="1"/>
  <c r="G65" i="57"/>
  <c r="H65" i="57" s="1"/>
  <c r="K34" i="56"/>
  <c r="L34" i="56" s="1"/>
  <c r="G56" i="64"/>
  <c r="H56" i="64" s="1"/>
  <c r="K34" i="58"/>
  <c r="L34" i="58" s="1"/>
  <c r="K32" i="57"/>
  <c r="L32" i="57" s="1"/>
  <c r="G16" i="56"/>
  <c r="H16" i="56" s="1"/>
  <c r="G48" i="56"/>
  <c r="H48" i="56" s="1"/>
  <c r="K43" i="63"/>
  <c r="L43" i="63" s="1"/>
  <c r="G51" i="59"/>
  <c r="H51" i="59" s="1"/>
  <c r="K48" i="57"/>
  <c r="L48" i="57" s="1"/>
  <c r="K28" i="56"/>
  <c r="L28" i="56" s="1"/>
  <c r="K60" i="58"/>
  <c r="L60" i="58" s="1"/>
  <c r="G28" i="57"/>
  <c r="H28" i="57" s="1"/>
  <c r="G20" i="56"/>
  <c r="H20" i="56" s="1"/>
  <c r="G68" i="56"/>
  <c r="H68" i="56" s="1"/>
  <c r="I56" i="65"/>
  <c r="K56" i="65" s="1"/>
  <c r="K66" i="64"/>
  <c r="L66" i="64" s="1"/>
  <c r="G39" i="63"/>
  <c r="H39" i="63" s="1"/>
  <c r="K64" i="61"/>
  <c r="L64" i="61" s="1"/>
  <c r="G38" i="60"/>
  <c r="H38" i="60" s="1"/>
  <c r="K63" i="59"/>
  <c r="L63" i="59" s="1"/>
  <c r="K23" i="57"/>
  <c r="L23" i="57" s="1"/>
  <c r="G72" i="56"/>
  <c r="H72" i="56" s="1"/>
  <c r="K72" i="56"/>
  <c r="L72" i="56" s="1"/>
  <c r="K31" i="57"/>
  <c r="L31" i="57" s="1"/>
  <c r="G64" i="56"/>
  <c r="H64" i="56" s="1"/>
  <c r="G52" i="61"/>
  <c r="H52" i="61" s="1"/>
  <c r="G27" i="59"/>
  <c r="H27" i="59" s="1"/>
  <c r="G25" i="56"/>
  <c r="H25" i="56" s="1"/>
  <c r="G25" i="62"/>
  <c r="H25" i="62" s="1"/>
  <c r="G47" i="58"/>
  <c r="H47" i="58" s="1"/>
  <c r="K17" i="64"/>
  <c r="L17" i="64" s="1"/>
  <c r="G15" i="57"/>
  <c r="K48" i="60"/>
  <c r="L48" i="60" s="1"/>
  <c r="K58" i="56"/>
  <c r="L58" i="56" s="1"/>
  <c r="K69" i="64"/>
  <c r="L69" i="64" s="1"/>
  <c r="G42" i="63"/>
  <c r="H42" i="63" s="1"/>
  <c r="K32" i="62"/>
  <c r="L32" i="62" s="1"/>
  <c r="K67" i="61"/>
  <c r="L67" i="61" s="1"/>
  <c r="G40" i="60"/>
  <c r="H40" i="60" s="1"/>
  <c r="K64" i="59"/>
  <c r="L64" i="59" s="1"/>
  <c r="G26" i="58"/>
  <c r="H26" i="58" s="1"/>
  <c r="G33" i="56"/>
  <c r="H33" i="56" s="1"/>
  <c r="G36" i="58"/>
  <c r="H36" i="58" s="1"/>
  <c r="G45" i="57"/>
  <c r="H45" i="57" s="1"/>
  <c r="K44" i="56"/>
  <c r="L44" i="56" s="1"/>
  <c r="G59" i="61"/>
  <c r="H59" i="61" s="1"/>
  <c r="K15" i="57"/>
  <c r="K56" i="56"/>
  <c r="L56" i="56" s="1"/>
  <c r="Q60" i="65"/>
  <c r="S60" i="65" s="1"/>
  <c r="K37" i="59"/>
  <c r="L37" i="59" s="1"/>
  <c r="G48" i="58"/>
  <c r="H48" i="58" s="1"/>
  <c r="G57" i="56"/>
  <c r="H57" i="56" s="1"/>
  <c r="G36" i="62"/>
  <c r="H36" i="62" s="1"/>
  <c r="K39" i="59"/>
  <c r="L39" i="59" s="1"/>
  <c r="G64" i="58"/>
  <c r="H64" i="58" s="1"/>
  <c r="G56" i="57"/>
  <c r="H56" i="57" s="1"/>
  <c r="I36" i="65"/>
  <c r="K36" i="65" s="1"/>
  <c r="G57" i="64"/>
  <c r="H57" i="64" s="1"/>
  <c r="K46" i="62"/>
  <c r="L46" i="62" s="1"/>
  <c r="G55" i="61"/>
  <c r="H55" i="61" s="1"/>
  <c r="G29" i="59"/>
  <c r="H29" i="59" s="1"/>
  <c r="K36" i="58"/>
  <c r="L36" i="58" s="1"/>
  <c r="G43" i="58"/>
  <c r="H43" i="58" s="1"/>
  <c r="G15" i="58"/>
  <c r="K33" i="57"/>
  <c r="L33" i="57" s="1"/>
  <c r="G20" i="57"/>
  <c r="H20" i="57" s="1"/>
  <c r="G46" i="57"/>
  <c r="H46" i="57" s="1"/>
  <c r="G69" i="57"/>
  <c r="H69" i="57" s="1"/>
  <c r="K26" i="56"/>
  <c r="L26" i="56" s="1"/>
  <c r="K36" i="56"/>
  <c r="L36" i="56" s="1"/>
  <c r="G45" i="56"/>
  <c r="H45" i="56" s="1"/>
  <c r="K64" i="56"/>
  <c r="L64" i="56" s="1"/>
  <c r="G60" i="64"/>
  <c r="H60" i="64" s="1"/>
  <c r="G22" i="62"/>
  <c r="H22" i="62" s="1"/>
  <c r="G58" i="61"/>
  <c r="H58" i="61" s="1"/>
  <c r="K16" i="59"/>
  <c r="L16" i="59" s="1"/>
  <c r="G30" i="59"/>
  <c r="H30" i="59" s="1"/>
  <c r="K38" i="58"/>
  <c r="L38" i="58" s="1"/>
  <c r="G45" i="58"/>
  <c r="H45" i="58" s="1"/>
  <c r="K41" i="57"/>
  <c r="L41" i="57" s="1"/>
  <c r="G48" i="57"/>
  <c r="H48" i="57" s="1"/>
  <c r="G72" i="57"/>
  <c r="H72" i="57" s="1"/>
  <c r="K16" i="56"/>
  <c r="G28" i="56"/>
  <c r="H28" i="56" s="1"/>
  <c r="K46" i="56"/>
  <c r="L46" i="56" s="1"/>
  <c r="G56" i="56"/>
  <c r="H56" i="56" s="1"/>
  <c r="K18" i="59"/>
  <c r="L18" i="59" s="1"/>
  <c r="K39" i="58"/>
  <c r="L39" i="58" s="1"/>
  <c r="K47" i="57"/>
  <c r="L47" i="57" s="1"/>
  <c r="G37" i="56"/>
  <c r="H37" i="56" s="1"/>
  <c r="K58" i="58"/>
  <c r="L58" i="58" s="1"/>
  <c r="K18" i="39"/>
  <c r="G152" i="39"/>
  <c r="G18" i="39"/>
  <c r="J17" i="51"/>
  <c r="J151" i="51"/>
  <c r="R17" i="51"/>
  <c r="R151" i="51"/>
  <c r="Q15" i="48"/>
  <c r="S15" i="48" s="1"/>
  <c r="I15" i="48"/>
  <c r="K15" i="48" s="1"/>
  <c r="I15" i="49"/>
  <c r="K15" i="49" s="1"/>
  <c r="I15" i="47"/>
  <c r="K15" i="47" s="1"/>
  <c r="Q15" i="47"/>
  <c r="S15" i="47" s="1"/>
  <c r="M173" i="50"/>
  <c r="M174" i="50" s="1"/>
  <c r="F29" i="52"/>
  <c r="D38" i="52"/>
  <c r="G92" i="40"/>
  <c r="V41" i="40"/>
  <c r="R194" i="51"/>
  <c r="R158" i="51"/>
  <c r="R121" i="51"/>
  <c r="J46" i="51"/>
  <c r="R190" i="51"/>
  <c r="R154" i="51"/>
  <c r="R117" i="51"/>
  <c r="R81" i="51"/>
  <c r="R45" i="51"/>
  <c r="R153" i="51"/>
  <c r="R116" i="51"/>
  <c r="R80" i="51"/>
  <c r="R44" i="51"/>
  <c r="J125" i="51"/>
  <c r="J50" i="51"/>
  <c r="R82" i="51"/>
  <c r="R46" i="51"/>
  <c r="J188" i="51"/>
  <c r="J152" i="51"/>
  <c r="J115" i="51"/>
  <c r="J79" i="51"/>
  <c r="J187" i="51"/>
  <c r="J114" i="51"/>
  <c r="J78" i="51"/>
  <c r="J42" i="51"/>
  <c r="R186" i="51"/>
  <c r="R149" i="51"/>
  <c r="R184" i="51"/>
  <c r="R39" i="51"/>
  <c r="J111" i="51"/>
  <c r="R183" i="51"/>
  <c r="J113" i="51"/>
  <c r="J53" i="51"/>
  <c r="J98" i="51"/>
  <c r="R100" i="51"/>
  <c r="J133" i="51"/>
  <c r="R132" i="51"/>
  <c r="J169" i="51"/>
  <c r="R131" i="51"/>
  <c r="J77" i="51"/>
  <c r="J150" i="51"/>
  <c r="R175" i="51"/>
  <c r="J20" i="51"/>
  <c r="R176" i="51"/>
  <c r="J136" i="51"/>
  <c r="R185" i="51"/>
  <c r="R148" i="51"/>
  <c r="R112" i="51"/>
  <c r="R76" i="51"/>
  <c r="R40" i="51"/>
  <c r="J182" i="51"/>
  <c r="R108" i="51"/>
  <c r="R72" i="51"/>
  <c r="R36" i="51"/>
  <c r="J181" i="51"/>
  <c r="J144" i="51"/>
  <c r="J108" i="51"/>
  <c r="R35" i="51"/>
  <c r="J107" i="51"/>
  <c r="J32" i="51"/>
  <c r="J165" i="51"/>
  <c r="J116" i="51"/>
  <c r="J47" i="51"/>
  <c r="J106" i="51"/>
  <c r="J70" i="51"/>
  <c r="J34" i="51"/>
  <c r="R178" i="51"/>
  <c r="R141" i="51"/>
  <c r="R105" i="51"/>
  <c r="R177" i="51"/>
  <c r="R140" i="51"/>
  <c r="R104" i="51"/>
  <c r="R32" i="51"/>
  <c r="J101" i="51"/>
  <c r="J26" i="51"/>
  <c r="J30" i="51"/>
  <c r="R65" i="51"/>
  <c r="R67" i="51"/>
  <c r="J28" i="51"/>
  <c r="R63" i="51"/>
  <c r="J99" i="51"/>
  <c r="R168" i="51"/>
  <c r="J189" i="51"/>
  <c r="R97" i="51"/>
  <c r="J130" i="51"/>
  <c r="R57" i="51"/>
  <c r="J57" i="51"/>
  <c r="R106" i="51"/>
  <c r="J103" i="51"/>
  <c r="R138" i="51"/>
  <c r="J175" i="51"/>
  <c r="R137" i="51"/>
  <c r="J159" i="51"/>
  <c r="R130" i="51"/>
  <c r="R94" i="51"/>
  <c r="R58" i="51"/>
  <c r="R22" i="51"/>
  <c r="J164" i="51"/>
  <c r="J127" i="51"/>
  <c r="R54" i="51"/>
  <c r="J163" i="51"/>
  <c r="J126" i="51"/>
  <c r="J90" i="51"/>
  <c r="J54" i="51"/>
  <c r="R162" i="51"/>
  <c r="J146" i="51"/>
  <c r="J80" i="51"/>
  <c r="J176" i="51"/>
  <c r="J102" i="51"/>
  <c r="R29" i="51"/>
  <c r="R103" i="51"/>
  <c r="J60" i="51"/>
  <c r="R59" i="51"/>
  <c r="J153" i="51"/>
  <c r="J21" i="51"/>
  <c r="R164" i="51"/>
  <c r="R127" i="51"/>
  <c r="J52" i="51"/>
  <c r="R196" i="51"/>
  <c r="R160" i="51"/>
  <c r="R123" i="51"/>
  <c r="R87" i="51"/>
  <c r="R51" i="51"/>
  <c r="R159" i="51"/>
  <c r="R122" i="51"/>
  <c r="R86" i="51"/>
  <c r="R50" i="51"/>
  <c r="J143" i="51"/>
  <c r="J65" i="51"/>
  <c r="J44" i="51"/>
  <c r="J56" i="51"/>
  <c r="R115" i="51"/>
  <c r="R43" i="51"/>
  <c r="J148" i="51"/>
  <c r="J40" i="51"/>
  <c r="J35" i="51"/>
  <c r="J122" i="51"/>
  <c r="R34" i="51"/>
  <c r="R66" i="51"/>
  <c r="J138" i="51"/>
  <c r="J95" i="51"/>
  <c r="R64" i="51"/>
  <c r="J25" i="51"/>
  <c r="R24" i="51"/>
  <c r="J24" i="51"/>
  <c r="R23" i="51"/>
  <c r="R133" i="51"/>
  <c r="R124" i="51"/>
  <c r="R88" i="51"/>
  <c r="R52" i="51"/>
  <c r="J194" i="51"/>
  <c r="J158" i="51"/>
  <c r="J121" i="51"/>
  <c r="R48" i="51"/>
  <c r="J196" i="51"/>
  <c r="J157" i="51"/>
  <c r="J120" i="51"/>
  <c r="J84" i="51"/>
  <c r="J48" i="51"/>
  <c r="J177" i="51"/>
  <c r="J68" i="51"/>
  <c r="R41" i="51"/>
  <c r="J171" i="51"/>
  <c r="R152" i="51"/>
  <c r="J185" i="51"/>
  <c r="J168" i="51"/>
  <c r="R70" i="51"/>
  <c r="R102" i="51"/>
  <c r="J66" i="51"/>
  <c r="R101" i="51"/>
  <c r="J104" i="51"/>
  <c r="R60" i="51"/>
  <c r="R95" i="51"/>
  <c r="J23" i="51"/>
  <c r="R61" i="51"/>
  <c r="J58" i="51"/>
  <c r="R93" i="51"/>
  <c r="E37" i="33"/>
  <c r="K192" i="39"/>
  <c r="K156" i="39"/>
  <c r="K119" i="39"/>
  <c r="K83" i="39"/>
  <c r="K47" i="39"/>
  <c r="K154" i="39"/>
  <c r="G183" i="39"/>
  <c r="G146" i="39"/>
  <c r="G110" i="39"/>
  <c r="G74" i="39"/>
  <c r="G38" i="39"/>
  <c r="K96" i="39"/>
  <c r="K173" i="39"/>
  <c r="K136" i="39"/>
  <c r="K100" i="39"/>
  <c r="K64" i="39"/>
  <c r="K28" i="39"/>
  <c r="K181" i="39"/>
  <c r="G173" i="39"/>
  <c r="G136" i="39"/>
  <c r="G100" i="39"/>
  <c r="G64" i="39"/>
  <c r="G28" i="39"/>
  <c r="K105" i="39"/>
  <c r="K126" i="39"/>
  <c r="G184" i="39"/>
  <c r="G147" i="39"/>
  <c r="G111" i="39"/>
  <c r="G75" i="39"/>
  <c r="G39" i="39"/>
  <c r="K189" i="39"/>
  <c r="K153" i="39"/>
  <c r="K116" i="39"/>
  <c r="K80" i="39"/>
  <c r="K44" i="39"/>
  <c r="K117" i="39"/>
  <c r="G180" i="39"/>
  <c r="G143" i="39"/>
  <c r="G107" i="39"/>
  <c r="G71" i="39"/>
  <c r="G35" i="39"/>
  <c r="K72" i="39"/>
  <c r="K170" i="39"/>
  <c r="K133" i="39"/>
  <c r="K97" i="39"/>
  <c r="K61" i="39"/>
  <c r="K25" i="39"/>
  <c r="K132" i="39"/>
  <c r="G170" i="39"/>
  <c r="G133" i="39"/>
  <c r="G97" i="39"/>
  <c r="G61" i="39"/>
  <c r="G25" i="39"/>
  <c r="K99" i="39"/>
  <c r="K108" i="39"/>
  <c r="G181" i="39"/>
  <c r="G144" i="39"/>
  <c r="G108" i="39"/>
  <c r="G72" i="39"/>
  <c r="G36" i="39"/>
  <c r="K22" i="39"/>
  <c r="G167" i="39"/>
  <c r="G130" i="39"/>
  <c r="G94" i="39"/>
  <c r="G22" i="39"/>
  <c r="K90" i="39"/>
  <c r="K102" i="39"/>
  <c r="G178" i="39"/>
  <c r="G105" i="39"/>
  <c r="G69" i="39"/>
  <c r="G33" i="39"/>
  <c r="K110" i="39"/>
  <c r="K74" i="39"/>
  <c r="K63" i="39"/>
  <c r="G137" i="39"/>
  <c r="G101" i="39"/>
  <c r="G65" i="39"/>
  <c r="G29" i="39"/>
  <c r="K27" i="39"/>
  <c r="K127" i="39"/>
  <c r="K91" i="39"/>
  <c r="K55" i="39"/>
  <c r="K33" i="39"/>
  <c r="K186" i="39"/>
  <c r="K149" i="39"/>
  <c r="K113" i="39"/>
  <c r="K77" i="39"/>
  <c r="K41" i="39"/>
  <c r="K81" i="39"/>
  <c r="G177" i="39"/>
  <c r="G140" i="39"/>
  <c r="G104" i="39"/>
  <c r="G68" i="39"/>
  <c r="G32" i="39"/>
  <c r="K51" i="39"/>
  <c r="K167" i="39"/>
  <c r="K130" i="39"/>
  <c r="K94" i="39"/>
  <c r="K58" i="39"/>
  <c r="K84" i="39"/>
  <c r="G58" i="39"/>
  <c r="G141" i="39"/>
  <c r="G174" i="39"/>
  <c r="K19" i="39"/>
  <c r="K183" i="39"/>
  <c r="K146" i="39"/>
  <c r="K38" i="39"/>
  <c r="K180" i="39"/>
  <c r="K143" i="39"/>
  <c r="K107" i="39"/>
  <c r="K71" i="39"/>
  <c r="K35" i="39"/>
  <c r="K45" i="39"/>
  <c r="G171" i="39"/>
  <c r="G134" i="39"/>
  <c r="G98" i="39"/>
  <c r="G62" i="39"/>
  <c r="G26" i="39"/>
  <c r="K197" i="39"/>
  <c r="K161" i="39"/>
  <c r="K165" i="39"/>
  <c r="K128" i="39"/>
  <c r="K162" i="39"/>
  <c r="K92" i="39"/>
  <c r="K26" i="39"/>
  <c r="G168" i="39"/>
  <c r="G116" i="39"/>
  <c r="G50" i="39"/>
  <c r="K191" i="39"/>
  <c r="K142" i="39"/>
  <c r="K82" i="39"/>
  <c r="K34" i="39"/>
  <c r="G191" i="39"/>
  <c r="G145" i="39"/>
  <c r="G91" i="39"/>
  <c r="G46" i="39"/>
  <c r="K129" i="39"/>
  <c r="K87" i="39"/>
  <c r="G166" i="39"/>
  <c r="G120" i="39"/>
  <c r="G66" i="39"/>
  <c r="G21" i="39"/>
  <c r="K23" i="39"/>
  <c r="G113" i="39"/>
  <c r="G47" i="39"/>
  <c r="K139" i="39"/>
  <c r="K79" i="39"/>
  <c r="K31" i="39"/>
  <c r="G142" i="39"/>
  <c r="G88" i="39"/>
  <c r="K123" i="39"/>
  <c r="K69" i="39"/>
  <c r="G163" i="39"/>
  <c r="G63" i="39"/>
  <c r="G114" i="39"/>
  <c r="G41" i="39"/>
  <c r="K73" i="39"/>
  <c r="G127" i="39"/>
  <c r="K78" i="39"/>
  <c r="G102" i="39"/>
  <c r="K65" i="39"/>
  <c r="G23" i="39"/>
  <c r="K150" i="39"/>
  <c r="G79" i="39"/>
  <c r="K21" i="39"/>
  <c r="G150" i="39"/>
  <c r="G149" i="39"/>
  <c r="K52" i="39"/>
  <c r="G118" i="39"/>
  <c r="K39" i="39"/>
  <c r="G93" i="39"/>
  <c r="K56" i="39"/>
  <c r="K158" i="39"/>
  <c r="G115" i="39"/>
  <c r="K24" i="39"/>
  <c r="K53" i="39"/>
  <c r="K155" i="39"/>
  <c r="G67" i="39"/>
  <c r="G132" i="39"/>
  <c r="G52" i="39"/>
  <c r="G81" i="39"/>
  <c r="K168" i="39"/>
  <c r="K85" i="39"/>
  <c r="G49" i="39"/>
  <c r="G24" i="39"/>
  <c r="K159" i="39"/>
  <c r="K89" i="39"/>
  <c r="G165" i="39"/>
  <c r="K188" i="39"/>
  <c r="G188" i="39"/>
  <c r="G43" i="39"/>
  <c r="G117" i="39"/>
  <c r="K111" i="39"/>
  <c r="G160" i="39"/>
  <c r="G60" i="39"/>
  <c r="K182" i="39"/>
  <c r="K166" i="39"/>
  <c r="G182" i="39"/>
  <c r="G37" i="39"/>
  <c r="G157" i="39"/>
  <c r="G156" i="39"/>
  <c r="K118" i="39"/>
  <c r="G124" i="39"/>
  <c r="G99" i="39"/>
  <c r="K62" i="39"/>
  <c r="K30" i="39"/>
  <c r="G86" i="39"/>
  <c r="K176" i="39"/>
  <c r="K67" i="39"/>
  <c r="G76" i="39"/>
  <c r="G196" i="39"/>
  <c r="G161" i="39"/>
  <c r="G190" i="39"/>
  <c r="G45" i="39"/>
  <c r="K104" i="39"/>
  <c r="K157" i="39"/>
  <c r="K48" i="39"/>
  <c r="K175" i="39"/>
  <c r="G87" i="39"/>
  <c r="G172" i="39"/>
  <c r="K95" i="39"/>
  <c r="K145" i="39"/>
  <c r="G103" i="39"/>
  <c r="G78" i="39"/>
  <c r="K140" i="39"/>
  <c r="K86" i="39"/>
  <c r="K20" i="39"/>
  <c r="G162" i="39"/>
  <c r="G95" i="39"/>
  <c r="G44" i="39"/>
  <c r="K185" i="39"/>
  <c r="K124" i="39"/>
  <c r="K76" i="39"/>
  <c r="K196" i="39"/>
  <c r="G185" i="39"/>
  <c r="G139" i="39"/>
  <c r="G85" i="39"/>
  <c r="G40" i="39"/>
  <c r="K57" i="39"/>
  <c r="K42" i="39"/>
  <c r="G57" i="39"/>
  <c r="K169" i="39"/>
  <c r="K179" i="39"/>
  <c r="G179" i="39"/>
  <c r="K66" i="39"/>
  <c r="G54" i="39"/>
  <c r="K131" i="39"/>
  <c r="G153" i="39"/>
  <c r="G20" i="39"/>
  <c r="K115" i="39"/>
  <c r="K114" i="39"/>
  <c r="G121" i="39"/>
  <c r="G31" i="39"/>
  <c r="G51" i="39"/>
  <c r="K125" i="39"/>
  <c r="G83" i="39"/>
  <c r="K164" i="39"/>
  <c r="K75" i="39"/>
  <c r="G19" i="39"/>
  <c r="G138" i="39"/>
  <c r="K93" i="39"/>
  <c r="K184" i="39"/>
  <c r="K49" i="39"/>
  <c r="K178" i="39"/>
  <c r="G90" i="39"/>
  <c r="G128" i="39"/>
  <c r="K106" i="39"/>
  <c r="G158" i="39"/>
  <c r="G187" i="39"/>
  <c r="G42" i="39"/>
  <c r="K144" i="39"/>
  <c r="G27" i="39"/>
  <c r="G186" i="39"/>
  <c r="K37" i="39"/>
  <c r="K138" i="39"/>
  <c r="K137" i="39"/>
  <c r="K68" i="39"/>
  <c r="K187" i="39"/>
  <c r="G159" i="39"/>
  <c r="G92" i="39"/>
  <c r="K121" i="39"/>
  <c r="G82" i="39"/>
  <c r="K70" i="39"/>
  <c r="G34" i="39"/>
  <c r="G176" i="39"/>
  <c r="G96" i="39"/>
  <c r="K59" i="39"/>
  <c r="K112" i="39"/>
  <c r="G73" i="39"/>
  <c r="G193" i="39"/>
  <c r="G48" i="39"/>
  <c r="K195" i="39"/>
  <c r="G131" i="39"/>
  <c r="G80" i="39"/>
  <c r="K109" i="39"/>
  <c r="G70" i="39"/>
  <c r="G135" i="39"/>
  <c r="K177" i="39"/>
  <c r="G77" i="39"/>
  <c r="K46" i="39"/>
  <c r="K172" i="39"/>
  <c r="K147" i="39"/>
  <c r="G119" i="39"/>
  <c r="K194" i="39"/>
  <c r="G148" i="39"/>
  <c r="G169" i="39"/>
  <c r="K134" i="39"/>
  <c r="G89" i="39"/>
  <c r="G154" i="39"/>
  <c r="K54" i="39"/>
  <c r="K193" i="39"/>
  <c r="K190" i="39"/>
  <c r="G164" i="39"/>
  <c r="K122" i="39"/>
  <c r="K60" i="39"/>
  <c r="G195" i="39"/>
  <c r="G112" i="39"/>
  <c r="G53" i="39"/>
  <c r="G123" i="39"/>
  <c r="K174" i="39"/>
  <c r="K101" i="39"/>
  <c r="K50" i="39"/>
  <c r="G192" i="39"/>
  <c r="G125" i="39"/>
  <c r="G59" i="39"/>
  <c r="K141" i="39"/>
  <c r="K151" i="39"/>
  <c r="K103" i="39"/>
  <c r="K43" i="39"/>
  <c r="K36" i="39"/>
  <c r="G155" i="39"/>
  <c r="G109" i="39"/>
  <c r="G55" i="39"/>
  <c r="K160" i="39"/>
  <c r="K163" i="39"/>
  <c r="G175" i="39"/>
  <c r="G129" i="39"/>
  <c r="G84" i="39"/>
  <c r="G30" i="39"/>
  <c r="K171" i="39"/>
  <c r="K98" i="39"/>
  <c r="K32" i="39"/>
  <c r="G189" i="39"/>
  <c r="G122" i="39"/>
  <c r="G56" i="39"/>
  <c r="K120" i="39"/>
  <c r="K148" i="39"/>
  <c r="K88" i="39"/>
  <c r="K40" i="39"/>
  <c r="G197" i="39"/>
  <c r="G151" i="39"/>
  <c r="G106" i="39"/>
  <c r="G126" i="39"/>
  <c r="K29" i="39"/>
  <c r="G194" i="39"/>
  <c r="K135" i="39"/>
  <c r="Q71" i="49"/>
  <c r="S71" i="49" s="1"/>
  <c r="I60" i="49"/>
  <c r="K60" i="49" s="1"/>
  <c r="I54" i="49"/>
  <c r="K54" i="49" s="1"/>
  <c r="Q48" i="49"/>
  <c r="S48" i="49" s="1"/>
  <c r="I43" i="49"/>
  <c r="K43" i="49" s="1"/>
  <c r="Q37" i="49"/>
  <c r="S37" i="49" s="1"/>
  <c r="Q31" i="49"/>
  <c r="S31" i="49" s="1"/>
  <c r="Q25" i="49"/>
  <c r="S25" i="49" s="1"/>
  <c r="Q19" i="49"/>
  <c r="S19" i="49" s="1"/>
  <c r="I64" i="48"/>
  <c r="K64" i="48" s="1"/>
  <c r="Q59" i="48"/>
  <c r="S59" i="48" s="1"/>
  <c r="Q54" i="48"/>
  <c r="S54" i="48" s="1"/>
  <c r="I45" i="48"/>
  <c r="K45" i="48" s="1"/>
  <c r="I41" i="48"/>
  <c r="K41" i="48" s="1"/>
  <c r="Q31" i="48"/>
  <c r="S31" i="48" s="1"/>
  <c r="Q26" i="48"/>
  <c r="S26" i="48" s="1"/>
  <c r="I22" i="48"/>
  <c r="K22" i="48" s="1"/>
  <c r="I66" i="47"/>
  <c r="K66" i="47" s="1"/>
  <c r="I60" i="47"/>
  <c r="K60" i="47" s="1"/>
  <c r="Q54" i="47"/>
  <c r="S54" i="47" s="1"/>
  <c r="Q49" i="47"/>
  <c r="S49" i="47" s="1"/>
  <c r="I44" i="47"/>
  <c r="K44" i="47" s="1"/>
  <c r="Q38" i="47"/>
  <c r="S38" i="47" s="1"/>
  <c r="I33" i="47"/>
  <c r="K33" i="47" s="1"/>
  <c r="I27" i="47"/>
  <c r="K27" i="47" s="1"/>
  <c r="Q21" i="47"/>
  <c r="S21" i="47" s="1"/>
  <c r="I16" i="47"/>
  <c r="K16" i="47" s="1"/>
  <c r="I71" i="46"/>
  <c r="K71" i="46" s="1"/>
  <c r="I66" i="46"/>
  <c r="K66" i="46" s="1"/>
  <c r="Q55" i="46"/>
  <c r="S55" i="46" s="1"/>
  <c r="I50" i="46"/>
  <c r="K50" i="46" s="1"/>
  <c r="I45" i="46"/>
  <c r="K45" i="46" s="1"/>
  <c r="I40" i="46"/>
  <c r="K40" i="46" s="1"/>
  <c r="I35" i="46"/>
  <c r="K35" i="46" s="1"/>
  <c r="I30" i="46"/>
  <c r="K30" i="46" s="1"/>
  <c r="I24" i="46"/>
  <c r="K24" i="46" s="1"/>
  <c r="I19" i="46"/>
  <c r="K19" i="46" s="1"/>
  <c r="L69" i="37"/>
  <c r="L63" i="37"/>
  <c r="L57" i="37"/>
  <c r="L51" i="37"/>
  <c r="L45" i="37"/>
  <c r="L39" i="37"/>
  <c r="L33" i="37"/>
  <c r="L27" i="37"/>
  <c r="L21" i="37"/>
  <c r="H70" i="36"/>
  <c r="H65" i="36"/>
  <c r="L59" i="36"/>
  <c r="H54" i="36"/>
  <c r="L48" i="36"/>
  <c r="L42" i="36"/>
  <c r="H37" i="36"/>
  <c r="L31" i="36"/>
  <c r="L26" i="36"/>
  <c r="H21" i="36"/>
  <c r="H69" i="35"/>
  <c r="H58" i="35"/>
  <c r="H52" i="35"/>
  <c r="H47" i="35"/>
  <c r="H41" i="35"/>
  <c r="H35" i="35"/>
  <c r="H24" i="35"/>
  <c r="L72" i="34"/>
  <c r="H67" i="34"/>
  <c r="L61" i="34"/>
  <c r="H56" i="34"/>
  <c r="H51" i="34"/>
  <c r="H45" i="34"/>
  <c r="H39" i="34"/>
  <c r="H33" i="34"/>
  <c r="H27" i="34"/>
  <c r="H21" i="34"/>
  <c r="I71" i="49"/>
  <c r="K71" i="49" s="1"/>
  <c r="Q65" i="49"/>
  <c r="S65" i="49" s="1"/>
  <c r="Q59" i="49"/>
  <c r="S59" i="49" s="1"/>
  <c r="I48" i="49"/>
  <c r="K48" i="49" s="1"/>
  <c r="Q42" i="49"/>
  <c r="S42" i="49" s="1"/>
  <c r="I37" i="49"/>
  <c r="K37" i="49" s="1"/>
  <c r="I31" i="49"/>
  <c r="K31" i="49" s="1"/>
  <c r="I25" i="49"/>
  <c r="K25" i="49" s="1"/>
  <c r="I19" i="49"/>
  <c r="K19" i="49" s="1"/>
  <c r="Q68" i="48"/>
  <c r="S68" i="48" s="1"/>
  <c r="Q63" i="48"/>
  <c r="S63" i="48" s="1"/>
  <c r="I54" i="48"/>
  <c r="K54" i="48" s="1"/>
  <c r="I50" i="48"/>
  <c r="K50" i="48" s="1"/>
  <c r="Q40" i="48"/>
  <c r="S40" i="48" s="1"/>
  <c r="Q35" i="48"/>
  <c r="S35" i="48" s="1"/>
  <c r="I31" i="48"/>
  <c r="K31" i="48" s="1"/>
  <c r="Q21" i="48"/>
  <c r="S21" i="48" s="1"/>
  <c r="I17" i="48"/>
  <c r="K17" i="48" s="1"/>
  <c r="Q71" i="47"/>
  <c r="S71" i="47" s="1"/>
  <c r="Q65" i="47"/>
  <c r="S65" i="47" s="1"/>
  <c r="I54" i="47"/>
  <c r="K54" i="47" s="1"/>
  <c r="I49" i="47"/>
  <c r="K49" i="47" s="1"/>
  <c r="Q43" i="47"/>
  <c r="S43" i="47" s="1"/>
  <c r="I38" i="47"/>
  <c r="K38" i="47" s="1"/>
  <c r="Q32" i="47"/>
  <c r="S32" i="47" s="1"/>
  <c r="Q26" i="47"/>
  <c r="S26" i="47" s="1"/>
  <c r="I21" i="47"/>
  <c r="K21" i="47" s="1"/>
  <c r="Q70" i="46"/>
  <c r="S70" i="46" s="1"/>
  <c r="Q65" i="46"/>
  <c r="S65" i="46" s="1"/>
  <c r="I60" i="46"/>
  <c r="K60" i="46" s="1"/>
  <c r="I55" i="46"/>
  <c r="K55" i="46" s="1"/>
  <c r="Q49" i="46"/>
  <c r="S49" i="46" s="1"/>
  <c r="Q44" i="46"/>
  <c r="S44" i="46" s="1"/>
  <c r="Q39" i="46"/>
  <c r="S39" i="46" s="1"/>
  <c r="Q34" i="46"/>
  <c r="S34" i="46" s="1"/>
  <c r="Q29" i="46"/>
  <c r="S29" i="46" s="1"/>
  <c r="Q18" i="46"/>
  <c r="S18" i="46" s="1"/>
  <c r="H69" i="37"/>
  <c r="H63" i="37"/>
  <c r="H57" i="37"/>
  <c r="H51" i="37"/>
  <c r="H45" i="37"/>
  <c r="H39" i="37"/>
  <c r="H33" i="37"/>
  <c r="H27" i="37"/>
  <c r="H21" i="37"/>
  <c r="L64" i="36"/>
  <c r="H59" i="36"/>
  <c r="L53" i="36"/>
  <c r="H48" i="36"/>
  <c r="H42" i="36"/>
  <c r="H31" i="36"/>
  <c r="H26" i="36"/>
  <c r="L20" i="36"/>
  <c r="H63" i="35"/>
  <c r="H29" i="35"/>
  <c r="H18" i="35"/>
  <c r="H72" i="34"/>
  <c r="L66" i="34"/>
  <c r="H61" i="34"/>
  <c r="L55" i="34"/>
  <c r="L50" i="34"/>
  <c r="L44" i="34"/>
  <c r="L38" i="34"/>
  <c r="L32" i="34"/>
  <c r="L26" i="34"/>
  <c r="L20" i="34"/>
  <c r="Q70" i="49"/>
  <c r="S70" i="49" s="1"/>
  <c r="I65" i="49"/>
  <c r="K65" i="49" s="1"/>
  <c r="I59" i="49"/>
  <c r="K59" i="49" s="1"/>
  <c r="Q53" i="49"/>
  <c r="S53" i="49" s="1"/>
  <c r="I42" i="49"/>
  <c r="K42" i="49" s="1"/>
  <c r="Q36" i="49"/>
  <c r="S36" i="49" s="1"/>
  <c r="Q30" i="49"/>
  <c r="S30" i="49" s="1"/>
  <c r="Q24" i="49"/>
  <c r="S24" i="49" s="1"/>
  <c r="Q18" i="49"/>
  <c r="S18" i="49" s="1"/>
  <c r="Q72" i="48"/>
  <c r="S72" i="48" s="1"/>
  <c r="I63" i="48"/>
  <c r="K63" i="48" s="1"/>
  <c r="I59" i="48"/>
  <c r="K59" i="48" s="1"/>
  <c r="Q49" i="48"/>
  <c r="S49" i="48" s="1"/>
  <c r="Q44" i="48"/>
  <c r="S44" i="48" s="1"/>
  <c r="I40" i="48"/>
  <c r="K40" i="48" s="1"/>
  <c r="Q30" i="48"/>
  <c r="S30" i="48" s="1"/>
  <c r="I26" i="48"/>
  <c r="K26" i="48" s="1"/>
  <c r="I21" i="48"/>
  <c r="K21" i="48" s="1"/>
  <c r="Q16" i="48"/>
  <c r="S16" i="48" s="1"/>
  <c r="I71" i="47"/>
  <c r="K71" i="47" s="1"/>
  <c r="I65" i="47"/>
  <c r="K65" i="47" s="1"/>
  <c r="Q59" i="47"/>
  <c r="S59" i="47" s="1"/>
  <c r="Q48" i="47"/>
  <c r="S48" i="47" s="1"/>
  <c r="I43" i="47"/>
  <c r="K43" i="47" s="1"/>
  <c r="Q37" i="47"/>
  <c r="S37" i="47" s="1"/>
  <c r="I32" i="47"/>
  <c r="K32" i="47" s="1"/>
  <c r="I26" i="47"/>
  <c r="K26" i="47" s="1"/>
  <c r="Q20" i="47"/>
  <c r="S20" i="47" s="1"/>
  <c r="I70" i="46"/>
  <c r="K70" i="46" s="1"/>
  <c r="I65" i="46"/>
  <c r="K65" i="46" s="1"/>
  <c r="Q54" i="46"/>
  <c r="S54" i="46" s="1"/>
  <c r="I49" i="46"/>
  <c r="K49" i="46" s="1"/>
  <c r="I44" i="46"/>
  <c r="K44" i="46" s="1"/>
  <c r="I39" i="46"/>
  <c r="K39" i="46" s="1"/>
  <c r="I34" i="46"/>
  <c r="K34" i="46" s="1"/>
  <c r="I29" i="46"/>
  <c r="K29" i="46" s="1"/>
  <c r="Q23" i="46"/>
  <c r="S23" i="46" s="1"/>
  <c r="L68" i="37"/>
  <c r="L62" i="37"/>
  <c r="L56" i="37"/>
  <c r="L50" i="37"/>
  <c r="L44" i="37"/>
  <c r="L38" i="37"/>
  <c r="L32" i="37"/>
  <c r="L26" i="37"/>
  <c r="L20" i="37"/>
  <c r="L69" i="36"/>
  <c r="H64" i="36"/>
  <c r="L58" i="36"/>
  <c r="H53" i="36"/>
  <c r="L47" i="36"/>
  <c r="L41" i="36"/>
  <c r="L36" i="36"/>
  <c r="L25" i="36"/>
  <c r="H20" i="36"/>
  <c r="H68" i="35"/>
  <c r="H57" i="35"/>
  <c r="H46" i="35"/>
  <c r="H40" i="35"/>
  <c r="H34" i="35"/>
  <c r="H23" i="35"/>
  <c r="L71" i="34"/>
  <c r="H66" i="34"/>
  <c r="L60" i="34"/>
  <c r="H55" i="34"/>
  <c r="H50" i="34"/>
  <c r="H44" i="34"/>
  <c r="H38" i="34"/>
  <c r="H32" i="34"/>
  <c r="H26" i="34"/>
  <c r="I70" i="49"/>
  <c r="K70" i="49" s="1"/>
  <c r="Q64" i="49"/>
  <c r="S64" i="49" s="1"/>
  <c r="Q58" i="49"/>
  <c r="S58" i="49" s="1"/>
  <c r="I53" i="49"/>
  <c r="K53" i="49" s="1"/>
  <c r="Q47" i="49"/>
  <c r="S47" i="49" s="1"/>
  <c r="I36" i="49"/>
  <c r="K36" i="49" s="1"/>
  <c r="I30" i="49"/>
  <c r="K30" i="49" s="1"/>
  <c r="I24" i="49"/>
  <c r="K24" i="49" s="1"/>
  <c r="I18" i="49"/>
  <c r="K18" i="49" s="1"/>
  <c r="I72" i="48"/>
  <c r="K72" i="48" s="1"/>
  <c r="I68" i="48"/>
  <c r="K68" i="48" s="1"/>
  <c r="Q58" i="48"/>
  <c r="S58" i="48" s="1"/>
  <c r="Q53" i="48"/>
  <c r="S53" i="48" s="1"/>
  <c r="I49" i="48"/>
  <c r="K49" i="48" s="1"/>
  <c r="Q39" i="48"/>
  <c r="S39" i="48" s="1"/>
  <c r="I35" i="48"/>
  <c r="K35" i="48" s="1"/>
  <c r="I30" i="48"/>
  <c r="K30" i="48" s="1"/>
  <c r="Q25" i="48"/>
  <c r="S25" i="48" s="1"/>
  <c r="Q20" i="48"/>
  <c r="S20" i="48" s="1"/>
  <c r="I16" i="48"/>
  <c r="K16" i="48" s="1"/>
  <c r="Q70" i="47"/>
  <c r="S70" i="47" s="1"/>
  <c r="Q64" i="47"/>
  <c r="S64" i="47" s="1"/>
  <c r="I59" i="47"/>
  <c r="K59" i="47" s="1"/>
  <c r="Q53" i="47"/>
  <c r="S53" i="47" s="1"/>
  <c r="I48" i="47"/>
  <c r="K48" i="47" s="1"/>
  <c r="Q42" i="47"/>
  <c r="S42" i="47" s="1"/>
  <c r="I37" i="47"/>
  <c r="K37" i="47" s="1"/>
  <c r="Q31" i="47"/>
  <c r="S31" i="47" s="1"/>
  <c r="Q25" i="47"/>
  <c r="S25" i="47" s="1"/>
  <c r="I20" i="47"/>
  <c r="K20" i="47" s="1"/>
  <c r="Q69" i="46"/>
  <c r="S69" i="46" s="1"/>
  <c r="Q64" i="46"/>
  <c r="S64" i="46" s="1"/>
  <c r="Q59" i="46"/>
  <c r="S59" i="46" s="1"/>
  <c r="Q48" i="46"/>
  <c r="S48" i="46" s="1"/>
  <c r="Q38" i="46"/>
  <c r="S38" i="46" s="1"/>
  <c r="Q33" i="46"/>
  <c r="S33" i="46" s="1"/>
  <c r="Q28" i="46"/>
  <c r="S28" i="46" s="1"/>
  <c r="I23" i="46"/>
  <c r="K23" i="46" s="1"/>
  <c r="I18" i="46"/>
  <c r="K18" i="46" s="1"/>
  <c r="H68" i="37"/>
  <c r="H62" i="37"/>
  <c r="H56" i="37"/>
  <c r="H50" i="37"/>
  <c r="H44" i="37"/>
  <c r="H38" i="37"/>
  <c r="H32" i="37"/>
  <c r="H26" i="37"/>
  <c r="H20" i="37"/>
  <c r="H69" i="36"/>
  <c r="H58" i="36"/>
  <c r="L52" i="36"/>
  <c r="H47" i="36"/>
  <c r="H41" i="36"/>
  <c r="H36" i="36"/>
  <c r="L30" i="36"/>
  <c r="H25" i="36"/>
  <c r="L19" i="36"/>
  <c r="H62" i="35"/>
  <c r="H51" i="35"/>
  <c r="H28" i="35"/>
  <c r="H17" i="35"/>
  <c r="H71" i="34"/>
  <c r="L65" i="34"/>
  <c r="H60" i="34"/>
  <c r="L49" i="34"/>
  <c r="L43" i="34"/>
  <c r="L37" i="34"/>
  <c r="L31" i="34"/>
  <c r="L25" i="34"/>
  <c r="L19" i="34"/>
  <c r="Q69" i="49"/>
  <c r="S69" i="49" s="1"/>
  <c r="I64" i="49"/>
  <c r="K64" i="49" s="1"/>
  <c r="I58" i="49"/>
  <c r="K58" i="49" s="1"/>
  <c r="Q52" i="49"/>
  <c r="S52" i="49" s="1"/>
  <c r="I47" i="49"/>
  <c r="K47" i="49" s="1"/>
  <c r="Q41" i="49"/>
  <c r="S41" i="49" s="1"/>
  <c r="Q35" i="49"/>
  <c r="S35" i="49" s="1"/>
  <c r="Q29" i="49"/>
  <c r="S29" i="49" s="1"/>
  <c r="Q23" i="49"/>
  <c r="S23" i="49" s="1"/>
  <c r="Q17" i="49"/>
  <c r="S17" i="49" s="1"/>
  <c r="Q67" i="48"/>
  <c r="S67" i="48" s="1"/>
  <c r="Q62" i="48"/>
  <c r="S62" i="48" s="1"/>
  <c r="I58" i="48"/>
  <c r="K58" i="48" s="1"/>
  <c r="Q48" i="48"/>
  <c r="S48" i="48" s="1"/>
  <c r="I44" i="48"/>
  <c r="K44" i="48" s="1"/>
  <c r="I39" i="48"/>
  <c r="K39" i="48" s="1"/>
  <c r="Q34" i="48"/>
  <c r="S34" i="48" s="1"/>
  <c r="Q29" i="48"/>
  <c r="S29" i="48" s="1"/>
  <c r="I25" i="48"/>
  <c r="K25" i="48" s="1"/>
  <c r="I70" i="47"/>
  <c r="K70" i="47" s="1"/>
  <c r="I64" i="47"/>
  <c r="K64" i="47" s="1"/>
  <c r="Q58" i="47"/>
  <c r="S58" i="47" s="1"/>
  <c r="I53" i="47"/>
  <c r="K53" i="47" s="1"/>
  <c r="I42" i="47"/>
  <c r="K42" i="47" s="1"/>
  <c r="Q36" i="47"/>
  <c r="S36" i="47" s="1"/>
  <c r="I31" i="47"/>
  <c r="K31" i="47" s="1"/>
  <c r="I25" i="47"/>
  <c r="K25" i="47" s="1"/>
  <c r="Q19" i="47"/>
  <c r="S19" i="47" s="1"/>
  <c r="I69" i="46"/>
  <c r="K69" i="46" s="1"/>
  <c r="I64" i="46"/>
  <c r="K64" i="46" s="1"/>
  <c r="I59" i="46"/>
  <c r="K59" i="46" s="1"/>
  <c r="I54" i="46"/>
  <c r="K54" i="46" s="1"/>
  <c r="Q43" i="46"/>
  <c r="S43" i="46" s="1"/>
  <c r="I38" i="46"/>
  <c r="K38" i="46" s="1"/>
  <c r="I33" i="46"/>
  <c r="K33" i="46" s="1"/>
  <c r="I28" i="46"/>
  <c r="K28" i="46" s="1"/>
  <c r="Q22" i="46"/>
  <c r="S22" i="46" s="1"/>
  <c r="Q17" i="46"/>
  <c r="S17" i="46" s="1"/>
  <c r="L73" i="37"/>
  <c r="L67" i="37"/>
  <c r="L61" i="37"/>
  <c r="L55" i="37"/>
  <c r="L49" i="37"/>
  <c r="L43" i="37"/>
  <c r="L37" i="37"/>
  <c r="L31" i="37"/>
  <c r="L25" i="37"/>
  <c r="L19" i="37"/>
  <c r="L73" i="36"/>
  <c r="L68" i="36"/>
  <c r="L63" i="36"/>
  <c r="H52" i="36"/>
  <c r="L46" i="36"/>
  <c r="L40" i="36"/>
  <c r="L35" i="36"/>
  <c r="H30" i="36"/>
  <c r="L24" i="36"/>
  <c r="H19" i="36"/>
  <c r="H73" i="35"/>
  <c r="H67" i="35"/>
  <c r="H56" i="35"/>
  <c r="H45" i="35"/>
  <c r="H39" i="35"/>
  <c r="H33" i="35"/>
  <c r="H22" i="35"/>
  <c r="L70" i="34"/>
  <c r="H65" i="34"/>
  <c r="L59" i="34"/>
  <c r="L54" i="34"/>
  <c r="H49" i="34"/>
  <c r="H43" i="34"/>
  <c r="H37" i="34"/>
  <c r="H31" i="34"/>
  <c r="H25" i="34"/>
  <c r="Q68" i="49"/>
  <c r="S68" i="49" s="1"/>
  <c r="I63" i="49"/>
  <c r="K63" i="49" s="1"/>
  <c r="I57" i="49"/>
  <c r="K57" i="49" s="1"/>
  <c r="Q51" i="49"/>
  <c r="S51" i="49" s="1"/>
  <c r="I46" i="49"/>
  <c r="K46" i="49" s="1"/>
  <c r="Q40" i="49"/>
  <c r="S40" i="49" s="1"/>
  <c r="Q34" i="49"/>
  <c r="S34" i="49" s="1"/>
  <c r="Q28" i="49"/>
  <c r="S28" i="49" s="1"/>
  <c r="Q22" i="49"/>
  <c r="S22" i="49" s="1"/>
  <c r="Q16" i="49"/>
  <c r="S16" i="49" s="1"/>
  <c r="Q66" i="48"/>
  <c r="S66" i="48" s="1"/>
  <c r="I62" i="48"/>
  <c r="K62" i="48" s="1"/>
  <c r="I57" i="48"/>
  <c r="K57" i="48" s="1"/>
  <c r="Q52" i="48"/>
  <c r="S52" i="48" s="1"/>
  <c r="Q47" i="48"/>
  <c r="S47" i="48" s="1"/>
  <c r="I43" i="48"/>
  <c r="K43" i="48" s="1"/>
  <c r="Q33" i="48"/>
  <c r="S33" i="48" s="1"/>
  <c r="I29" i="48"/>
  <c r="K29" i="48" s="1"/>
  <c r="I24" i="48"/>
  <c r="K24" i="48" s="1"/>
  <c r="Q19" i="48"/>
  <c r="S19" i="48" s="1"/>
  <c r="I69" i="47"/>
  <c r="K69" i="47" s="1"/>
  <c r="I63" i="47"/>
  <c r="K63" i="47" s="1"/>
  <c r="Q57" i="47"/>
  <c r="S57" i="47" s="1"/>
  <c r="I52" i="47"/>
  <c r="K52" i="47" s="1"/>
  <c r="I47" i="47"/>
  <c r="K47" i="47" s="1"/>
  <c r="Q41" i="47"/>
  <c r="S41" i="47" s="1"/>
  <c r="I30" i="47"/>
  <c r="K30" i="47" s="1"/>
  <c r="I24" i="47"/>
  <c r="K24" i="47" s="1"/>
  <c r="Q18" i="47"/>
  <c r="S18" i="47" s="1"/>
  <c r="I68" i="46"/>
  <c r="K68" i="46" s="1"/>
  <c r="I63" i="46"/>
  <c r="K63" i="46" s="1"/>
  <c r="I58" i="46"/>
  <c r="K58" i="46" s="1"/>
  <c r="I53" i="46"/>
  <c r="K53" i="46" s="1"/>
  <c r="Q42" i="46"/>
  <c r="S42" i="46" s="1"/>
  <c r="I37" i="46"/>
  <c r="K37" i="46" s="1"/>
  <c r="I32" i="46"/>
  <c r="K32" i="46" s="1"/>
  <c r="I27" i="46"/>
  <c r="K27" i="46" s="1"/>
  <c r="Q21" i="46"/>
  <c r="S21" i="46" s="1"/>
  <c r="Q16" i="46"/>
  <c r="S16" i="46" s="1"/>
  <c r="L72" i="37"/>
  <c r="L66" i="37"/>
  <c r="L60" i="37"/>
  <c r="L54" i="37"/>
  <c r="L48" i="37"/>
  <c r="L42" i="37"/>
  <c r="L36" i="37"/>
  <c r="L30" i="37"/>
  <c r="L24" i="37"/>
  <c r="L18" i="37"/>
  <c r="L67" i="36"/>
  <c r="L62" i="36"/>
  <c r="H57" i="36"/>
  <c r="H51" i="36"/>
  <c r="L45" i="36"/>
  <c r="L34" i="36"/>
  <c r="H29" i="36"/>
  <c r="L23" i="36"/>
  <c r="H18" i="36"/>
  <c r="H72" i="35"/>
  <c r="H55" i="35"/>
  <c r="H44" i="35"/>
  <c r="H38" i="35"/>
  <c r="H32" i="35"/>
  <c r="H21" i="35"/>
  <c r="H64" i="34"/>
  <c r="L58" i="34"/>
  <c r="L53" i="34"/>
  <c r="H48" i="34"/>
  <c r="H42" i="34"/>
  <c r="H36" i="34"/>
  <c r="H30" i="34"/>
  <c r="H24" i="34"/>
  <c r="Q67" i="49"/>
  <c r="S67" i="49" s="1"/>
  <c r="I62" i="49"/>
  <c r="K62" i="49" s="1"/>
  <c r="I56" i="49"/>
  <c r="K56" i="49" s="1"/>
  <c r="Q50" i="49"/>
  <c r="S50" i="49" s="1"/>
  <c r="I45" i="49"/>
  <c r="K45" i="49" s="1"/>
  <c r="Q39" i="49"/>
  <c r="S39" i="49" s="1"/>
  <c r="Q33" i="49"/>
  <c r="S33" i="49" s="1"/>
  <c r="Q27" i="49"/>
  <c r="S27" i="49" s="1"/>
  <c r="Q21" i="49"/>
  <c r="S21" i="49" s="1"/>
  <c r="Q15" i="49"/>
  <c r="S15" i="49" s="1"/>
  <c r="Q70" i="48"/>
  <c r="S70" i="48" s="1"/>
  <c r="Q65" i="48"/>
  <c r="S65" i="48" s="1"/>
  <c r="I61" i="48"/>
  <c r="K61" i="48" s="1"/>
  <c r="Q51" i="48"/>
  <c r="S51" i="48" s="1"/>
  <c r="I47" i="48"/>
  <c r="K47" i="48" s="1"/>
  <c r="I42" i="48"/>
  <c r="K42" i="48" s="1"/>
  <c r="Q37" i="48"/>
  <c r="S37" i="48" s="1"/>
  <c r="I28" i="48"/>
  <c r="K28" i="48" s="1"/>
  <c r="Q23" i="48"/>
  <c r="S23" i="48" s="1"/>
  <c r="Q18" i="48"/>
  <c r="S18" i="48" s="1"/>
  <c r="I68" i="47"/>
  <c r="K68" i="47" s="1"/>
  <c r="I62" i="47"/>
  <c r="K62" i="47" s="1"/>
  <c r="Q56" i="47"/>
  <c r="S56" i="47" s="1"/>
  <c r="I51" i="47"/>
  <c r="K51" i="47" s="1"/>
  <c r="I46" i="47"/>
  <c r="K46" i="47" s="1"/>
  <c r="Q40" i="47"/>
  <c r="S40" i="47" s="1"/>
  <c r="I35" i="47"/>
  <c r="K35" i="47" s="1"/>
  <c r="I29" i="47"/>
  <c r="K29" i="47" s="1"/>
  <c r="Q23" i="47"/>
  <c r="S23" i="47" s="1"/>
  <c r="Q67" i="46"/>
  <c r="S67" i="46" s="1"/>
  <c r="I62" i="46"/>
  <c r="K62" i="46" s="1"/>
  <c r="I57" i="46"/>
  <c r="K57" i="46" s="1"/>
  <c r="I52" i="46"/>
  <c r="K52" i="46" s="1"/>
  <c r="I47" i="46"/>
  <c r="K47" i="46" s="1"/>
  <c r="I42" i="46"/>
  <c r="K42" i="46" s="1"/>
  <c r="Q31" i="46"/>
  <c r="S31" i="46" s="1"/>
  <c r="I26" i="46"/>
  <c r="K26" i="46" s="1"/>
  <c r="Q20" i="46"/>
  <c r="S20" i="46" s="1"/>
  <c r="Q15" i="46"/>
  <c r="S15" i="46" s="1"/>
  <c r="L71" i="37"/>
  <c r="L65" i="37"/>
  <c r="L59" i="37"/>
  <c r="L53" i="37"/>
  <c r="L47" i="37"/>
  <c r="L41" i="37"/>
  <c r="L35" i="37"/>
  <c r="L29" i="37"/>
  <c r="L23" i="37"/>
  <c r="L17" i="37"/>
  <c r="H72" i="36"/>
  <c r="L61" i="36"/>
  <c r="H56" i="36"/>
  <c r="H50" i="36"/>
  <c r="L44" i="36"/>
  <c r="H39" i="36"/>
  <c r="L33" i="36"/>
  <c r="H28" i="36"/>
  <c r="L22" i="36"/>
  <c r="H17" i="36"/>
  <c r="H71" i="35"/>
  <c r="H60" i="35"/>
  <c r="H54" i="35"/>
  <c r="H43" i="35"/>
  <c r="H37" i="35"/>
  <c r="H31" i="35"/>
  <c r="H20" i="35"/>
  <c r="H69" i="34"/>
  <c r="L63" i="34"/>
  <c r="L52" i="34"/>
  <c r="H47" i="34"/>
  <c r="H41" i="34"/>
  <c r="H35" i="34"/>
  <c r="H29" i="34"/>
  <c r="H23" i="34"/>
  <c r="I67" i="49"/>
  <c r="K67" i="49" s="1"/>
  <c r="Q61" i="49"/>
  <c r="S61" i="49" s="1"/>
  <c r="Q55" i="49"/>
  <c r="S55" i="49" s="1"/>
  <c r="I50" i="49"/>
  <c r="K50" i="49" s="1"/>
  <c r="Q44" i="49"/>
  <c r="S44" i="49" s="1"/>
  <c r="I39" i="49"/>
  <c r="K39" i="49" s="1"/>
  <c r="I33" i="49"/>
  <c r="K33" i="49" s="1"/>
  <c r="I27" i="49"/>
  <c r="K27" i="49" s="1"/>
  <c r="I21" i="49"/>
  <c r="K21" i="49" s="1"/>
  <c r="I70" i="48"/>
  <c r="K70" i="48" s="1"/>
  <c r="Q60" i="48"/>
  <c r="S60" i="48" s="1"/>
  <c r="I56" i="48"/>
  <c r="K56" i="48" s="1"/>
  <c r="I51" i="48"/>
  <c r="K51" i="48" s="1"/>
  <c r="Q46" i="48"/>
  <c r="S46" i="48" s="1"/>
  <c r="I37" i="48"/>
  <c r="K37" i="48" s="1"/>
  <c r="Q32" i="48"/>
  <c r="S32" i="48" s="1"/>
  <c r="Q27" i="48"/>
  <c r="S27" i="48" s="1"/>
  <c r="I18" i="48"/>
  <c r="K18" i="48" s="1"/>
  <c r="Q67" i="47"/>
  <c r="S67" i="47" s="1"/>
  <c r="Q61" i="47"/>
  <c r="S61" i="47" s="1"/>
  <c r="I56" i="47"/>
  <c r="K56" i="47" s="1"/>
  <c r="Q45" i="47"/>
  <c r="S45" i="47" s="1"/>
  <c r="I40" i="47"/>
  <c r="K40" i="47" s="1"/>
  <c r="Q34" i="47"/>
  <c r="S34" i="47" s="1"/>
  <c r="Q28" i="47"/>
  <c r="S28" i="47" s="1"/>
  <c r="I23" i="47"/>
  <c r="K23" i="47" s="1"/>
  <c r="Q17" i="47"/>
  <c r="S17" i="47" s="1"/>
  <c r="I72" i="46"/>
  <c r="K72" i="46" s="1"/>
  <c r="I67" i="46"/>
  <c r="K67" i="46" s="1"/>
  <c r="Q61" i="46"/>
  <c r="S61" i="46" s="1"/>
  <c r="Q56" i="46"/>
  <c r="S56" i="46" s="1"/>
  <c r="Q51" i="46"/>
  <c r="S51" i="46" s="1"/>
  <c r="Q46" i="46"/>
  <c r="S46" i="46" s="1"/>
  <c r="Q41" i="46"/>
  <c r="S41" i="46" s="1"/>
  <c r="I36" i="46"/>
  <c r="K36" i="46" s="1"/>
  <c r="I31" i="46"/>
  <c r="K31" i="46" s="1"/>
  <c r="Q25" i="46"/>
  <c r="S25" i="46" s="1"/>
  <c r="I20" i="46"/>
  <c r="K20" i="46" s="1"/>
  <c r="H71" i="37"/>
  <c r="H65" i="37"/>
  <c r="H59" i="37"/>
  <c r="H53" i="37"/>
  <c r="H47" i="37"/>
  <c r="H41" i="37"/>
  <c r="H35" i="37"/>
  <c r="H29" i="37"/>
  <c r="H23" i="37"/>
  <c r="H17" i="37"/>
  <c r="L71" i="36"/>
  <c r="L66" i="36"/>
  <c r="H61" i="36"/>
  <c r="L55" i="36"/>
  <c r="L49" i="36"/>
  <c r="H44" i="36"/>
  <c r="L38" i="36"/>
  <c r="H33" i="36"/>
  <c r="H22" i="36"/>
  <c r="H65" i="35"/>
  <c r="H25" i="35"/>
  <c r="L68" i="34"/>
  <c r="H63" i="34"/>
  <c r="L57" i="34"/>
  <c r="H52" i="34"/>
  <c r="L46" i="34"/>
  <c r="L40" i="34"/>
  <c r="L34" i="34"/>
  <c r="L28" i="34"/>
  <c r="L22" i="34"/>
  <c r="I72" i="49"/>
  <c r="K72" i="49" s="1"/>
  <c r="I66" i="49"/>
  <c r="K66" i="49" s="1"/>
  <c r="Q60" i="49"/>
  <c r="S60" i="49" s="1"/>
  <c r="Q54" i="49"/>
  <c r="S54" i="49" s="1"/>
  <c r="I49" i="49"/>
  <c r="K49" i="49" s="1"/>
  <c r="Q43" i="49"/>
  <c r="S43" i="49" s="1"/>
  <c r="I38" i="49"/>
  <c r="K38" i="49" s="1"/>
  <c r="I32" i="49"/>
  <c r="K32" i="49" s="1"/>
  <c r="I26" i="49"/>
  <c r="K26" i="49" s="1"/>
  <c r="I20" i="49"/>
  <c r="K20" i="49" s="1"/>
  <c r="I69" i="48"/>
  <c r="K69" i="48" s="1"/>
  <c r="Q64" i="48"/>
  <c r="S64" i="48" s="1"/>
  <c r="I55" i="48"/>
  <c r="K55" i="48" s="1"/>
  <c r="Q50" i="48"/>
  <c r="S50" i="48" s="1"/>
  <c r="Q45" i="48"/>
  <c r="S45" i="48" s="1"/>
  <c r="I36" i="48"/>
  <c r="K36" i="48" s="1"/>
  <c r="I32" i="48"/>
  <c r="K32" i="48" s="1"/>
  <c r="Q22" i="48"/>
  <c r="S22" i="48" s="1"/>
  <c r="Q17" i="48"/>
  <c r="S17" i="48" s="1"/>
  <c r="I72" i="47"/>
  <c r="K72" i="47" s="1"/>
  <c r="Q66" i="47"/>
  <c r="S66" i="47" s="1"/>
  <c r="Q60" i="47"/>
  <c r="S60" i="47" s="1"/>
  <c r="I55" i="47"/>
  <c r="K55" i="47" s="1"/>
  <c r="I50" i="47"/>
  <c r="K50" i="47" s="1"/>
  <c r="Q44" i="47"/>
  <c r="S44" i="47" s="1"/>
  <c r="I39" i="47"/>
  <c r="K39" i="47" s="1"/>
  <c r="Q33" i="47"/>
  <c r="S33" i="47" s="1"/>
  <c r="Q27" i="47"/>
  <c r="S27" i="47" s="1"/>
  <c r="I22" i="47"/>
  <c r="K22" i="47" s="1"/>
  <c r="Q16" i="47"/>
  <c r="S16" i="47" s="1"/>
  <c r="Q71" i="46"/>
  <c r="S71" i="46" s="1"/>
  <c r="Q60" i="46"/>
  <c r="S60" i="46" s="1"/>
  <c r="Q50" i="46"/>
  <c r="S50" i="46" s="1"/>
  <c r="Q45" i="46"/>
  <c r="S45" i="46" s="1"/>
  <c r="Q40" i="46"/>
  <c r="S40" i="46" s="1"/>
  <c r="Q35" i="46"/>
  <c r="S35" i="46" s="1"/>
  <c r="Q24" i="46"/>
  <c r="S24" i="46" s="1"/>
  <c r="Q19" i="46"/>
  <c r="S19" i="46" s="1"/>
  <c r="H70" i="37"/>
  <c r="H64" i="37"/>
  <c r="H58" i="37"/>
  <c r="H52" i="37"/>
  <c r="H46" i="37"/>
  <c r="H40" i="37"/>
  <c r="H34" i="37"/>
  <c r="H28" i="37"/>
  <c r="H22" i="37"/>
  <c r="L70" i="36"/>
  <c r="L65" i="36"/>
  <c r="H60" i="36"/>
  <c r="L54" i="36"/>
  <c r="H43" i="36"/>
  <c r="L37" i="36"/>
  <c r="H32" i="36"/>
  <c r="H27" i="36"/>
  <c r="L21" i="36"/>
  <c r="H64" i="35"/>
  <c r="H30" i="35"/>
  <c r="H73" i="34"/>
  <c r="L67" i="34"/>
  <c r="H62" i="34"/>
  <c r="L56" i="34"/>
  <c r="L51" i="34"/>
  <c r="L45" i="34"/>
  <c r="L39" i="34"/>
  <c r="L33" i="34"/>
  <c r="L27" i="34"/>
  <c r="L21" i="34"/>
  <c r="Q66" i="49"/>
  <c r="S66" i="49" s="1"/>
  <c r="I44" i="49"/>
  <c r="K44" i="49" s="1"/>
  <c r="Q20" i="49"/>
  <c r="S20" i="49" s="1"/>
  <c r="I65" i="48"/>
  <c r="K65" i="48" s="1"/>
  <c r="I46" i="48"/>
  <c r="K46" i="48" s="1"/>
  <c r="I27" i="48"/>
  <c r="K27" i="48" s="1"/>
  <c r="Q72" i="47"/>
  <c r="S72" i="47" s="1"/>
  <c r="Q50" i="47"/>
  <c r="S50" i="47" s="1"/>
  <c r="I28" i="47"/>
  <c r="K28" i="47" s="1"/>
  <c r="I51" i="46"/>
  <c r="K51" i="46" s="1"/>
  <c r="Q30" i="46"/>
  <c r="S30" i="46" s="1"/>
  <c r="H55" i="37"/>
  <c r="H31" i="37"/>
  <c r="H55" i="36"/>
  <c r="L32" i="36"/>
  <c r="H53" i="34"/>
  <c r="L29" i="34"/>
  <c r="L72" i="36"/>
  <c r="H70" i="34"/>
  <c r="L24" i="34"/>
  <c r="Q38" i="48"/>
  <c r="S38" i="48" s="1"/>
  <c r="H48" i="37"/>
  <c r="Q63" i="49"/>
  <c r="S63" i="49" s="1"/>
  <c r="I41" i="49"/>
  <c r="K41" i="49" s="1"/>
  <c r="I17" i="49"/>
  <c r="K17" i="49" s="1"/>
  <c r="Q43" i="48"/>
  <c r="S43" i="48" s="1"/>
  <c r="Q24" i="48"/>
  <c r="S24" i="48" s="1"/>
  <c r="Q69" i="47"/>
  <c r="S69" i="47" s="1"/>
  <c r="Q47" i="47"/>
  <c r="S47" i="47" s="1"/>
  <c r="Q24" i="47"/>
  <c r="S24" i="47" s="1"/>
  <c r="Q68" i="46"/>
  <c r="S68" i="46" s="1"/>
  <c r="I48" i="46"/>
  <c r="K48" i="46" s="1"/>
  <c r="Q27" i="46"/>
  <c r="S27" i="46" s="1"/>
  <c r="H54" i="37"/>
  <c r="H30" i="37"/>
  <c r="H73" i="36"/>
  <c r="L51" i="36"/>
  <c r="L29" i="36"/>
  <c r="H53" i="35"/>
  <c r="L73" i="34"/>
  <c r="H28" i="34"/>
  <c r="L28" i="37"/>
  <c r="L28" i="36"/>
  <c r="H50" i="35"/>
  <c r="L48" i="34"/>
  <c r="I35" i="49"/>
  <c r="K35" i="49" s="1"/>
  <c r="H68" i="34"/>
  <c r="I34" i="49"/>
  <c r="K34" i="49" s="1"/>
  <c r="H45" i="36"/>
  <c r="H20" i="34"/>
  <c r="Q39" i="47"/>
  <c r="S39" i="47" s="1"/>
  <c r="H43" i="37"/>
  <c r="Q71" i="48"/>
  <c r="S71" i="48" s="1"/>
  <c r="Q37" i="46"/>
  <c r="S37" i="46" s="1"/>
  <c r="H63" i="36"/>
  <c r="H19" i="35"/>
  <c r="Q62" i="49"/>
  <c r="S62" i="49" s="1"/>
  <c r="I40" i="49"/>
  <c r="K40" i="49" s="1"/>
  <c r="I16" i="49"/>
  <c r="K16" i="49" s="1"/>
  <c r="Q61" i="48"/>
  <c r="S61" i="48" s="1"/>
  <c r="Q42" i="48"/>
  <c r="S42" i="48" s="1"/>
  <c r="Q68" i="47"/>
  <c r="S68" i="47" s="1"/>
  <c r="Q46" i="47"/>
  <c r="S46" i="47" s="1"/>
  <c r="Q47" i="46"/>
  <c r="S47" i="46" s="1"/>
  <c r="Q26" i="46"/>
  <c r="S26" i="46" s="1"/>
  <c r="L52" i="37"/>
  <c r="L50" i="36"/>
  <c r="H27" i="35"/>
  <c r="I43" i="46"/>
  <c r="K43" i="46" s="1"/>
  <c r="H48" i="35"/>
  <c r="I21" i="46"/>
  <c r="K21" i="46" s="1"/>
  <c r="L22" i="37"/>
  <c r="L42" i="34"/>
  <c r="Q32" i="49"/>
  <c r="S32" i="49" s="1"/>
  <c r="H19" i="37"/>
  <c r="I29" i="49"/>
  <c r="K29" i="49" s="1"/>
  <c r="I36" i="47"/>
  <c r="K36" i="47" s="1"/>
  <c r="H42" i="37"/>
  <c r="H42" i="35"/>
  <c r="H40" i="34"/>
  <c r="I61" i="49"/>
  <c r="K61" i="49" s="1"/>
  <c r="Q38" i="49"/>
  <c r="S38" i="49" s="1"/>
  <c r="I60" i="48"/>
  <c r="K60" i="48" s="1"/>
  <c r="Q41" i="48"/>
  <c r="S41" i="48" s="1"/>
  <c r="I23" i="48"/>
  <c r="K23" i="48" s="1"/>
  <c r="I67" i="47"/>
  <c r="K67" i="47" s="1"/>
  <c r="I45" i="47"/>
  <c r="K45" i="47" s="1"/>
  <c r="Q22" i="47"/>
  <c r="S22" i="47" s="1"/>
  <c r="Q66" i="46"/>
  <c r="S66" i="46" s="1"/>
  <c r="I46" i="46"/>
  <c r="K46" i="46" s="1"/>
  <c r="I25" i="46"/>
  <c r="K25" i="46" s="1"/>
  <c r="H73" i="37"/>
  <c r="H49" i="37"/>
  <c r="H25" i="37"/>
  <c r="H71" i="36"/>
  <c r="H49" i="36"/>
  <c r="L27" i="36"/>
  <c r="H49" i="35"/>
  <c r="H26" i="35"/>
  <c r="L69" i="34"/>
  <c r="L47" i="34"/>
  <c r="L23" i="34"/>
  <c r="Q57" i="49"/>
  <c r="S57" i="49" s="1"/>
  <c r="Q57" i="48"/>
  <c r="S57" i="48" s="1"/>
  <c r="I20" i="48"/>
  <c r="K20" i="48" s="1"/>
  <c r="Q63" i="47"/>
  <c r="S63" i="47" s="1"/>
  <c r="I19" i="47"/>
  <c r="K19" i="47" s="1"/>
  <c r="Q63" i="46"/>
  <c r="S63" i="46" s="1"/>
  <c r="I22" i="46"/>
  <c r="K22" i="46" s="1"/>
  <c r="H72" i="37"/>
  <c r="H24" i="37"/>
  <c r="H68" i="36"/>
  <c r="H46" i="36"/>
  <c r="H24" i="36"/>
  <c r="H70" i="35"/>
  <c r="H46" i="34"/>
  <c r="H22" i="34"/>
  <c r="Q56" i="49"/>
  <c r="S56" i="49" s="1"/>
  <c r="Q56" i="48"/>
  <c r="S56" i="48" s="1"/>
  <c r="I38" i="48"/>
  <c r="K38" i="48" s="1"/>
  <c r="I19" i="48"/>
  <c r="K19" i="48" s="1"/>
  <c r="Q62" i="47"/>
  <c r="S62" i="47" s="1"/>
  <c r="I41" i="47"/>
  <c r="K41" i="47" s="1"/>
  <c r="I18" i="47"/>
  <c r="K18" i="47" s="1"/>
  <c r="Q62" i="46"/>
  <c r="S62" i="46" s="1"/>
  <c r="L70" i="37"/>
  <c r="L46" i="37"/>
  <c r="H67" i="36"/>
  <c r="H23" i="36"/>
  <c r="L64" i="34"/>
  <c r="I55" i="49"/>
  <c r="K55" i="49" s="1"/>
  <c r="Q55" i="48"/>
  <c r="S55" i="48" s="1"/>
  <c r="Q36" i="48"/>
  <c r="S36" i="48" s="1"/>
  <c r="I61" i="47"/>
  <c r="K61" i="47" s="1"/>
  <c r="I17" i="47"/>
  <c r="K17" i="47" s="1"/>
  <c r="I61" i="46"/>
  <c r="K61" i="46" s="1"/>
  <c r="H67" i="37"/>
  <c r="H66" i="36"/>
  <c r="L43" i="36"/>
  <c r="H66" i="35"/>
  <c r="H19" i="34"/>
  <c r="I52" i="49"/>
  <c r="K52" i="49" s="1"/>
  <c r="I53" i="48"/>
  <c r="K53" i="48" s="1"/>
  <c r="I34" i="48"/>
  <c r="K34" i="48" s="1"/>
  <c r="Q58" i="46"/>
  <c r="S58" i="46" s="1"/>
  <c r="I17" i="46"/>
  <c r="K17" i="46" s="1"/>
  <c r="H66" i="37"/>
  <c r="H18" i="37"/>
  <c r="L18" i="36"/>
  <c r="L62" i="34"/>
  <c r="L18" i="34"/>
  <c r="I51" i="49"/>
  <c r="K51" i="49" s="1"/>
  <c r="I28" i="49"/>
  <c r="K28" i="49" s="1"/>
  <c r="I71" i="48"/>
  <c r="K71" i="48" s="1"/>
  <c r="I52" i="48"/>
  <c r="K52" i="48" s="1"/>
  <c r="I33" i="48"/>
  <c r="K33" i="48" s="1"/>
  <c r="I57" i="47"/>
  <c r="K57" i="47" s="1"/>
  <c r="Q35" i="47"/>
  <c r="S35" i="47" s="1"/>
  <c r="Q57" i="46"/>
  <c r="S57" i="46" s="1"/>
  <c r="Q36" i="46"/>
  <c r="S36" i="46" s="1"/>
  <c r="I16" i="46"/>
  <c r="K16" i="46" s="1"/>
  <c r="L64" i="37"/>
  <c r="L40" i="37"/>
  <c r="H62" i="36"/>
  <c r="L39" i="36"/>
  <c r="L17" i="36"/>
  <c r="H61" i="35"/>
  <c r="H59" i="34"/>
  <c r="L36" i="34"/>
  <c r="H18" i="34"/>
  <c r="Q72" i="46"/>
  <c r="S72" i="46" s="1"/>
  <c r="Q72" i="49"/>
  <c r="S72" i="49" s="1"/>
  <c r="Q49" i="49"/>
  <c r="S49" i="49" s="1"/>
  <c r="Q26" i="49"/>
  <c r="S26" i="49" s="1"/>
  <c r="Q69" i="48"/>
  <c r="S69" i="48" s="1"/>
  <c r="Q55" i="47"/>
  <c r="S55" i="47" s="1"/>
  <c r="I34" i="47"/>
  <c r="K34" i="47" s="1"/>
  <c r="I56" i="46"/>
  <c r="K56" i="46" s="1"/>
  <c r="H61" i="37"/>
  <c r="H37" i="37"/>
  <c r="L60" i="36"/>
  <c r="H38" i="36"/>
  <c r="H58" i="34"/>
  <c r="L35" i="34"/>
  <c r="L17" i="34"/>
  <c r="I68" i="49"/>
  <c r="K68" i="49" s="1"/>
  <c r="I22" i="49"/>
  <c r="K22" i="49" s="1"/>
  <c r="I66" i="48"/>
  <c r="K66" i="48" s="1"/>
  <c r="Q28" i="48"/>
  <c r="S28" i="48" s="1"/>
  <c r="Q29" i="47"/>
  <c r="S29" i="47" s="1"/>
  <c r="Q52" i="46"/>
  <c r="S52" i="46" s="1"/>
  <c r="L58" i="37"/>
  <c r="L56" i="36"/>
  <c r="H54" i="34"/>
  <c r="I69" i="49"/>
  <c r="K69" i="49" s="1"/>
  <c r="Q46" i="49"/>
  <c r="S46" i="49" s="1"/>
  <c r="I23" i="49"/>
  <c r="K23" i="49" s="1"/>
  <c r="I67" i="48"/>
  <c r="K67" i="48" s="1"/>
  <c r="I48" i="48"/>
  <c r="K48" i="48" s="1"/>
  <c r="Q52" i="47"/>
  <c r="S52" i="47" s="1"/>
  <c r="Q30" i="47"/>
  <c r="S30" i="47" s="1"/>
  <c r="Q53" i="46"/>
  <c r="S53" i="46" s="1"/>
  <c r="Q32" i="46"/>
  <c r="S32" i="46" s="1"/>
  <c r="H60" i="37"/>
  <c r="H36" i="37"/>
  <c r="L57" i="36"/>
  <c r="H35" i="36"/>
  <c r="H59" i="35"/>
  <c r="H36" i="35"/>
  <c r="H57" i="34"/>
  <c r="H34" i="34"/>
  <c r="H17" i="34"/>
  <c r="Q45" i="49"/>
  <c r="S45" i="49" s="1"/>
  <c r="Q51" i="47"/>
  <c r="S51" i="47" s="1"/>
  <c r="L34" i="37"/>
  <c r="H34" i="36"/>
  <c r="L30" i="34"/>
  <c r="I41" i="46"/>
  <c r="K41" i="46" s="1"/>
  <c r="L41" i="34"/>
  <c r="I58" i="47"/>
  <c r="K58" i="47" s="1"/>
  <c r="H40" i="36"/>
  <c r="M169" i="12"/>
  <c r="M171" i="12" s="1"/>
  <c r="E93" i="2"/>
  <c r="J93" i="2" s="1"/>
  <c r="J27" i="51" l="1"/>
  <c r="R193" i="51"/>
  <c r="R172" i="51"/>
  <c r="J74" i="51"/>
  <c r="R19" i="51"/>
  <c r="R53" i="51"/>
  <c r="J92" i="51"/>
  <c r="R136" i="51"/>
  <c r="J178" i="51"/>
  <c r="R109" i="51"/>
  <c r="R180" i="51"/>
  <c r="J73" i="51"/>
  <c r="J167" i="51"/>
  <c r="J128" i="51"/>
  <c r="J62" i="51"/>
  <c r="J191" i="51"/>
  <c r="R92" i="51"/>
  <c r="R99" i="51"/>
  <c r="R147" i="51"/>
  <c r="R156" i="51"/>
  <c r="J49" i="51"/>
  <c r="R129" i="51"/>
  <c r="J173" i="51"/>
  <c r="R75" i="51"/>
  <c r="J140" i="51"/>
  <c r="J160" i="51"/>
  <c r="R55" i="51"/>
  <c r="R27" i="51"/>
  <c r="R89" i="51"/>
  <c r="J55" i="51"/>
  <c r="J132" i="51"/>
  <c r="R37" i="51"/>
  <c r="J29" i="51"/>
  <c r="J41" i="51"/>
  <c r="R33" i="51"/>
  <c r="R145" i="51"/>
  <c r="J36" i="51"/>
  <c r="J109" i="51"/>
  <c r="J63" i="51"/>
  <c r="R170" i="51"/>
  <c r="R174" i="51"/>
  <c r="J119" i="51"/>
  <c r="R187" i="51"/>
  <c r="J131" i="51"/>
  <c r="J154" i="51"/>
  <c r="R49" i="51"/>
  <c r="J149" i="51"/>
  <c r="J184" i="51"/>
  <c r="R119" i="51"/>
  <c r="J93" i="51"/>
  <c r="J147" i="51"/>
  <c r="J123" i="51"/>
  <c r="R98" i="51"/>
  <c r="J19" i="51"/>
  <c r="J141" i="51"/>
  <c r="R142" i="51"/>
  <c r="J195" i="51"/>
  <c r="J38" i="51"/>
  <c r="R150" i="51"/>
  <c r="J117" i="51"/>
  <c r="J166" i="51"/>
  <c r="R31" i="51"/>
  <c r="J76" i="51"/>
  <c r="R192" i="51"/>
  <c r="J85" i="51"/>
  <c r="J94" i="51"/>
  <c r="R139" i="51"/>
  <c r="R111" i="51"/>
  <c r="J180" i="51"/>
  <c r="J190" i="51"/>
  <c r="R91" i="51"/>
  <c r="J100" i="51"/>
  <c r="R125" i="51"/>
  <c r="J91" i="51"/>
  <c r="J89" i="51"/>
  <c r="R20" i="51"/>
  <c r="R62" i="51"/>
  <c r="J110" i="51"/>
  <c r="R69" i="51"/>
  <c r="R182" i="51"/>
  <c r="J72" i="51"/>
  <c r="J145" i="51"/>
  <c r="R135" i="51"/>
  <c r="J83" i="51"/>
  <c r="J67" i="51"/>
  <c r="R77" i="51"/>
  <c r="J43" i="51"/>
  <c r="J174" i="51"/>
  <c r="J193" i="51"/>
  <c r="R85" i="51"/>
  <c r="J61" i="51"/>
  <c r="R74" i="51"/>
  <c r="J134" i="51"/>
  <c r="R84" i="51"/>
  <c r="R161" i="51"/>
  <c r="R26" i="51"/>
  <c r="R38" i="51"/>
  <c r="R113" i="51"/>
  <c r="R195" i="51"/>
  <c r="J88" i="51"/>
  <c r="R169" i="51"/>
  <c r="J183" i="51"/>
  <c r="R90" i="51"/>
  <c r="R167" i="51"/>
  <c r="R179" i="51"/>
  <c r="J96" i="51"/>
  <c r="R30" i="51"/>
  <c r="J33" i="51"/>
  <c r="J142" i="51"/>
  <c r="R144" i="51"/>
  <c r="J186" i="51"/>
  <c r="R128" i="51"/>
  <c r="R134" i="51"/>
  <c r="J112" i="51"/>
  <c r="R42" i="51"/>
  <c r="R118" i="51"/>
  <c r="R189" i="51"/>
  <c r="J82" i="51"/>
  <c r="J18" i="51"/>
  <c r="R28" i="51"/>
  <c r="R146" i="51"/>
  <c r="R47" i="51"/>
  <c r="R120" i="51"/>
  <c r="J86" i="51"/>
  <c r="R171" i="51"/>
  <c r="R110" i="51"/>
  <c r="J137" i="51"/>
  <c r="J51" i="51"/>
  <c r="J124" i="51"/>
  <c r="J170" i="51"/>
  <c r="J71" i="51"/>
  <c r="R126" i="51"/>
  <c r="J129" i="51"/>
  <c r="J162" i="51"/>
  <c r="R96" i="51"/>
  <c r="J31" i="51"/>
  <c r="J69" i="51"/>
  <c r="J179" i="51"/>
  <c r="R107" i="51"/>
  <c r="R181" i="51"/>
  <c r="R165" i="51"/>
  <c r="R21" i="51"/>
  <c r="J172" i="51"/>
  <c r="R79" i="51"/>
  <c r="R78" i="51"/>
  <c r="R155" i="51"/>
  <c r="J45" i="51"/>
  <c r="J118" i="51"/>
  <c r="R71" i="51"/>
  <c r="J156" i="51"/>
  <c r="J75" i="51"/>
  <c r="R83" i="51"/>
  <c r="R157" i="51"/>
  <c r="R56" i="51"/>
  <c r="J135" i="51"/>
  <c r="J39" i="51"/>
  <c r="J59" i="51"/>
  <c r="J87" i="51"/>
  <c r="J161" i="51"/>
  <c r="R173" i="51"/>
  <c r="J192" i="51"/>
  <c r="R163" i="51"/>
  <c r="R25" i="51"/>
  <c r="R68" i="51"/>
  <c r="J97" i="51"/>
  <c r="J139" i="51"/>
  <c r="J105" i="51"/>
  <c r="R73" i="51"/>
  <c r="R143" i="51"/>
  <c r="J37" i="51"/>
  <c r="J22" i="51"/>
  <c r="R166" i="51"/>
  <c r="J64" i="51"/>
  <c r="R188" i="51"/>
  <c r="R114" i="51"/>
  <c r="R191" i="51"/>
  <c r="J81" i="51"/>
  <c r="J155" i="51"/>
  <c r="K15" i="70"/>
  <c r="K73" i="70" s="1"/>
  <c r="I73" i="70"/>
  <c r="G73" i="60"/>
  <c r="F23" i="19" s="1"/>
  <c r="H15" i="60"/>
  <c r="H73" i="60" s="1"/>
  <c r="K73" i="63"/>
  <c r="H26" i="19" s="1"/>
  <c r="L15" i="63"/>
  <c r="L73" i="63" s="1"/>
  <c r="I73" i="65"/>
  <c r="K15" i="65"/>
  <c r="K73" i="65" s="1"/>
  <c r="K73" i="64"/>
  <c r="H27" i="19" s="1"/>
  <c r="L15" i="64"/>
  <c r="L73" i="64" s="1"/>
  <c r="H15" i="58"/>
  <c r="H73" i="58" s="1"/>
  <c r="G73" i="58"/>
  <c r="F21" i="19" s="1"/>
  <c r="H15" i="62"/>
  <c r="H73" i="62" s="1"/>
  <c r="G73" i="62"/>
  <c r="F25" i="19" s="1"/>
  <c r="K73" i="59"/>
  <c r="H22" i="19" s="1"/>
  <c r="L17" i="59"/>
  <c r="L73" i="59" s="1"/>
  <c r="S15" i="71"/>
  <c r="S73" i="71" s="1"/>
  <c r="Q73" i="71"/>
  <c r="K15" i="68"/>
  <c r="K73" i="68" s="1"/>
  <c r="I73" i="68"/>
  <c r="S15" i="70"/>
  <c r="S73" i="70" s="1"/>
  <c r="Q73" i="70"/>
  <c r="L15" i="58"/>
  <c r="L73" i="58" s="1"/>
  <c r="K73" i="58"/>
  <c r="H21" i="19" s="1"/>
  <c r="G73" i="63"/>
  <c r="F26" i="19" s="1"/>
  <c r="H15" i="63"/>
  <c r="H73" i="63" s="1"/>
  <c r="I73" i="67"/>
  <c r="K15" i="67"/>
  <c r="K73" i="67" s="1"/>
  <c r="K15" i="66"/>
  <c r="K73" i="66" s="1"/>
  <c r="I73" i="66"/>
  <c r="Q73" i="69"/>
  <c r="S17" i="69"/>
  <c r="S73" i="69" s="1"/>
  <c r="S15" i="66"/>
  <c r="S73" i="66" s="1"/>
  <c r="Q73" i="66"/>
  <c r="L15" i="61"/>
  <c r="L73" i="61" s="1"/>
  <c r="K73" i="61"/>
  <c r="H24" i="19" s="1"/>
  <c r="S15" i="72"/>
  <c r="S73" i="72" s="1"/>
  <c r="Q73" i="72"/>
  <c r="K15" i="73"/>
  <c r="K73" i="73" s="1"/>
  <c r="I73" i="73"/>
  <c r="K73" i="60"/>
  <c r="H23" i="19" s="1"/>
  <c r="L15" i="60"/>
  <c r="L73" i="60" s="1"/>
  <c r="S15" i="68"/>
  <c r="S73" i="68" s="1"/>
  <c r="Q73" i="68"/>
  <c r="K73" i="56"/>
  <c r="H19" i="19" s="1"/>
  <c r="L16" i="56"/>
  <c r="L73" i="56" s="1"/>
  <c r="L15" i="57"/>
  <c r="L73" i="57" s="1"/>
  <c r="K73" i="57"/>
  <c r="H20" i="19" s="1"/>
  <c r="H15" i="59"/>
  <c r="H73" i="59" s="1"/>
  <c r="G73" i="59"/>
  <c r="F22" i="19" s="1"/>
  <c r="L15" i="62"/>
  <c r="L73" i="62" s="1"/>
  <c r="K73" i="62"/>
  <c r="H25" i="19" s="1"/>
  <c r="S15" i="65"/>
  <c r="S73" i="65" s="1"/>
  <c r="Q73" i="65"/>
  <c r="Q73" i="67"/>
  <c r="S15" i="67"/>
  <c r="S73" i="67" s="1"/>
  <c r="K15" i="72"/>
  <c r="K73" i="72" s="1"/>
  <c r="I73" i="72"/>
  <c r="K15" i="69"/>
  <c r="K73" i="69" s="1"/>
  <c r="I73" i="69"/>
  <c r="H15" i="56"/>
  <c r="H73" i="56" s="1"/>
  <c r="G73" i="56"/>
  <c r="F19" i="19" s="1"/>
  <c r="G73" i="64"/>
  <c r="F27" i="19" s="1"/>
  <c r="H23" i="64"/>
  <c r="H73" i="64" s="1"/>
  <c r="K15" i="71"/>
  <c r="K73" i="71" s="1"/>
  <c r="I73" i="71"/>
  <c r="H15" i="57"/>
  <c r="H73" i="57" s="1"/>
  <c r="G73" i="57"/>
  <c r="F20" i="19" s="1"/>
  <c r="H15" i="61"/>
  <c r="H73" i="61" s="1"/>
  <c r="G73" i="61"/>
  <c r="F24" i="19" s="1"/>
  <c r="S15" i="73"/>
  <c r="S73" i="73" s="1"/>
  <c r="Q73" i="73"/>
  <c r="K27" i="35"/>
  <c r="L27" i="35" s="1"/>
  <c r="T26" i="47"/>
  <c r="K60" i="35"/>
  <c r="L60" i="35" s="1"/>
  <c r="T59" i="47"/>
  <c r="K25" i="35"/>
  <c r="L25" i="35" s="1"/>
  <c r="T24" i="47"/>
  <c r="K46" i="35"/>
  <c r="L46" i="35" s="1"/>
  <c r="T45" i="47"/>
  <c r="K64" i="35"/>
  <c r="L64" i="35" s="1"/>
  <c r="T63" i="47"/>
  <c r="K55" i="35"/>
  <c r="L55" i="35" s="1"/>
  <c r="T54" i="47"/>
  <c r="K33" i="35"/>
  <c r="L33" i="35" s="1"/>
  <c r="T32" i="47"/>
  <c r="K34" i="35"/>
  <c r="L34" i="35" s="1"/>
  <c r="T33" i="47"/>
  <c r="K20" i="35"/>
  <c r="L20" i="35" s="1"/>
  <c r="T19" i="47"/>
  <c r="K68" i="35"/>
  <c r="L68" i="35" s="1"/>
  <c r="T67" i="47"/>
  <c r="K37" i="35"/>
  <c r="L37" i="35" s="1"/>
  <c r="T36" i="47"/>
  <c r="K39" i="35"/>
  <c r="L39" i="35" s="1"/>
  <c r="T38" i="47"/>
  <c r="K35" i="35"/>
  <c r="L35" i="35" s="1"/>
  <c r="T34" i="47"/>
  <c r="K19" i="35"/>
  <c r="L19" i="35" s="1"/>
  <c r="T18" i="47"/>
  <c r="K26" i="35"/>
  <c r="L26" i="35" s="1"/>
  <c r="T25" i="47"/>
  <c r="K59" i="35"/>
  <c r="L59" i="35" s="1"/>
  <c r="T58" i="47"/>
  <c r="K66" i="35"/>
  <c r="L66" i="35" s="1"/>
  <c r="T65" i="47"/>
  <c r="K44" i="35"/>
  <c r="L44" i="35" s="1"/>
  <c r="T43" i="47"/>
  <c r="K73" i="46"/>
  <c r="I73" i="46"/>
  <c r="K40" i="35"/>
  <c r="L40" i="35" s="1"/>
  <c r="T39" i="47"/>
  <c r="K61" i="35"/>
  <c r="L61" i="35" s="1"/>
  <c r="T60" i="47"/>
  <c r="K69" i="35"/>
  <c r="L69" i="35" s="1"/>
  <c r="T68" i="47"/>
  <c r="K43" i="35"/>
  <c r="L43" i="35" s="1"/>
  <c r="T42" i="47"/>
  <c r="K58" i="35"/>
  <c r="L58" i="35" s="1"/>
  <c r="T57" i="47"/>
  <c r="K71" i="35"/>
  <c r="L71" i="35" s="1"/>
  <c r="T70" i="47"/>
  <c r="K21" i="35"/>
  <c r="L21" i="35" s="1"/>
  <c r="K32" i="35"/>
  <c r="L32" i="35" s="1"/>
  <c r="T31" i="47"/>
  <c r="K56" i="35"/>
  <c r="L56" i="35" s="1"/>
  <c r="T55" i="47"/>
  <c r="K49" i="35"/>
  <c r="L49" i="35" s="1"/>
  <c r="T48" i="47"/>
  <c r="K31" i="35"/>
  <c r="L31" i="35" s="1"/>
  <c r="T30" i="47"/>
  <c r="K29" i="35"/>
  <c r="L29" i="35" s="1"/>
  <c r="T28" i="47"/>
  <c r="K45" i="35"/>
  <c r="L45" i="35" s="1"/>
  <c r="T44" i="47"/>
  <c r="K52" i="35"/>
  <c r="L52" i="35" s="1"/>
  <c r="T51" i="47"/>
  <c r="K54" i="35"/>
  <c r="L54" i="35" s="1"/>
  <c r="T53" i="47"/>
  <c r="K36" i="35"/>
  <c r="L36" i="35" s="1"/>
  <c r="T35" i="47"/>
  <c r="K22" i="35"/>
  <c r="L22" i="35" s="1"/>
  <c r="T21" i="47"/>
  <c r="K63" i="35"/>
  <c r="L63" i="35" s="1"/>
  <c r="T62" i="47"/>
  <c r="K18" i="35"/>
  <c r="L18" i="35" s="1"/>
  <c r="T17" i="47"/>
  <c r="K47" i="35"/>
  <c r="L47" i="35" s="1"/>
  <c r="T46" i="47"/>
  <c r="K62" i="35"/>
  <c r="L62" i="35" s="1"/>
  <c r="T61" i="47"/>
  <c r="K23" i="35"/>
  <c r="L23" i="35" s="1"/>
  <c r="T22" i="47"/>
  <c r="K24" i="35"/>
  <c r="L24" i="35" s="1"/>
  <c r="T23" i="47"/>
  <c r="K28" i="35"/>
  <c r="L28" i="35" s="1"/>
  <c r="T27" i="47"/>
  <c r="K51" i="35"/>
  <c r="L51" i="35" s="1"/>
  <c r="T50" i="47"/>
  <c r="S73" i="46"/>
  <c r="K73" i="35"/>
  <c r="L73" i="35" s="1"/>
  <c r="T72" i="47"/>
  <c r="K50" i="35"/>
  <c r="L50" i="35" s="1"/>
  <c r="T49" i="47"/>
  <c r="K70" i="35"/>
  <c r="L70" i="35" s="1"/>
  <c r="T69" i="47"/>
  <c r="K30" i="35"/>
  <c r="L30" i="35" s="1"/>
  <c r="T29" i="47"/>
  <c r="K41" i="35"/>
  <c r="L41" i="35" s="1"/>
  <c r="T40" i="47"/>
  <c r="K57" i="35"/>
  <c r="L57" i="35" s="1"/>
  <c r="T56" i="47"/>
  <c r="K42" i="35"/>
  <c r="L42" i="35" s="1"/>
  <c r="T41" i="47"/>
  <c r="I73" i="48"/>
  <c r="K73" i="48"/>
  <c r="K48" i="35"/>
  <c r="L48" i="35" s="1"/>
  <c r="T47" i="47"/>
  <c r="K16" i="35"/>
  <c r="L16" i="35" s="1"/>
  <c r="K38" i="35"/>
  <c r="L38" i="35" s="1"/>
  <c r="T37" i="47"/>
  <c r="K17" i="35"/>
  <c r="L17" i="35" s="1"/>
  <c r="T16" i="47"/>
  <c r="K72" i="35"/>
  <c r="L72" i="35" s="1"/>
  <c r="T71" i="47"/>
  <c r="K67" i="35"/>
  <c r="L67" i="35" s="1"/>
  <c r="T66" i="47"/>
  <c r="K53" i="35"/>
  <c r="L53" i="35" s="1"/>
  <c r="T52" i="47"/>
  <c r="K65" i="35"/>
  <c r="L65" i="35" s="1"/>
  <c r="T64" i="47"/>
  <c r="Q73" i="48"/>
  <c r="S73" i="48"/>
  <c r="H74" i="34"/>
  <c r="G94" i="40"/>
  <c r="V94" i="40" s="1"/>
  <c r="G104" i="40"/>
  <c r="V92" i="40"/>
  <c r="L16" i="34"/>
  <c r="L74" i="34" s="1"/>
  <c r="K74" i="34"/>
  <c r="H15" i="33" s="1"/>
  <c r="I73" i="47"/>
  <c r="L16" i="37"/>
  <c r="L74" i="37" s="1"/>
  <c r="K74" i="37"/>
  <c r="H18" i="33" s="1"/>
  <c r="Q73" i="49"/>
  <c r="G74" i="36"/>
  <c r="F17" i="33" s="1"/>
  <c r="H16" i="36"/>
  <c r="H74" i="36" s="1"/>
  <c r="Q73" i="47"/>
  <c r="G74" i="34"/>
  <c r="F15" i="33" s="1"/>
  <c r="H16" i="37"/>
  <c r="H74" i="37" s="1"/>
  <c r="G74" i="37"/>
  <c r="F18" i="33" s="1"/>
  <c r="H16" i="35"/>
  <c r="H74" i="35" s="1"/>
  <c r="G74" i="35"/>
  <c r="F16" i="33" s="1"/>
  <c r="K74" i="36"/>
  <c r="H17" i="33" s="1"/>
  <c r="L16" i="36"/>
  <c r="L74" i="36" s="1"/>
  <c r="Q73" i="46"/>
  <c r="I73" i="49"/>
  <c r="K20" i="16"/>
  <c r="L20" i="16" s="1"/>
  <c r="K28" i="16"/>
  <c r="L28" i="16" s="1"/>
  <c r="K36" i="16"/>
  <c r="L36" i="16" s="1"/>
  <c r="K44" i="16"/>
  <c r="L44" i="16" s="1"/>
  <c r="K52" i="16"/>
  <c r="L52" i="16" s="1"/>
  <c r="K60" i="16"/>
  <c r="L60" i="16" s="1"/>
  <c r="K68" i="16"/>
  <c r="L68" i="16" s="1"/>
  <c r="G34" i="16"/>
  <c r="H34" i="16" s="1"/>
  <c r="G50" i="16"/>
  <c r="H50" i="16" s="1"/>
  <c r="G58" i="16"/>
  <c r="H58" i="16" s="1"/>
  <c r="G66" i="16"/>
  <c r="H66" i="16" s="1"/>
  <c r="K52" i="23"/>
  <c r="L52" i="23" s="1"/>
  <c r="G42" i="23"/>
  <c r="H42" i="23" s="1"/>
  <c r="K20" i="18"/>
  <c r="L20" i="18" s="1"/>
  <c r="K52" i="18"/>
  <c r="L52" i="18" s="1"/>
  <c r="G18" i="18"/>
  <c r="H18" i="18" s="1"/>
  <c r="G50" i="18"/>
  <c r="H50" i="18" s="1"/>
  <c r="G28" i="17"/>
  <c r="H28" i="17" s="1"/>
  <c r="G68" i="17"/>
  <c r="H68" i="17" s="1"/>
  <c r="G67" i="18"/>
  <c r="H67" i="18" s="1"/>
  <c r="K21" i="16"/>
  <c r="L21" i="16" s="1"/>
  <c r="K29" i="16"/>
  <c r="L29" i="16" s="1"/>
  <c r="K37" i="16"/>
  <c r="L37" i="16" s="1"/>
  <c r="K45" i="16"/>
  <c r="L45" i="16" s="1"/>
  <c r="K53" i="16"/>
  <c r="L53" i="16" s="1"/>
  <c r="K61" i="16"/>
  <c r="L61" i="16" s="1"/>
  <c r="K69" i="16"/>
  <c r="L69" i="16" s="1"/>
  <c r="G19" i="16"/>
  <c r="H19" i="16" s="1"/>
  <c r="G27" i="16"/>
  <c r="H27" i="16" s="1"/>
  <c r="G35" i="16"/>
  <c r="H35" i="16" s="1"/>
  <c r="G43" i="16"/>
  <c r="H43" i="16" s="1"/>
  <c r="G51" i="16"/>
  <c r="H51" i="16" s="1"/>
  <c r="G59" i="16"/>
  <c r="H59" i="16" s="1"/>
  <c r="G67" i="16"/>
  <c r="H67" i="16" s="1"/>
  <c r="K21" i="23"/>
  <c r="L21" i="23" s="1"/>
  <c r="K29" i="23"/>
  <c r="L29" i="23" s="1"/>
  <c r="K37" i="23"/>
  <c r="L37" i="23" s="1"/>
  <c r="K45" i="23"/>
  <c r="L45" i="23" s="1"/>
  <c r="K53" i="23"/>
  <c r="L53" i="23" s="1"/>
  <c r="K61" i="23"/>
  <c r="L61" i="23" s="1"/>
  <c r="K69" i="23"/>
  <c r="L69" i="23" s="1"/>
  <c r="G19" i="23"/>
  <c r="H19" i="23" s="1"/>
  <c r="G27" i="23"/>
  <c r="H27" i="23" s="1"/>
  <c r="G35" i="23"/>
  <c r="H35" i="23" s="1"/>
  <c r="G43" i="23"/>
  <c r="H43" i="23" s="1"/>
  <c r="G51" i="23"/>
  <c r="H51" i="23" s="1"/>
  <c r="G59" i="23"/>
  <c r="H59" i="23" s="1"/>
  <c r="G67" i="23"/>
  <c r="H67" i="23" s="1"/>
  <c r="K21" i="18"/>
  <c r="L21" i="18" s="1"/>
  <c r="K29" i="18"/>
  <c r="L29" i="18" s="1"/>
  <c r="K37" i="18"/>
  <c r="L37" i="18" s="1"/>
  <c r="K45" i="18"/>
  <c r="L45" i="18" s="1"/>
  <c r="K53" i="18"/>
  <c r="L53" i="18" s="1"/>
  <c r="K61" i="18"/>
  <c r="L61" i="18" s="1"/>
  <c r="K69" i="18"/>
  <c r="L69" i="18" s="1"/>
  <c r="G19" i="18"/>
  <c r="H19" i="18" s="1"/>
  <c r="G27" i="18"/>
  <c r="H27" i="18" s="1"/>
  <c r="G35" i="18"/>
  <c r="H35" i="18" s="1"/>
  <c r="G59" i="18"/>
  <c r="H59" i="18" s="1"/>
  <c r="K22" i="16"/>
  <c r="L22" i="16" s="1"/>
  <c r="K30" i="16"/>
  <c r="L30" i="16" s="1"/>
  <c r="K38" i="16"/>
  <c r="L38" i="16" s="1"/>
  <c r="K46" i="16"/>
  <c r="L46" i="16" s="1"/>
  <c r="K54" i="16"/>
  <c r="L54" i="16" s="1"/>
  <c r="K62" i="16"/>
  <c r="L62" i="16" s="1"/>
  <c r="K70" i="16"/>
  <c r="L70" i="16" s="1"/>
  <c r="G20" i="16"/>
  <c r="H20" i="16" s="1"/>
  <c r="G28" i="16"/>
  <c r="H28" i="16" s="1"/>
  <c r="G36" i="16"/>
  <c r="H36" i="16" s="1"/>
  <c r="G44" i="16"/>
  <c r="H44" i="16" s="1"/>
  <c r="G52" i="16"/>
  <c r="H52" i="16" s="1"/>
  <c r="G60" i="16"/>
  <c r="H60" i="16" s="1"/>
  <c r="G68" i="16"/>
  <c r="H68" i="16" s="1"/>
  <c r="K22" i="23"/>
  <c r="L22" i="23" s="1"/>
  <c r="K30" i="23"/>
  <c r="L30" i="23" s="1"/>
  <c r="K38" i="23"/>
  <c r="L38" i="23" s="1"/>
  <c r="K46" i="23"/>
  <c r="L46" i="23" s="1"/>
  <c r="K54" i="23"/>
  <c r="L54" i="23" s="1"/>
  <c r="K62" i="23"/>
  <c r="L62" i="23" s="1"/>
  <c r="K70" i="23"/>
  <c r="L70" i="23" s="1"/>
  <c r="G20" i="23"/>
  <c r="H20" i="23" s="1"/>
  <c r="G28" i="23"/>
  <c r="H28" i="23" s="1"/>
  <c r="G36" i="23"/>
  <c r="H36" i="23" s="1"/>
  <c r="G44" i="23"/>
  <c r="H44" i="23" s="1"/>
  <c r="G52" i="23"/>
  <c r="H52" i="23" s="1"/>
  <c r="G60" i="23"/>
  <c r="H60" i="23" s="1"/>
  <c r="G68" i="23"/>
  <c r="H68" i="23" s="1"/>
  <c r="K22" i="18"/>
  <c r="L22" i="18" s="1"/>
  <c r="K30" i="18"/>
  <c r="L30" i="18" s="1"/>
  <c r="K38" i="18"/>
  <c r="L38" i="18" s="1"/>
  <c r="K46" i="18"/>
  <c r="L46" i="18" s="1"/>
  <c r="K54" i="18"/>
  <c r="L54" i="18" s="1"/>
  <c r="K62" i="18"/>
  <c r="L62" i="18" s="1"/>
  <c r="K70" i="18"/>
  <c r="L70" i="18" s="1"/>
  <c r="G20" i="18"/>
  <c r="H20" i="18" s="1"/>
  <c r="G28" i="18"/>
  <c r="H28" i="18" s="1"/>
  <c r="G36" i="18"/>
  <c r="H36" i="18" s="1"/>
  <c r="G44" i="18"/>
  <c r="H44" i="18" s="1"/>
  <c r="G52" i="18"/>
  <c r="H52" i="18" s="1"/>
  <c r="G60" i="18"/>
  <c r="H60" i="18" s="1"/>
  <c r="G68" i="18"/>
  <c r="H68" i="18" s="1"/>
  <c r="K16" i="17"/>
  <c r="K24" i="17"/>
  <c r="L24" i="17" s="1"/>
  <c r="K32" i="17"/>
  <c r="L32" i="17" s="1"/>
  <c r="K40" i="17"/>
  <c r="L40" i="17" s="1"/>
  <c r="K48" i="17"/>
  <c r="L48" i="17" s="1"/>
  <c r="K56" i="17"/>
  <c r="L56" i="17" s="1"/>
  <c r="K64" i="17"/>
  <c r="L64" i="17" s="1"/>
  <c r="K72" i="17"/>
  <c r="L72" i="17" s="1"/>
  <c r="G22" i="17"/>
  <c r="H22" i="17" s="1"/>
  <c r="G30" i="17"/>
  <c r="H30" i="17" s="1"/>
  <c r="G38" i="17"/>
  <c r="H38" i="17" s="1"/>
  <c r="G46" i="17"/>
  <c r="H46" i="17" s="1"/>
  <c r="G54" i="17"/>
  <c r="H54" i="17" s="1"/>
  <c r="G62" i="17"/>
  <c r="H62" i="17" s="1"/>
  <c r="G70" i="17"/>
  <c r="H70" i="17" s="1"/>
  <c r="K71" i="23"/>
  <c r="L71" i="23" s="1"/>
  <c r="G61" i="23"/>
  <c r="H61" i="23" s="1"/>
  <c r="K31" i="18"/>
  <c r="L31" i="18" s="1"/>
  <c r="K47" i="18"/>
  <c r="L47" i="18" s="1"/>
  <c r="K63" i="18"/>
  <c r="L63" i="18" s="1"/>
  <c r="K71" i="18"/>
  <c r="L71" i="18" s="1"/>
  <c r="G29" i="18"/>
  <c r="H29" i="18" s="1"/>
  <c r="G37" i="18"/>
  <c r="H37" i="18" s="1"/>
  <c r="G53" i="18"/>
  <c r="H53" i="18" s="1"/>
  <c r="G61" i="18"/>
  <c r="H61" i="18" s="1"/>
  <c r="K17" i="17"/>
  <c r="L17" i="17" s="1"/>
  <c r="K23" i="16"/>
  <c r="L23" i="16" s="1"/>
  <c r="K31" i="16"/>
  <c r="L31" i="16" s="1"/>
  <c r="K39" i="16"/>
  <c r="L39" i="16" s="1"/>
  <c r="K47" i="16"/>
  <c r="L47" i="16" s="1"/>
  <c r="K55" i="16"/>
  <c r="L55" i="16" s="1"/>
  <c r="K63" i="16"/>
  <c r="L63" i="16" s="1"/>
  <c r="K71" i="16"/>
  <c r="L71" i="16" s="1"/>
  <c r="G21" i="16"/>
  <c r="H21" i="16" s="1"/>
  <c r="G29" i="16"/>
  <c r="H29" i="16" s="1"/>
  <c r="G37" i="16"/>
  <c r="H37" i="16" s="1"/>
  <c r="G45" i="16"/>
  <c r="H45" i="16" s="1"/>
  <c r="G53" i="16"/>
  <c r="H53" i="16" s="1"/>
  <c r="G61" i="16"/>
  <c r="H61" i="16" s="1"/>
  <c r="G69" i="16"/>
  <c r="H69" i="16" s="1"/>
  <c r="K23" i="23"/>
  <c r="L23" i="23" s="1"/>
  <c r="K31" i="23"/>
  <c r="L31" i="23" s="1"/>
  <c r="K39" i="23"/>
  <c r="L39" i="23" s="1"/>
  <c r="K47" i="23"/>
  <c r="L47" i="23" s="1"/>
  <c r="K55" i="23"/>
  <c r="L55" i="23" s="1"/>
  <c r="K63" i="23"/>
  <c r="L63" i="23" s="1"/>
  <c r="G21" i="23"/>
  <c r="H21" i="23" s="1"/>
  <c r="G29" i="23"/>
  <c r="H29" i="23" s="1"/>
  <c r="G37" i="23"/>
  <c r="H37" i="23" s="1"/>
  <c r="G45" i="23"/>
  <c r="H45" i="23" s="1"/>
  <c r="G53" i="23"/>
  <c r="H53" i="23" s="1"/>
  <c r="G69" i="23"/>
  <c r="H69" i="23" s="1"/>
  <c r="K23" i="18"/>
  <c r="L23" i="18" s="1"/>
  <c r="K39" i="18"/>
  <c r="L39" i="18" s="1"/>
  <c r="K55" i="18"/>
  <c r="L55" i="18" s="1"/>
  <c r="G21" i="18"/>
  <c r="H21" i="18" s="1"/>
  <c r="G45" i="18"/>
  <c r="H45" i="18" s="1"/>
  <c r="G69" i="18"/>
  <c r="H69" i="18" s="1"/>
  <c r="K16" i="16"/>
  <c r="L16" i="16" s="1"/>
  <c r="K24" i="16"/>
  <c r="L24" i="16" s="1"/>
  <c r="K32" i="16"/>
  <c r="L32" i="16" s="1"/>
  <c r="K40" i="16"/>
  <c r="L40" i="16" s="1"/>
  <c r="K48" i="16"/>
  <c r="L48" i="16" s="1"/>
  <c r="K56" i="16"/>
  <c r="L56" i="16" s="1"/>
  <c r="K64" i="16"/>
  <c r="L64" i="16" s="1"/>
  <c r="K72" i="16"/>
  <c r="L72" i="16" s="1"/>
  <c r="G22" i="16"/>
  <c r="H22" i="16" s="1"/>
  <c r="G30" i="16"/>
  <c r="H30" i="16" s="1"/>
  <c r="G38" i="16"/>
  <c r="H38" i="16" s="1"/>
  <c r="G46" i="16"/>
  <c r="H46" i="16" s="1"/>
  <c r="G54" i="16"/>
  <c r="H54" i="16" s="1"/>
  <c r="G62" i="16"/>
  <c r="H62" i="16" s="1"/>
  <c r="G70" i="16"/>
  <c r="H70" i="16" s="1"/>
  <c r="K16" i="23"/>
  <c r="L16" i="23" s="1"/>
  <c r="K24" i="23"/>
  <c r="L24" i="23" s="1"/>
  <c r="K32" i="23"/>
  <c r="L32" i="23" s="1"/>
  <c r="K40" i="23"/>
  <c r="L40" i="23" s="1"/>
  <c r="K48" i="23"/>
  <c r="L48" i="23" s="1"/>
  <c r="K56" i="23"/>
  <c r="L56" i="23" s="1"/>
  <c r="K64" i="23"/>
  <c r="L64" i="23" s="1"/>
  <c r="K72" i="23"/>
  <c r="L72" i="23" s="1"/>
  <c r="G22" i="23"/>
  <c r="H22" i="23" s="1"/>
  <c r="G30" i="23"/>
  <c r="H30" i="23" s="1"/>
  <c r="G38" i="23"/>
  <c r="H38" i="23" s="1"/>
  <c r="G46" i="23"/>
  <c r="H46" i="23" s="1"/>
  <c r="G54" i="23"/>
  <c r="H54" i="23" s="1"/>
  <c r="G62" i="23"/>
  <c r="H62" i="23" s="1"/>
  <c r="G70" i="23"/>
  <c r="H70" i="23" s="1"/>
  <c r="K16" i="18"/>
  <c r="L16" i="18" s="1"/>
  <c r="K24" i="18"/>
  <c r="L24" i="18" s="1"/>
  <c r="K32" i="18"/>
  <c r="L32" i="18" s="1"/>
  <c r="K40" i="18"/>
  <c r="L40" i="18" s="1"/>
  <c r="K48" i="18"/>
  <c r="L48" i="18" s="1"/>
  <c r="K56" i="18"/>
  <c r="L56" i="18" s="1"/>
  <c r="K64" i="18"/>
  <c r="L64" i="18" s="1"/>
  <c r="K72" i="18"/>
  <c r="L72" i="18" s="1"/>
  <c r="G22" i="18"/>
  <c r="H22" i="18" s="1"/>
  <c r="G30" i="18"/>
  <c r="H30" i="18" s="1"/>
  <c r="G38" i="18"/>
  <c r="H38" i="18" s="1"/>
  <c r="G46" i="18"/>
  <c r="H46" i="18" s="1"/>
  <c r="G54" i="18"/>
  <c r="H54" i="18" s="1"/>
  <c r="G62" i="18"/>
  <c r="H62" i="18" s="1"/>
  <c r="G70" i="18"/>
  <c r="H70" i="18" s="1"/>
  <c r="K18" i="17"/>
  <c r="L18" i="17" s="1"/>
  <c r="K17" i="16"/>
  <c r="L17" i="16" s="1"/>
  <c r="K18" i="16"/>
  <c r="L18" i="16" s="1"/>
  <c r="K26" i="16"/>
  <c r="L26" i="16" s="1"/>
  <c r="K34" i="16"/>
  <c r="L34" i="16" s="1"/>
  <c r="K42" i="16"/>
  <c r="L42" i="16" s="1"/>
  <c r="K50" i="16"/>
  <c r="L50" i="16" s="1"/>
  <c r="K58" i="16"/>
  <c r="L58" i="16" s="1"/>
  <c r="K66" i="16"/>
  <c r="L66" i="16" s="1"/>
  <c r="G24" i="16"/>
  <c r="H24" i="16" s="1"/>
  <c r="G32" i="16"/>
  <c r="H32" i="16" s="1"/>
  <c r="G40" i="16"/>
  <c r="H40" i="16" s="1"/>
  <c r="G48" i="16"/>
  <c r="H48" i="16" s="1"/>
  <c r="G56" i="16"/>
  <c r="H56" i="16" s="1"/>
  <c r="G64" i="16"/>
  <c r="H64" i="16" s="1"/>
  <c r="G72" i="16"/>
  <c r="H72" i="16" s="1"/>
  <c r="K18" i="23"/>
  <c r="L18" i="23" s="1"/>
  <c r="K26" i="23"/>
  <c r="L26" i="23" s="1"/>
  <c r="K34" i="23"/>
  <c r="L34" i="23" s="1"/>
  <c r="K42" i="23"/>
  <c r="L42" i="23" s="1"/>
  <c r="K50" i="23"/>
  <c r="L50" i="23" s="1"/>
  <c r="K58" i="23"/>
  <c r="L58" i="23" s="1"/>
  <c r="K66" i="23"/>
  <c r="L66" i="23" s="1"/>
  <c r="G16" i="23"/>
  <c r="H16" i="23" s="1"/>
  <c r="G24" i="23"/>
  <c r="H24" i="23" s="1"/>
  <c r="G32" i="23"/>
  <c r="H32" i="23" s="1"/>
  <c r="G40" i="23"/>
  <c r="H40" i="23" s="1"/>
  <c r="G48" i="23"/>
  <c r="H48" i="23" s="1"/>
  <c r="G56" i="23"/>
  <c r="H56" i="23" s="1"/>
  <c r="G64" i="23"/>
  <c r="H64" i="23" s="1"/>
  <c r="G72" i="23"/>
  <c r="H72" i="23" s="1"/>
  <c r="K18" i="18"/>
  <c r="L18" i="18" s="1"/>
  <c r="K26" i="18"/>
  <c r="L26" i="18" s="1"/>
  <c r="K34" i="18"/>
  <c r="L34" i="18" s="1"/>
  <c r="K42" i="18"/>
  <c r="L42" i="18" s="1"/>
  <c r="K50" i="18"/>
  <c r="L50" i="18" s="1"/>
  <c r="K58" i="18"/>
  <c r="L58" i="18" s="1"/>
  <c r="K66" i="18"/>
  <c r="L66" i="18" s="1"/>
  <c r="G16" i="18"/>
  <c r="H16" i="18" s="1"/>
  <c r="G24" i="18"/>
  <c r="H24" i="18" s="1"/>
  <c r="G32" i="18"/>
  <c r="H32" i="18" s="1"/>
  <c r="G40" i="18"/>
  <c r="H40" i="18" s="1"/>
  <c r="G48" i="18"/>
  <c r="H48" i="18" s="1"/>
  <c r="G56" i="18"/>
  <c r="H56" i="18" s="1"/>
  <c r="G64" i="18"/>
  <c r="H64" i="18" s="1"/>
  <c r="G72" i="18"/>
  <c r="H72" i="18" s="1"/>
  <c r="K20" i="17"/>
  <c r="L20" i="17" s="1"/>
  <c r="K28" i="17"/>
  <c r="L28" i="17" s="1"/>
  <c r="K36" i="17"/>
  <c r="L36" i="17" s="1"/>
  <c r="K44" i="17"/>
  <c r="L44" i="17" s="1"/>
  <c r="K52" i="17"/>
  <c r="L52" i="17" s="1"/>
  <c r="K60" i="17"/>
  <c r="L60" i="17" s="1"/>
  <c r="K68" i="17"/>
  <c r="L68" i="17" s="1"/>
  <c r="G18" i="17"/>
  <c r="H18" i="17" s="1"/>
  <c r="G26" i="17"/>
  <c r="H26" i="17" s="1"/>
  <c r="G34" i="17"/>
  <c r="H34" i="17" s="1"/>
  <c r="G42" i="17"/>
  <c r="H42" i="17" s="1"/>
  <c r="G50" i="17"/>
  <c r="H50" i="17" s="1"/>
  <c r="G58" i="17"/>
  <c r="H58" i="17" s="1"/>
  <c r="G66" i="17"/>
  <c r="H66" i="17" s="1"/>
  <c r="G26" i="16"/>
  <c r="H26" i="16" s="1"/>
  <c r="K20" i="23"/>
  <c r="L20" i="23" s="1"/>
  <c r="K28" i="23"/>
  <c r="L28" i="23" s="1"/>
  <c r="K36" i="23"/>
  <c r="L36" i="23" s="1"/>
  <c r="K44" i="23"/>
  <c r="L44" i="23" s="1"/>
  <c r="K60" i="23"/>
  <c r="L60" i="23" s="1"/>
  <c r="G18" i="23"/>
  <c r="H18" i="23" s="1"/>
  <c r="G26" i="23"/>
  <c r="H26" i="23" s="1"/>
  <c r="G50" i="23"/>
  <c r="H50" i="23" s="1"/>
  <c r="G66" i="23"/>
  <c r="H66" i="23" s="1"/>
  <c r="K28" i="18"/>
  <c r="L28" i="18" s="1"/>
  <c r="K36" i="18"/>
  <c r="L36" i="18" s="1"/>
  <c r="K44" i="18"/>
  <c r="L44" i="18" s="1"/>
  <c r="K60" i="18"/>
  <c r="L60" i="18" s="1"/>
  <c r="K68" i="18"/>
  <c r="L68" i="18" s="1"/>
  <c r="G34" i="18"/>
  <c r="H34" i="18" s="1"/>
  <c r="G42" i="18"/>
  <c r="H42" i="18" s="1"/>
  <c r="G58" i="18"/>
  <c r="H58" i="18" s="1"/>
  <c r="K22" i="17"/>
  <c r="L22" i="17" s="1"/>
  <c r="K38" i="17"/>
  <c r="L38" i="17" s="1"/>
  <c r="K46" i="17"/>
  <c r="L46" i="17" s="1"/>
  <c r="K62" i="17"/>
  <c r="L62" i="17" s="1"/>
  <c r="G20" i="17"/>
  <c r="H20" i="17" s="1"/>
  <c r="G44" i="17"/>
  <c r="H44" i="17" s="1"/>
  <c r="G60" i="17"/>
  <c r="H60" i="17" s="1"/>
  <c r="G43" i="18"/>
  <c r="H43" i="18" s="1"/>
  <c r="K19" i="16"/>
  <c r="L19" i="16" s="1"/>
  <c r="K27" i="16"/>
  <c r="L27" i="16" s="1"/>
  <c r="K35" i="16"/>
  <c r="L35" i="16" s="1"/>
  <c r="K43" i="16"/>
  <c r="L43" i="16" s="1"/>
  <c r="K51" i="16"/>
  <c r="L51" i="16" s="1"/>
  <c r="K59" i="16"/>
  <c r="L59" i="16" s="1"/>
  <c r="K67" i="16"/>
  <c r="L67" i="16" s="1"/>
  <c r="G25" i="16"/>
  <c r="H25" i="16" s="1"/>
  <c r="G33" i="16"/>
  <c r="H33" i="16" s="1"/>
  <c r="G41" i="16"/>
  <c r="H41" i="16" s="1"/>
  <c r="G49" i="16"/>
  <c r="H49" i="16" s="1"/>
  <c r="G57" i="16"/>
  <c r="H57" i="16" s="1"/>
  <c r="G65" i="16"/>
  <c r="H65" i="16" s="1"/>
  <c r="K19" i="23"/>
  <c r="L19" i="23" s="1"/>
  <c r="K27" i="23"/>
  <c r="L27" i="23" s="1"/>
  <c r="K35" i="23"/>
  <c r="L35" i="23" s="1"/>
  <c r="K43" i="23"/>
  <c r="L43" i="23" s="1"/>
  <c r="K51" i="23"/>
  <c r="L51" i="23" s="1"/>
  <c r="K59" i="23"/>
  <c r="L59" i="23" s="1"/>
  <c r="K67" i="23"/>
  <c r="L67" i="23" s="1"/>
  <c r="G17" i="23"/>
  <c r="H17" i="23" s="1"/>
  <c r="G25" i="23"/>
  <c r="H25" i="23" s="1"/>
  <c r="G33" i="23"/>
  <c r="H33" i="23" s="1"/>
  <c r="G41" i="23"/>
  <c r="H41" i="23" s="1"/>
  <c r="G49" i="23"/>
  <c r="H49" i="23" s="1"/>
  <c r="G57" i="23"/>
  <c r="H57" i="23" s="1"/>
  <c r="G65" i="23"/>
  <c r="H65" i="23" s="1"/>
  <c r="G15" i="23"/>
  <c r="K19" i="18"/>
  <c r="L19" i="18" s="1"/>
  <c r="K27" i="18"/>
  <c r="L27" i="18" s="1"/>
  <c r="K35" i="18"/>
  <c r="L35" i="18" s="1"/>
  <c r="K43" i="18"/>
  <c r="L43" i="18" s="1"/>
  <c r="K51" i="18"/>
  <c r="L51" i="18" s="1"/>
  <c r="K59" i="18"/>
  <c r="L59" i="18" s="1"/>
  <c r="K67" i="18"/>
  <c r="L67" i="18" s="1"/>
  <c r="G17" i="18"/>
  <c r="H17" i="18" s="1"/>
  <c r="G25" i="18"/>
  <c r="H25" i="18" s="1"/>
  <c r="G33" i="18"/>
  <c r="H33" i="18" s="1"/>
  <c r="G41" i="18"/>
  <c r="H41" i="18" s="1"/>
  <c r="G49" i="18"/>
  <c r="H49" i="18" s="1"/>
  <c r="G57" i="18"/>
  <c r="H57" i="18" s="1"/>
  <c r="G65" i="18"/>
  <c r="H65" i="18" s="1"/>
  <c r="G15" i="18"/>
  <c r="K21" i="17"/>
  <c r="L21" i="17" s="1"/>
  <c r="K29" i="17"/>
  <c r="L29" i="17" s="1"/>
  <c r="K37" i="17"/>
  <c r="L37" i="17" s="1"/>
  <c r="K45" i="17"/>
  <c r="L45" i="17" s="1"/>
  <c r="K53" i="17"/>
  <c r="L53" i="17" s="1"/>
  <c r="K61" i="17"/>
  <c r="L61" i="17" s="1"/>
  <c r="K69" i="17"/>
  <c r="L69" i="17" s="1"/>
  <c r="G19" i="17"/>
  <c r="H19" i="17" s="1"/>
  <c r="G27" i="17"/>
  <c r="H27" i="17" s="1"/>
  <c r="G35" i="17"/>
  <c r="H35" i="17" s="1"/>
  <c r="G43" i="17"/>
  <c r="H43" i="17" s="1"/>
  <c r="G51" i="17"/>
  <c r="H51" i="17" s="1"/>
  <c r="G59" i="17"/>
  <c r="H59" i="17" s="1"/>
  <c r="G67" i="17"/>
  <c r="H67" i="17" s="1"/>
  <c r="G42" i="16"/>
  <c r="H42" i="16" s="1"/>
  <c r="K68" i="23"/>
  <c r="L68" i="23" s="1"/>
  <c r="G34" i="23"/>
  <c r="H34" i="23" s="1"/>
  <c r="G58" i="23"/>
  <c r="H58" i="23" s="1"/>
  <c r="G26" i="18"/>
  <c r="H26" i="18" s="1"/>
  <c r="G66" i="18"/>
  <c r="H66" i="18" s="1"/>
  <c r="K30" i="17"/>
  <c r="L30" i="17" s="1"/>
  <c r="K54" i="17"/>
  <c r="L54" i="17" s="1"/>
  <c r="K70" i="17"/>
  <c r="L70" i="17" s="1"/>
  <c r="G36" i="17"/>
  <c r="H36" i="17" s="1"/>
  <c r="G52" i="17"/>
  <c r="H52" i="17" s="1"/>
  <c r="G51" i="18"/>
  <c r="H51" i="18" s="1"/>
  <c r="K23" i="17"/>
  <c r="L23" i="17" s="1"/>
  <c r="K49" i="16"/>
  <c r="L49" i="16" s="1"/>
  <c r="G55" i="16"/>
  <c r="H55" i="16" s="1"/>
  <c r="K57" i="23"/>
  <c r="L57" i="23" s="1"/>
  <c r="G63" i="23"/>
  <c r="H63" i="23" s="1"/>
  <c r="K65" i="18"/>
  <c r="L65" i="18" s="1"/>
  <c r="G71" i="18"/>
  <c r="H71" i="18" s="1"/>
  <c r="K35" i="17"/>
  <c r="L35" i="17" s="1"/>
  <c r="K51" i="17"/>
  <c r="L51" i="17" s="1"/>
  <c r="K67" i="17"/>
  <c r="L67" i="17" s="1"/>
  <c r="G25" i="17"/>
  <c r="H25" i="17" s="1"/>
  <c r="G41" i="17"/>
  <c r="H41" i="17" s="1"/>
  <c r="G57" i="17"/>
  <c r="H57" i="17" s="1"/>
  <c r="G15" i="17"/>
  <c r="K57" i="16"/>
  <c r="L57" i="16" s="1"/>
  <c r="G63" i="16"/>
  <c r="H63" i="16" s="1"/>
  <c r="K65" i="23"/>
  <c r="L65" i="23" s="1"/>
  <c r="G71" i="23"/>
  <c r="H71" i="23" s="1"/>
  <c r="K15" i="18"/>
  <c r="K19" i="17"/>
  <c r="L19" i="17" s="1"/>
  <c r="K39" i="17"/>
  <c r="L39" i="17" s="1"/>
  <c r="K55" i="17"/>
  <c r="L55" i="17" s="1"/>
  <c r="K71" i="17"/>
  <c r="L71" i="17" s="1"/>
  <c r="G29" i="17"/>
  <c r="H29" i="17" s="1"/>
  <c r="G45" i="17"/>
  <c r="H45" i="17" s="1"/>
  <c r="G61" i="17"/>
  <c r="H61" i="17" s="1"/>
  <c r="K65" i="16"/>
  <c r="L65" i="16" s="1"/>
  <c r="G71" i="16"/>
  <c r="H71" i="16" s="1"/>
  <c r="K15" i="23"/>
  <c r="K17" i="18"/>
  <c r="L17" i="18" s="1"/>
  <c r="G23" i="18"/>
  <c r="H23" i="18" s="1"/>
  <c r="K25" i="17"/>
  <c r="L25" i="17" s="1"/>
  <c r="K41" i="17"/>
  <c r="L41" i="17" s="1"/>
  <c r="K57" i="17"/>
  <c r="L57" i="17" s="1"/>
  <c r="K15" i="17"/>
  <c r="L15" i="17" s="1"/>
  <c r="G31" i="17"/>
  <c r="H31" i="17" s="1"/>
  <c r="G47" i="17"/>
  <c r="H47" i="17" s="1"/>
  <c r="G63" i="17"/>
  <c r="H63" i="17" s="1"/>
  <c r="K41" i="23"/>
  <c r="L41" i="23" s="1"/>
  <c r="G55" i="18"/>
  <c r="H55" i="18" s="1"/>
  <c r="K49" i="17"/>
  <c r="L49" i="17" s="1"/>
  <c r="G23" i="17"/>
  <c r="H23" i="17" s="1"/>
  <c r="G55" i="17"/>
  <c r="H55" i="17" s="1"/>
  <c r="G47" i="16"/>
  <c r="H47" i="16" s="1"/>
  <c r="K49" i="23"/>
  <c r="L49" i="23" s="1"/>
  <c r="K57" i="18"/>
  <c r="L57" i="18" s="1"/>
  <c r="K34" i="17"/>
  <c r="L34" i="17" s="1"/>
  <c r="K66" i="17"/>
  <c r="L66" i="17" s="1"/>
  <c r="G40" i="17"/>
  <c r="H40" i="17" s="1"/>
  <c r="G72" i="17"/>
  <c r="H72" i="17" s="1"/>
  <c r="K15" i="16"/>
  <c r="K17" i="23"/>
  <c r="L17" i="23" s="1"/>
  <c r="G23" i="23"/>
  <c r="H23" i="23" s="1"/>
  <c r="K25" i="18"/>
  <c r="L25" i="18" s="1"/>
  <c r="G31" i="18"/>
  <c r="H31" i="18" s="1"/>
  <c r="K26" i="17"/>
  <c r="L26" i="17" s="1"/>
  <c r="K42" i="17"/>
  <c r="L42" i="17" s="1"/>
  <c r="K58" i="17"/>
  <c r="L58" i="17" s="1"/>
  <c r="G16" i="17"/>
  <c r="H16" i="17" s="1"/>
  <c r="G32" i="17"/>
  <c r="H32" i="17" s="1"/>
  <c r="G48" i="17"/>
  <c r="H48" i="17" s="1"/>
  <c r="G64" i="17"/>
  <c r="H64" i="17" s="1"/>
  <c r="G23" i="16"/>
  <c r="H23" i="16" s="1"/>
  <c r="K25" i="23"/>
  <c r="L25" i="23" s="1"/>
  <c r="G31" i="23"/>
  <c r="H31" i="23" s="1"/>
  <c r="K33" i="18"/>
  <c r="L33" i="18" s="1"/>
  <c r="G39" i="18"/>
  <c r="H39" i="18" s="1"/>
  <c r="K27" i="17"/>
  <c r="L27" i="17" s="1"/>
  <c r="K43" i="17"/>
  <c r="L43" i="17" s="1"/>
  <c r="K59" i="17"/>
  <c r="L59" i="17" s="1"/>
  <c r="G17" i="17"/>
  <c r="H17" i="17" s="1"/>
  <c r="G33" i="17"/>
  <c r="H33" i="17" s="1"/>
  <c r="G49" i="17"/>
  <c r="H49" i="17" s="1"/>
  <c r="G65" i="17"/>
  <c r="H65" i="17" s="1"/>
  <c r="K25" i="16"/>
  <c r="L25" i="16" s="1"/>
  <c r="G31" i="16"/>
  <c r="H31" i="16" s="1"/>
  <c r="K33" i="23"/>
  <c r="L33" i="23" s="1"/>
  <c r="G39" i="23"/>
  <c r="H39" i="23" s="1"/>
  <c r="K41" i="18"/>
  <c r="L41" i="18" s="1"/>
  <c r="G47" i="18"/>
  <c r="H47" i="18" s="1"/>
  <c r="K31" i="17"/>
  <c r="L31" i="17" s="1"/>
  <c r="K47" i="17"/>
  <c r="L47" i="17" s="1"/>
  <c r="K63" i="17"/>
  <c r="L63" i="17" s="1"/>
  <c r="G21" i="17"/>
  <c r="H21" i="17" s="1"/>
  <c r="G37" i="17"/>
  <c r="H37" i="17" s="1"/>
  <c r="G53" i="17"/>
  <c r="H53" i="17" s="1"/>
  <c r="G69" i="17"/>
  <c r="H69" i="17" s="1"/>
  <c r="K33" i="16"/>
  <c r="L33" i="16" s="1"/>
  <c r="G39" i="16"/>
  <c r="H39" i="16" s="1"/>
  <c r="G47" i="23"/>
  <c r="H47" i="23" s="1"/>
  <c r="K49" i="18"/>
  <c r="L49" i="18" s="1"/>
  <c r="K33" i="17"/>
  <c r="L33" i="17" s="1"/>
  <c r="K65" i="17"/>
  <c r="L65" i="17" s="1"/>
  <c r="G39" i="17"/>
  <c r="H39" i="17" s="1"/>
  <c r="G71" i="17"/>
  <c r="H71" i="17" s="1"/>
  <c r="K41" i="16"/>
  <c r="L41" i="16" s="1"/>
  <c r="G55" i="23"/>
  <c r="H55" i="23" s="1"/>
  <c r="G63" i="18"/>
  <c r="H63" i="18" s="1"/>
  <c r="K50" i="17"/>
  <c r="L50" i="17" s="1"/>
  <c r="G24" i="17"/>
  <c r="H24" i="17" s="1"/>
  <c r="G56" i="17"/>
  <c r="H56" i="17" s="1"/>
  <c r="K93" i="2"/>
  <c r="E95" i="2"/>
  <c r="J95" i="2" s="1"/>
  <c r="M172" i="12"/>
  <c r="M173" i="12" s="1"/>
  <c r="N167" i="12"/>
  <c r="Q167" i="12"/>
  <c r="R167" i="12" s="1"/>
  <c r="F75" i="71" l="1"/>
  <c r="I24" i="19"/>
  <c r="I22" i="19"/>
  <c r="F75" i="73"/>
  <c r="F75" i="61"/>
  <c r="E24" i="52" s="1"/>
  <c r="F24" i="52" s="1"/>
  <c r="L75" i="64"/>
  <c r="I19" i="19"/>
  <c r="I27" i="19"/>
  <c r="F75" i="68"/>
  <c r="F75" i="65"/>
  <c r="F75" i="67"/>
  <c r="F75" i="56"/>
  <c r="E19" i="52" s="1"/>
  <c r="F19" i="52" s="1"/>
  <c r="F75" i="59"/>
  <c r="E22" i="52" s="1"/>
  <c r="F22" i="52" s="1"/>
  <c r="F75" i="63"/>
  <c r="E26" i="52" s="1"/>
  <c r="F26" i="52" s="1"/>
  <c r="I25" i="19"/>
  <c r="F75" i="60"/>
  <c r="E23" i="52" s="1"/>
  <c r="F23" i="52" s="1"/>
  <c r="F75" i="69"/>
  <c r="I26" i="19"/>
  <c r="F75" i="62"/>
  <c r="E25" i="52" s="1"/>
  <c r="F25" i="52" s="1"/>
  <c r="I23" i="19"/>
  <c r="I20" i="19"/>
  <c r="I21" i="19"/>
  <c r="F75" i="66"/>
  <c r="F75" i="57"/>
  <c r="E20" i="52" s="1"/>
  <c r="F20" i="52" s="1"/>
  <c r="F75" i="72"/>
  <c r="F75" i="58"/>
  <c r="E21" i="52" s="1"/>
  <c r="F21" i="52" s="1"/>
  <c r="F75" i="70"/>
  <c r="F29" i="33"/>
  <c r="K74" i="35"/>
  <c r="H16" i="33" s="1"/>
  <c r="H29" i="33" s="1"/>
  <c r="F75" i="48"/>
  <c r="L74" i="35"/>
  <c r="F76" i="35" s="1"/>
  <c r="D16" i="52" s="1"/>
  <c r="T73" i="47"/>
  <c r="J101" i="2"/>
  <c r="E12" i="52"/>
  <c r="F12" i="52" s="1"/>
  <c r="F76" i="37"/>
  <c r="D18" i="52" s="1"/>
  <c r="F76" i="36"/>
  <c r="D17" i="52" s="1"/>
  <c r="F76" i="34"/>
  <c r="D15" i="52" s="1"/>
  <c r="T73" i="49"/>
  <c r="S73" i="49"/>
  <c r="L73" i="49"/>
  <c r="K73" i="49"/>
  <c r="S73" i="47"/>
  <c r="L73" i="47"/>
  <c r="K73" i="47"/>
  <c r="G96" i="40"/>
  <c r="V96" i="40" s="1"/>
  <c r="V102" i="40" s="1"/>
  <c r="K73" i="16"/>
  <c r="K73" i="17"/>
  <c r="K73" i="18"/>
  <c r="K73" i="23"/>
  <c r="G73" i="16"/>
  <c r="G73" i="23"/>
  <c r="G73" i="17"/>
  <c r="G73" i="18"/>
  <c r="H15" i="17"/>
  <c r="H73" i="17" s="1"/>
  <c r="H15" i="18"/>
  <c r="H73" i="18" s="1"/>
  <c r="L15" i="23"/>
  <c r="L73" i="23" s="1"/>
  <c r="H15" i="23"/>
  <c r="H73" i="23" s="1"/>
  <c r="L15" i="18"/>
  <c r="L73" i="18" s="1"/>
  <c r="H73" i="16"/>
  <c r="L16" i="17"/>
  <c r="L73" i="17" s="1"/>
  <c r="L15" i="16"/>
  <c r="L73" i="16" s="1"/>
  <c r="E36" i="19"/>
  <c r="D10" i="22"/>
  <c r="F12" i="22" s="1"/>
  <c r="K151" i="22" s="1"/>
  <c r="H75" i="49" l="1"/>
  <c r="E38" i="52"/>
  <c r="F38" i="52" s="1"/>
  <c r="G151" i="22"/>
  <c r="G17" i="22"/>
  <c r="K17" i="22"/>
  <c r="H75" i="47"/>
  <c r="F75" i="49"/>
  <c r="F75" i="47"/>
  <c r="H75" i="46"/>
  <c r="F75" i="46"/>
  <c r="K101" i="2"/>
  <c r="F14" i="19"/>
  <c r="F16" i="19"/>
  <c r="H15" i="19"/>
  <c r="H16" i="19"/>
  <c r="F15" i="19"/>
  <c r="H14" i="19"/>
  <c r="H17" i="19"/>
  <c r="F17" i="19"/>
  <c r="G117" i="22"/>
  <c r="G183" i="22"/>
  <c r="G67" i="22"/>
  <c r="K132" i="22"/>
  <c r="K50" i="22"/>
  <c r="G35" i="22"/>
  <c r="G124" i="22"/>
  <c r="K98" i="22"/>
  <c r="K117" i="22"/>
  <c r="G55" i="22"/>
  <c r="G69" i="22"/>
  <c r="K102" i="22"/>
  <c r="G178" i="22"/>
  <c r="K95" i="22"/>
  <c r="K137" i="22"/>
  <c r="K81" i="22"/>
  <c r="G120" i="22"/>
  <c r="K110" i="22"/>
  <c r="K181" i="22"/>
  <c r="K123" i="22"/>
  <c r="K118" i="22"/>
  <c r="G114" i="22"/>
  <c r="G192" i="22"/>
  <c r="G76" i="22"/>
  <c r="G180" i="22"/>
  <c r="K125" i="22"/>
  <c r="K194" i="22"/>
  <c r="K91" i="22"/>
  <c r="K54" i="22"/>
  <c r="K175" i="22"/>
  <c r="G44" i="22"/>
  <c r="K25" i="22"/>
  <c r="G153" i="22"/>
  <c r="G65" i="22"/>
  <c r="G107" i="22"/>
  <c r="G122" i="22"/>
  <c r="G89" i="22"/>
  <c r="G140" i="22"/>
  <c r="K186" i="22"/>
  <c r="K108" i="22"/>
  <c r="K72" i="22"/>
  <c r="K167" i="22"/>
  <c r="K121" i="22"/>
  <c r="K45" i="22"/>
  <c r="K69" i="22"/>
  <c r="G73" i="22"/>
  <c r="K59" i="22"/>
  <c r="K122" i="22"/>
  <c r="K140" i="22"/>
  <c r="K58" i="22"/>
  <c r="G121" i="22"/>
  <c r="G84" i="22"/>
  <c r="G56" i="22"/>
  <c r="G28" i="22"/>
  <c r="G30" i="22"/>
  <c r="K131" i="22"/>
  <c r="G64" i="22"/>
  <c r="K158" i="22"/>
  <c r="K136" i="22"/>
  <c r="G66" i="22"/>
  <c r="G97" i="22"/>
  <c r="K93" i="22"/>
  <c r="K153" i="22"/>
  <c r="K127" i="22"/>
  <c r="K115" i="22"/>
  <c r="G144" i="22"/>
  <c r="G133" i="22"/>
  <c r="G58" i="22"/>
  <c r="K76" i="22"/>
  <c r="G88" i="22"/>
  <c r="G46" i="22"/>
  <c r="G18" i="22"/>
  <c r="G49" i="22"/>
  <c r="K162" i="22"/>
  <c r="G159" i="22"/>
  <c r="G191" i="22"/>
  <c r="K87" i="22"/>
  <c r="K30" i="22"/>
  <c r="K78" i="22"/>
  <c r="K73" i="22"/>
  <c r="G157" i="22"/>
  <c r="G104" i="22"/>
  <c r="G27" i="22"/>
  <c r="K74" i="22"/>
  <c r="G123" i="22"/>
  <c r="K23" i="22"/>
  <c r="K57" i="22"/>
  <c r="G24" i="22"/>
  <c r="G182" i="22"/>
  <c r="K168" i="22"/>
  <c r="K20" i="22"/>
  <c r="G169" i="22"/>
  <c r="G33" i="22"/>
  <c r="G161" i="22"/>
  <c r="G42" i="22"/>
  <c r="G152" i="22"/>
  <c r="K66" i="22"/>
  <c r="G59" i="22"/>
  <c r="G160" i="22"/>
  <c r="G81" i="22"/>
  <c r="K42" i="22"/>
  <c r="K90" i="22"/>
  <c r="G131" i="22"/>
  <c r="K99" i="22"/>
  <c r="K22" i="22"/>
  <c r="K52" i="22"/>
  <c r="K191" i="22"/>
  <c r="G128" i="22"/>
  <c r="G181" i="22"/>
  <c r="K79" i="22"/>
  <c r="K174" i="22"/>
  <c r="K116" i="22"/>
  <c r="K80" i="22"/>
  <c r="K41" i="22"/>
  <c r="K166" i="22"/>
  <c r="G148" i="22"/>
  <c r="G71" i="22"/>
  <c r="K83" i="22"/>
  <c r="G93" i="22"/>
  <c r="K89" i="22"/>
  <c r="K65" i="22"/>
  <c r="K19" i="22"/>
  <c r="K31" i="22"/>
  <c r="K111" i="22"/>
  <c r="K103" i="22"/>
  <c r="K27" i="22"/>
  <c r="G29" i="22"/>
  <c r="G135" i="22"/>
  <c r="G77" i="22"/>
  <c r="G72" i="22"/>
  <c r="K62" i="22"/>
  <c r="G92" i="22"/>
  <c r="G188" i="22"/>
  <c r="K170" i="22"/>
  <c r="K144" i="22"/>
  <c r="G127" i="22"/>
  <c r="G90" i="22"/>
  <c r="G167" i="22"/>
  <c r="K147" i="22"/>
  <c r="G196" i="22"/>
  <c r="K179" i="22"/>
  <c r="K94" i="22"/>
  <c r="K49" i="22"/>
  <c r="K113" i="22"/>
  <c r="K171" i="22"/>
  <c r="K164" i="22"/>
  <c r="G40" i="22"/>
  <c r="K21" i="22"/>
  <c r="G39" i="22"/>
  <c r="G187" i="22"/>
  <c r="K48" i="22"/>
  <c r="K51" i="22"/>
  <c r="K63" i="22"/>
  <c r="G193" i="22"/>
  <c r="K109" i="22"/>
  <c r="K187" i="22"/>
  <c r="K75" i="22"/>
  <c r="G52" i="22"/>
  <c r="G194" i="22"/>
  <c r="K120" i="22"/>
  <c r="G57" i="22"/>
  <c r="G111" i="22"/>
  <c r="K196" i="22"/>
  <c r="G86" i="22"/>
  <c r="G48" i="22"/>
  <c r="G61" i="22"/>
  <c r="K40" i="22"/>
  <c r="G164" i="22"/>
  <c r="K152" i="22"/>
  <c r="G62" i="22"/>
  <c r="K35" i="22"/>
  <c r="G136" i="22"/>
  <c r="K18" i="22"/>
  <c r="G70" i="22"/>
  <c r="G125" i="22"/>
  <c r="K26" i="22"/>
  <c r="G149" i="22"/>
  <c r="G37" i="22"/>
  <c r="G75" i="22"/>
  <c r="K130" i="22"/>
  <c r="K128" i="22"/>
  <c r="G112" i="22"/>
  <c r="K37" i="22"/>
  <c r="K60" i="22"/>
  <c r="K82" i="22"/>
  <c r="G175" i="22"/>
  <c r="G85" i="22"/>
  <c r="G172" i="22"/>
  <c r="K133" i="22"/>
  <c r="K39" i="22"/>
  <c r="K126" i="22"/>
  <c r="K43" i="22"/>
  <c r="K163" i="22"/>
  <c r="K195" i="22"/>
  <c r="G78" i="22"/>
  <c r="G115" i="22"/>
  <c r="G103" i="22"/>
  <c r="G137" i="22"/>
  <c r="G53" i="22"/>
  <c r="G100" i="22"/>
  <c r="K34" i="22"/>
  <c r="G156" i="22"/>
  <c r="G82" i="22"/>
  <c r="G105" i="22"/>
  <c r="G138" i="22"/>
  <c r="K70" i="22"/>
  <c r="K33" i="22"/>
  <c r="G179" i="22"/>
  <c r="K189" i="22"/>
  <c r="K119" i="22"/>
  <c r="G25" i="22"/>
  <c r="K148" i="22"/>
  <c r="G116" i="22"/>
  <c r="G150" i="22"/>
  <c r="G146" i="22"/>
  <c r="K135" i="22"/>
  <c r="K71" i="22"/>
  <c r="G45" i="22"/>
  <c r="G34" i="22"/>
  <c r="K184" i="22"/>
  <c r="K112" i="22"/>
  <c r="G163" i="22"/>
  <c r="G87" i="22"/>
  <c r="G26" i="22"/>
  <c r="G143" i="22"/>
  <c r="G170" i="22"/>
  <c r="G158" i="22"/>
  <c r="G184" i="22"/>
  <c r="G60" i="22"/>
  <c r="K88" i="22"/>
  <c r="K177" i="22"/>
  <c r="K142" i="22"/>
  <c r="G166" i="22"/>
  <c r="G134" i="22"/>
  <c r="G165" i="22"/>
  <c r="K68" i="22"/>
  <c r="G99" i="22"/>
  <c r="G102" i="22"/>
  <c r="K143" i="22"/>
  <c r="G54" i="22"/>
  <c r="K169" i="22"/>
  <c r="K145" i="22"/>
  <c r="K28" i="22"/>
  <c r="K67" i="22"/>
  <c r="G189" i="22"/>
  <c r="G155" i="22"/>
  <c r="K149" i="22"/>
  <c r="G79" i="22"/>
  <c r="G41" i="22"/>
  <c r="K146" i="22"/>
  <c r="K24" i="22"/>
  <c r="G168" i="22"/>
  <c r="K193" i="22"/>
  <c r="K160" i="22"/>
  <c r="K92" i="22"/>
  <c r="G98" i="22"/>
  <c r="K114" i="22"/>
  <c r="G190" i="22"/>
  <c r="G63" i="22"/>
  <c r="K190" i="22"/>
  <c r="G162" i="22"/>
  <c r="G141" i="22"/>
  <c r="G50" i="22"/>
  <c r="K38" i="22"/>
  <c r="G147" i="22"/>
  <c r="G132" i="22"/>
  <c r="G36" i="22"/>
  <c r="G21" i="22"/>
  <c r="G106" i="22"/>
  <c r="G173" i="22"/>
  <c r="K178" i="22"/>
  <c r="G186" i="22"/>
  <c r="G20" i="22"/>
  <c r="K150" i="22"/>
  <c r="G110" i="22"/>
  <c r="K183" i="22"/>
  <c r="K36" i="22"/>
  <c r="K47" i="22"/>
  <c r="K105" i="22"/>
  <c r="G101" i="22"/>
  <c r="G80" i="22"/>
  <c r="G108" i="22"/>
  <c r="K185" i="22"/>
  <c r="G119" i="22"/>
  <c r="K104" i="22"/>
  <c r="K77" i="22"/>
  <c r="G142" i="22"/>
  <c r="G129" i="22"/>
  <c r="K165" i="22"/>
  <c r="G38" i="22"/>
  <c r="G154" i="22"/>
  <c r="G171" i="22"/>
  <c r="K64" i="22"/>
  <c r="G177" i="22"/>
  <c r="G43" i="22"/>
  <c r="K84" i="22"/>
  <c r="K182" i="22"/>
  <c r="K188" i="22"/>
  <c r="K159" i="22"/>
  <c r="G83" i="22"/>
  <c r="K96" i="22"/>
  <c r="K107" i="22"/>
  <c r="K56" i="22"/>
  <c r="G22" i="22"/>
  <c r="K180" i="22"/>
  <c r="K53" i="22"/>
  <c r="G31" i="22"/>
  <c r="K97" i="22"/>
  <c r="K29" i="22"/>
  <c r="G176" i="22"/>
  <c r="G74" i="22"/>
  <c r="G94" i="22"/>
  <c r="K176" i="22"/>
  <c r="G47" i="22"/>
  <c r="K192" i="22"/>
  <c r="G145" i="22"/>
  <c r="G23" i="22"/>
  <c r="K157" i="22"/>
  <c r="K172" i="22"/>
  <c r="G51" i="22"/>
  <c r="G130" i="22"/>
  <c r="K173" i="22"/>
  <c r="K141" i="22"/>
  <c r="K106" i="22"/>
  <c r="K129" i="22"/>
  <c r="K85" i="22"/>
  <c r="G91" i="22"/>
  <c r="K86" i="22"/>
  <c r="G195" i="22"/>
  <c r="G174" i="22"/>
  <c r="K44" i="22"/>
  <c r="G126" i="22"/>
  <c r="G109" i="22"/>
  <c r="K61" i="22"/>
  <c r="K154" i="22"/>
  <c r="G185" i="22"/>
  <c r="K155" i="22"/>
  <c r="K55" i="22"/>
  <c r="K161" i="22"/>
  <c r="G118" i="22"/>
  <c r="G19" i="22"/>
  <c r="K124" i="22"/>
  <c r="G96" i="22"/>
  <c r="G95" i="22"/>
  <c r="K139" i="22"/>
  <c r="K101" i="22"/>
  <c r="K32" i="22"/>
  <c r="G68" i="22"/>
  <c r="K156" i="22"/>
  <c r="K100" i="22"/>
  <c r="K46" i="22"/>
  <c r="G113" i="22"/>
  <c r="G32" i="22"/>
  <c r="G139" i="22"/>
  <c r="K134" i="22"/>
  <c r="K138" i="22"/>
  <c r="H28" i="19" l="1"/>
  <c r="F28" i="19"/>
  <c r="I14" i="19"/>
  <c r="I18" i="33"/>
  <c r="I15" i="33"/>
  <c r="I17" i="33"/>
  <c r="I16" i="33"/>
  <c r="F75" i="17"/>
  <c r="E15" i="52" s="1"/>
  <c r="F15" i="52" s="1"/>
  <c r="I17" i="19"/>
  <c r="I15" i="19"/>
  <c r="I16" i="19"/>
  <c r="F75" i="16"/>
  <c r="E18" i="52" s="1"/>
  <c r="F18" i="52" s="1"/>
  <c r="F75" i="23"/>
  <c r="E17" i="52" s="1"/>
  <c r="F17" i="52" s="1"/>
  <c r="F75" i="18"/>
  <c r="E16" i="52" s="1"/>
  <c r="F16" i="52" s="1"/>
  <c r="I35" i="33" l="1"/>
  <c r="I34" i="19"/>
</calcChain>
</file>

<file path=xl/sharedStrings.xml><?xml version="1.0" encoding="utf-8"?>
<sst xmlns="http://schemas.openxmlformats.org/spreadsheetml/2006/main" count="3960" uniqueCount="1040">
  <si>
    <t>Fiscal Year End:</t>
  </si>
  <si>
    <t>COST CATEGORY</t>
  </si>
  <si>
    <t>Indirect Cost Allocation</t>
  </si>
  <si>
    <t>Total Cost</t>
  </si>
  <si>
    <t>Unduplicated Client Count</t>
  </si>
  <si>
    <t>Cost per Unduplicated Client</t>
  </si>
  <si>
    <t>INDIRECT 
(not traceable to direct cost center)</t>
  </si>
  <si>
    <t>FULL-TIME EQV 
(FTEs)</t>
  </si>
  <si>
    <t>TOTAL</t>
  </si>
  <si>
    <t>UNALLOWABLE</t>
  </si>
  <si>
    <t>Variance</t>
  </si>
  <si>
    <t>Description</t>
  </si>
  <si>
    <t>Schedule 2A</t>
  </si>
  <si>
    <t>Schedule 2B</t>
  </si>
  <si>
    <t>Schedule 2C</t>
  </si>
  <si>
    <t>H0027</t>
  </si>
  <si>
    <t>H0028</t>
  </si>
  <si>
    <t>H0029</t>
  </si>
  <si>
    <t>Alcohol and/or drug prevention environmental service (broad range of external activities geared toward modifying systems in order to mainstream prevention through policy and law)</t>
  </si>
  <si>
    <t>H0003</t>
  </si>
  <si>
    <t>H0048</t>
  </si>
  <si>
    <t>H0007</t>
  </si>
  <si>
    <t>H0022</t>
  </si>
  <si>
    <t>H0030</t>
  </si>
  <si>
    <t>Alcohol and/or drug services; crisis intervention (outpatient)</t>
  </si>
  <si>
    <t>Alcohol and/or drug intervention service (planned facilitation)</t>
  </si>
  <si>
    <t>H1003</t>
  </si>
  <si>
    <t>T1009</t>
  </si>
  <si>
    <t>T1013</t>
  </si>
  <si>
    <t>T2001</t>
  </si>
  <si>
    <t>Child sitting services for the children of the individual receiving alcohol and/or substance abuse services</t>
  </si>
  <si>
    <t>Sign language or oral interpreter for alcohol and/or substance abuse services</t>
  </si>
  <si>
    <t>Non-emergency transportation</t>
  </si>
  <si>
    <t>H0011</t>
  </si>
  <si>
    <t>ROOM AND BOARD</t>
  </si>
  <si>
    <t>H2034</t>
  </si>
  <si>
    <t>S9976</t>
  </si>
  <si>
    <t>Halfway House</t>
  </si>
  <si>
    <t>Lodging</t>
  </si>
  <si>
    <t>Alcohol and/or drug screening; laboratory analysis of specimens for presence of alcohol and/or drugs</t>
  </si>
  <si>
    <t>Procedure 
Code</t>
  </si>
  <si>
    <t>Drug screen, presumptive, read by instrument</t>
  </si>
  <si>
    <t>G0176</t>
  </si>
  <si>
    <t>G0177</t>
  </si>
  <si>
    <t>H0001</t>
  </si>
  <si>
    <t>H0002</t>
  </si>
  <si>
    <t>H0004</t>
  </si>
  <si>
    <t>H0005</t>
  </si>
  <si>
    <t>H0006</t>
  </si>
  <si>
    <t>H0010</t>
  </si>
  <si>
    <t>H0015</t>
  </si>
  <si>
    <t>H0017</t>
  </si>
  <si>
    <t>H0018</t>
  </si>
  <si>
    <t>H0019</t>
  </si>
  <si>
    <t>H0020</t>
  </si>
  <si>
    <t>H0023 - HQ</t>
  </si>
  <si>
    <t>H0023 - HT</t>
  </si>
  <si>
    <t>H0024</t>
  </si>
  <si>
    <t>H0025</t>
  </si>
  <si>
    <t>H0031</t>
  </si>
  <si>
    <t>H0032</t>
  </si>
  <si>
    <t>H0033</t>
  </si>
  <si>
    <t>H0034</t>
  </si>
  <si>
    <t>H0035</t>
  </si>
  <si>
    <t>H0036</t>
  </si>
  <si>
    <t>H0037</t>
  </si>
  <si>
    <t>H0038</t>
  </si>
  <si>
    <t>H0039</t>
  </si>
  <si>
    <t>H0040</t>
  </si>
  <si>
    <t>H0043</t>
  </si>
  <si>
    <t>H0044</t>
  </si>
  <si>
    <t>H0045</t>
  </si>
  <si>
    <t>H0047</t>
  </si>
  <si>
    <t>H1000</t>
  </si>
  <si>
    <t>H1002</t>
  </si>
  <si>
    <t>H1004</t>
  </si>
  <si>
    <t>H1011</t>
  </si>
  <si>
    <t>H2000</t>
  </si>
  <si>
    <t>H2001</t>
  </si>
  <si>
    <t>H2011</t>
  </si>
  <si>
    <t>H2012</t>
  </si>
  <si>
    <t>H2014</t>
  </si>
  <si>
    <t>H2015</t>
  </si>
  <si>
    <t>H2016</t>
  </si>
  <si>
    <t>H2017</t>
  </si>
  <si>
    <t>H2018</t>
  </si>
  <si>
    <t>H2021</t>
  </si>
  <si>
    <t>H2022</t>
  </si>
  <si>
    <t>H2023</t>
  </si>
  <si>
    <t>H2024</t>
  </si>
  <si>
    <t>H2025</t>
  </si>
  <si>
    <t>H2026</t>
  </si>
  <si>
    <t>H2027</t>
  </si>
  <si>
    <t>H2030</t>
  </si>
  <si>
    <t>H2031</t>
  </si>
  <si>
    <t>H2032</t>
  </si>
  <si>
    <t>H2033</t>
  </si>
  <si>
    <t>H2036</t>
  </si>
  <si>
    <t>S5150</t>
  </si>
  <si>
    <t>S5151</t>
  </si>
  <si>
    <t>S9445</t>
  </si>
  <si>
    <t>S9453</t>
  </si>
  <si>
    <t>S9454</t>
  </si>
  <si>
    <t>S9480</t>
  </si>
  <si>
    <t>S9485</t>
  </si>
  <si>
    <t>T1005</t>
  </si>
  <si>
    <t>T1006</t>
  </si>
  <si>
    <t>T1012</t>
  </si>
  <si>
    <t>T1016</t>
  </si>
  <si>
    <t>T1017</t>
  </si>
  <si>
    <t>Schedule 3</t>
  </si>
  <si>
    <t xml:space="preserve">Drug screen, presumptive, optical observation                            </t>
  </si>
  <si>
    <t>Alcohol (ethanol); breathalyzer</t>
  </si>
  <si>
    <t>Family Psychotherapy (w/o Patient Present)</t>
  </si>
  <si>
    <t>Family Psychotherapy (Conjoint Psychotherapy) (w/Patient Present)</t>
  </si>
  <si>
    <t>Multiple-Family Group Psychotherapy</t>
  </si>
  <si>
    <t>Group Psychotherapy (Other Than, Multiple-Family Group)</t>
  </si>
  <si>
    <t>Electroconvulsive therapy</t>
  </si>
  <si>
    <t>Injection, subcutaneous or intramuscular</t>
  </si>
  <si>
    <t>Self Care Management Training</t>
  </si>
  <si>
    <t>Community/Work Reintegration</t>
  </si>
  <si>
    <t>Initial Hospital Care Low Complexity</t>
  </si>
  <si>
    <t>Initial Hospital Care Moderate Complexity</t>
  </si>
  <si>
    <t>Initial Hospital Care High Complexity</t>
  </si>
  <si>
    <t>Subsequent Hospital Care Low Complexity</t>
  </si>
  <si>
    <t>Subsequent Hospital Care Moderate Complexity</t>
  </si>
  <si>
    <t>Subsequent Hospital Care High Complexity</t>
  </si>
  <si>
    <t>Hospital discharge day</t>
  </si>
  <si>
    <t>Nursing facility discharge day management; more than 30 minutes</t>
  </si>
  <si>
    <t>Alcohol and/or drug assessment</t>
  </si>
  <si>
    <t>Behavioral health counseling and therapy</t>
  </si>
  <si>
    <t>Alcohol and/or drug services; group counseling by a clinician</t>
  </si>
  <si>
    <t>Alcohol and/or drug services; case management</t>
  </si>
  <si>
    <t>Residential, Hospital or ATU</t>
  </si>
  <si>
    <t>Residential, Short-Term, Non-Hospital</t>
  </si>
  <si>
    <t>Residential, Long-Term, Non-Medical</t>
  </si>
  <si>
    <t>Behavioral Health Prevention Information Dissemination Service (One-Way Direct or Non-Direct Contact with service Audiences to Affect Knowledge and Attitude)</t>
  </si>
  <si>
    <t>Behavioral health prevention education service (delivery of services with target population to affect knowledge</t>
  </si>
  <si>
    <t>Alcohol and/or drug prevention problem identification and referral service ( e.g. student assistance and employee assistance programs)</t>
  </si>
  <si>
    <t>Alcohol and/or drug prevention alternatives service (services for populations that exclude alcohol and other drug use e.g. alcohol free social events)</t>
  </si>
  <si>
    <t>Hotline Services</t>
  </si>
  <si>
    <t>Oral medication administration</t>
  </si>
  <si>
    <t>Self Help / Peer</t>
  </si>
  <si>
    <t>Prenatal Care</t>
  </si>
  <si>
    <t>Care Coordination Prenatal/Case Management</t>
  </si>
  <si>
    <t>Prenatal follow up home visit</t>
  </si>
  <si>
    <t>Family Assessment</t>
  </si>
  <si>
    <t>Drug screening and monitoring</t>
  </si>
  <si>
    <t>Smoking Cessation Class</t>
  </si>
  <si>
    <t>Alcohol and/or Substance Abuse Services</t>
  </si>
  <si>
    <t>Alcohol and/or substance abuse services</t>
  </si>
  <si>
    <t>Targeted Case Management</t>
  </si>
  <si>
    <t>Individual Psychophysiological Therapy w/Biofeedback Training; Approx 20-30 Min</t>
  </si>
  <si>
    <t>Individual Psychophysiological Therapy w/Biofeedback Training; Approx 45-50 Min</t>
  </si>
  <si>
    <t>Office or other outpatient visit for the evaluation and management of new patient</t>
  </si>
  <si>
    <t>Office or other outpatient visit for the eval and mgmt of an established patient</t>
  </si>
  <si>
    <t>Cost per Non-Facility Unit of Service</t>
  </si>
  <si>
    <t>Cost per Facility Unit of Service</t>
  </si>
  <si>
    <t>Name of Facility</t>
  </si>
  <si>
    <t>ALR</t>
  </si>
  <si>
    <t>Census Days</t>
  </si>
  <si>
    <t>Utilization Rate</t>
  </si>
  <si>
    <t>Total Expense</t>
  </si>
  <si>
    <t>Total Cost Per Day</t>
  </si>
  <si>
    <t>Room and Board Expense</t>
  </si>
  <si>
    <t>Room and Board Cost Per Day</t>
  </si>
  <si>
    <t>Services Expense (Total less Room and Board)</t>
  </si>
  <si>
    <t>Services Cost Per Day</t>
  </si>
  <si>
    <t>TOTAL EXPENSE</t>
  </si>
  <si>
    <t>SERVICES</t>
  </si>
  <si>
    <t>Residential</t>
  </si>
  <si>
    <t>RCCF</t>
  </si>
  <si>
    <t>PRTF</t>
  </si>
  <si>
    <t>Total All Facilities</t>
  </si>
  <si>
    <t>SUD</t>
  </si>
  <si>
    <t>CSU</t>
  </si>
  <si>
    <t>ATU</t>
  </si>
  <si>
    <t>Yes/No</t>
  </si>
  <si>
    <t>Service</t>
  </si>
  <si>
    <t>Schedule 2D</t>
  </si>
  <si>
    <t>Supplemental Schedule</t>
  </si>
  <si>
    <t>Job Title</t>
  </si>
  <si>
    <t>Total excess expense reported in Column 3 on Schedule 1</t>
  </si>
  <si>
    <t>Total excess expense reported in Column 4 on Schedule 1</t>
  </si>
  <si>
    <t>Total excess expense reported in Column 2 on Schedule 1</t>
  </si>
  <si>
    <t>Total excess expense reported in Column 5 on Schedule 1</t>
  </si>
  <si>
    <t>Indirect cost allocation to Column 4 on Schedule 1</t>
  </si>
  <si>
    <t>Non-Facility Units</t>
  </si>
  <si>
    <t>Facility Units</t>
  </si>
  <si>
    <t>Non-Facility RVUs</t>
  </si>
  <si>
    <t>Facility RVUs</t>
  </si>
  <si>
    <t>NON-FACILITY</t>
  </si>
  <si>
    <t>FACILITY</t>
  </si>
  <si>
    <t xml:space="preserve">Total costs from Column 3 on Schedule 1  </t>
  </si>
  <si>
    <t xml:space="preserve">Total allowable costs for encounter-based services  </t>
  </si>
  <si>
    <t xml:space="preserve">Total RVUs  </t>
  </si>
  <si>
    <t xml:space="preserve">BASE UNIT COST  </t>
  </si>
  <si>
    <t xml:space="preserve">Non-facility RVUs  </t>
  </si>
  <si>
    <t xml:space="preserve">Facility RVUs  </t>
  </si>
  <si>
    <t>Direct inpatient and residential services in Column 4 on Schedule 1</t>
  </si>
  <si>
    <t>Total inpatient and residential services expense</t>
  </si>
  <si>
    <t>Outpatient services</t>
  </si>
  <si>
    <t>Indirect cost rate</t>
  </si>
  <si>
    <t>Are partial hospitalization services provided?</t>
  </si>
  <si>
    <t>Are outpatient services provided?</t>
  </si>
  <si>
    <t>Is the above methodology the same as that used in the prior cost report period?</t>
  </si>
  <si>
    <t>If no, explain the reason for the change in methods between years.</t>
  </si>
  <si>
    <t>Encounterable Costs</t>
  </si>
  <si>
    <t>Direct</t>
  </si>
  <si>
    <t>Indirect</t>
  </si>
  <si>
    <t>Non-Encounterable Costs</t>
  </si>
  <si>
    <t>Emergency services</t>
  </si>
  <si>
    <t>Partial hospitalization</t>
  </si>
  <si>
    <t>Consultative and educational services</t>
  </si>
  <si>
    <t>Direct 
Cost</t>
  </si>
  <si>
    <t xml:space="preserve">Total Cost </t>
  </si>
  <si>
    <t>Schedule 1 costs (col 3 / col 5)</t>
  </si>
  <si>
    <t>Schedule 1 costs (col 4)</t>
  </si>
  <si>
    <t>Subtotal Cost</t>
  </si>
  <si>
    <t>Inpatient and residential services</t>
  </si>
  <si>
    <t>Operations Personnel Total</t>
  </si>
  <si>
    <t>Executive Leadership</t>
  </si>
  <si>
    <t>Total Excess Salary Above Limit</t>
  </si>
  <si>
    <t>Benefits and Payroll Taxes</t>
  </si>
  <si>
    <t>Employee Recruitment</t>
  </si>
  <si>
    <t>Other Employee-Related Total</t>
  </si>
  <si>
    <t>Contracted Personnel Total</t>
  </si>
  <si>
    <t>Other Contracted Personnel</t>
  </si>
  <si>
    <t>TOTAL EMPLOYEE COSTS</t>
  </si>
  <si>
    <t>TOTAL PERSONNEL COSTS</t>
  </si>
  <si>
    <t>Client Transportation</t>
  </si>
  <si>
    <t>Information Technology Total</t>
  </si>
  <si>
    <t>OCCUPANCY COSTS</t>
  </si>
  <si>
    <t>INFORMATION TECHNOLOGY COSTS</t>
  </si>
  <si>
    <t>CONTRACTED PERSONNEL COSTS</t>
  </si>
  <si>
    <t>OTHER EMPLOYEE-RELATED COSTS</t>
  </si>
  <si>
    <t>OPERATING COSTS</t>
  </si>
  <si>
    <t>Occupancy Total</t>
  </si>
  <si>
    <t>Client Total</t>
  </si>
  <si>
    <t>Meetings and Events</t>
  </si>
  <si>
    <t>Legal Fees</t>
  </si>
  <si>
    <t>TOTAL DIRECT COSTS</t>
  </si>
  <si>
    <t>TOTAL COST</t>
  </si>
  <si>
    <t>Account Number(s) 
and/or Program(s)</t>
  </si>
  <si>
    <t>Step 1:</t>
  </si>
  <si>
    <t>Step 2:</t>
  </si>
  <si>
    <t>Step 3:</t>
  </si>
  <si>
    <t>Step 4:</t>
  </si>
  <si>
    <t>Step 5:</t>
  </si>
  <si>
    <t>Describe the steps and methods used to allocate indirect cost on Schedule 1.</t>
  </si>
  <si>
    <t>FTEs</t>
  </si>
  <si>
    <t>Non-RVU integration services revenue</t>
  </si>
  <si>
    <t>Are emergency services provided?</t>
  </si>
  <si>
    <t>Section I:</t>
  </si>
  <si>
    <t xml:space="preserve">Section II: </t>
  </si>
  <si>
    <t>Program/Grant/Team</t>
  </si>
  <si>
    <t>Schedule of expense by program, grant, or team.</t>
  </si>
  <si>
    <t>A</t>
  </si>
  <si>
    <t>B</t>
  </si>
  <si>
    <t>If yes, complete Section II.</t>
  </si>
  <si>
    <t>Are consultative and educational services provided?</t>
  </si>
  <si>
    <t>Encounterable Expense (Schedule 1 Column 3)</t>
  </si>
  <si>
    <t>Non-Encounterable Expense (Schedule 1 Column 5)</t>
  </si>
  <si>
    <t>Related Party:
Actual Cost Incurred</t>
  </si>
  <si>
    <t>Non-clinical direct salary limitation for cost report period</t>
  </si>
  <si>
    <t>Number of employees to which limitation applies</t>
  </si>
  <si>
    <t>five highest-paid</t>
  </si>
  <si>
    <t>Employees Above Limit</t>
  </si>
  <si>
    <t>Schedule 1 
Column</t>
  </si>
  <si>
    <t>Excess salary above the limit is automatically reclassified to unallowable on Schedule 1.</t>
  </si>
  <si>
    <t>Total Excess Expense Above Actual Cost</t>
  </si>
  <si>
    <t>Excess expense above actual cost is automatically reclassified to unallowable on Schedule 1.</t>
  </si>
  <si>
    <t>Related Party Transactions</t>
  </si>
  <si>
    <t>EXCESS RELATED PARTY EXPENSE (Schedule 1C)</t>
  </si>
  <si>
    <t>Excess Related Party Expense Above Actual Cost</t>
  </si>
  <si>
    <t>DIRECT SALARY LIMITATIONS (Schedule 1A)</t>
  </si>
  <si>
    <t>Excess Salary Above Limit</t>
  </si>
  <si>
    <t>Nature of 
Related Party Expense</t>
  </si>
  <si>
    <t>Related Vendor, 
Individual, or Organization</t>
  </si>
  <si>
    <t>Operating Total</t>
  </si>
  <si>
    <t>DIRECT CLIENT SERVICE PERSONNEL COSTS (Salary, Bonus, Commission)</t>
  </si>
  <si>
    <t xml:space="preserve">OPERATIONS PERSONNEL COSTS (Salary, Bonus, Commission) </t>
  </si>
  <si>
    <t>Electronic Health Records Maintenance, Support, Equipment</t>
  </si>
  <si>
    <t>Technology Software, Licensing, and Equipment for Use by Clients</t>
  </si>
  <si>
    <t>Client Education Materials</t>
  </si>
  <si>
    <t>Other Operating</t>
  </si>
  <si>
    <t>Marketing, Public Relations, and Other Communications</t>
  </si>
  <si>
    <t>Other Purchased Services and Professional Fees</t>
  </si>
  <si>
    <t>Client Food and Drink</t>
  </si>
  <si>
    <t>Business Travel, Entertainment, Meals</t>
  </si>
  <si>
    <t>Direct Client Service Personnel Total</t>
  </si>
  <si>
    <t>Clinical, Licensed Non-Physicians</t>
  </si>
  <si>
    <t>Clinicians or Clinical Services Contracted Personnel</t>
  </si>
  <si>
    <t>Other Operations Personnel</t>
  </si>
  <si>
    <t>Electronic Health Records Software Upgrades and Improvements</t>
  </si>
  <si>
    <t>Telecommunications (Phone, Internet, Pagers, Data, etc.)</t>
  </si>
  <si>
    <t>Other Information Technology</t>
  </si>
  <si>
    <t>Rent and Lease</t>
  </si>
  <si>
    <t>Depreciation and Amortization</t>
  </si>
  <si>
    <t>Other Occupancy</t>
  </si>
  <si>
    <t xml:space="preserve">Other Employee-Related  </t>
  </si>
  <si>
    <t>Other Clinical or Direct Client Service (BS, Peers, Case Mgmt, etc.)</t>
  </si>
  <si>
    <t>Interest - Building</t>
  </si>
  <si>
    <t>OTHER UNALLOWABLE EXPENSE</t>
  </si>
  <si>
    <t>Interest</t>
  </si>
  <si>
    <t>Other Unallowable</t>
  </si>
  <si>
    <t>Other Unallowable Total</t>
  </si>
  <si>
    <t>Total Expense per Audited Financial Statements</t>
  </si>
  <si>
    <t>Lobbying, Professional Membership Dues</t>
  </si>
  <si>
    <t>Donated Supplies, Services, Space - Given to Others</t>
  </si>
  <si>
    <t>In-Kind Services and Donations Received</t>
  </si>
  <si>
    <t>Summary Expense by Service Group</t>
  </si>
  <si>
    <t>Number of Clients Served*</t>
  </si>
  <si>
    <t>* Client count can be duplicated across programs for purposes of completing this column.</t>
  </si>
  <si>
    <t>Client Medications</t>
  </si>
  <si>
    <t>Utilities</t>
  </si>
  <si>
    <t>Facility and Grounds Maintenance</t>
  </si>
  <si>
    <t>Property Insurance</t>
  </si>
  <si>
    <t>Other Insurance</t>
  </si>
  <si>
    <t>Psychotherapy complex interactive</t>
  </si>
  <si>
    <t>Psychiatric diagnostic evaluation</t>
  </si>
  <si>
    <t>Psychiatric diagnostic evaluation w/ medical services</t>
  </si>
  <si>
    <t>Psychotherapy patient &amp; fam w/ evaluation and management 30 min</t>
  </si>
  <si>
    <t>Psychotherapy patient &amp; family 45 minutes</t>
  </si>
  <si>
    <t>Psychotherapy patient &amp; family 60 minutes</t>
  </si>
  <si>
    <t>Psychotherapy patient &amp; amp;/family 30 minutes</t>
  </si>
  <si>
    <t>Psychotherapy patient &amp; fam w/ evaluation and management 45 min</t>
  </si>
  <si>
    <t>Psychotherapy patient &amp; fam w/ evaluation and management 60 min</t>
  </si>
  <si>
    <t>Psychotherapy crisis - each additional 30 min</t>
  </si>
  <si>
    <t>Psychotherapy crisis - initial 60 min</t>
  </si>
  <si>
    <t>Interpretation/Explanation Results, Psychiatric/Medical Exam/Proc w/Family</t>
  </si>
  <si>
    <t>Psychological/neuropsychological test auto result</t>
  </si>
  <si>
    <t xml:space="preserve">Neuropsychological testing evaluation phys/qhp - 1st </t>
  </si>
  <si>
    <t xml:space="preserve">Neuropsychological testing evaluation phys/qhp - each additional </t>
  </si>
  <si>
    <t xml:space="preserve">Psychological/neuropsychological test phy/qhp - 1st </t>
  </si>
  <si>
    <t xml:space="preserve">Psychological/neuropsychological test phy/qhp - each additional </t>
  </si>
  <si>
    <t xml:space="preserve">Psychological/neuropsychological test technician - 1st </t>
  </si>
  <si>
    <t xml:space="preserve">Psychological/neuropsychological test technician - each additional </t>
  </si>
  <si>
    <t>Psychological testing evaluation phys/qhp - 1st</t>
  </si>
  <si>
    <t>Psychological testing evaluation phys/qhp - each additional</t>
  </si>
  <si>
    <t>Neurobehavioral status exam phy/qhp - each additional</t>
  </si>
  <si>
    <t xml:space="preserve">Neurobehavioral status exam </t>
  </si>
  <si>
    <t>Non-physician health care professional phone call 5-10 min</t>
  </si>
  <si>
    <t>Non-physician health care professional phone call 11-20 min</t>
  </si>
  <si>
    <t>Non-physician health care professional phone call 21-30 min</t>
  </si>
  <si>
    <t>Office or other outpatient visit for the evaluation and management of an established patient that may not require the presence of a physician or other qualified health care professional</t>
  </si>
  <si>
    <t>Hospital Discharge Day Management - 30 Minutes</t>
  </si>
  <si>
    <t>Office consultation - 30 minutes</t>
  </si>
  <si>
    <t>Office consultation - 40 minutes</t>
  </si>
  <si>
    <t>Office consultation - 60 minutes</t>
  </si>
  <si>
    <t>Office consultation - 80 minutes</t>
  </si>
  <si>
    <t>Initial Inpatient Consultation - 40 Minutes</t>
  </si>
  <si>
    <t>Initial Inpatient Consultation - 55 Minutes</t>
  </si>
  <si>
    <t>Initial Inpatient Consultation - 80 Minutes</t>
  </si>
  <si>
    <t>Initial inpatient consultation - 110 minutes.</t>
  </si>
  <si>
    <t>Emergency Dept: req. history, exam, med decision making</t>
  </si>
  <si>
    <t>Emergency Dept: req. exp. history, exp. exam, low complexity</t>
  </si>
  <si>
    <t>Emergency Dept: req. exp. history, exp. exam, moderate complexity</t>
  </si>
  <si>
    <t>Emergency Dept: req. detailed history, exam, moderate complexity</t>
  </si>
  <si>
    <t>Emergency Dept.: req. comp. history, exam, high complexity</t>
  </si>
  <si>
    <t>Observation or inpatient hospital care, patient admitted and discharged on same date of service - 40 minutes</t>
  </si>
  <si>
    <t>Observation or inpatient hospital care, patient admitted and discharged on same date of service - 50 minutes</t>
  </si>
  <si>
    <t>Observation or inpatient hospital care, patient admitted and discharged on same date of service - 55 minutes</t>
  </si>
  <si>
    <t>Initial nursing facility care/per day - 25 min at bedside or on patient floor/unit</t>
  </si>
  <si>
    <t>Initial nursing facility care/per day - 35 min at bedside or on patient floor/unit</t>
  </si>
  <si>
    <t>Initial nursing facility care/per day - 45 min at bedside or on patient floor/unit</t>
  </si>
  <si>
    <t>Subsequent nursing facility care/per day - 10 min at bedside or on patient floor/unit</t>
  </si>
  <si>
    <t>Subsequent nursing facility care/per day - 15 min at bedside or on patient floor/unit</t>
  </si>
  <si>
    <t>Subsequent nursing facility care/per day - 25 min at bedside or on patient floor/unit</t>
  </si>
  <si>
    <t>Subsequent nursing facility care/per day - 35 min at bedside or on patient floor/unit</t>
  </si>
  <si>
    <t>Nursing facility discharge day management - 30 minutes or less</t>
  </si>
  <si>
    <t>Home visit, new patient - 20 minutes</t>
  </si>
  <si>
    <t>Home visit, new patient - 30 minutes</t>
  </si>
  <si>
    <t>Home visit, new patient - 60 minutes</t>
  </si>
  <si>
    <t>Home visit, new patient - 75 minutes</t>
  </si>
  <si>
    <t>Home visit, established patient - 15 minutes</t>
  </si>
  <si>
    <t>Home visit, established patient - 25 minutes</t>
  </si>
  <si>
    <t>Home visit, established patient - 40 minutes</t>
  </si>
  <si>
    <t>Home visit, established patient - 60 minutes</t>
  </si>
  <si>
    <t xml:space="preserve">Team conference w/ patient by non-physician health care professional </t>
  </si>
  <si>
    <t>Team conference w/out patient by physician</t>
  </si>
  <si>
    <t xml:space="preserve">Team conference w/out patient by non-physician health care professional </t>
  </si>
  <si>
    <t>Phone evaluation and management by physician - 5-10 min</t>
  </si>
  <si>
    <t>Phone evaluation and management by physician - 11-20 min</t>
  </si>
  <si>
    <t>Phone evaluation and management by physician - 21-30 min</t>
  </si>
  <si>
    <t>Activity therapy, such as music, dance, art or play therapies not for recreation, related to the care; treatment of patients disabling MH problems, per session - 45 min or more</t>
  </si>
  <si>
    <t>Training and educational services related to the care and treatment of patient disabling mental health problems per session - 45 minutes or more</t>
  </si>
  <si>
    <t>Behavioral health screening to determine eligibility for admit to treatment program</t>
  </si>
  <si>
    <t>ASAM 3.2 withdrawal management - alcohol and/or drug services, acute detox (residential addiction program inpatient)</t>
  </si>
  <si>
    <t>AMAM 3.7 withdrawal management - alcohol and/or drug services; acute detoxification (residential addiction program inpatient)</t>
  </si>
  <si>
    <t>Substance use intensive outpatient program</t>
  </si>
  <si>
    <t>Alcohol and/or drug services; methadone administration and/or service (provisions of the drug by a licensed program)</t>
  </si>
  <si>
    <t>Alcohol and/or drug outreach - Drop In Center</t>
  </si>
  <si>
    <t>Alcohol and/or drug outreach - Outreach Only</t>
  </si>
  <si>
    <t>Behavioral health treatment service plan development, by non-physician</t>
  </si>
  <si>
    <t>Mental health assessment, by non-physician</t>
  </si>
  <si>
    <t>Medication training and support - per 15 min</t>
  </si>
  <si>
    <t>Mental health partial hospitalization, treatment - less than 24 hours</t>
  </si>
  <si>
    <t>Community Psychiatric Supportive Treatment Program - Per Diem</t>
  </si>
  <si>
    <t>Community Psychiatric Supportive Treatment, Face-Face - Per 15min</t>
  </si>
  <si>
    <t>Assertive Community Treatment, Face-Face - 15min</t>
  </si>
  <si>
    <t>Assertive Community Treatment Program - Per Diem</t>
  </si>
  <si>
    <t>Supported Housing - Per Diem</t>
  </si>
  <si>
    <t>Supported Housing - Per Month</t>
  </si>
  <si>
    <t>Respite Not-In-Home - Per Diem</t>
  </si>
  <si>
    <t>Alcohol and/or other drug abuse services - not otherwise specified</t>
  </si>
  <si>
    <t>Alcohol and/or other drug testing - collection and handling only</t>
  </si>
  <si>
    <t>Comprehensive Multidisciplinary Evaluation</t>
  </si>
  <si>
    <t>Rehabilitation Program - per 1/2 day</t>
  </si>
  <si>
    <t xml:space="preserve">Crisis Intervention Service - 15 min </t>
  </si>
  <si>
    <t xml:space="preserve">Behavioral Health Day Treatment - Per Hour </t>
  </si>
  <si>
    <t>Skills training and development - 15 Min</t>
  </si>
  <si>
    <t>Comprehensive community support services - 15 Min</t>
  </si>
  <si>
    <t>Community-based wrap-around services - per diem</t>
  </si>
  <si>
    <t>Community-based wrap-around services - 15 min</t>
  </si>
  <si>
    <t>Psychosocial rehabilitation services - 15 Min</t>
  </si>
  <si>
    <t>Psychosocial rehabilitation services - per diem</t>
  </si>
  <si>
    <t>Comprehensive community support services - per diem</t>
  </si>
  <si>
    <t>Supported Employment - Per 15 Min</t>
  </si>
  <si>
    <t>Supported Employment - Per Diem</t>
  </si>
  <si>
    <t>Support to Maintain Employment - 15 Min</t>
  </si>
  <si>
    <t>Support to Maintain Employment - Per Diem</t>
  </si>
  <si>
    <t>Psychoeducational services - 15 Min</t>
  </si>
  <si>
    <t>Mental health clubhouse services - 15 Min</t>
  </si>
  <si>
    <t>Mental health clubhouse services - Per Diem</t>
  </si>
  <si>
    <t>Activity Therapy - Per 15 Min</t>
  </si>
  <si>
    <t>Multisystemic therapy for juveniles - 15 min</t>
  </si>
  <si>
    <t>Alcohol and/or drug treatment program - Per Diem</t>
  </si>
  <si>
    <t xml:space="preserve">Unskilled Respite Care - 15m </t>
  </si>
  <si>
    <t>Unskilled Respite Care - Per Diem</t>
  </si>
  <si>
    <t>Stress Management Class</t>
  </si>
  <si>
    <t>Intensive outpatient psychiatric services - per diem</t>
  </si>
  <si>
    <t>Crisis intervention mental health services - Per Diem</t>
  </si>
  <si>
    <t>Respite Care Service - 15 Min</t>
  </si>
  <si>
    <t xml:space="preserve">Case Management - Each 15 Minutes </t>
  </si>
  <si>
    <t>Inpatient Hospital</t>
  </si>
  <si>
    <t xml:space="preserve">TRCCF </t>
  </si>
  <si>
    <t>License Type</t>
  </si>
  <si>
    <t>H2036 3.7</t>
  </si>
  <si>
    <t>H2036 3.5</t>
  </si>
  <si>
    <t>H2036 3.1</t>
  </si>
  <si>
    <t xml:space="preserve">
Bed Capacity</t>
  </si>
  <si>
    <t>H0010 3.2</t>
  </si>
  <si>
    <t>H0011 3.7</t>
  </si>
  <si>
    <t>H2036 3.3</t>
  </si>
  <si>
    <t>Schedule 4 Total Units</t>
  </si>
  <si>
    <t>Total 
Census Days</t>
  </si>
  <si>
    <t>a</t>
  </si>
  <si>
    <t>b</t>
  </si>
  <si>
    <t>c</t>
  </si>
  <si>
    <t>H0010 3.2 WM</t>
  </si>
  <si>
    <t>H0011 3.7 WM</t>
  </si>
  <si>
    <t>Other Client</t>
  </si>
  <si>
    <t>Non-Clinical 
Role FTE</t>
  </si>
  <si>
    <t>Days Open During Period</t>
  </si>
  <si>
    <t>N/A - Apartments</t>
  </si>
  <si>
    <t>Apartments</t>
  </si>
  <si>
    <t>Number of Months in Role During Reporting Period</t>
  </si>
  <si>
    <t xml:space="preserve">Clinical, Licensed Physicians  </t>
  </si>
  <si>
    <t>Partner Organizations</t>
  </si>
  <si>
    <t>Total consultative and educational svcs expense (A + B)</t>
  </si>
  <si>
    <t>Total outpatient services expense (A + B)</t>
  </si>
  <si>
    <t>Total partial hospitalization services expense (A + B)</t>
  </si>
  <si>
    <t>Total emergency services expense (A + B)</t>
  </si>
  <si>
    <t>Type of Facility, Endorsement, or Service</t>
  </si>
  <si>
    <t>RSSO</t>
  </si>
  <si>
    <t>CSL</t>
  </si>
  <si>
    <t>BHE</t>
  </si>
  <si>
    <t>ALR - Assisted Living Residence</t>
  </si>
  <si>
    <t>BHE - Behavioral Health Entity</t>
  </si>
  <si>
    <t>CSL - Controlled Substance License</t>
  </si>
  <si>
    <t>SUD - Substance Use Disorder</t>
  </si>
  <si>
    <t>PRTF - Psychiatric Residential Treatment Facility</t>
  </si>
  <si>
    <t>RSSO - Recovery Support Services Organization</t>
  </si>
  <si>
    <t>RCCF - Residential Child Care Facility</t>
  </si>
  <si>
    <t>TRCCF - Therapeutic Residential Child Care Facility</t>
  </si>
  <si>
    <t>Acronyms Used Above</t>
  </si>
  <si>
    <t>ATU - Acute Treatment Unit</t>
  </si>
  <si>
    <t>CSU - Crisis Stabilization Unit</t>
  </si>
  <si>
    <t>Inpatient and Residential Services</t>
  </si>
  <si>
    <t>Identify all facilities at which inpatient and residential programs are provided. Facilities that serve multiple types of programs, services, or endorsements should be separated by such into individual lines below. For example, if Facility A houses the ATU and CSU programs, then Facility A should be reported twice below, and the census days and costs for each program should be discreetly identified and separated between lines accordingly.</t>
  </si>
  <si>
    <t>T2031</t>
  </si>
  <si>
    <t>Withdrawal Mgmt</t>
  </si>
  <si>
    <t>Rebalanced Non-Facility RVU Weight</t>
  </si>
  <si>
    <t>Rebalanced Facility RVU Weight</t>
  </si>
  <si>
    <r>
      <t xml:space="preserve">ENCOUNTER-BASED SERVICES </t>
    </r>
    <r>
      <rPr>
        <b/>
        <i/>
        <sz val="11"/>
        <rFont val="Calibri"/>
        <family val="2"/>
        <scheme val="minor"/>
      </rPr>
      <t>with</t>
    </r>
    <r>
      <rPr>
        <b/>
        <sz val="11"/>
        <rFont val="Calibri"/>
        <family val="2"/>
        <scheme val="minor"/>
      </rPr>
      <t xml:space="preserve"> RVU WEIGHTS and ALL INTEGRATION SERVICES
(Schedule 2)</t>
    </r>
  </si>
  <si>
    <r>
      <t xml:space="preserve">OTHER ENCOUNTER-BASED SERVICES </t>
    </r>
    <r>
      <rPr>
        <b/>
        <i/>
        <sz val="11"/>
        <rFont val="Calibri"/>
        <family val="2"/>
        <scheme val="minor"/>
      </rPr>
      <t>without</t>
    </r>
    <r>
      <rPr>
        <b/>
        <sz val="11"/>
        <rFont val="Calibri"/>
        <family val="2"/>
        <scheme val="minor"/>
      </rPr>
      <t xml:space="preserve"> RVU WEIGHTS and OTHER NON-ENCOUNTER-BASED SERVICES
(Schedule 2)</t>
    </r>
  </si>
  <si>
    <t>CLIENT COSTS</t>
  </si>
  <si>
    <t>Identify employees with the five largest non-clinical direct salary amounts (wages and bonus) exceeding the limit during the cost report period. If an employee serves a dual role providing clinical and non-clinical functions, the limitation is only applicable to the non-clinical portion of the employee's direct salary. For example, a CEO with a $500,000 direct salary who spends 40% of their time serving in a non-clinical role would have the limit applied to $200,000 of their direct salary; the non-clinical percent is identified as full time equivalent (FTE) below for informational purposes.</t>
  </si>
  <si>
    <t>Non-Clinical 
Salary and Bonus 
During Period</t>
  </si>
  <si>
    <t>Unallowable Excess Non-Clinical Salary Above Limit</t>
  </si>
  <si>
    <t>Identify all transactions that are less-than-arms-length (reference the definition below). The CMHC must identify the nature, amount, account number(s) and/or Program(s) associated with the related party expense. In addition, the vendor/individual name should be included. Multiple types of expenses paid to the same related entity can be combined into a single line below as long as they are reported in the same column on Schedule 1.</t>
  </si>
  <si>
    <t>According to the Behavioral Health Accounting and Auditing Guidelines (A&amp;A Guidelines) for the fiscal year, a less-than-arm's-length transaction is one under which one party to the transaction is able to control or substantially influence the actions of the other. Examples of less-than-arm’s-length transactions include leases, management agreements, or administrative service agreements between a parent and subsidiary or commonly-owned subsidiaries. Related entities are generally those that share common ownership or control with the CMHC. Expenses paid to related entities are allowable on Schedule 1 of the cost report to the extent that the expense incurred by the CMHC is not greater than the actual cost incurred by the related organization to provide the supplies/services to the CMHC. Excess expense above actual cost is reported as unallowable on Schedule 1, and is not included in calculation of the Base Unit Cost.</t>
  </si>
  <si>
    <r>
      <t xml:space="preserve">Indirect Cost 
</t>
    </r>
    <r>
      <rPr>
        <sz val="8"/>
        <rFont val="Calibri"/>
        <family val="2"/>
        <scheme val="minor"/>
      </rPr>
      <t>(Direct Cost x Sch 1 Indirect Cost Rate</t>
    </r>
    <r>
      <rPr>
        <b/>
        <sz val="8"/>
        <rFont val="Calibri"/>
        <family val="2"/>
        <scheme val="minor"/>
      </rPr>
      <t>)</t>
    </r>
  </si>
  <si>
    <r>
      <t xml:space="preserve">Facility 
Open Date 
</t>
    </r>
    <r>
      <rPr>
        <b/>
        <sz val="8"/>
        <rFont val="Calibri"/>
        <family val="2"/>
        <scheme val="minor"/>
      </rPr>
      <t>(leave blank if opened prior to reporting period)</t>
    </r>
  </si>
  <si>
    <r>
      <t xml:space="preserve">Facility 
Close Date 
</t>
    </r>
    <r>
      <rPr>
        <b/>
        <sz val="8"/>
        <rFont val="Calibri"/>
        <family val="2"/>
        <scheme val="minor"/>
      </rPr>
      <t>(leave blank if still open at end of period)</t>
    </r>
  </si>
  <si>
    <r>
      <t xml:space="preserve">Procedure Code </t>
    </r>
    <r>
      <rPr>
        <b/>
        <sz val="9"/>
        <rFont val="Calibri"/>
        <family val="2"/>
        <scheme val="minor"/>
      </rPr>
      <t>(and ASAM if applicable)</t>
    </r>
  </si>
  <si>
    <t>Summary of Results</t>
  </si>
  <si>
    <t>Proposed Adjustments</t>
  </si>
  <si>
    <t>Final Adjustments</t>
  </si>
  <si>
    <t xml:space="preserve"> </t>
  </si>
  <si>
    <t>Final Adjusted</t>
  </si>
  <si>
    <t>As-Filed</t>
  </si>
  <si>
    <t>Change</t>
  </si>
  <si>
    <t>Expense and Statistics Totals</t>
  </si>
  <si>
    <t>Schedule 1 - Total Expenses</t>
  </si>
  <si>
    <t>Schedule 1A - Total Unallowable Excess Direct Salary Expense</t>
  </si>
  <si>
    <t>Schedule 1C - Total Unallowable Excess Related Party Expense</t>
  </si>
  <si>
    <t>Schedule 2A - Total Emergency Services Expense</t>
  </si>
  <si>
    <t>Schedule 2B - Total Consultative and Educational Services Expense</t>
  </si>
  <si>
    <t>Schedule 2C - Total Outpatient Services Expense</t>
  </si>
  <si>
    <t>Schedule 2D - Total Partial Hospitalization Services Expense</t>
  </si>
  <si>
    <t>Schedule 3 - Total Census Days</t>
  </si>
  <si>
    <t>Schedule 3 - Total Inpatient and Residential Facilities Expenses</t>
  </si>
  <si>
    <t>Schedule 4 - Total Non-Facility Units</t>
  </si>
  <si>
    <t>Schedule 4 - Total Facility Units</t>
  </si>
  <si>
    <t>Base Unit Cost Calculation</t>
  </si>
  <si>
    <r>
      <rPr>
        <b/>
        <sz val="11"/>
        <color theme="1"/>
        <rFont val="Calibri"/>
        <family val="2"/>
        <scheme val="minor"/>
      </rPr>
      <t>A:</t>
    </r>
    <r>
      <rPr>
        <sz val="11"/>
        <color theme="1"/>
        <rFont val="Calibri"/>
        <family val="2"/>
        <scheme val="minor"/>
      </rPr>
      <t xml:space="preserve"> Schedule 1 - Encounter-Based Services with RVU Weights and All Integration Services Expense</t>
    </r>
  </si>
  <si>
    <r>
      <rPr>
        <b/>
        <sz val="11"/>
        <rFont val="Calibri"/>
        <family val="2"/>
        <scheme val="minor"/>
      </rPr>
      <t xml:space="preserve">B: </t>
    </r>
    <r>
      <rPr>
        <sz val="11"/>
        <rFont val="Calibri"/>
        <family val="2"/>
        <scheme val="minor"/>
      </rPr>
      <t>Schedule 4 - Non-RVU Integration Services Revenue</t>
    </r>
  </si>
  <si>
    <r>
      <rPr>
        <b/>
        <sz val="11"/>
        <color theme="1"/>
        <rFont val="Calibri"/>
        <family val="2"/>
        <scheme val="minor"/>
      </rPr>
      <t xml:space="preserve">C: </t>
    </r>
    <r>
      <rPr>
        <sz val="11"/>
        <color theme="1"/>
        <rFont val="Calibri"/>
        <family val="2"/>
        <scheme val="minor"/>
      </rPr>
      <t>Schedule 4 - Non-Facility RVUs</t>
    </r>
  </si>
  <si>
    <r>
      <rPr>
        <b/>
        <sz val="11"/>
        <color theme="1"/>
        <rFont val="Calibri"/>
        <family val="2"/>
        <scheme val="minor"/>
      </rPr>
      <t>D:</t>
    </r>
    <r>
      <rPr>
        <sz val="11"/>
        <color theme="1"/>
        <rFont val="Calibri"/>
        <family val="2"/>
        <scheme val="minor"/>
      </rPr>
      <t xml:space="preserve"> Schedule 4 - Facility RVUs</t>
    </r>
  </si>
  <si>
    <t>Schedule 4 - Base Unit Cost Calculation (A-B)/(C+D)</t>
  </si>
  <si>
    <t>Per Diem Calculations</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</si>
  <si>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</si>
  <si>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</si>
  <si>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</si>
  <si>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</si>
  <si>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</si>
  <si>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</si>
  <si>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</si>
  <si>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</si>
  <si>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</si>
  <si>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</si>
  <si>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</si>
  <si>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</si>
  <si>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</si>
  <si>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</si>
  <si>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</si>
  <si>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</si>
  <si>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</si>
  <si>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</si>
  <si>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</si>
  <si>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</si>
  <si>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</si>
  <si>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</si>
  <si>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r>
      <t>Adjustments to</t>
    </r>
    <r>
      <rPr>
        <b/>
        <sz val="16"/>
        <rFont val="Calibri"/>
        <family val="2"/>
        <scheme val="minor"/>
      </rPr>
      <t xml:space="preserve"> Schedule 1: Expenses</t>
    </r>
  </si>
  <si>
    <t>1 - Adjustments</t>
  </si>
  <si>
    <t>1 - Adjusted</t>
  </si>
  <si>
    <t>Adjustments 
FULL-TIME EQV 
(FTEs)</t>
  </si>
  <si>
    <t>Adjusted 
FULL-TIME EQV 
(FTEs)</t>
  </si>
  <si>
    <t>2 - Adjustments</t>
  </si>
  <si>
    <t>2 - Adjusted</t>
  </si>
  <si>
    <t>Adjustments
INDIRECT 
(not traceable to direct cost center)</t>
  </si>
  <si>
    <t>Adjusted 
INDIRECT 
(not traceable to direct cost center)</t>
  </si>
  <si>
    <t>3 - Adjustments</t>
  </si>
  <si>
    <t>3 - Adjusted</t>
  </si>
  <si>
    <r>
      <t xml:space="preserve">Adjustments
ENCOUNTER-BASED SERVICES </t>
    </r>
    <r>
      <rPr>
        <b/>
        <i/>
        <sz val="11"/>
        <color rgb="FF0000FF"/>
        <rFont val="Calibri"/>
        <family val="2"/>
        <scheme val="minor"/>
      </rPr>
      <t>with</t>
    </r>
    <r>
      <rPr>
        <b/>
        <sz val="11"/>
        <color rgb="FF0000FF"/>
        <rFont val="Calibri"/>
        <family val="2"/>
        <scheme val="minor"/>
      </rPr>
      <t xml:space="preserve"> RVU WEIGHTS and ALL INTEGRATION SERVICES
(Schedule 2)</t>
    </r>
  </si>
  <si>
    <r>
      <t xml:space="preserve">Adjusted 
ENCOUNTER-BASED SERVICES </t>
    </r>
    <r>
      <rPr>
        <b/>
        <i/>
        <sz val="11"/>
        <color rgb="FFFF0000"/>
        <rFont val="Calibri"/>
        <family val="2"/>
        <scheme val="minor"/>
      </rPr>
      <t>with</t>
    </r>
    <r>
      <rPr>
        <b/>
        <sz val="11"/>
        <color rgb="FFFF0000"/>
        <rFont val="Calibri"/>
        <family val="2"/>
        <scheme val="minor"/>
      </rPr>
      <t xml:space="preserve"> RVU WEIGHTS and ALL INTEGRATION SERVICES
(Schedule 2)</t>
    </r>
  </si>
  <si>
    <t>4 - Adjustments</t>
  </si>
  <si>
    <t>4 - Adjusted</t>
  </si>
  <si>
    <t>5 - Adjustments</t>
  </si>
  <si>
    <t>5 - Adjusted</t>
  </si>
  <si>
    <r>
      <t xml:space="preserve">Adjustments 
OTHER ENCOUNTER-BASED SERVICES </t>
    </r>
    <r>
      <rPr>
        <b/>
        <i/>
        <sz val="11"/>
        <color rgb="FF0000FF"/>
        <rFont val="Calibri"/>
        <family val="2"/>
        <scheme val="minor"/>
      </rPr>
      <t>without</t>
    </r>
    <r>
      <rPr>
        <b/>
        <sz val="11"/>
        <color rgb="FF0000FF"/>
        <rFont val="Calibri"/>
        <family val="2"/>
        <scheme val="minor"/>
      </rPr>
      <t xml:space="preserve"> RVU WEIGHTS and OTHER NON-ENCOUNTER-BASED SERVICES
(Schedule 2)</t>
    </r>
  </si>
  <si>
    <r>
      <t xml:space="preserve">Adjusted 
OTHER ENCOUNTER-BASED SERVICES </t>
    </r>
    <r>
      <rPr>
        <b/>
        <i/>
        <sz val="11"/>
        <color rgb="FFFF0000"/>
        <rFont val="Calibri"/>
        <family val="2"/>
        <scheme val="minor"/>
      </rPr>
      <t>without</t>
    </r>
    <r>
      <rPr>
        <b/>
        <sz val="11"/>
        <color rgb="FFFF0000"/>
        <rFont val="Calibri"/>
        <family val="2"/>
        <scheme val="minor"/>
      </rPr>
      <t xml:space="preserve"> RVU WEIGHTS and OTHER NON-ENCOUNTER-BASED SERVICES
(Schedule 2)</t>
    </r>
  </si>
  <si>
    <t>6 - Adjustments</t>
  </si>
  <si>
    <t>6 - Adjusted</t>
  </si>
  <si>
    <t>Adjustments 
UNALLOWABLE</t>
  </si>
  <si>
    <t>Adjusted 
UNALLOWABLE</t>
  </si>
  <si>
    <t>7 - Adjustments</t>
  </si>
  <si>
    <t>7 - Adjusted</t>
  </si>
  <si>
    <t>Adjustments 
TOTAL</t>
  </si>
  <si>
    <t>Adjusted 
TOTAL</t>
  </si>
  <si>
    <t>SCHEDULE 1</t>
  </si>
  <si>
    <t>Adjustment</t>
  </si>
  <si>
    <t>Number</t>
  </si>
  <si>
    <t>Amount</t>
  </si>
  <si>
    <t>Schedule</t>
  </si>
  <si>
    <t>Column</t>
  </si>
  <si>
    <t>Line</t>
  </si>
  <si>
    <t>Reference</t>
  </si>
  <si>
    <t>SCHEDULE 1A</t>
  </si>
  <si>
    <t>SCHEDULE 1C</t>
  </si>
  <si>
    <t>SCHEDULE 2 SERIES (ALL SCHEDULES)</t>
  </si>
  <si>
    <t xml:space="preserve">SCHEDULE 3 </t>
  </si>
  <si>
    <t xml:space="preserve">SCHEDULE 4 </t>
  </si>
  <si>
    <r>
      <t>Nature of 
Related Party Expense</t>
    </r>
    <r>
      <rPr>
        <b/>
        <sz val="11"/>
        <color rgb="FFFF0000"/>
        <rFont val="Calibri"/>
        <family val="2"/>
        <scheme val="minor"/>
      </rPr>
      <t>*</t>
    </r>
  </si>
  <si>
    <t>Adjusted
Related Party:
Actual Cost Incurred</t>
  </si>
  <si>
    <t>Actual Limit</t>
  </si>
  <si>
    <t>As-Filed Limit</t>
  </si>
  <si>
    <t>Adjusted
Unallowable Excess Non-Clinical Salary Above Limit</t>
  </si>
  <si>
    <t>Adjusted</t>
  </si>
  <si>
    <r>
      <t xml:space="preserve">Adjustments to </t>
    </r>
    <r>
      <rPr>
        <b/>
        <sz val="16"/>
        <rFont val="Calibri"/>
        <family val="2"/>
        <scheme val="minor"/>
      </rPr>
      <t>Schedule 1A: Non-Clinical Direct Salary Limit</t>
    </r>
  </si>
  <si>
    <t>* red values are revised from as-filed</t>
  </si>
  <si>
    <r>
      <t xml:space="preserve">Job Title </t>
    </r>
    <r>
      <rPr>
        <b/>
        <sz val="11"/>
        <color rgb="FFFF0000"/>
        <rFont val="Calibri"/>
        <family val="2"/>
        <scheme val="minor"/>
      </rPr>
      <t>*</t>
    </r>
  </si>
  <si>
    <r>
      <t xml:space="preserve">Schedule 1 
Column </t>
    </r>
    <r>
      <rPr>
        <b/>
        <sz val="11"/>
        <color rgb="FFFF0000"/>
        <rFont val="Calibri"/>
        <family val="2"/>
        <scheme val="minor"/>
      </rPr>
      <t>*</t>
    </r>
  </si>
  <si>
    <t>Adjustments
Non-Clinical 
Salary and Bonus 
During Period</t>
  </si>
  <si>
    <t>Adjusted
Non-Clinical 
Salary and Bonus 
During Period</t>
  </si>
  <si>
    <r>
      <t xml:space="preserve">Number of Months in Role During Reporting Period </t>
    </r>
    <r>
      <rPr>
        <b/>
        <sz val="11"/>
        <color rgb="FFFF0000"/>
        <rFont val="Calibri"/>
        <family val="2"/>
        <scheme val="minor"/>
      </rPr>
      <t>*</t>
    </r>
  </si>
  <si>
    <r>
      <t xml:space="preserve">Non-Clinical 
Role FTE </t>
    </r>
    <r>
      <rPr>
        <b/>
        <sz val="11"/>
        <color rgb="FFFF0000"/>
        <rFont val="Calibri"/>
        <family val="2"/>
        <scheme val="minor"/>
      </rPr>
      <t>*</t>
    </r>
  </si>
  <si>
    <t>Adjustments
Related Party:
Actual Cost Incurred</t>
  </si>
  <si>
    <r>
      <t xml:space="preserve">Nature of 
Related Party Expense </t>
    </r>
    <r>
      <rPr>
        <b/>
        <sz val="11"/>
        <color rgb="FFFF0000"/>
        <rFont val="Calibri"/>
        <family val="2"/>
        <scheme val="minor"/>
      </rPr>
      <t>*</t>
    </r>
  </si>
  <si>
    <r>
      <t xml:space="preserve">Account Number(s) 
and/or Program(s) </t>
    </r>
    <r>
      <rPr>
        <b/>
        <sz val="11"/>
        <color rgb="FFFF0000"/>
        <rFont val="Calibri"/>
        <family val="2"/>
        <scheme val="minor"/>
      </rPr>
      <t>*</t>
    </r>
  </si>
  <si>
    <r>
      <t xml:space="preserve">Related Vendor, 
Individual, or Organization </t>
    </r>
    <r>
      <rPr>
        <b/>
        <sz val="11"/>
        <color rgb="FFFF0000"/>
        <rFont val="Calibri"/>
        <family val="2"/>
        <scheme val="minor"/>
      </rPr>
      <t>*</t>
    </r>
  </si>
  <si>
    <t>Adjustments
Direct 
Cost</t>
  </si>
  <si>
    <t>Adjusted
Direct 
Cost</t>
  </si>
  <si>
    <r>
      <t xml:space="preserve">Are emergency services provided? </t>
    </r>
    <r>
      <rPr>
        <b/>
        <sz val="11"/>
        <color rgb="FFFF0000"/>
        <rFont val="Calibri"/>
        <family val="2"/>
        <scheme val="minor"/>
      </rPr>
      <t>*</t>
    </r>
  </si>
  <si>
    <r>
      <t xml:space="preserve">Program/Grant/Team </t>
    </r>
    <r>
      <rPr>
        <b/>
        <sz val="11"/>
        <color rgb="FFFF0000"/>
        <rFont val="Calibri"/>
        <family val="2"/>
        <scheme val="minor"/>
      </rPr>
      <t>*</t>
    </r>
  </si>
  <si>
    <r>
      <t xml:space="preserve">Adjusted
Indirect Cost 
</t>
    </r>
    <r>
      <rPr>
        <sz val="8"/>
        <color rgb="FFFF0000"/>
        <rFont val="Calibri"/>
        <family val="2"/>
        <scheme val="minor"/>
      </rPr>
      <t>(Direct Cost x Sch 1 Indirect Cost Rate</t>
    </r>
    <r>
      <rPr>
        <b/>
        <sz val="8"/>
        <color rgb="FFFF0000"/>
        <rFont val="Calibri"/>
        <family val="2"/>
        <scheme val="minor"/>
      </rPr>
      <t>)</t>
    </r>
  </si>
  <si>
    <t xml:space="preserve">4 - Adjusted </t>
  </si>
  <si>
    <t xml:space="preserve">Adjusted
Total Cost </t>
  </si>
  <si>
    <t>8 - Adjustments</t>
  </si>
  <si>
    <t>8 - Adjusted</t>
  </si>
  <si>
    <t>9 - Adjustments</t>
  </si>
  <si>
    <t>9 - Adjusted</t>
  </si>
  <si>
    <t>Adjustments
FTEs</t>
  </si>
  <si>
    <t>Adjusted
FTEs</t>
  </si>
  <si>
    <t>Adjustments
Number of Clients Served</t>
  </si>
  <si>
    <t>Adjusted
Number of Clients Served</t>
  </si>
  <si>
    <r>
      <t xml:space="preserve">Are consultative and educational services provided? </t>
    </r>
    <r>
      <rPr>
        <b/>
        <sz val="11"/>
        <color rgb="FFFF0000"/>
        <rFont val="Calibri"/>
        <family val="2"/>
        <scheme val="minor"/>
      </rPr>
      <t>*</t>
    </r>
  </si>
  <si>
    <t>Number of Clients Served</t>
  </si>
  <si>
    <t xml:space="preserve">2 - Adjusted </t>
  </si>
  <si>
    <r>
      <t xml:space="preserve">Are outpatient services provided? </t>
    </r>
    <r>
      <rPr>
        <b/>
        <sz val="11"/>
        <color rgb="FFFF0000"/>
        <rFont val="Calibri"/>
        <family val="2"/>
        <scheme val="minor"/>
      </rPr>
      <t>*</t>
    </r>
  </si>
  <si>
    <r>
      <t xml:space="preserve">Are partial hospitalization services provided? </t>
    </r>
    <r>
      <rPr>
        <b/>
        <sz val="11"/>
        <color rgb="FFFF0000"/>
        <rFont val="Calibri"/>
        <family val="2"/>
        <scheme val="minor"/>
      </rPr>
      <t>*</t>
    </r>
  </si>
  <si>
    <t xml:space="preserve">8 - Adjusted </t>
  </si>
  <si>
    <t>Adjustments
Number of Clients Served*</t>
  </si>
  <si>
    <t>Adjusted
Number of Clients Served*</t>
  </si>
  <si>
    <r>
      <t xml:space="preserve">Name of Facility </t>
    </r>
    <r>
      <rPr>
        <b/>
        <sz val="11"/>
        <color rgb="FFFF0000"/>
        <rFont val="Calibri"/>
        <family val="2"/>
        <scheme val="minor"/>
      </rPr>
      <t>*</t>
    </r>
  </si>
  <si>
    <r>
      <t xml:space="preserve">Type of Facility, Endorsement, or Service </t>
    </r>
    <r>
      <rPr>
        <b/>
        <sz val="11"/>
        <color rgb="FFFF0000"/>
        <rFont val="Calibri"/>
        <family val="2"/>
        <scheme val="minor"/>
      </rPr>
      <t>*</t>
    </r>
  </si>
  <si>
    <r>
      <t xml:space="preserve">License Type </t>
    </r>
    <r>
      <rPr>
        <b/>
        <sz val="11"/>
        <color rgb="FFFF0000"/>
        <rFont val="Calibri"/>
        <family val="2"/>
        <scheme val="minor"/>
      </rPr>
      <t>*</t>
    </r>
  </si>
  <si>
    <r>
      <t xml:space="preserve">
Bed Capacity </t>
    </r>
    <r>
      <rPr>
        <b/>
        <sz val="11"/>
        <color rgb="FFFF0000"/>
        <rFont val="Calibri"/>
        <family val="2"/>
        <scheme val="minor"/>
      </rPr>
      <t>*</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</si>
  <si>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 xml:space="preserve">(leave blank if opened prior to reporting period) </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</si>
  <si>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</si>
  <si>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r>
      <t xml:space="preserve">Procedure Code </t>
    </r>
    <r>
      <rPr>
        <b/>
        <sz val="9"/>
        <rFont val="Calibri"/>
        <family val="2"/>
        <scheme val="minor"/>
      </rPr>
      <t xml:space="preserve">(and ASAM if applicable) </t>
    </r>
    <r>
      <rPr>
        <b/>
        <sz val="9"/>
        <color rgb="FFFF0000"/>
        <rFont val="Calibri"/>
        <family val="2"/>
        <scheme val="minor"/>
      </rPr>
      <t>*</t>
    </r>
  </si>
  <si>
    <t>Adjustments
Census Days</t>
  </si>
  <si>
    <t>Adjusted
Census Days</t>
  </si>
  <si>
    <t>Adjusted
Utilization Rate</t>
  </si>
  <si>
    <t>11 - Adjustments</t>
  </si>
  <si>
    <t>Adjustments
Total Expense</t>
  </si>
  <si>
    <t>Adjusted
Total Expense</t>
  </si>
  <si>
    <t>11 - Adjusted</t>
  </si>
  <si>
    <t>12 - Adjusted</t>
  </si>
  <si>
    <t>Adjusted
Total Cost Per Day</t>
  </si>
  <si>
    <t>13 - Adjustments</t>
  </si>
  <si>
    <t>13 - Adjusted</t>
  </si>
  <si>
    <t>Adjustments
Room and Board Expense</t>
  </si>
  <si>
    <t>Adjusted
Room and Board Expense</t>
  </si>
  <si>
    <t>Adjusted
Room and Board Cost Per Day</t>
  </si>
  <si>
    <t>14 - Adjusted</t>
  </si>
  <si>
    <t>15 - Adjusted</t>
  </si>
  <si>
    <t>16 - Adjusted</t>
  </si>
  <si>
    <t>Adjusted
Services Expense (Total less Room and Board)</t>
  </si>
  <si>
    <t>Adjusted
Services Cost Per Day</t>
  </si>
  <si>
    <t>Adjusted
Total 
Census Days</t>
  </si>
  <si>
    <t>Adjusted
Schedule 4 Total Units</t>
  </si>
  <si>
    <t>Adjusted
Variance</t>
  </si>
  <si>
    <t>Adjustments
Non-Facility Units</t>
  </si>
  <si>
    <t>Adjusted
Non-Facility Units</t>
  </si>
  <si>
    <t>Adjusted
Non-Facility RVUs</t>
  </si>
  <si>
    <t>Adjusted
Cost per Non-Facility Unit of Service</t>
  </si>
  <si>
    <t>Adjustments
Facility Units</t>
  </si>
  <si>
    <t>Adjusted
Facility Units</t>
  </si>
  <si>
    <t>Adjusted
Facility RVUs</t>
  </si>
  <si>
    <t>Adjusted
Cost per Facility Unit of Service</t>
  </si>
  <si>
    <r>
      <rPr>
        <b/>
        <sz val="16"/>
        <color rgb="FFFF0000"/>
        <rFont val="Calibri"/>
        <family val="2"/>
        <scheme val="minor"/>
      </rPr>
      <t>Adjusted</t>
    </r>
    <r>
      <rPr>
        <b/>
        <sz val="16"/>
        <color rgb="FF0033CC"/>
        <rFont val="Calibri"/>
        <family val="2"/>
        <scheme val="minor"/>
      </rPr>
      <t xml:space="preserve"> </t>
    </r>
    <r>
      <rPr>
        <b/>
        <sz val="16"/>
        <rFont val="Calibri"/>
        <family val="2"/>
        <scheme val="minor"/>
      </rPr>
      <t>Schedule 1: Expenses</t>
    </r>
  </si>
  <si>
    <r>
      <rPr>
        <b/>
        <sz val="11"/>
        <color rgb="FFFF0000"/>
        <rFont val="Calibri"/>
        <family val="2"/>
        <scheme val="minor"/>
      </rPr>
      <t>Adjusted</t>
    </r>
    <r>
      <rPr>
        <b/>
        <sz val="11"/>
        <rFont val="Calibri"/>
        <family val="2"/>
        <scheme val="minor"/>
      </rPr>
      <t xml:space="preserve">
FULL-TIME EQV 
(FTEs)</t>
    </r>
  </si>
  <si>
    <r>
      <rPr>
        <b/>
        <sz val="11"/>
        <color rgb="FFFF0000"/>
        <rFont val="Calibri"/>
        <family val="2"/>
        <scheme val="minor"/>
      </rPr>
      <t>Adjusted</t>
    </r>
    <r>
      <rPr>
        <b/>
        <sz val="11"/>
        <rFont val="Calibri"/>
        <family val="2"/>
        <scheme val="minor"/>
      </rPr>
      <t xml:space="preserve">
INDIRECT 
(not traceable to direct cost center)</t>
    </r>
  </si>
  <si>
    <r>
      <rPr>
        <b/>
        <sz val="11"/>
        <color rgb="FFFF0000"/>
        <rFont val="Calibri"/>
        <family val="2"/>
        <scheme val="minor"/>
      </rPr>
      <t>Adjusted</t>
    </r>
    <r>
      <rPr>
        <b/>
        <sz val="11"/>
        <rFont val="Calibri"/>
        <family val="2"/>
        <scheme val="minor"/>
      </rPr>
      <t xml:space="preserve">
ENCOUNTER-BASED SERVICES </t>
    </r>
    <r>
      <rPr>
        <b/>
        <i/>
        <sz val="11"/>
        <rFont val="Calibri"/>
        <family val="2"/>
        <scheme val="minor"/>
      </rPr>
      <t>with</t>
    </r>
    <r>
      <rPr>
        <b/>
        <sz val="11"/>
        <rFont val="Calibri"/>
        <family val="2"/>
        <scheme val="minor"/>
      </rPr>
      <t xml:space="preserve"> RVU WEIGHTS and ALL INTEGRATION SERVICES
(Schedule 2)</t>
    </r>
  </si>
  <si>
    <r>
      <rPr>
        <b/>
        <sz val="11"/>
        <color rgb="FFFF0000"/>
        <rFont val="Calibri"/>
        <family val="2"/>
        <scheme val="minor"/>
      </rPr>
      <t>Adjusted</t>
    </r>
    <r>
      <rPr>
        <b/>
        <sz val="11"/>
        <rFont val="Calibri"/>
        <family val="2"/>
        <scheme val="minor"/>
      </rPr>
      <t xml:space="preserve">
OTHER ENCOUNTER-BASED SERVICES </t>
    </r>
    <r>
      <rPr>
        <b/>
        <i/>
        <sz val="11"/>
        <rFont val="Calibri"/>
        <family val="2"/>
        <scheme val="minor"/>
      </rPr>
      <t>without</t>
    </r>
    <r>
      <rPr>
        <b/>
        <sz val="11"/>
        <rFont val="Calibri"/>
        <family val="2"/>
        <scheme val="minor"/>
      </rPr>
      <t xml:space="preserve"> RVU WEIGHTS and OTHER NON-ENCOUNTER-BASED SERVICES
(Schedule 2)</t>
    </r>
  </si>
  <si>
    <r>
      <rPr>
        <b/>
        <sz val="11"/>
        <color rgb="FFFF0000"/>
        <rFont val="Calibri"/>
        <family val="2"/>
        <scheme val="minor"/>
      </rPr>
      <t>Adjusted</t>
    </r>
    <r>
      <rPr>
        <b/>
        <sz val="11"/>
        <rFont val="Calibri"/>
        <family val="2"/>
        <scheme val="minor"/>
      </rPr>
      <t xml:space="preserve">
UNALLOWABLE</t>
    </r>
  </si>
  <si>
    <r>
      <rPr>
        <b/>
        <sz val="11"/>
        <color rgb="FFFF0000"/>
        <rFont val="Calibri"/>
        <family val="2"/>
        <scheme val="minor"/>
      </rPr>
      <t>Adjusted</t>
    </r>
    <r>
      <rPr>
        <b/>
        <sz val="11"/>
        <rFont val="Calibri"/>
        <family val="2"/>
        <scheme val="minor"/>
      </rPr>
      <t xml:space="preserve">
TOTAL</t>
    </r>
  </si>
  <si>
    <r>
      <rPr>
        <b/>
        <sz val="16"/>
        <color rgb="FFFF0000"/>
        <rFont val="Calibri"/>
        <family val="2"/>
        <scheme val="minor"/>
      </rPr>
      <t xml:space="preserve">Adjusted </t>
    </r>
    <r>
      <rPr>
        <b/>
        <sz val="16"/>
        <rFont val="Calibri"/>
        <family val="2"/>
        <scheme val="minor"/>
      </rPr>
      <t>Schedule 1A: Non-Clinical Direct Salary Limit</t>
    </r>
  </si>
  <si>
    <r>
      <rPr>
        <b/>
        <sz val="11"/>
        <color rgb="FFFF0000"/>
        <rFont val="Calibri"/>
        <family val="2"/>
        <scheme val="minor"/>
      </rPr>
      <t>Adjusted</t>
    </r>
    <r>
      <rPr>
        <b/>
        <sz val="11"/>
        <rFont val="Calibri"/>
        <family val="2"/>
        <scheme val="minor"/>
      </rPr>
      <t xml:space="preserve">
Non-Clinical 
Salary and Bonus 
During Period</t>
    </r>
  </si>
  <si>
    <r>
      <rPr>
        <b/>
        <sz val="11"/>
        <color rgb="FFFF0000"/>
        <rFont val="Calibri"/>
        <family val="2"/>
        <scheme val="minor"/>
      </rPr>
      <t>Adjusted</t>
    </r>
    <r>
      <rPr>
        <b/>
        <sz val="11"/>
        <rFont val="Calibri"/>
        <family val="2"/>
        <scheme val="minor"/>
      </rPr>
      <t xml:space="preserve">
Unallowable Excess Non-Clinical Salary Above Limit</t>
    </r>
  </si>
  <si>
    <r>
      <rPr>
        <b/>
        <sz val="16"/>
        <color rgb="FFFF0000"/>
        <rFont val="Calibri"/>
        <family val="2"/>
        <scheme val="minor"/>
      </rPr>
      <t>Adjusted</t>
    </r>
    <r>
      <rPr>
        <b/>
        <sz val="16"/>
        <color theme="1"/>
        <rFont val="Calibri"/>
        <family val="2"/>
        <scheme val="minor"/>
      </rPr>
      <t xml:space="preserve"> Schedule 1B: Indirect Cost Allocation Methodology</t>
    </r>
  </si>
  <si>
    <r>
      <rPr>
        <b/>
        <sz val="16"/>
        <color rgb="FFFF0000"/>
        <rFont val="Calibri"/>
        <family val="2"/>
        <scheme val="minor"/>
      </rPr>
      <t>Adjusted</t>
    </r>
    <r>
      <rPr>
        <b/>
        <sz val="16"/>
        <rFont val="Calibri"/>
        <family val="2"/>
        <scheme val="minor"/>
      </rPr>
      <t xml:space="preserve"> Schedule 1C: Less-Than-Arm's-Length (Related Party) Transactions</t>
    </r>
  </si>
  <si>
    <r>
      <rPr>
        <b/>
        <sz val="16"/>
        <color rgb="FFFF0000"/>
        <rFont val="Calibri"/>
        <family val="2"/>
        <scheme val="minor"/>
      </rPr>
      <t>Adjusted</t>
    </r>
    <r>
      <rPr>
        <b/>
        <sz val="16"/>
        <rFont val="Calibri"/>
        <family val="2"/>
        <scheme val="minor"/>
      </rPr>
      <t xml:space="preserve"> Schedule 2: Service Groups</t>
    </r>
  </si>
  <si>
    <r>
      <rPr>
        <b/>
        <sz val="16"/>
        <color rgb="FFFF0000"/>
        <rFont val="Calibri"/>
        <family val="2"/>
        <scheme val="minor"/>
      </rPr>
      <t xml:space="preserve">Adjusted </t>
    </r>
    <r>
      <rPr>
        <b/>
        <sz val="16"/>
        <rFont val="Calibri"/>
        <family val="2"/>
        <scheme val="minor"/>
      </rPr>
      <t>Schedule 2A: Emergency Services</t>
    </r>
  </si>
  <si>
    <r>
      <rPr>
        <b/>
        <sz val="11"/>
        <color rgb="FFFF0000"/>
        <rFont val="Calibri"/>
        <family val="2"/>
        <scheme val="minor"/>
      </rPr>
      <t>Adjusted</t>
    </r>
    <r>
      <rPr>
        <b/>
        <sz val="11"/>
        <rFont val="Calibri"/>
        <family val="2"/>
        <scheme val="minor"/>
      </rPr>
      <t xml:space="preserve">
Related Party:
Actual Cost Incurred</t>
    </r>
  </si>
  <si>
    <r>
      <rPr>
        <b/>
        <sz val="11"/>
        <color rgb="FFFF0000"/>
        <rFont val="Calibri"/>
        <family val="2"/>
        <scheme val="minor"/>
      </rPr>
      <t>Adjusted</t>
    </r>
    <r>
      <rPr>
        <b/>
        <sz val="11"/>
        <rFont val="Calibri"/>
        <family val="2"/>
        <scheme val="minor"/>
      </rPr>
      <t xml:space="preserve">
Schedule 1 
Column</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</si>
  <si>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Account Number(s) 
and/or Program(s)</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</si>
  <si>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Related Vendor, 
Individual, or Organization</t>
    </r>
    <r>
      <rPr>
        <b/>
        <sz val="11"/>
        <color rgb="FFFF0000"/>
        <rFont val="Calibri"/>
        <family val="2"/>
        <scheme val="minor"/>
      </rPr>
      <t>*</t>
    </r>
  </si>
  <si>
    <r>
      <rPr>
        <b/>
        <sz val="11"/>
        <color rgb="FFFF0000"/>
        <rFont val="Calibri"/>
        <family val="2"/>
        <scheme val="minor"/>
      </rPr>
      <t>Adjusted</t>
    </r>
    <r>
      <rPr>
        <b/>
        <sz val="11"/>
        <color theme="1"/>
        <rFont val="Calibri"/>
        <family val="2"/>
        <scheme val="minor"/>
      </rPr>
      <t xml:space="preserve">
Direct</t>
    </r>
  </si>
  <si>
    <r>
      <rPr>
        <b/>
        <sz val="11"/>
        <color rgb="FFFF0000"/>
        <rFont val="Calibri"/>
        <family val="2"/>
        <scheme val="minor"/>
      </rPr>
      <t>Adjusted</t>
    </r>
    <r>
      <rPr>
        <b/>
        <sz val="11"/>
        <color theme="1"/>
        <rFont val="Calibri"/>
        <family val="2"/>
        <scheme val="minor"/>
      </rPr>
      <t xml:space="preserve">
Indirect</t>
    </r>
  </si>
  <si>
    <r>
      <rPr>
        <b/>
        <sz val="11"/>
        <color rgb="FFFF0000"/>
        <rFont val="Calibri"/>
        <family val="2"/>
        <scheme val="minor"/>
      </rPr>
      <t>Adjusted</t>
    </r>
    <r>
      <rPr>
        <b/>
        <sz val="11"/>
        <color theme="1"/>
        <rFont val="Calibri"/>
        <family val="2"/>
        <scheme val="minor"/>
      </rPr>
      <t xml:space="preserve">
Direct 
Cost</t>
    </r>
  </si>
  <si>
    <r>
      <rPr>
        <b/>
        <sz val="11"/>
        <color rgb="FFFF0000"/>
        <rFont val="Calibri"/>
        <family val="2"/>
        <scheme val="minor"/>
      </rPr>
      <t>Adjusted</t>
    </r>
    <r>
      <rPr>
        <b/>
        <sz val="11"/>
        <rFont val="Calibri"/>
        <family val="2"/>
        <scheme val="minor"/>
      </rPr>
      <t xml:space="preserve">
Indirect Cost 
</t>
    </r>
    <r>
      <rPr>
        <sz val="8"/>
        <rFont val="Calibri"/>
        <family val="2"/>
        <scheme val="minor"/>
      </rPr>
      <t>(Direct Cost x Sch 1 Indirect Cost Rate</t>
    </r>
    <r>
      <rPr>
        <b/>
        <sz val="8"/>
        <rFont val="Calibri"/>
        <family val="2"/>
        <scheme val="minor"/>
      </rPr>
      <t>)</t>
    </r>
  </si>
  <si>
    <r>
      <rPr>
        <b/>
        <sz val="11"/>
        <color rgb="FFFF0000"/>
        <rFont val="Calibri"/>
        <family val="2"/>
        <scheme val="minor"/>
      </rPr>
      <t>Adjusted</t>
    </r>
    <r>
      <rPr>
        <b/>
        <sz val="11"/>
        <rFont val="Calibri"/>
        <family val="2"/>
        <scheme val="minor"/>
      </rPr>
      <t xml:space="preserve">
Total Cost </t>
    </r>
  </si>
  <si>
    <r>
      <rPr>
        <b/>
        <sz val="11"/>
        <color rgb="FFFF0000"/>
        <rFont val="Calibri"/>
        <family val="2"/>
        <scheme val="minor"/>
      </rPr>
      <t>Adjusted</t>
    </r>
    <r>
      <rPr>
        <b/>
        <sz val="11"/>
        <color theme="1"/>
        <rFont val="Calibri"/>
        <family val="2"/>
        <scheme val="minor"/>
      </rPr>
      <t xml:space="preserve">
FTEs</t>
    </r>
  </si>
  <si>
    <r>
      <rPr>
        <b/>
        <sz val="11"/>
        <color rgb="FFFF0000"/>
        <rFont val="Calibri"/>
        <family val="2"/>
        <scheme val="minor"/>
      </rPr>
      <t>Adjusted</t>
    </r>
    <r>
      <rPr>
        <b/>
        <sz val="11"/>
        <color theme="1"/>
        <rFont val="Calibri"/>
        <family val="2"/>
        <scheme val="minor"/>
      </rPr>
      <t xml:space="preserve">
Number of Clients Served*</t>
    </r>
  </si>
  <si>
    <r>
      <rPr>
        <b/>
        <sz val="16"/>
        <color rgb="FFFF0000"/>
        <rFont val="Calibri"/>
        <family val="2"/>
        <scheme val="minor"/>
      </rPr>
      <t xml:space="preserve">Adjusted </t>
    </r>
    <r>
      <rPr>
        <b/>
        <sz val="16"/>
        <rFont val="Calibri"/>
        <family val="2"/>
        <scheme val="minor"/>
      </rPr>
      <t>Schedule 2B: Consultative and Educational Services</t>
    </r>
  </si>
  <si>
    <r>
      <rPr>
        <b/>
        <sz val="16"/>
        <color rgb="FFFF0000"/>
        <rFont val="Calibri"/>
        <family val="2"/>
        <scheme val="minor"/>
      </rPr>
      <t xml:space="preserve">Adjusted </t>
    </r>
    <r>
      <rPr>
        <b/>
        <sz val="16"/>
        <rFont val="Calibri"/>
        <family val="2"/>
        <scheme val="minor"/>
      </rPr>
      <t>Schedule 2C: Outpatient Services</t>
    </r>
  </si>
  <si>
    <r>
      <rPr>
        <b/>
        <sz val="16"/>
        <color rgb="FFFF0000"/>
        <rFont val="Calibri"/>
        <family val="2"/>
        <scheme val="minor"/>
      </rPr>
      <t>Adjusted</t>
    </r>
    <r>
      <rPr>
        <b/>
        <sz val="16"/>
        <rFont val="Calibri"/>
        <family val="2"/>
        <scheme val="minor"/>
      </rPr>
      <t xml:space="preserve"> Schedule 2D: Partial Hospitalization</t>
    </r>
  </si>
  <si>
    <r>
      <rPr>
        <b/>
        <sz val="16"/>
        <color rgb="FFFF0000"/>
        <rFont val="Calibri"/>
        <family val="2"/>
        <scheme val="minor"/>
      </rPr>
      <t>Adjusted</t>
    </r>
    <r>
      <rPr>
        <b/>
        <sz val="16"/>
        <rFont val="Calibri"/>
        <family val="2"/>
        <scheme val="minor"/>
      </rPr>
      <t xml:space="preserve"> Schedule 3: Inpatient and Residential Services</t>
    </r>
  </si>
  <si>
    <r>
      <rPr>
        <b/>
        <sz val="11"/>
        <color rgb="FFFF0000"/>
        <rFont val="Calibri"/>
        <family val="2"/>
        <scheme val="minor"/>
      </rPr>
      <t>Adjusted</t>
    </r>
    <r>
      <rPr>
        <b/>
        <sz val="11"/>
        <rFont val="Calibri"/>
        <family val="2"/>
        <scheme val="minor"/>
      </rPr>
      <t xml:space="preserve">
Census Days</t>
    </r>
  </si>
  <si>
    <r>
      <rPr>
        <b/>
        <sz val="11"/>
        <color rgb="FFFF0000"/>
        <rFont val="Calibri"/>
        <family val="2"/>
        <scheme val="minor"/>
      </rPr>
      <t>Adjusted</t>
    </r>
    <r>
      <rPr>
        <b/>
        <sz val="11"/>
        <rFont val="Calibri"/>
        <family val="2"/>
        <scheme val="minor"/>
      </rPr>
      <t xml:space="preserve">
Utilization Rate</t>
    </r>
  </si>
  <si>
    <r>
      <rPr>
        <b/>
        <sz val="11"/>
        <color rgb="FFFF0000"/>
        <rFont val="Calibri"/>
        <family val="2"/>
        <scheme val="minor"/>
      </rPr>
      <t>Adjusted</t>
    </r>
    <r>
      <rPr>
        <b/>
        <sz val="11"/>
        <color theme="1"/>
        <rFont val="Calibri"/>
        <family val="2"/>
        <scheme val="minor"/>
      </rPr>
      <t xml:space="preserve">
Total Expense</t>
    </r>
  </si>
  <si>
    <r>
      <rPr>
        <b/>
        <sz val="11"/>
        <color rgb="FFFF0000"/>
        <rFont val="Calibri"/>
        <family val="2"/>
        <scheme val="minor"/>
      </rPr>
      <t>Adjusted</t>
    </r>
    <r>
      <rPr>
        <b/>
        <sz val="11"/>
        <color theme="1"/>
        <rFont val="Calibri"/>
        <family val="2"/>
        <scheme val="minor"/>
      </rPr>
      <t xml:space="preserve">
Total Cost Per Day</t>
    </r>
  </si>
  <si>
    <r>
      <rPr>
        <b/>
        <sz val="11"/>
        <color rgb="FFFF0000"/>
        <rFont val="Calibri"/>
        <family val="2"/>
        <scheme val="minor"/>
      </rPr>
      <t>Adjusted</t>
    </r>
    <r>
      <rPr>
        <b/>
        <sz val="11"/>
        <color theme="1"/>
        <rFont val="Calibri"/>
        <family val="2"/>
        <scheme val="minor"/>
      </rPr>
      <t xml:space="preserve">
Room and Board Expense</t>
    </r>
  </si>
  <si>
    <r>
      <rPr>
        <b/>
        <sz val="11"/>
        <color rgb="FFFF0000"/>
        <rFont val="Calibri"/>
        <family val="2"/>
        <scheme val="minor"/>
      </rPr>
      <t>Adjusted</t>
    </r>
    <r>
      <rPr>
        <b/>
        <sz val="11"/>
        <color theme="1"/>
        <rFont val="Calibri"/>
        <family val="2"/>
        <scheme val="minor"/>
      </rPr>
      <t xml:space="preserve">
Room and Board Cost Per Day</t>
    </r>
  </si>
  <si>
    <r>
      <rPr>
        <b/>
        <sz val="11"/>
        <color rgb="FFFF0000"/>
        <rFont val="Calibri"/>
        <family val="2"/>
        <scheme val="minor"/>
      </rPr>
      <t>Adjusted</t>
    </r>
    <r>
      <rPr>
        <b/>
        <sz val="11"/>
        <color theme="1"/>
        <rFont val="Calibri"/>
        <family val="2"/>
        <scheme val="minor"/>
      </rPr>
      <t xml:space="preserve">
Services Expense (Total less Room and Board)</t>
    </r>
  </si>
  <si>
    <r>
      <rPr>
        <b/>
        <sz val="11"/>
        <color rgb="FFFF0000"/>
        <rFont val="Calibri"/>
        <family val="2"/>
        <scheme val="minor"/>
      </rPr>
      <t>Adjusted</t>
    </r>
    <r>
      <rPr>
        <b/>
        <sz val="11"/>
        <color theme="1"/>
        <rFont val="Calibri"/>
        <family val="2"/>
        <scheme val="minor"/>
      </rPr>
      <t xml:space="preserve">
Services Cost Per Day</t>
    </r>
  </si>
  <si>
    <r>
      <rPr>
        <sz val="11"/>
        <color rgb="FFFF0000"/>
        <rFont val="Calibri"/>
        <family val="2"/>
        <scheme val="minor"/>
      </rPr>
      <t>Adjusted</t>
    </r>
    <r>
      <rPr>
        <sz val="11"/>
        <color theme="1"/>
        <rFont val="Calibri"/>
        <family val="2"/>
        <scheme val="minor"/>
      </rPr>
      <t xml:space="preserve"> Total costs from Column 3 on Schedule 1  </t>
    </r>
  </si>
  <si>
    <r>
      <rPr>
        <sz val="11"/>
        <color rgb="FFFF0000"/>
        <rFont val="Calibri"/>
        <family val="2"/>
        <scheme val="minor"/>
      </rPr>
      <t>Adjusted</t>
    </r>
    <r>
      <rPr>
        <sz val="11"/>
        <color theme="1"/>
        <rFont val="Calibri"/>
        <family val="2"/>
        <scheme val="minor"/>
      </rPr>
      <t xml:space="preserve"> Non-RVU integration services revenue</t>
    </r>
  </si>
  <si>
    <r>
      <rPr>
        <b/>
        <sz val="11"/>
        <color rgb="FFFF0000"/>
        <rFont val="Calibri"/>
        <family val="2"/>
        <scheme val="minor"/>
      </rPr>
      <t>Adjusted</t>
    </r>
    <r>
      <rPr>
        <b/>
        <sz val="11"/>
        <color theme="1"/>
        <rFont val="Calibri"/>
        <family val="2"/>
        <scheme val="minor"/>
      </rPr>
      <t xml:space="preserve"> Total allowable costs for encounter-based services  </t>
    </r>
  </si>
  <si>
    <r>
      <rPr>
        <sz val="11"/>
        <color rgb="FFFF0000"/>
        <rFont val="Calibri"/>
        <family val="2"/>
        <scheme val="minor"/>
      </rPr>
      <t>Adjusted</t>
    </r>
    <r>
      <rPr>
        <sz val="11"/>
        <color theme="1"/>
        <rFont val="Calibri"/>
        <family val="2"/>
        <scheme val="minor"/>
      </rPr>
      <t xml:space="preserve"> Non-facility RVUs  </t>
    </r>
  </si>
  <si>
    <r>
      <rPr>
        <sz val="11"/>
        <color rgb="FFFF0000"/>
        <rFont val="Calibri"/>
        <family val="2"/>
        <scheme val="minor"/>
      </rPr>
      <t>Adjusted</t>
    </r>
    <r>
      <rPr>
        <sz val="11"/>
        <color theme="1"/>
        <rFont val="Calibri"/>
        <family val="2"/>
        <scheme val="minor"/>
      </rPr>
      <t xml:space="preserve"> Facility RVUs  </t>
    </r>
  </si>
  <si>
    <r>
      <rPr>
        <b/>
        <sz val="11"/>
        <color rgb="FFFF0000"/>
        <rFont val="Calibri"/>
        <family val="2"/>
        <scheme val="minor"/>
      </rPr>
      <t>Adjusted</t>
    </r>
    <r>
      <rPr>
        <b/>
        <sz val="11"/>
        <color theme="1"/>
        <rFont val="Calibri"/>
        <family val="2"/>
        <scheme val="minor"/>
      </rPr>
      <t xml:space="preserve"> Total RVUs  </t>
    </r>
  </si>
  <si>
    <r>
      <rPr>
        <b/>
        <sz val="16"/>
        <color rgb="FFFF0000"/>
        <rFont val="Calibri"/>
        <family val="2"/>
        <scheme val="minor"/>
      </rPr>
      <t>Adjusted</t>
    </r>
    <r>
      <rPr>
        <b/>
        <sz val="16"/>
        <rFont val="Calibri"/>
        <family val="2"/>
        <scheme val="minor"/>
      </rPr>
      <t xml:space="preserve"> Schedule 4: Base Unit Cost Calculation</t>
    </r>
  </si>
  <si>
    <r>
      <rPr>
        <b/>
        <sz val="14"/>
        <color rgb="FFFF0000"/>
        <rFont val="Calibri"/>
        <family val="2"/>
        <scheme val="minor"/>
      </rPr>
      <t>ADJUSTED</t>
    </r>
    <r>
      <rPr>
        <b/>
        <sz val="14"/>
        <color theme="1"/>
        <rFont val="Calibri"/>
        <family val="2"/>
        <scheme val="minor"/>
      </rPr>
      <t xml:space="preserve"> BASE UNIT COST  </t>
    </r>
  </si>
  <si>
    <t xml:space="preserve">
Rebalanced Non-Facility RVU Weight</t>
  </si>
  <si>
    <r>
      <rPr>
        <b/>
        <sz val="11"/>
        <color rgb="FFFF0000"/>
        <rFont val="Calibri"/>
        <family val="2"/>
        <scheme val="minor"/>
      </rPr>
      <t>Adjusted</t>
    </r>
    <r>
      <rPr>
        <b/>
        <sz val="11"/>
        <rFont val="Calibri"/>
        <family val="2"/>
        <scheme val="minor"/>
      </rPr>
      <t xml:space="preserve">
Non-Facility Units</t>
    </r>
  </si>
  <si>
    <r>
      <rPr>
        <b/>
        <sz val="11"/>
        <color rgb="FFFF0000"/>
        <rFont val="Calibri"/>
        <family val="2"/>
        <scheme val="minor"/>
      </rPr>
      <t>Adjusted</t>
    </r>
    <r>
      <rPr>
        <b/>
        <sz val="11"/>
        <rFont val="Calibri"/>
        <family val="2"/>
        <scheme val="minor"/>
      </rPr>
      <t xml:space="preserve">
Cost per Non-Facility Unit of Service</t>
    </r>
  </si>
  <si>
    <r>
      <t xml:space="preserve">Adjusted
</t>
    </r>
    <r>
      <rPr>
        <b/>
        <sz val="11"/>
        <rFont val="Calibri"/>
        <family val="2"/>
        <scheme val="minor"/>
      </rPr>
      <t>Non-Facility RVUs</t>
    </r>
  </si>
  <si>
    <r>
      <rPr>
        <b/>
        <sz val="11"/>
        <color rgb="FFFF0000"/>
        <rFont val="Calibri"/>
        <family val="2"/>
        <scheme val="minor"/>
      </rPr>
      <t>Adjusted</t>
    </r>
    <r>
      <rPr>
        <b/>
        <sz val="11"/>
        <rFont val="Calibri"/>
        <family val="2"/>
        <scheme val="minor"/>
      </rPr>
      <t xml:space="preserve">
Facility Units</t>
    </r>
  </si>
  <si>
    <r>
      <rPr>
        <b/>
        <sz val="11"/>
        <color rgb="FFFF0000"/>
        <rFont val="Calibri"/>
        <family val="2"/>
        <scheme val="minor"/>
      </rPr>
      <t>Adjusted</t>
    </r>
    <r>
      <rPr>
        <b/>
        <sz val="11"/>
        <color theme="1"/>
        <rFont val="Calibri"/>
        <family val="2"/>
        <scheme val="minor"/>
      </rPr>
      <t xml:space="preserve">
Facility RVUs</t>
    </r>
  </si>
  <si>
    <r>
      <rPr>
        <b/>
        <sz val="11"/>
        <color rgb="FFFF0000"/>
        <rFont val="Calibri"/>
        <family val="2"/>
        <scheme val="minor"/>
      </rPr>
      <t>Adjusted</t>
    </r>
    <r>
      <rPr>
        <b/>
        <sz val="11"/>
        <color theme="1"/>
        <rFont val="Calibri"/>
        <family val="2"/>
        <scheme val="minor"/>
      </rPr>
      <t xml:space="preserve">
Cost per Facility Unit of Service</t>
    </r>
  </si>
  <si>
    <r>
      <rPr>
        <b/>
        <sz val="11"/>
        <color rgb="FFFF0000"/>
        <rFont val="Calibri"/>
        <family val="2"/>
        <scheme val="minor"/>
      </rPr>
      <t>Adjusted</t>
    </r>
    <r>
      <rPr>
        <b/>
        <sz val="11"/>
        <rFont val="Calibri"/>
        <family val="2"/>
        <scheme val="minor"/>
      </rPr>
      <t xml:space="preserve">
Schedule 1 
Column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</si>
  <si>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Number of Months in Role During Reporting Period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</si>
  <si>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Non-Clinical 
Role FTE </t>
    </r>
    <r>
      <rPr>
        <b/>
        <sz val="11"/>
        <color rgb="FFFF0000"/>
        <rFont val="Calibri"/>
        <family val="2"/>
        <scheme val="minor"/>
      </rPr>
      <t>*</t>
    </r>
  </si>
  <si>
    <t>Instructions for the Adjusted Cost Report Template</t>
  </si>
  <si>
    <r>
      <t xml:space="preserve">Start at the </t>
    </r>
    <r>
      <rPr>
        <b/>
        <sz val="11"/>
        <color theme="1"/>
        <rFont val="Calibri"/>
        <family val="2"/>
        <scheme val="minor"/>
      </rPr>
      <t>Results</t>
    </r>
    <r>
      <rPr>
        <sz val="11"/>
        <color theme="1"/>
        <rFont val="Calibri"/>
        <family val="2"/>
        <scheme val="minor"/>
      </rPr>
      <t xml:space="preserve"> tab, by doing the following:</t>
    </r>
  </si>
  <si>
    <t>Select either "Proposed Adjustments" or "Final Adjustments" from the drop down in cell A4.</t>
  </si>
  <si>
    <t>Enter the provider's name in cell C6.</t>
  </si>
  <si>
    <r>
      <t xml:space="preserve">Copy and paste the adjustments from 400.1 (proposed adjustments) or 400.3 (final adjustments) into the </t>
    </r>
    <r>
      <rPr>
        <b/>
        <sz val="11"/>
        <color rgb="FF7AC142"/>
        <rFont val="Calibri"/>
        <family val="2"/>
        <scheme val="minor"/>
      </rPr>
      <t>Adjustments</t>
    </r>
    <r>
      <rPr>
        <sz val="11"/>
        <color theme="1"/>
        <rFont val="Calibri"/>
        <family val="2"/>
        <scheme val="minor"/>
      </rPr>
      <t xml:space="preserve"> tab. </t>
    </r>
    <r>
      <rPr>
        <b/>
        <sz val="11"/>
        <color theme="1"/>
        <rFont val="Calibri"/>
        <family val="2"/>
        <scheme val="minor"/>
      </rPr>
      <t>Do not alter the columns on this tab.</t>
    </r>
  </si>
  <si>
    <r>
      <t xml:space="preserve">Copy and </t>
    </r>
    <r>
      <rPr>
        <b/>
        <sz val="11"/>
        <color theme="1"/>
        <rFont val="Calibri"/>
        <family val="2"/>
        <scheme val="minor"/>
      </rPr>
      <t>paste</t>
    </r>
    <r>
      <rPr>
        <sz val="11"/>
        <color theme="1"/>
        <rFont val="Calibri"/>
        <family val="2"/>
        <scheme val="minor"/>
      </rPr>
      <t xml:space="preserve"> </t>
    </r>
    <r>
      <rPr>
        <b/>
        <sz val="11"/>
        <color theme="1"/>
        <rFont val="Calibri"/>
        <family val="2"/>
        <scheme val="minor"/>
      </rPr>
      <t>values</t>
    </r>
    <r>
      <rPr>
        <sz val="11"/>
        <color theme="1"/>
        <rFont val="Calibri"/>
        <family val="2"/>
        <scheme val="minor"/>
      </rPr>
      <t xml:space="preserve"> from the as-filed cost report into the </t>
    </r>
    <r>
      <rPr>
        <b/>
        <sz val="11"/>
        <color rgb="FF38939B"/>
        <rFont val="Calibri"/>
        <family val="2"/>
        <scheme val="minor"/>
      </rPr>
      <t>As Filed</t>
    </r>
    <r>
      <rPr>
        <sz val="11"/>
        <color theme="1"/>
        <rFont val="Calibri"/>
        <family val="2"/>
        <scheme val="minor"/>
      </rPr>
      <t xml:space="preserve"> tabs. Please note:</t>
    </r>
  </si>
  <si>
    <r>
      <t xml:space="preserve">Copy the values from/to the </t>
    </r>
    <r>
      <rPr>
        <b/>
        <sz val="11"/>
        <color theme="7" tint="0.39997558519241921"/>
        <rFont val="Calibri"/>
        <family val="2"/>
        <scheme val="minor"/>
      </rPr>
      <t>yellow</t>
    </r>
    <r>
      <rPr>
        <sz val="11"/>
        <color theme="1"/>
        <rFont val="Calibri"/>
        <family val="2"/>
        <scheme val="minor"/>
      </rPr>
      <t xml:space="preserve"> cells, only. </t>
    </r>
  </si>
  <si>
    <r>
      <t xml:space="preserve">Tie out the totals in the </t>
    </r>
    <r>
      <rPr>
        <b/>
        <sz val="11"/>
        <color theme="0" tint="-0.499984740745262"/>
        <rFont val="Calibri"/>
        <family val="2"/>
        <scheme val="minor"/>
      </rPr>
      <t>gray</t>
    </r>
    <r>
      <rPr>
        <sz val="11"/>
        <color theme="1"/>
        <rFont val="Calibri"/>
        <family val="2"/>
        <scheme val="minor"/>
      </rPr>
      <t xml:space="preserve"> cells to the cost report. If there are variances, resolve them before moving on.</t>
    </r>
  </si>
  <si>
    <r>
      <t xml:space="preserve">No entry is needed on the </t>
    </r>
    <r>
      <rPr>
        <b/>
        <sz val="11"/>
        <color rgb="FF38939B"/>
        <rFont val="Calibri"/>
        <family val="2"/>
        <scheme val="minor"/>
      </rPr>
      <t>As-Filed Schedule 2</t>
    </r>
    <r>
      <rPr>
        <sz val="11"/>
        <color theme="1"/>
        <rFont val="Calibri"/>
        <family val="2"/>
        <scheme val="minor"/>
      </rPr>
      <t>, since this tab automatically pulls from the subsequent tabs.</t>
    </r>
  </si>
  <si>
    <t>d</t>
  </si>
  <si>
    <r>
      <t xml:space="preserve">No entry is needed on the </t>
    </r>
    <r>
      <rPr>
        <b/>
        <sz val="11"/>
        <color rgb="FFF8971D"/>
        <rFont val="Calibri"/>
        <family val="2"/>
        <scheme val="minor"/>
      </rPr>
      <t>Adjusted</t>
    </r>
    <r>
      <rPr>
        <sz val="11"/>
        <color theme="1"/>
        <rFont val="Calibri"/>
        <family val="2"/>
        <scheme val="minor"/>
      </rPr>
      <t xml:space="preserve"> tabs, with the exception of notes 3b and 4b below, as these will automatically pull from subsequent tabs.</t>
    </r>
  </si>
  <si>
    <t>Regarding Schedule 1A:</t>
  </si>
  <si>
    <t>Regarding Schedule 1B:</t>
  </si>
  <si>
    <t>There is not an adjustments tab for this schedule, as we will not make "adjustments" to the narratives.</t>
  </si>
  <si>
    <r>
      <t xml:space="preserve">If the narratives included in the as-filed cost report are not correct, or do not reflect the adjusted allocation methodology, we must manually revise the narratives on the </t>
    </r>
    <r>
      <rPr>
        <b/>
        <sz val="11"/>
        <color rgb="FFF8971D"/>
        <rFont val="Calibri"/>
        <family val="2"/>
        <scheme val="minor"/>
      </rPr>
      <t xml:space="preserve">Adjusted Schedule 1B </t>
    </r>
    <r>
      <rPr>
        <sz val="11"/>
        <color theme="1"/>
        <rFont val="Calibri"/>
        <family val="2"/>
        <scheme val="minor"/>
      </rPr>
      <t>tab. The revised narratives should be in un-bolded, black text.</t>
    </r>
  </si>
  <si>
    <t>Regarding Schedule 1C:</t>
  </si>
  <si>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1C Adjustments</t>
    </r>
    <r>
      <rPr>
        <sz val="11"/>
        <color theme="1"/>
        <rFont val="Calibri"/>
        <family val="2"/>
        <scheme val="minor"/>
      </rPr>
      <t xml:space="preserve"> tab: type of expense in column 1, Schedule 1 Column in column 5, account number(s) in column 6, or related entity in column 7.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</si>
  <si>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Regarding Schedule 2:</t>
  </si>
  <si>
    <t>There is not an adjustments tab for this schedule, as all adjusted amounts will flow through the subsequent tabs.</t>
  </si>
  <si>
    <t>Regarding the subsequent Schedule 2 series tabs:</t>
  </si>
  <si>
    <t>For reclassifications of programs between schedules, make sure to reclass to an available line on the destination schedule (this will not necessarily be the same line from which we are reclassifying from).</t>
  </si>
  <si>
    <t>Regarding Schedule 3:</t>
  </si>
  <si>
    <r>
      <t xml:space="preserve">If we make an adjustment to census days, the line we reference in the </t>
    </r>
    <r>
      <rPr>
        <b/>
        <sz val="11"/>
        <color rgb="FF7AC142"/>
        <rFont val="Calibri"/>
        <family val="2"/>
        <scheme val="minor"/>
      </rPr>
      <t>Adjustments</t>
    </r>
    <r>
      <rPr>
        <sz val="11"/>
        <color theme="1"/>
        <rFont val="Calibri"/>
        <family val="2"/>
        <scheme val="minor"/>
      </rPr>
      <t xml:space="preserve"> tab must include the numeric and alphabetic value associated with the specific location of the days to be adjusted. For example, if we are adjusting days associated with the facility reported on Schedule 3 line 1, and the procedure code reported in line a, then the line value that must be included in the </t>
    </r>
    <r>
      <rPr>
        <b/>
        <sz val="11"/>
        <color rgb="FF7AC142"/>
        <rFont val="Calibri"/>
        <family val="2"/>
        <scheme val="minor"/>
      </rPr>
      <t>Adjustments</t>
    </r>
    <r>
      <rPr>
        <sz val="11"/>
        <color theme="1"/>
        <rFont val="Calibri"/>
        <family val="2"/>
        <scheme val="minor"/>
      </rPr>
      <t xml:space="preserve"> tab is 1a.</t>
    </r>
  </si>
  <si>
    <r>
      <t xml:space="preserve">Ensure the </t>
    </r>
    <r>
      <rPr>
        <b/>
        <sz val="11"/>
        <color rgb="FFF8971D"/>
        <rFont val="Calibri"/>
        <family val="2"/>
        <scheme val="minor"/>
      </rPr>
      <t>Adjusted</t>
    </r>
    <r>
      <rPr>
        <sz val="11"/>
        <color theme="1"/>
        <rFont val="Calibri"/>
        <family val="2"/>
        <scheme val="minor"/>
      </rPr>
      <t xml:space="preserve"> tabs are free of </t>
    </r>
    <r>
      <rPr>
        <b/>
        <i/>
        <sz val="11"/>
        <color rgb="FFFF0000"/>
        <rFont val="Calibri"/>
        <family val="2"/>
        <scheme val="minor"/>
      </rPr>
      <t>error</t>
    </r>
    <r>
      <rPr>
        <sz val="11"/>
        <color theme="1"/>
        <rFont val="Calibri"/>
        <family val="2"/>
        <scheme val="minor"/>
      </rPr>
      <t xml:space="preserve"> warnings. All errors should be resolved prior to finalization.</t>
    </r>
  </si>
  <si>
    <r>
      <t xml:space="preserve">On the </t>
    </r>
    <r>
      <rPr>
        <b/>
        <sz val="11"/>
        <color theme="1"/>
        <rFont val="Calibri"/>
        <family val="2"/>
        <scheme val="minor"/>
      </rPr>
      <t>Results</t>
    </r>
    <r>
      <rPr>
        <sz val="11"/>
        <color theme="1"/>
        <rFont val="Calibri"/>
        <family val="2"/>
        <scheme val="minor"/>
      </rPr>
      <t xml:space="preserve"> tab, the "Per Diem Calculation" section is set up to show 30 facilities. However, very few providers have this many residential/inpatient facilities. Hide all sections for which a facility does not exist and the data is blank. If there are no residential or inpatient facilities, and thus Schedule 3 is blank, hide the entirety of the "Per Diem Calculation" section. </t>
    </r>
  </si>
  <si>
    <r>
      <t xml:space="preserve">Print to PDF the </t>
    </r>
    <r>
      <rPr>
        <b/>
        <sz val="11"/>
        <color theme="1"/>
        <rFont val="Calibri"/>
        <family val="2"/>
        <scheme val="minor"/>
      </rPr>
      <t>Results</t>
    </r>
    <r>
      <rPr>
        <sz val="11"/>
        <color theme="1"/>
        <rFont val="Calibri"/>
        <family val="2"/>
        <scheme val="minor"/>
      </rPr>
      <t xml:space="preserve"> tab to be included in the Proposed/Final Adjustments packet.</t>
    </r>
  </si>
  <si>
    <r>
      <t xml:space="preserve">This Excel workbook will be sent to the provider with the Proposed and Final Adjustments packets. Prior to sending this workbook to the provider, click the "Send to Provider" button on the </t>
    </r>
    <r>
      <rPr>
        <b/>
        <sz val="11"/>
        <color theme="1"/>
        <rFont val="Calibri"/>
        <family val="2"/>
        <scheme val="minor"/>
      </rPr>
      <t>Results</t>
    </r>
    <r>
      <rPr>
        <sz val="11"/>
        <color theme="1"/>
        <rFont val="Calibri"/>
        <family val="2"/>
        <scheme val="minor"/>
      </rPr>
      <t xml:space="preserve"> tab to automatically protect all sheets in this workbook and to hide this </t>
    </r>
    <r>
      <rPr>
        <b/>
        <sz val="11"/>
        <color theme="1"/>
        <rFont val="Calibri"/>
        <family val="2"/>
        <scheme val="minor"/>
      </rPr>
      <t>Instructions</t>
    </r>
    <r>
      <rPr>
        <sz val="11"/>
        <color theme="1"/>
        <rFont val="Calibri"/>
        <family val="2"/>
        <scheme val="minor"/>
      </rPr>
      <t xml:space="preserve"> tab. (Note: This tab can be unhidden at any time thereafter, if needed.)</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</si>
  <si>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1A Adjustments</t>
    </r>
    <r>
      <rPr>
        <sz val="11"/>
        <color theme="1"/>
        <rFont val="Calibri"/>
        <family val="2"/>
        <scheme val="minor"/>
      </rPr>
      <t xml:space="preserve"> tab: job title in columnn 1, Schedule 1 Column identified in column 2, Number of Months in Role identified in column 3, or Non-Clinical Role FTE in column 4.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</si>
  <si>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3 Adjustments</t>
    </r>
    <r>
      <rPr>
        <sz val="11"/>
        <color theme="1"/>
        <rFont val="Calibri"/>
        <family val="2"/>
        <scheme val="minor"/>
      </rPr>
      <t xml:space="preserve"> tab: Name of Facility, Type of Facility, License Type, Bed Capacity, Facility Open/Close Date, or Procedure Code. Make the revised value </t>
    </r>
    <r>
      <rPr>
        <b/>
        <sz val="11"/>
        <color rgb="FFFF0000"/>
        <rFont val="Calibri"/>
        <family val="2"/>
        <scheme val="minor"/>
      </rPr>
      <t>bold red</t>
    </r>
    <r>
      <rPr>
        <sz val="11"/>
        <color theme="1"/>
        <rFont val="Calibri"/>
        <family val="2"/>
        <scheme val="minor"/>
      </rPr>
      <t xml:space="preserve"> on that tab, so that it's evident we revised the value.</t>
    </r>
  </si>
  <si>
    <r>
      <t>Are emergency services provided?</t>
    </r>
    <r>
      <rPr>
        <b/>
        <sz val="11"/>
        <color rgb="FFFF0000"/>
        <rFont val="Calibri"/>
        <family val="2"/>
        <scheme val="minor"/>
      </rPr>
      <t>*</t>
    </r>
  </si>
  <si>
    <r>
      <t>Are consultative and educational services provided?</t>
    </r>
    <r>
      <rPr>
        <b/>
        <sz val="11"/>
        <color rgb="FFFF0000"/>
        <rFont val="Calibri"/>
        <family val="2"/>
        <scheme val="minor"/>
      </rPr>
      <t>*</t>
    </r>
  </si>
  <si>
    <r>
      <t>Are outpatient services provided?</t>
    </r>
    <r>
      <rPr>
        <b/>
        <sz val="11"/>
        <color rgb="FFFF0000"/>
        <rFont val="Calibri"/>
        <family val="2"/>
        <scheme val="minor"/>
      </rPr>
      <t>*</t>
    </r>
  </si>
  <si>
    <r>
      <t xml:space="preserve">Adjustments to </t>
    </r>
    <r>
      <rPr>
        <b/>
        <sz val="16"/>
        <rFont val="Calibri"/>
        <family val="2"/>
        <scheme val="minor"/>
      </rPr>
      <t>Schedule 4: Base Unit Cost Calculation</t>
    </r>
  </si>
  <si>
    <r>
      <t xml:space="preserve">Adjustments to </t>
    </r>
    <r>
      <rPr>
        <b/>
        <sz val="16"/>
        <rFont val="Calibri"/>
        <family val="2"/>
        <scheme val="minor"/>
      </rPr>
      <t>Schedule 3: Inpatient and Residential Services</t>
    </r>
  </si>
  <si>
    <r>
      <t>Adjustments to</t>
    </r>
    <r>
      <rPr>
        <b/>
        <sz val="16"/>
        <rFont val="Calibri"/>
        <family val="2"/>
        <scheme val="minor"/>
      </rPr>
      <t xml:space="preserve"> Schedule 2D: Partial Hospitalization</t>
    </r>
  </si>
  <si>
    <r>
      <t>Adjustments to</t>
    </r>
    <r>
      <rPr>
        <b/>
        <sz val="16"/>
        <rFont val="Calibri"/>
        <family val="2"/>
        <scheme val="minor"/>
      </rPr>
      <t xml:space="preserve"> Schedule 2C: Outpatient Services</t>
    </r>
  </si>
  <si>
    <r>
      <t xml:space="preserve">Adjustments to </t>
    </r>
    <r>
      <rPr>
        <b/>
        <sz val="16"/>
        <rFont val="Calibri"/>
        <family val="2"/>
        <scheme val="minor"/>
      </rPr>
      <t>Schedule 2B: Consultative and Educational Services</t>
    </r>
  </si>
  <si>
    <r>
      <t>Adjustments to</t>
    </r>
    <r>
      <rPr>
        <b/>
        <sz val="16"/>
        <rFont val="Calibri"/>
        <family val="2"/>
        <scheme val="minor"/>
      </rPr>
      <t xml:space="preserve"> Schedule 2A: Emergency Services</t>
    </r>
  </si>
  <si>
    <r>
      <t xml:space="preserve">Adjustments to </t>
    </r>
    <r>
      <rPr>
        <b/>
        <sz val="16"/>
        <rFont val="Calibri"/>
        <family val="2"/>
        <scheme val="minor"/>
      </rPr>
      <t>Schedule 1C: Less-Than-Arm's-Length (Related Party) Transactions</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</si>
  <si>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(leave blank if opened prior to reporting period)</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</si>
  <si>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</si>
  <si>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t xml:space="preserve">                                                                                         </t>
  </si>
  <si>
    <t>N/A</t>
  </si>
  <si>
    <r>
      <t xml:space="preserve">As-Filed </t>
    </r>
    <r>
      <rPr>
        <b/>
        <sz val="16"/>
        <color theme="1"/>
        <rFont val="Calibri"/>
        <family val="2"/>
        <scheme val="minor"/>
      </rPr>
      <t>Schedule 1: Expenses</t>
    </r>
  </si>
  <si>
    <r>
      <t xml:space="preserve">As-Filed </t>
    </r>
    <r>
      <rPr>
        <b/>
        <sz val="16"/>
        <color theme="1"/>
        <rFont val="Calibri"/>
        <family val="2"/>
        <scheme val="minor"/>
      </rPr>
      <t>Schedule 1A: Non-Clinical Direct Salary Limit</t>
    </r>
  </si>
  <si>
    <r>
      <t xml:space="preserve">As-Filed </t>
    </r>
    <r>
      <rPr>
        <b/>
        <sz val="16"/>
        <color theme="1"/>
        <rFont val="Calibri"/>
        <family val="2"/>
        <scheme val="minor"/>
      </rPr>
      <t>Schedule 1B: Indirect Cost Allocation Methodology</t>
    </r>
  </si>
  <si>
    <r>
      <t>As-Filed</t>
    </r>
    <r>
      <rPr>
        <b/>
        <sz val="16"/>
        <color theme="1"/>
        <rFont val="Calibri"/>
        <family val="2"/>
        <scheme val="minor"/>
      </rPr>
      <t xml:space="preserve"> Schedule 1C: Less-Than-Arm's-Length (Related Party) Transactions</t>
    </r>
  </si>
  <si>
    <r>
      <t xml:space="preserve">As-Filed </t>
    </r>
    <r>
      <rPr>
        <b/>
        <sz val="16"/>
        <color theme="1"/>
        <rFont val="Calibri"/>
        <family val="2"/>
        <scheme val="minor"/>
      </rPr>
      <t>Schedule 2: Service Groups</t>
    </r>
  </si>
  <si>
    <r>
      <t>As-Filed</t>
    </r>
    <r>
      <rPr>
        <b/>
        <sz val="16"/>
        <color theme="1"/>
        <rFont val="Calibri"/>
        <family val="2"/>
        <scheme val="minor"/>
      </rPr>
      <t xml:space="preserve"> Schedule 2A: Emergency Services</t>
    </r>
  </si>
  <si>
    <r>
      <t xml:space="preserve">As-Filed </t>
    </r>
    <r>
      <rPr>
        <b/>
        <sz val="16"/>
        <color theme="1"/>
        <rFont val="Calibri"/>
        <family val="2"/>
        <scheme val="minor"/>
      </rPr>
      <t>Schedule 2B: Consultative and Educational Services</t>
    </r>
  </si>
  <si>
    <r>
      <t xml:space="preserve">As-Filed </t>
    </r>
    <r>
      <rPr>
        <b/>
        <sz val="16"/>
        <color theme="1"/>
        <rFont val="Calibri"/>
        <family val="2"/>
        <scheme val="minor"/>
      </rPr>
      <t>Schedule 2C: Outpatient Services</t>
    </r>
  </si>
  <si>
    <r>
      <t xml:space="preserve">As-Filed </t>
    </r>
    <r>
      <rPr>
        <b/>
        <sz val="16"/>
        <color theme="1"/>
        <rFont val="Calibri"/>
        <family val="2"/>
        <scheme val="minor"/>
      </rPr>
      <t>Schedule 2D: Partial Hospitalization</t>
    </r>
  </si>
  <si>
    <r>
      <t>As-Filed</t>
    </r>
    <r>
      <rPr>
        <b/>
        <sz val="16"/>
        <color theme="1"/>
        <rFont val="Calibri"/>
        <family val="2"/>
        <scheme val="minor"/>
      </rPr>
      <t xml:space="preserve"> Schedule 3: Inpatient and Residential Services</t>
    </r>
  </si>
  <si>
    <r>
      <t xml:space="preserve">As-Filed </t>
    </r>
    <r>
      <rPr>
        <b/>
        <sz val="16"/>
        <color theme="1"/>
        <rFont val="Calibri"/>
        <family val="2"/>
        <scheme val="minor"/>
      </rPr>
      <t>Schedule 4: Base Unit Cost Calculation</t>
    </r>
  </si>
  <si>
    <t>Regarding Schedule 4:</t>
  </si>
  <si>
    <r>
      <t xml:space="preserve">Non-Facility RVU Weight values in column 2 and Facility RVU Weight values in column 6 at </t>
    </r>
    <r>
      <rPr>
        <b/>
        <sz val="11"/>
        <color theme="1"/>
        <rFont val="Calibri"/>
        <family val="2"/>
        <scheme val="minor"/>
      </rPr>
      <t>Schedule 4 Adjustments</t>
    </r>
    <r>
      <rPr>
        <sz val="11"/>
        <color theme="1"/>
        <rFont val="Calibri"/>
        <family val="2"/>
        <scheme val="minor"/>
      </rPr>
      <t xml:space="preserve"> and </t>
    </r>
    <r>
      <rPr>
        <b/>
        <sz val="11"/>
        <color rgb="FFF8971D"/>
        <rFont val="Calibri"/>
        <family val="2"/>
        <scheme val="minor"/>
      </rPr>
      <t xml:space="preserve">Adjusted Schedule 4 </t>
    </r>
    <r>
      <rPr>
        <sz val="11"/>
        <rFont val="Calibri"/>
        <family val="2"/>
        <scheme val="minor"/>
      </rPr>
      <t>were rounded to the nearest hundredth. Due to these revisions, the calculations and in column 3 (including the BUC) will be slightly different even if no adjustments are made to Schedule 4.</t>
    </r>
  </si>
  <si>
    <t>Adjusted Colorado Comprehensive Provider Cost Report</t>
  </si>
  <si>
    <t>Comprehensive Safety Net Providers</t>
  </si>
  <si>
    <t>Provider Name:</t>
  </si>
  <si>
    <t>Colorado Comprehensive Provider Cost Report</t>
  </si>
  <si>
    <t>Client Salaries</t>
  </si>
  <si>
    <r>
      <t xml:space="preserve">PER DIEM INPATIENT SERVICES and RESIDENTIAL SERVICES </t>
    </r>
    <r>
      <rPr>
        <b/>
        <i/>
        <sz val="11"/>
        <rFont val="Calibri"/>
        <family val="2"/>
        <scheme val="minor"/>
      </rPr>
      <t>without</t>
    </r>
    <r>
      <rPr>
        <b/>
        <sz val="11"/>
        <rFont val="Calibri"/>
        <family val="2"/>
        <scheme val="minor"/>
      </rPr>
      <t xml:space="preserve"> RVU WEIGHTS 
(Schedule 3)</t>
    </r>
  </si>
  <si>
    <t>Adjustments
PER DIEM INPATIENT SERVICES and RESIDENTIAL SERVICES without RVU WEIGHTS 
(Schedule 3)</t>
  </si>
  <si>
    <t>Adjusted
PER DIEM INPATIENT SERVICES and RESIDENTIAL SERVICES without RVU WEIGHTS 
(Schedule 3)</t>
  </si>
  <si>
    <r>
      <rPr>
        <b/>
        <sz val="11"/>
        <color rgb="FFFF0000"/>
        <rFont val="Calibri"/>
        <family val="2"/>
        <scheme val="minor"/>
      </rPr>
      <t>Adjusted</t>
    </r>
    <r>
      <rPr>
        <b/>
        <sz val="11"/>
        <rFont val="Calibri"/>
        <family val="2"/>
        <scheme val="minor"/>
      </rPr>
      <t xml:space="preserve">
PER DIEM INPATIENT SERVICES and RESIDENTIAL SERVICES without RVU WEIGHTS 
(Schedule 3)</t>
    </r>
  </si>
  <si>
    <r>
      <rPr>
        <b/>
        <sz val="11"/>
        <color rgb="FFFF0000"/>
        <rFont val="Calibri"/>
        <family val="2"/>
        <scheme val="minor"/>
      </rPr>
      <t>Adjusted</t>
    </r>
    <r>
      <rPr>
        <b/>
        <sz val="11"/>
        <rFont val="Calibri"/>
        <family val="2"/>
        <scheme val="minor"/>
      </rPr>
      <t xml:space="preserve"> 
Provider: 
Related Party 
Expense Recorded</t>
    </r>
  </si>
  <si>
    <t>Provider: 
Related Party 
Expense Recorded</t>
  </si>
  <si>
    <t>Adjustments
Provider: 
Related Party 
Expense Recorded</t>
  </si>
  <si>
    <t>Adjusted
Provider: 
Related Party 
Expense Recorded</t>
  </si>
  <si>
    <r>
      <rPr>
        <b/>
        <sz val="11"/>
        <color rgb="FFFF0000"/>
        <rFont val="Calibri"/>
        <family val="2"/>
        <scheme val="minor"/>
      </rPr>
      <t>Adjusted</t>
    </r>
    <r>
      <rPr>
        <b/>
        <sz val="11"/>
        <rFont val="Calibri"/>
        <family val="2"/>
        <scheme val="minor"/>
      </rPr>
      <t xml:space="preserve">
Unallowable Excess 
Provider Expense Above Related Party 
Actual Cost</t>
    </r>
  </si>
  <si>
    <t>Unallowable Excess 
Provider Expense Above Related Party 
Actual Cost</t>
  </si>
  <si>
    <t>Adjusted
Unallowable Excess 
Provider Expense Above Related Party 
Actual Cost</t>
  </si>
  <si>
    <t>00104</t>
  </si>
  <si>
    <t>Anesthesia for Electroconvulsive Therapy</t>
  </si>
  <si>
    <t>H0046</t>
  </si>
  <si>
    <t xml:space="preserve">Drop-In Center </t>
  </si>
  <si>
    <t>New Comprehensive Safety Net Provider Service Groups</t>
  </si>
  <si>
    <t>Emergency and Crisis Behavioral Health Services</t>
  </si>
  <si>
    <t>Schedule 2E</t>
  </si>
  <si>
    <t>Mental Health and Substance Use Outpatient Services</t>
  </si>
  <si>
    <t>Schedule 2F</t>
  </si>
  <si>
    <t>Behavioral Health High-Intensity Outpatient Services</t>
  </si>
  <si>
    <t>Schedule 2G</t>
  </si>
  <si>
    <t>Care Management</t>
  </si>
  <si>
    <t>Schedule 2H</t>
  </si>
  <si>
    <t>Outreach, Education, and Engagement Services</t>
  </si>
  <si>
    <t>Schedule 2I</t>
  </si>
  <si>
    <t>Mental Health and Substance Use Recovery Supports</t>
  </si>
  <si>
    <t>Schedule 2J</t>
  </si>
  <si>
    <t>Care Coordination</t>
  </si>
  <si>
    <t>Schedule 2K</t>
  </si>
  <si>
    <t>Outpatient Competency Restoration</t>
  </si>
  <si>
    <t>Schedule 2L</t>
  </si>
  <si>
    <t>Screening, Assessment, and Diagnosis, Including Risk Assessment, Crisis Planning, and Monitoring to Key Health Indicator</t>
  </si>
  <si>
    <t>Schedule 2M</t>
  </si>
  <si>
    <t>Are emergency and crisis behavioral health services provided?</t>
  </si>
  <si>
    <t>Total emergency and crisis behavioral health services expense (A + B)</t>
  </si>
  <si>
    <r>
      <t xml:space="preserve">As-Filed </t>
    </r>
    <r>
      <rPr>
        <b/>
        <sz val="16"/>
        <color theme="1"/>
        <rFont val="Calibri"/>
        <family val="2"/>
        <scheme val="minor"/>
      </rPr>
      <t>Schedule 2E: Emergency and Crisis Behavioral Health Services (ONLY for New Comprehensive Safety Net Providers)</t>
    </r>
  </si>
  <si>
    <t>Are mental health and substance use outpatient services provided?</t>
  </si>
  <si>
    <t>Total mental health and substance use outpatient services expense (A + B)</t>
  </si>
  <si>
    <r>
      <t xml:space="preserve">As-Filed </t>
    </r>
    <r>
      <rPr>
        <b/>
        <sz val="16"/>
        <rFont val="Calibri"/>
        <family val="2"/>
        <scheme val="minor"/>
      </rPr>
      <t>Schedule 2F: Mental Health and Substance Use Outpatient Services (ONLY for New Comprehensive Safety Net Providers)</t>
    </r>
  </si>
  <si>
    <t>Are behavioral health high-intensity outpatient services provided?</t>
  </si>
  <si>
    <t>Total behavioral health high-intensity outpatient services expense (A + B)</t>
  </si>
  <si>
    <r>
      <t xml:space="preserve">As-Filed </t>
    </r>
    <r>
      <rPr>
        <b/>
        <sz val="16"/>
        <rFont val="Calibri"/>
        <family val="2"/>
        <scheme val="minor"/>
      </rPr>
      <t>Schedule 2G: Behavioral Health High-Intensity Outpatient Services (ONLY for New Comprehensive Safety Net Providers)</t>
    </r>
  </si>
  <si>
    <t>Are care management services provided?</t>
  </si>
  <si>
    <t>Total care management expense (A + B)</t>
  </si>
  <si>
    <r>
      <t xml:space="preserve">As-Filed </t>
    </r>
    <r>
      <rPr>
        <b/>
        <sz val="16"/>
        <rFont val="Calibri"/>
        <family val="2"/>
        <scheme val="minor"/>
      </rPr>
      <t>Schedule 2H: Care Management (ONLY for New Comprehensive Safety Net Providers)</t>
    </r>
  </si>
  <si>
    <t>Are outreach, education, and engagement services provided?</t>
  </si>
  <si>
    <t>Total outreach, education, and engagement services expense (A + B)</t>
  </si>
  <si>
    <r>
      <t xml:space="preserve">As-Filed </t>
    </r>
    <r>
      <rPr>
        <b/>
        <sz val="16"/>
        <rFont val="Calibri"/>
        <family val="2"/>
        <scheme val="minor"/>
      </rPr>
      <t>Schedule 2I: Outreach, Education, and Engagement Services (ONLY for New Comprehensive Safety Net Providers)</t>
    </r>
  </si>
  <si>
    <t>Are mental health and substance use recovery supports services provided?</t>
  </si>
  <si>
    <t>Total mental health and substance use recovery supports expense (A + B)</t>
  </si>
  <si>
    <r>
      <t xml:space="preserve">As-Filed </t>
    </r>
    <r>
      <rPr>
        <b/>
        <sz val="16"/>
        <rFont val="Calibri"/>
        <family val="2"/>
        <scheme val="minor"/>
      </rPr>
      <t>Schedule 2J: Mental Health and Substance Use Recovery Supports (ONLY for New Comprehensive Safety Net Providers)</t>
    </r>
  </si>
  <si>
    <t>Are care coordination services provided?</t>
  </si>
  <si>
    <t>Total care coordination expense (A + B)</t>
  </si>
  <si>
    <r>
      <t xml:space="preserve">As-Filed </t>
    </r>
    <r>
      <rPr>
        <b/>
        <sz val="16"/>
        <rFont val="Calibri"/>
        <family val="2"/>
        <scheme val="minor"/>
      </rPr>
      <t>Schedule 2K: Care Coordination (ONLY for New Comprehensive Safety Net Providers)</t>
    </r>
  </si>
  <si>
    <t>Are outpatient competency restoration services provided?</t>
  </si>
  <si>
    <t>Total outpatient competency restoration expense (A + B)</t>
  </si>
  <si>
    <r>
      <t xml:space="preserve">As-Filed </t>
    </r>
    <r>
      <rPr>
        <b/>
        <sz val="16"/>
        <rFont val="Calibri"/>
        <family val="2"/>
        <scheme val="minor"/>
      </rPr>
      <t>Schedule 2L: Outpatient Competency Restoration (ONLY for New Comprehensive Safety Net Providers)</t>
    </r>
  </si>
  <si>
    <t>and Monitoring to Key Health Indicator (ONLY for New Comprehensive Safety Net Providers)</t>
  </si>
  <si>
    <t>Are screening, assessment, and diagnosis, including risk assessment, crisis planning, and monitoring to key health indicator services provided?</t>
  </si>
  <si>
    <t>Total screening, assessment, and diagnosis, including risk assessment, crisis planning, and monitoring to key health indicator expense (A + B)</t>
  </si>
  <si>
    <r>
      <t xml:space="preserve">As-Filed </t>
    </r>
    <r>
      <rPr>
        <b/>
        <sz val="16"/>
        <rFont val="Calibri"/>
        <family val="2"/>
        <scheme val="minor"/>
      </rPr>
      <t xml:space="preserve">Schedule 2M: Screening, Assessment, and Diagnosis, Including Risk Assessment, Crisis Planning, </t>
    </r>
  </si>
  <si>
    <t>Previously Established Community Mental Health Center (CMHC) Service Groups</t>
  </si>
  <si>
    <r>
      <t>Adjustments to</t>
    </r>
    <r>
      <rPr>
        <b/>
        <sz val="16"/>
        <rFont val="Calibri"/>
        <family val="2"/>
        <scheme val="minor"/>
      </rPr>
      <t xml:space="preserve"> Schedule 2E: Emergency and Crisis Behavioral Health Services (ONLY for New Comprehensive Safety Net Providers)</t>
    </r>
  </si>
  <si>
    <r>
      <t>Adjustments to</t>
    </r>
    <r>
      <rPr>
        <b/>
        <sz val="16"/>
        <rFont val="Calibri"/>
        <family val="2"/>
        <scheme val="minor"/>
      </rPr>
      <t xml:space="preserve"> Schedule 2F: Mental Health and Substance Use Outpatient Services (ONLY for New Comprehensive Safety Net Providers)</t>
    </r>
  </si>
  <si>
    <r>
      <t>Adjustments to</t>
    </r>
    <r>
      <rPr>
        <b/>
        <sz val="16"/>
        <rFont val="Calibri"/>
        <family val="2"/>
        <scheme val="minor"/>
      </rPr>
      <t xml:space="preserve"> Schedule 2G: Behavioral Health High-Intensity Outpatient Services (ONLY for New Comprehensive Safety Net Providers)</t>
    </r>
  </si>
  <si>
    <r>
      <t>Adjustments to</t>
    </r>
    <r>
      <rPr>
        <b/>
        <sz val="16"/>
        <rFont val="Calibri"/>
        <family val="2"/>
        <scheme val="minor"/>
      </rPr>
      <t xml:space="preserve"> Schedule 2H: Care Management (ONLY for New Comprehensive Safety Net Providers)</t>
    </r>
  </si>
  <si>
    <r>
      <t>Adjustments to</t>
    </r>
    <r>
      <rPr>
        <b/>
        <sz val="16"/>
        <rFont val="Calibri"/>
        <family val="2"/>
        <scheme val="minor"/>
      </rPr>
      <t xml:space="preserve"> Schedule 2I: Outreach, Education, and Engagement Services (ONLY for New Comprehensive Safety Net Providers)</t>
    </r>
  </si>
  <si>
    <r>
      <t>Adjustments to</t>
    </r>
    <r>
      <rPr>
        <b/>
        <sz val="16"/>
        <rFont val="Calibri"/>
        <family val="2"/>
        <scheme val="minor"/>
      </rPr>
      <t xml:space="preserve"> Schedule 2J: Mental Health and Substance Use Recovery Supports (ONLY for New Comprehensive Safety Net Providers)</t>
    </r>
  </si>
  <si>
    <r>
      <t>Adjustments to</t>
    </r>
    <r>
      <rPr>
        <b/>
        <sz val="16"/>
        <rFont val="Calibri"/>
        <family val="2"/>
        <scheme val="minor"/>
      </rPr>
      <t xml:space="preserve"> Schedule 2K: Care Coordination (ONLY for New Comprehensive Safety Net Providers)</t>
    </r>
  </si>
  <si>
    <r>
      <t>Adjustments to</t>
    </r>
    <r>
      <rPr>
        <b/>
        <sz val="16"/>
        <rFont val="Calibri"/>
        <family val="2"/>
        <scheme val="minor"/>
      </rPr>
      <t xml:space="preserve"> Schedule 2L: Outpatient Competency Restoration (ONLY for New Comprehensive Safety Net Providers)</t>
    </r>
  </si>
  <si>
    <r>
      <t>Adjustments to</t>
    </r>
    <r>
      <rPr>
        <b/>
        <sz val="16"/>
        <rFont val="Calibri"/>
        <family val="2"/>
        <scheme val="minor"/>
      </rPr>
      <t xml:space="preserve"> Schedule 2M: Screening, Assessment, and Diagnosis, Including Risk Assessment, Crisis Planning, </t>
    </r>
  </si>
  <si>
    <r>
      <rPr>
        <b/>
        <sz val="16"/>
        <color rgb="FFFF0000"/>
        <rFont val="Calibri"/>
        <family val="2"/>
        <scheme val="minor"/>
      </rPr>
      <t>Adjusted</t>
    </r>
    <r>
      <rPr>
        <b/>
        <sz val="16"/>
        <rFont val="Calibri"/>
        <family val="2"/>
        <scheme val="minor"/>
      </rPr>
      <t xml:space="preserve"> Schedule 2E: Emergency and Crisis Behavioral Health Services (ONLY for New Comprehensive Safety Net Providers)</t>
    </r>
  </si>
  <si>
    <r>
      <rPr>
        <b/>
        <sz val="16"/>
        <color rgb="FFFF0000"/>
        <rFont val="Calibri"/>
        <family val="2"/>
        <scheme val="minor"/>
      </rPr>
      <t>Adjusted</t>
    </r>
    <r>
      <rPr>
        <b/>
        <sz val="16"/>
        <rFont val="Calibri"/>
        <family val="2"/>
        <scheme val="minor"/>
      </rPr>
      <t xml:space="preserve"> Schedule 2F: Mental Health and Substance Use Outpatient Services (ONLY for New Comprehensive Safety Net Providers)</t>
    </r>
  </si>
  <si>
    <r>
      <rPr>
        <b/>
        <sz val="16"/>
        <color rgb="FFFF0000"/>
        <rFont val="Calibri"/>
        <family val="2"/>
        <scheme val="minor"/>
      </rPr>
      <t>Adjusted</t>
    </r>
    <r>
      <rPr>
        <b/>
        <sz val="16"/>
        <rFont val="Calibri"/>
        <family val="2"/>
        <scheme val="minor"/>
      </rPr>
      <t xml:space="preserve"> Schedule 2G: Behavioral Health High-Intensity Outpatient Services (ONLY for New Comprehensive Safety Net Providers)</t>
    </r>
  </si>
  <si>
    <r>
      <rPr>
        <b/>
        <sz val="16"/>
        <color rgb="FFFF0000"/>
        <rFont val="Calibri"/>
        <family val="2"/>
        <scheme val="minor"/>
      </rPr>
      <t>Adjusted</t>
    </r>
    <r>
      <rPr>
        <b/>
        <sz val="16"/>
        <rFont val="Calibri"/>
        <family val="2"/>
        <scheme val="minor"/>
      </rPr>
      <t xml:space="preserve"> Schedule 2H: Care Management (ONLY for New Comprehensive Safety Net Providers)</t>
    </r>
  </si>
  <si>
    <r>
      <rPr>
        <b/>
        <sz val="16"/>
        <color rgb="FFFF0000"/>
        <rFont val="Calibri"/>
        <family val="2"/>
        <scheme val="minor"/>
      </rPr>
      <t>Adjusted</t>
    </r>
    <r>
      <rPr>
        <b/>
        <sz val="16"/>
        <rFont val="Calibri"/>
        <family val="2"/>
        <scheme val="minor"/>
      </rPr>
      <t xml:space="preserve"> Schedule 2I: Outreach, Education, and Engagement Services (ONLY for New Comprehensive Safety Net Providers)</t>
    </r>
  </si>
  <si>
    <r>
      <rPr>
        <b/>
        <sz val="16"/>
        <color rgb="FFFF0000"/>
        <rFont val="Calibri"/>
        <family val="2"/>
        <scheme val="minor"/>
      </rPr>
      <t>Adjusted</t>
    </r>
    <r>
      <rPr>
        <b/>
        <sz val="16"/>
        <rFont val="Calibri"/>
        <family val="2"/>
        <scheme val="minor"/>
      </rPr>
      <t xml:space="preserve"> Schedule 2J: Mental Health and Substance Use Recovery Supports (ONLY for New Comprehensive Safety Net Providers)</t>
    </r>
  </si>
  <si>
    <r>
      <rPr>
        <b/>
        <sz val="16"/>
        <color rgb="FFFF0000"/>
        <rFont val="Calibri"/>
        <family val="2"/>
        <scheme val="minor"/>
      </rPr>
      <t>Adjusted</t>
    </r>
    <r>
      <rPr>
        <b/>
        <sz val="16"/>
        <rFont val="Calibri"/>
        <family val="2"/>
        <scheme val="minor"/>
      </rPr>
      <t xml:space="preserve"> Schedule 2K: Care Coordination (ONLY for New Comprehensive Safety Net Providers)</t>
    </r>
  </si>
  <si>
    <r>
      <rPr>
        <b/>
        <sz val="16"/>
        <color rgb="FFFF0000"/>
        <rFont val="Calibri"/>
        <family val="2"/>
        <scheme val="minor"/>
      </rPr>
      <t>Adjusted</t>
    </r>
    <r>
      <rPr>
        <b/>
        <sz val="16"/>
        <rFont val="Calibri"/>
        <family val="2"/>
        <scheme val="minor"/>
      </rPr>
      <t xml:space="preserve"> Schedule 2L: Outpatient Competency Restoration (ONLY for New Comprehensive Safety Net Providers)</t>
    </r>
  </si>
  <si>
    <r>
      <rPr>
        <b/>
        <sz val="16"/>
        <color rgb="FFFF0000"/>
        <rFont val="Calibri"/>
        <family val="2"/>
        <scheme val="minor"/>
      </rPr>
      <t>Adjusted</t>
    </r>
    <r>
      <rPr>
        <b/>
        <sz val="16"/>
        <rFont val="Calibri"/>
        <family val="2"/>
        <scheme val="minor"/>
      </rPr>
      <t xml:space="preserve"> Schedule 2M: Screening, Assessment, and Diagnosis, Including Risk Assessment, Crisis Planning, </t>
    </r>
  </si>
  <si>
    <t xml:space="preserve">Total costs from Column 3 on Schedule 1 </t>
  </si>
  <si>
    <t xml:space="preserve">Total encounters </t>
  </si>
  <si>
    <t>Less: Encounter-based Essential services expense</t>
  </si>
  <si>
    <t xml:space="preserve">Total allowable costs for PPS rate </t>
  </si>
  <si>
    <t xml:space="preserve">PPS RATE </t>
  </si>
  <si>
    <r>
      <rPr>
        <sz val="11"/>
        <color rgb="FFFF0000"/>
        <rFont val="Calibri"/>
        <family val="2"/>
        <scheme val="minor"/>
      </rPr>
      <t xml:space="preserve">Adjusted </t>
    </r>
    <r>
      <rPr>
        <sz val="11"/>
        <rFont val="Calibri"/>
        <family val="2"/>
        <scheme val="minor"/>
      </rPr>
      <t xml:space="preserve">Total costs from Column 3 on Schedule 1 </t>
    </r>
  </si>
  <si>
    <r>
      <rPr>
        <sz val="11"/>
        <color rgb="FFFF0000"/>
        <rFont val="Calibri"/>
        <family val="2"/>
        <scheme val="minor"/>
      </rPr>
      <t>Adjusted</t>
    </r>
    <r>
      <rPr>
        <sz val="11"/>
        <rFont val="Calibri"/>
        <family val="2"/>
        <scheme val="minor"/>
      </rPr>
      <t xml:space="preserve"> Less: Encounter-based Essential services expense</t>
    </r>
  </si>
  <si>
    <r>
      <rPr>
        <b/>
        <sz val="11"/>
        <color rgb="FFFF0000"/>
        <rFont val="Calibri"/>
        <family val="2"/>
        <scheme val="minor"/>
      </rPr>
      <t xml:space="preserve">Adjusted </t>
    </r>
    <r>
      <rPr>
        <b/>
        <sz val="11"/>
        <rFont val="Calibri"/>
        <family val="2"/>
        <scheme val="minor"/>
      </rPr>
      <t xml:space="preserve">Total allowable costs for PPS rate </t>
    </r>
  </si>
  <si>
    <r>
      <rPr>
        <sz val="11"/>
        <color rgb="FFFF0000"/>
        <rFont val="Calibri"/>
        <family val="2"/>
        <scheme val="minor"/>
      </rPr>
      <t>Adjusted</t>
    </r>
    <r>
      <rPr>
        <sz val="11"/>
        <rFont val="Calibri"/>
        <family val="2"/>
        <scheme val="minor"/>
      </rPr>
      <t xml:space="preserve"> Total encounters </t>
    </r>
  </si>
  <si>
    <r>
      <rPr>
        <b/>
        <sz val="14"/>
        <color rgb="FFFF0000"/>
        <rFont val="Calibri"/>
        <family val="2"/>
        <scheme val="minor"/>
      </rPr>
      <t>Adjusted</t>
    </r>
    <r>
      <rPr>
        <b/>
        <sz val="14"/>
        <rFont val="Calibri"/>
        <family val="2"/>
        <scheme val="minor"/>
      </rPr>
      <t xml:space="preserve"> PPS RATE </t>
    </r>
  </si>
  <si>
    <t>SCHEDULE 5 REVENUE ADJUSTMENTS</t>
  </si>
  <si>
    <t>Schedule 5: Revenues</t>
  </si>
  <si>
    <t>REVENUES</t>
  </si>
  <si>
    <t>AMOUNT</t>
  </si>
  <si>
    <t>CLIENT SERVICE</t>
  </si>
  <si>
    <t>Medicaid - Regional Accountable Entities</t>
  </si>
  <si>
    <t>Medicaid Fee for Service</t>
  </si>
  <si>
    <t>Medicare</t>
  </si>
  <si>
    <t>Commercial Insurance</t>
  </si>
  <si>
    <t>Client Fees</t>
  </si>
  <si>
    <t>Non-Governmental Grants and Contracts</t>
  </si>
  <si>
    <t>Other Contracts</t>
  </si>
  <si>
    <t>Client Service Total</t>
  </si>
  <si>
    <t>GOVERNMENT</t>
  </si>
  <si>
    <t>Federal Grants and Contracts</t>
  </si>
  <si>
    <t>Behavioral Health Administration - Direct</t>
  </si>
  <si>
    <t>Behavioral Health Administration - Indirect</t>
  </si>
  <si>
    <t>Local Grants and Contracts</t>
  </si>
  <si>
    <t>Other Government Grants and Contracts</t>
  </si>
  <si>
    <t>Government Total</t>
  </si>
  <si>
    <t>PUBLIC SUPPORT</t>
  </si>
  <si>
    <t>Donated Services</t>
  </si>
  <si>
    <t>Donated Hospital</t>
  </si>
  <si>
    <t>Donated Medications</t>
  </si>
  <si>
    <t>Donated Building Space</t>
  </si>
  <si>
    <t>Other Donations Received</t>
  </si>
  <si>
    <t>Public Support Total</t>
  </si>
  <si>
    <t>OTHER INCOME</t>
  </si>
  <si>
    <t>Management Fees</t>
  </si>
  <si>
    <t>Other</t>
  </si>
  <si>
    <t>Other Income Total</t>
  </si>
  <si>
    <t>TOTAL REVENUE</t>
  </si>
  <si>
    <t>Total Revenue per Audited Financial Statements</t>
  </si>
  <si>
    <r>
      <rPr>
        <b/>
        <sz val="16"/>
        <color rgb="FF0000FF"/>
        <rFont val="Calibri"/>
        <family val="2"/>
        <scheme val="minor"/>
      </rPr>
      <t xml:space="preserve">As-Filed </t>
    </r>
    <r>
      <rPr>
        <b/>
        <sz val="16"/>
        <rFont val="Calibri"/>
        <family val="2"/>
        <scheme val="minor"/>
      </rPr>
      <t>Schedule 5: Revenues</t>
    </r>
  </si>
  <si>
    <t>Adjustments - AMOUNT</t>
  </si>
  <si>
    <t>Adjusted - AMOUNT</t>
  </si>
  <si>
    <r>
      <rPr>
        <b/>
        <sz val="16"/>
        <color rgb="FFFF0000"/>
        <rFont val="Calibri"/>
        <family val="2"/>
        <scheme val="minor"/>
      </rPr>
      <t>Adjusted</t>
    </r>
    <r>
      <rPr>
        <b/>
        <sz val="16"/>
        <rFont val="Calibri"/>
        <family val="2"/>
        <scheme val="minor"/>
      </rPr>
      <t xml:space="preserve"> Schedule 5: Revenues</t>
    </r>
  </si>
  <si>
    <r>
      <t xml:space="preserve">Adjusted - </t>
    </r>
    <r>
      <rPr>
        <b/>
        <sz val="11"/>
        <rFont val="Calibri"/>
        <family val="2"/>
        <scheme val="minor"/>
      </rPr>
      <t>AMOUNT</t>
    </r>
  </si>
  <si>
    <r>
      <t xml:space="preserve">The current year direct salary limit must be input into cell E8 on the </t>
    </r>
    <r>
      <rPr>
        <b/>
        <sz val="11"/>
        <rFont val="Calibri"/>
        <family val="2"/>
        <scheme val="minor"/>
      </rPr>
      <t>Schedule 1A Adjustments</t>
    </r>
    <r>
      <rPr>
        <sz val="11"/>
        <color theme="1"/>
        <rFont val="Calibri"/>
        <family val="2"/>
        <scheme val="minor"/>
      </rPr>
      <t xml:space="preserve"> tab. The limit for the </t>
    </r>
    <r>
      <rPr>
        <sz val="11"/>
        <color rgb="FFFF0000"/>
        <rFont val="Calibri"/>
        <family val="2"/>
        <scheme val="minor"/>
      </rPr>
      <t>2024</t>
    </r>
    <r>
      <rPr>
        <sz val="11"/>
        <color theme="1"/>
        <rFont val="Calibri"/>
        <family val="2"/>
        <scheme val="minor"/>
      </rPr>
      <t xml:space="preserve"> cost report period is </t>
    </r>
    <r>
      <rPr>
        <sz val="11"/>
        <color rgb="FFFF0000"/>
        <rFont val="Calibri"/>
        <family val="2"/>
        <scheme val="minor"/>
      </rPr>
      <t>$332,850.</t>
    </r>
  </si>
  <si>
    <t xml:space="preserve">Schedule 2M - Total Screening, Assessment, and Diagnosis, Including Risk Assessment, Crisis Planning, and Monitoring to Key Health Indicator Expense </t>
  </si>
  <si>
    <t>Schedule 2L - Total Outpatient Competency Restoration Expense</t>
  </si>
  <si>
    <t>Schedule 2K - Total Care Coordination Expense</t>
  </si>
  <si>
    <t>Schedule 2J - Total Mental Health and Substance Use Recovery Supports Expense</t>
  </si>
  <si>
    <t>Schedule 2I - Total Outreach, Education, and Engagement Services Expense</t>
  </si>
  <si>
    <t>Schedule 2H - Total Care Management Expense</t>
  </si>
  <si>
    <t>Schedule 2G - Total Behavioral Health High-Intensity Outpatient Services Expense</t>
  </si>
  <si>
    <t>Schedule 2F - Total Mental Health and Substance Use Outpatient Services Expense</t>
  </si>
  <si>
    <t>Schedule 2E - Total Emergency and Crisis Behavioral Health Services Expense</t>
  </si>
  <si>
    <r>
      <t xml:space="preserve">If the response to the Section 1 question at the top of these tabs was answered incorrectly by the provider, it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answer.</t>
    </r>
  </si>
  <si>
    <r>
      <t xml:space="preserve">If the programs listed on these tabs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description.</t>
    </r>
  </si>
  <si>
    <r>
      <t>The "Show all Tabs" button may be used by MSLC or the provider to unhide all sheets in this workbook and hide this</t>
    </r>
    <r>
      <rPr>
        <b/>
        <sz val="11"/>
        <color theme="1"/>
        <rFont val="Calibri"/>
        <family val="2"/>
        <scheme val="minor"/>
      </rPr>
      <t xml:space="preserve"> Instructions</t>
    </r>
    <r>
      <rPr>
        <sz val="11"/>
        <color theme="1"/>
        <rFont val="Calibri"/>
        <family val="2"/>
        <scheme val="minor"/>
      </rPr>
      <t xml:space="preserve"> tab. (Note: This tab can be unhidden at any time thereafter, if needed.)</t>
    </r>
  </si>
  <si>
    <r>
      <t xml:space="preserve">The "Hide Schedules 2E/F/G/H/I/J/K/L/M" button may be used by MSLC or the provider to hide all sheets in this workpaper associated with </t>
    </r>
    <r>
      <rPr>
        <b/>
        <sz val="11"/>
        <color theme="1"/>
        <rFont val="Calibri"/>
        <family val="2"/>
        <scheme val="minor"/>
      </rPr>
      <t xml:space="preserve">Schedules 2E/F/G/H/I/J/K/L/M </t>
    </r>
    <r>
      <rPr>
        <sz val="11"/>
        <color theme="1"/>
        <rFont val="Calibri"/>
        <family val="2"/>
        <scheme val="minor"/>
      </rPr>
      <t xml:space="preserve">and hides this </t>
    </r>
    <r>
      <rPr>
        <b/>
        <sz val="11"/>
        <color theme="1"/>
        <rFont val="Calibri"/>
        <family val="2"/>
        <scheme val="minor"/>
      </rPr>
      <t>Instructions</t>
    </r>
    <r>
      <rPr>
        <sz val="11"/>
        <color theme="1"/>
        <rFont val="Calibri"/>
        <family val="2"/>
        <scheme val="minor"/>
      </rPr>
      <t xml:space="preserve"> tab. (Note: These tabs can be unhidden at any time thereafter, if needed.)
</t>
    </r>
  </si>
  <si>
    <t>PPS Rate Calculation</t>
  </si>
  <si>
    <r>
      <rPr>
        <b/>
        <sz val="11"/>
        <rFont val="Calibri"/>
        <family val="2"/>
        <scheme val="minor"/>
      </rPr>
      <t xml:space="preserve">B: </t>
    </r>
    <r>
      <rPr>
        <sz val="11"/>
        <rFont val="Calibri"/>
        <family val="2"/>
        <scheme val="minor"/>
      </rPr>
      <t>Schedule 4 - Encounter-based Essential services expense</t>
    </r>
  </si>
  <si>
    <r>
      <rPr>
        <b/>
        <sz val="11"/>
        <color theme="1"/>
        <rFont val="Calibri"/>
        <family val="2"/>
        <scheme val="minor"/>
      </rPr>
      <t xml:space="preserve">C: </t>
    </r>
    <r>
      <rPr>
        <sz val="11"/>
        <color theme="1"/>
        <rFont val="Calibri"/>
        <family val="2"/>
        <scheme val="minor"/>
      </rPr>
      <t>Schedule 4 - Total Encounters</t>
    </r>
  </si>
  <si>
    <t>Schedule 4 - PPS Rate Calculation (A-B)/C</t>
  </si>
  <si>
    <t>WellPower</t>
  </si>
  <si>
    <t>CEO</t>
  </si>
  <si>
    <t>CFO</t>
  </si>
  <si>
    <t>VP/CMO</t>
  </si>
  <si>
    <t>Medical Director</t>
  </si>
  <si>
    <t>Indirect costs reported in Schedule 1 Column 2 are allocated based on percent of FTEs reported in each column of Schedule 1.  The percent of FTEs is multiplied by total Indirect expense.  Then total Indirect expense is allocated to that column.  Note: The indirect Allocations schedule shows each Indirect expense multiplied by percent of FTEs, but only the total Indirect expense is allocated to each column on Schedule 1.</t>
  </si>
  <si>
    <t>100-815-Co-Responder</t>
  </si>
  <si>
    <t>100-818-STAR</t>
  </si>
  <si>
    <t>100-822-Adams County Co-Responder</t>
  </si>
  <si>
    <t>100-826-Arvada Fire Dept STAR</t>
  </si>
  <si>
    <t>100-870-Walk-in Center</t>
  </si>
  <si>
    <t>100-872-TherapyDirect</t>
  </si>
  <si>
    <t>100-883-Competency Restoration</t>
  </si>
  <si>
    <t>200-448-Right Start Colorado</t>
  </si>
  <si>
    <t>200-470-Dahlia Farm and Gardens</t>
  </si>
  <si>
    <t>200-727-Early Childhood MH Specialist</t>
  </si>
  <si>
    <t>200-728-ABC Play</t>
  </si>
  <si>
    <t>100-222-ARS Outpatient Willow</t>
  </si>
  <si>
    <t>100-225-Zero Suicide Peer Specialists</t>
  </si>
  <si>
    <t>100-226-ARS Outpatient Evergreen</t>
  </si>
  <si>
    <t>100-227-ARS Outpatient Aspen</t>
  </si>
  <si>
    <t>100-230-ARS Outpatient Birch</t>
  </si>
  <si>
    <t>100-725-Living &amp; Learning with HIV</t>
  </si>
  <si>
    <t>100-255-ARS Outpatient - Emerson</t>
  </si>
  <si>
    <t>100-829-PriCare (Primary Care)</t>
  </si>
  <si>
    <t>100-750-Wellshire Behavioral Services</t>
  </si>
  <si>
    <t>100-911-Access Center</t>
  </si>
  <si>
    <t>200-401-School-Based Svcs</t>
  </si>
  <si>
    <t>200-446-West Denver Child &amp; Family</t>
  </si>
  <si>
    <t>200-447-Intensive Treatment and Resource Svcs</t>
  </si>
  <si>
    <t>200-449-Right Start</t>
  </si>
  <si>
    <t>200-462-Care Management</t>
  </si>
  <si>
    <t>200-463-CYMHTA</t>
  </si>
  <si>
    <t>200-466-Stay Safe Youth Program</t>
  </si>
  <si>
    <t>200-720-Centro de las Familias</t>
  </si>
  <si>
    <t>200-724-Deaf Counseling Svcs</t>
  </si>
  <si>
    <t>300-240-Resource Center</t>
  </si>
  <si>
    <t>300-250-NextChapter</t>
  </si>
  <si>
    <t>300-260-Peer Support</t>
  </si>
  <si>
    <t>300-265-Supported Employment</t>
  </si>
  <si>
    <t>500-135-Recovery Center Pharmacy</t>
  </si>
  <si>
    <t>500-136-Wellshire Pharmacy</t>
  </si>
  <si>
    <t>Residential Teams 628, 634, 650, 652, 660, 670, 672, 682, 699 RVU expenses</t>
  </si>
  <si>
    <t>Indirect Team 112 RVU expenses</t>
  </si>
  <si>
    <t>Reclass Service Units exp not recognized from Team S880</t>
  </si>
  <si>
    <t>Reclass of Indirect Medications</t>
  </si>
  <si>
    <t>Reclass of Residential Medications</t>
  </si>
  <si>
    <t>100-228-Denver CO-ACT</t>
  </si>
  <si>
    <t>100-300-Adult Spectrum Care</t>
  </si>
  <si>
    <t>100-760-Psychological Assessment</t>
  </si>
  <si>
    <t>100-221-REACT</t>
  </si>
  <si>
    <t>100-224-Downing Community Treatment Team</t>
  </si>
  <si>
    <t>100-622-HIATT</t>
  </si>
  <si>
    <t>100-676-Supportive Living</t>
  </si>
  <si>
    <t>100-805-Vine Community Treatment Team</t>
  </si>
  <si>
    <t>100-808-FUSE (Frequent Users Service Enhancement)</t>
  </si>
  <si>
    <t>100-809-Street to Home</t>
  </si>
  <si>
    <t>100-812-Probation &amp; Anti-Recidivism</t>
  </si>
  <si>
    <t>100-813-Probation Liaison</t>
  </si>
  <si>
    <t>100-816-Bridges</t>
  </si>
  <si>
    <t>100-817-Competency Diversion Navigators</t>
  </si>
  <si>
    <t>100-830-Independent Living</t>
  </si>
  <si>
    <t>100-840-Humboldt Community Treatment</t>
  </si>
  <si>
    <t>100-845-Medicaid Expansion Community Treatment</t>
  </si>
  <si>
    <t>100-851-Downing High Intensity Treatment</t>
  </si>
  <si>
    <t>100-853-Enhanced High Intensity Treatment</t>
  </si>
  <si>
    <t>100-854-21st Century Care-High Risk</t>
  </si>
  <si>
    <t>100-881-BHSC Shelter - 3rd Floor</t>
  </si>
  <si>
    <t>100-882-Social Impact Bond (SIB)</t>
  </si>
  <si>
    <t>200-422-Skyline Academy</t>
  </si>
  <si>
    <t>100-880-Behavioral Health Solutions Center</t>
  </si>
  <si>
    <t>400-612-Monaco House</t>
  </si>
  <si>
    <t>400-614-Monroe House</t>
  </si>
  <si>
    <t>400-626-New Visions</t>
  </si>
  <si>
    <t>400-628-Ash House</t>
  </si>
  <si>
    <t>400-630-Franklin House</t>
  </si>
  <si>
    <t xml:space="preserve"> 400-634-Vallegos House</t>
  </si>
  <si>
    <t>400-650-Beeler House</t>
  </si>
  <si>
    <t>400-652-Park Place</t>
  </si>
  <si>
    <t>400-660-Second Street</t>
  </si>
  <si>
    <t>400-670-Miller House</t>
  </si>
  <si>
    <t xml:space="preserve"> 400-672-Grant House</t>
  </si>
  <si>
    <t>400-673-Garfield Apartments</t>
  </si>
  <si>
    <t/>
  </si>
  <si>
    <t xml:space="preserve"> 400-674-Vine Apartments</t>
  </si>
  <si>
    <t xml:space="preserve"> 400-682-Narcissus House</t>
  </si>
  <si>
    <t>400-684-Roanoke Apartments</t>
  </si>
  <si>
    <t>400-685-Anchor Apartments</t>
  </si>
  <si>
    <t>400-686-Humboldt Apartments</t>
  </si>
  <si>
    <t>400-690-Sanderson Apartments</t>
  </si>
  <si>
    <t>400-699-Rental Assistance</t>
  </si>
  <si>
    <t xml:space="preserve"> Sabin Group</t>
  </si>
  <si>
    <t>Sanderson LLC-Sanderson Apartments</t>
  </si>
  <si>
    <t>2B</t>
  </si>
  <si>
    <t>200.2a.1</t>
  </si>
  <si>
    <t>2C</t>
  </si>
  <si>
    <t>2D</t>
  </si>
  <si>
    <t>None</t>
  </si>
  <si>
    <t>Reclassify Pharmaceutical Expense from 685 to 135</t>
  </si>
  <si>
    <t>Reclassify Encounterable Expense for 880</t>
  </si>
  <si>
    <t>Reclassify Encounterable Expense for 728</t>
  </si>
  <si>
    <t>Reclassify Encounterable Expense for 225</t>
  </si>
  <si>
    <t>Reclassify Encounterable Expense for 816</t>
  </si>
  <si>
    <t>Onset Pharmaceutical Expense to 135</t>
  </si>
  <si>
    <t>Remove Pharmaceutical Expense from 685</t>
  </si>
  <si>
    <t>Remove encounterable expense from 880</t>
  </si>
  <si>
    <t>1a</t>
  </si>
  <si>
    <t>Reclassify Encounterable Expense for 816, 728</t>
  </si>
  <si>
    <t>1b</t>
  </si>
  <si>
    <t>Yes</t>
  </si>
  <si>
    <t>9a</t>
  </si>
  <si>
    <t>9b</t>
  </si>
  <si>
    <t>Onset Encounterable Expense for 880</t>
  </si>
  <si>
    <t>Residential Team 880 encounterable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</si>
</sst>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mm/dd/yy;@"/>
    <numFmt numFmtId="169" formatCode="0.0_);\(0.0\)"/>
    <numFmt numFmtId="170" formatCode="m/d/yyyy;;;"/>
    <numFmt numFmtId="171" formatCode="#,##0_);\(#,##0\);;"/>
    <numFmt numFmtId="172" formatCode="General;;"/>
    <numFmt numFmtId="173" formatCode="00000;;;"/>
    <numFmt numFmtId="174" formatCode="#,##0;;;"/>
    <numFmt numFmtId="175" formatCode="00000;;"/>
    <numFmt numFmtId="176" formatCode="_(* #,##0.00_);_(* \(\ #,##0.00\ \);_(* &quot;-&quot;??_);_(\ @_ \)"/>
    <numFmt numFmtId="177" formatCode="_(\ #,##0_);_(\ \(#,##0\);_(\ &quot;-&quot;_)"/>
    <numFmt numFmtId="178" formatCode="#,###,##0.00;\(#,###,##0.00\)"/>
    <numFmt numFmtId="179" formatCode="#,##0.00%;\(#,##0.00%\)"/>
    <numFmt numFmtId="180" formatCode="#,###,##0;\(#,###,##0\)"/>
    <numFmt numFmtId="181" formatCode="&quot;$&quot;#,###,##0;\(&quot;$&quot;#,###,##0\)"/>
    <numFmt numFmtId="182" formatCode="&quot;$&quot;#,##0\ ;\(&quot;$&quot;#,##0\)"/>
    <numFmt numFmtId="183" formatCode="_(&quot;$&quot;* #,##0.00_);_(&quot;$&quot;* \(\ #,##0.00\ \);_(&quot;$&quot;* &quot;-&quot;??_);_(\ @_ \)"/>
    <numFmt numFmtId="184" formatCode="###0.0%;\(###0.0%\)"/>
    <numFmt numFmtId="185" formatCode="&quot;$&quot;#,##0.00;\(&quot;$&quot;#,##0.00\)"/>
    <numFmt numFmtId="186" formatCode="#,##0.00;\(#,##0.00\)"/>
  </numFmts>
  <fonts count="13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sz val="16"/>
      <color rgb="FF0033CC"/>
      <name val="Calibri"/>
      <family val="2"/>
      <scheme val="minor"/>
    </font>
    <font>
      <b/>
      <sz val="11"/>
      <color rgb="FFFF0000"/>
      <name val="Calibri"/>
      <family val="2"/>
      <scheme val="minor"/>
    </font>
    <font>
      <b/>
      <i/>
      <sz val="9"/>
      <color rgb="FFFF0000"/>
      <name val="Calibri"/>
      <family val="2"/>
      <scheme val="minor"/>
    </font>
    <font>
      <i/>
      <sz val="11"/>
      <color theme="1"/>
      <name val="Calibri"/>
      <family val="2"/>
      <scheme val="minor"/>
    </font>
    <font>
      <b/>
      <i/>
      <sz val="10"/>
      <color rgb="FFFF0000"/>
      <name val="Calibri"/>
      <family val="2"/>
      <scheme val="minor"/>
    </font>
    <font>
      <sz val="11"/>
      <color rgb="FF7030A0"/>
      <name val="Calibri"/>
      <family val="2"/>
      <scheme val="minor"/>
    </font>
    <font>
      <b/>
      <i/>
      <sz val="10"/>
      <name val="Calibri"/>
      <family val="2"/>
      <scheme val="minor"/>
    </font>
    <font>
      <b/>
      <u/>
      <sz val="11"/>
      <color theme="1"/>
      <name val="Calibri"/>
      <family val="2"/>
      <scheme val="minor"/>
    </font>
    <font>
      <b/>
      <sz val="16"/>
      <color rgb="FFFF0000"/>
      <name val="Calibri"/>
      <family val="2"/>
      <scheme val="minor"/>
    </font>
    <font>
      <sz val="9"/>
      <color theme="1"/>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sz val="10"/>
      <color theme="1"/>
      <name val="Arial"/>
      <family val="2"/>
    </font>
    <font>
      <sz val="11"/>
      <color theme="1"/>
      <name val="Arial"/>
      <family val="2"/>
    </font>
    <font>
      <b/>
      <i/>
      <sz val="12"/>
      <name val="Calibri"/>
      <family val="2"/>
      <scheme val="minor"/>
    </font>
    <font>
      <b/>
      <i/>
      <sz val="10"/>
      <color theme="1"/>
      <name val="Arial"/>
      <family val="2"/>
    </font>
    <font>
      <i/>
      <sz val="8"/>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sz val="12"/>
      <color rgb="FFFF0000"/>
      <name val="Calibri"/>
      <family val="2"/>
      <scheme val="minor"/>
    </font>
    <font>
      <sz val="11"/>
      <color rgb="FFFF0000"/>
      <name val="Arial"/>
      <family val="2"/>
    </font>
    <font>
      <i/>
      <sz val="11"/>
      <name val="Calibri"/>
      <family val="2"/>
      <scheme val="minor"/>
    </font>
    <font>
      <b/>
      <i/>
      <sz val="11"/>
      <name val="Calibri"/>
      <family val="2"/>
      <scheme val="minor"/>
    </font>
    <font>
      <sz val="12"/>
      <name val="Calibri"/>
      <family val="2"/>
      <scheme val="minor"/>
    </font>
    <font>
      <b/>
      <sz val="12"/>
      <name val="Calibri"/>
      <family val="2"/>
      <scheme val="minor"/>
    </font>
    <font>
      <b/>
      <i/>
      <sz val="9"/>
      <name val="Calibri"/>
      <family val="2"/>
      <scheme val="minor"/>
    </font>
    <font>
      <b/>
      <i/>
      <sz val="10"/>
      <name val="Arial"/>
      <family val="2"/>
    </font>
    <font>
      <sz val="10"/>
      <name val="Arial"/>
      <family val="2"/>
    </font>
    <font>
      <sz val="11"/>
      <name val="Arial"/>
      <family val="2"/>
    </font>
    <font>
      <b/>
      <sz val="8"/>
      <name val="Arial"/>
      <family val="2"/>
    </font>
    <font>
      <i/>
      <sz val="10"/>
      <name val="Arial"/>
      <family val="2"/>
    </font>
    <font>
      <sz val="8"/>
      <name val="Calibri"/>
      <family val="2"/>
      <scheme val="minor"/>
    </font>
    <font>
      <b/>
      <sz val="8"/>
      <name val="Calibri"/>
      <family val="2"/>
      <scheme val="minor"/>
    </font>
    <font>
      <b/>
      <sz val="9"/>
      <name val="Calibri"/>
      <family val="2"/>
      <scheme val="minor"/>
    </font>
    <font>
      <b/>
      <u/>
      <sz val="11"/>
      <name val="Calibri"/>
      <family val="2"/>
      <scheme val="minor"/>
    </font>
    <font>
      <b/>
      <sz val="16"/>
      <name val="Calibri"/>
      <family val="2"/>
      <scheme val="minor"/>
    </font>
    <font>
      <b/>
      <sz val="8"/>
      <color rgb="FFFF0000"/>
      <name val="Calibri"/>
      <family val="2"/>
      <scheme val="minor"/>
    </font>
    <font>
      <b/>
      <i/>
      <u/>
      <sz val="11"/>
      <color theme="1"/>
      <name val="Calibri"/>
      <family val="2"/>
      <scheme val="minor"/>
    </font>
    <font>
      <b/>
      <sz val="9"/>
      <color theme="1"/>
      <name val="Calibri"/>
      <family val="2"/>
      <scheme val="minor"/>
    </font>
    <font>
      <sz val="11"/>
      <color rgb="FF0000FF"/>
      <name val="Calibri"/>
      <family val="2"/>
      <scheme val="minor"/>
    </font>
    <font>
      <b/>
      <sz val="11"/>
      <color rgb="FF0000FF"/>
      <name val="Calibri"/>
      <family val="2"/>
      <scheme val="minor"/>
    </font>
    <font>
      <b/>
      <i/>
      <sz val="11"/>
      <color rgb="FF0000FF"/>
      <name val="Calibri"/>
      <family val="2"/>
      <scheme val="minor"/>
    </font>
    <font>
      <b/>
      <i/>
      <sz val="11"/>
      <color rgb="FFFF0000"/>
      <name val="Calibri"/>
      <family val="2"/>
      <scheme val="minor"/>
    </font>
    <font>
      <sz val="9"/>
      <name val="Arial"/>
      <family val="2"/>
    </font>
    <font>
      <b/>
      <sz val="10"/>
      <name val="Arial"/>
      <family val="2"/>
    </font>
    <font>
      <u/>
      <sz val="10"/>
      <color rgb="FFFF0000"/>
      <name val="Arial"/>
      <family val="2"/>
    </font>
    <font>
      <sz val="10"/>
      <color rgb="FFFF0000"/>
      <name val="Arial"/>
      <family val="2"/>
    </font>
    <font>
      <sz val="10"/>
      <name val="MS Sans Serif"/>
    </font>
    <font>
      <sz val="10"/>
      <name val="MS Sans Serif"/>
      <family val="2"/>
    </font>
    <font>
      <b/>
      <sz val="10"/>
      <color rgb="FFFF0000"/>
      <name val="Arial"/>
      <family val="2"/>
    </font>
    <font>
      <b/>
      <i/>
      <sz val="9"/>
      <color rgb="FFFF0000"/>
      <name val="Arial"/>
      <family val="2"/>
    </font>
    <font>
      <b/>
      <sz val="16"/>
      <color rgb="FF0000FF"/>
      <name val="Calibri"/>
      <family val="2"/>
      <scheme val="minor"/>
    </font>
    <font>
      <b/>
      <sz val="12"/>
      <color rgb="FFFF0000"/>
      <name val="Calibri"/>
      <family val="2"/>
      <scheme val="minor"/>
    </font>
    <font>
      <sz val="8"/>
      <color rgb="FFFF0000"/>
      <name val="Calibri"/>
      <family val="2"/>
      <scheme val="minor"/>
    </font>
    <font>
      <b/>
      <i/>
      <sz val="12"/>
      <color rgb="FFFF0000"/>
      <name val="Calibri"/>
      <family val="2"/>
      <scheme val="minor"/>
    </font>
    <font>
      <i/>
      <sz val="8"/>
      <color rgb="FFFF0000"/>
      <name val="Calibri"/>
      <family val="2"/>
      <scheme val="minor"/>
    </font>
    <font>
      <b/>
      <u/>
      <sz val="11"/>
      <color rgb="FF0000FF"/>
      <name val="Calibri"/>
      <family val="2"/>
      <scheme val="minor"/>
    </font>
    <font>
      <sz val="12"/>
      <color rgb="FF0000FF"/>
      <name val="Calibri"/>
      <family val="2"/>
      <scheme val="minor"/>
    </font>
    <font>
      <i/>
      <sz val="8"/>
      <color rgb="FF0000FF"/>
      <name val="Calibri"/>
      <family val="2"/>
      <scheme val="minor"/>
    </font>
    <font>
      <b/>
      <i/>
      <sz val="12"/>
      <color rgb="FF0000FF"/>
      <name val="Calibri"/>
      <family val="2"/>
      <scheme val="minor"/>
    </font>
    <font>
      <b/>
      <i/>
      <sz val="10"/>
      <color rgb="FF0000FF"/>
      <name val="Calibri"/>
      <family val="2"/>
      <scheme val="minor"/>
    </font>
    <font>
      <b/>
      <sz val="9"/>
      <color rgb="FFFF0000"/>
      <name val="Calibri"/>
      <family val="2"/>
      <scheme val="minor"/>
    </font>
    <font>
      <i/>
      <sz val="11"/>
      <color rgb="FFFF0000"/>
      <name val="Calibri"/>
      <family val="2"/>
      <scheme val="minor"/>
    </font>
    <font>
      <i/>
      <sz val="11"/>
      <color rgb="FF0000FF"/>
      <name val="Calibri"/>
      <family val="2"/>
      <scheme val="minor"/>
    </font>
    <font>
      <b/>
      <sz val="14"/>
      <color rgb="FFFF0000"/>
      <name val="Calibri"/>
      <family val="2"/>
      <scheme val="minor"/>
    </font>
    <font>
      <b/>
      <sz val="11"/>
      <color rgb="FF7AC142"/>
      <name val="Calibri"/>
      <family val="2"/>
      <scheme val="minor"/>
    </font>
    <font>
      <b/>
      <sz val="11"/>
      <color rgb="FF38939B"/>
      <name val="Calibri"/>
      <family val="2"/>
      <scheme val="minor"/>
    </font>
    <font>
      <b/>
      <sz val="11"/>
      <color theme="7" tint="0.39997558519241921"/>
      <name val="Calibri"/>
      <family val="2"/>
      <scheme val="minor"/>
    </font>
    <font>
      <b/>
      <sz val="11"/>
      <color theme="0" tint="-0.499984740745262"/>
      <name val="Calibri"/>
      <family val="2"/>
      <scheme val="minor"/>
    </font>
    <font>
      <b/>
      <sz val="11"/>
      <color rgb="FFF8971D"/>
      <name val="Calibri"/>
      <family val="2"/>
      <scheme val="minor"/>
    </font>
    <font>
      <sz val="9"/>
      <name val="Segoe UI"/>
      <family val="2"/>
    </font>
    <font>
      <sz val="9"/>
      <name val="Segoe UI"/>
      <family val="2"/>
    </font>
    <font>
      <sz val="10"/>
      <color indexed="8"/>
      <name val="Arial"/>
      <family val="2"/>
    </font>
    <font>
      <sz val="10"/>
      <name val="Segoe UI"/>
      <family val="2"/>
    </font>
    <font>
      <sz val="9"/>
      <name val="Calibri"/>
      <family val="2"/>
      <scheme val="minor"/>
    </font>
    <font>
      <b/>
      <sz val="14"/>
      <name val="Calibri"/>
      <family val="2"/>
      <scheme val="minor"/>
    </font>
    <font>
      <b/>
      <sz val="12"/>
      <color rgb="FF0000FF"/>
      <name val="Calibri"/>
      <family val="2"/>
      <scheme val="minor"/>
    </font>
    <font>
      <sz val="11"/>
      <color rgb="FF000000"/>
      <name val="Calibri"/>
      <family val="2"/>
      <scheme val="minor"/>
    </font>
    <font>
      <sz val="11"/>
      <name val="Calibri"/>
      <family val="2"/>
    </font>
    <font>
      <b/>
      <sz val="12"/>
      <name val="Arial"/>
      <family val="2"/>
    </font>
    <font>
      <sz val="12"/>
      <name val="Arial"/>
      <family val="2"/>
    </font>
    <font>
      <b/>
      <sz val="12"/>
      <color indexed="8"/>
      <name val="Arial"/>
      <family val="2"/>
    </font>
    <font>
      <sz val="10"/>
      <name val="Comic Sans MS"/>
      <family val="4"/>
    </font>
    <font>
      <sz val="11"/>
      <color theme="1"/>
      <name val="Calibri"/>
      <family val="2"/>
    </font>
    <font>
      <sz val="10"/>
      <color indexed="0"/>
      <name val="Arial"/>
      <family val="2"/>
    </font>
    <font>
      <b/>
      <sz val="11"/>
      <name val="Arial"/>
      <family val="2"/>
    </font>
    <font>
      <sz val="10"/>
      <name val="Times New Roman"/>
      <family val="1"/>
    </font>
    <font>
      <b/>
      <sz val="10"/>
      <name val="Times New Roman"/>
      <family val="1"/>
    </font>
    <font>
      <sz val="10"/>
      <color theme="1"/>
      <name val="Tahoma"/>
      <family val="2"/>
    </font>
    <font>
      <b/>
      <sz val="10"/>
      <color indexed="8"/>
      <name val="Times New Roman"/>
      <family val="1"/>
    </font>
    <font>
      <sz val="11"/>
      <color indexed="17"/>
      <name val="Calibri"/>
      <family val="2"/>
    </font>
    <font>
      <sz val="11"/>
      <color indexed="20"/>
      <name val="Calibri"/>
      <family val="2"/>
    </font>
    <font>
      <sz val="11"/>
      <color indexed="60"/>
      <name val="Calibri"/>
      <family val="2"/>
    </font>
    <font>
      <sz val="11"/>
      <color indexed="8"/>
      <name val="Calibri"/>
      <family val="2"/>
    </font>
    <font>
      <sz val="11"/>
      <color indexed="62"/>
      <name val="Calibri"/>
      <family val="2"/>
    </font>
    <font>
      <sz val="11"/>
      <color indexed="9"/>
      <name val="Calibri"/>
      <family val="2"/>
    </font>
    <font>
      <b/>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icrosoft Sans Serif"/>
      <family val="2"/>
    </font>
    <font>
      <b/>
      <sz val="10"/>
      <color indexed="0"/>
      <name val="Arial"/>
      <family val="2"/>
    </font>
    <font>
      <b/>
      <sz val="9"/>
      <color indexed="0"/>
      <name val="Arial"/>
      <family val="2"/>
    </font>
    <font>
      <u/>
      <sz val="11"/>
      <color indexed="0"/>
      <name val="Arial"/>
      <family val="2"/>
    </font>
    <font>
      <u/>
      <sz val="10"/>
      <color indexed="0"/>
      <name val="Arial"/>
      <family val="2"/>
    </font>
    <font>
      <sz val="11"/>
      <name val="Times New Roman"/>
      <family val="1"/>
    </font>
    <font>
      <sz val="10"/>
      <name val="Tahoma"/>
      <family val="2"/>
    </font>
    <font>
      <sz val="10"/>
      <color indexed="0"/>
      <name val="Times New Roman"/>
      <family val="1"/>
    </font>
    <font>
      <b/>
      <sz val="10"/>
      <color indexed="9"/>
      <name val="Arial"/>
      <family val="2"/>
    </font>
    <font>
      <sz val="10"/>
      <color indexed="63"/>
      <name val="Arial"/>
      <family val="2"/>
    </font>
    <font>
      <b/>
      <i/>
      <sz val="10"/>
      <color indexed="63"/>
      <name val="Arial"/>
      <family val="2"/>
    </font>
    <font>
      <b/>
      <sz val="10"/>
      <color indexed="8"/>
      <name val="Arial"/>
      <family val="2"/>
    </font>
    <font>
      <b/>
      <sz val="10"/>
      <color indexed="12"/>
      <name val="Arial"/>
      <family val="2"/>
    </font>
    <font>
      <b/>
      <sz val="10"/>
      <color rgb="FF0000FF"/>
      <name val="Arial"/>
      <family val="2"/>
    </font>
    <font>
      <sz val="11"/>
      <color indexed="8"/>
      <name val="Calibri"/>
      <family val="2"/>
      <scheme val="minor"/>
    </font>
    <font>
      <b/>
      <sz val="14"/>
      <color indexed="0"/>
      <name val="Arial"/>
      <family val="2"/>
    </font>
    <font>
      <i/>
      <sz val="9"/>
      <color indexed="0"/>
      <name val="Arial"/>
      <family val="2"/>
    </font>
    <font>
      <b/>
      <sz val="12"/>
      <color indexed="0"/>
      <name val="Arial"/>
      <family val="2"/>
    </font>
    <font>
      <b/>
      <u/>
      <sz val="10"/>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ill>
    <fill>
      <patternFill patternType="solid">
        <fgColor theme="7" tint="0.79998168889431442"/>
        <bgColor indexed="64"/>
      </patternFill>
    </fill>
    <fill>
      <patternFill patternType="solid">
        <fgColor indexed="65"/>
        <bgColor indexed="64"/>
      </patternFill>
    </fill>
    <fill>
      <patternFill patternType="solid">
        <fgColor rgb="FF9CC5CA"/>
        <bgColor indexed="64"/>
      </patternFill>
    </fill>
    <fill>
      <patternFill patternType="solid">
        <fgColor rgb="FFFFF2CC"/>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8"/>
        <bgColor indexed="64"/>
      </patternFill>
    </fill>
    <fill>
      <patternFill patternType="solid">
        <fgColor indexed="22"/>
        <bgColor indexed="64"/>
      </patternFill>
    </fill>
    <fill>
      <patternFill patternType="solid">
        <fgColor indexed="44"/>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s>
  <cellStyleXfs count="342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7" fillId="0" borderId="0"/>
    <xf numFmtId="0" fontId="58" fillId="0" borderId="0"/>
    <xf numFmtId="9" fontId="58" fillId="0" borderId="0" applyFont="0" applyFill="0" applyBorder="0" applyAlignment="0" applyProtection="0"/>
    <xf numFmtId="0" fontId="37" fillId="0" borderId="0"/>
    <xf numFmtId="0" fontId="82" fillId="0" borderId="0" applyNumberFormat="0" applyBorder="0" applyAlignment="0"/>
    <xf numFmtId="0" fontId="80" fillId="0" borderId="0">
      <alignment vertical="center"/>
    </xf>
    <xf numFmtId="43" fontId="81" fillId="0" borderId="0" applyFont="0" applyFill="0" applyBorder="0" applyAlignment="0" applyProtection="0"/>
    <xf numFmtId="44" fontId="81" fillId="0" borderId="0" applyFont="0" applyFill="0" applyBorder="0" applyAlignment="0" applyProtection="0"/>
    <xf numFmtId="9" fontId="81" fillId="0" borderId="0" applyFont="0" applyFill="0" applyBorder="0" applyAlignment="0" applyProtection="0"/>
    <xf numFmtId="0" fontId="81" fillId="0" borderId="0">
      <alignment vertical="center"/>
    </xf>
    <xf numFmtId="44" fontId="57" fillId="0" borderId="0" applyFont="0" applyFill="0" applyBorder="0" applyAlignment="0" applyProtection="0"/>
    <xf numFmtId="9" fontId="37" fillId="0" borderId="0" applyFont="0" applyFill="0" applyBorder="0" applyAlignment="0" applyProtection="0"/>
    <xf numFmtId="0" fontId="81" fillId="0" borderId="0">
      <alignment vertical="center"/>
    </xf>
    <xf numFmtId="9" fontId="37" fillId="0" borderId="0" applyFont="0" applyFill="0" applyBorder="0" applyAlignment="0" applyProtection="0"/>
    <xf numFmtId="43" fontId="3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43" fontId="37" fillId="0" borderId="0" applyFont="0" applyFill="0" applyBorder="0" applyAlignment="0" applyProtection="0"/>
    <xf numFmtId="40" fontId="58" fillId="0" borderId="0" applyFont="0" applyFill="0" applyBorder="0" applyAlignment="0" applyProtection="0"/>
    <xf numFmtId="40" fontId="58" fillId="0" borderId="0" applyFont="0" applyFill="0" applyBorder="0" applyAlignment="0" applyProtection="0"/>
    <xf numFmtId="176" fontId="83" fillId="0" borderId="0" applyFont="0" applyFill="0" applyBorder="0" applyAlignment="0" applyProtection="0"/>
    <xf numFmtId="9" fontId="83" fillId="0" borderId="0" applyFont="0" applyFill="0" applyBorder="0" applyAlignment="0" applyProtection="0"/>
    <xf numFmtId="0" fontId="82" fillId="0" borderId="0">
      <alignment vertical="top"/>
    </xf>
    <xf numFmtId="40"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0" fontId="81" fillId="0" borderId="0">
      <alignment vertical="center"/>
    </xf>
    <xf numFmtId="43" fontId="37" fillId="0" borderId="0" applyFont="0" applyFill="0" applyBorder="0" applyAlignment="0" applyProtection="0"/>
    <xf numFmtId="40" fontId="58"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7" fillId="0" borderId="0"/>
    <xf numFmtId="43" fontId="81" fillId="0" borderId="0" applyFont="0" applyFill="0" applyBorder="0" applyAlignment="0" applyProtection="0"/>
    <xf numFmtId="9" fontId="81" fillId="0" borderId="0" applyFont="0" applyFill="0" applyBorder="0" applyAlignment="0" applyProtection="0"/>
    <xf numFmtId="43" fontId="3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7" fillId="0" borderId="0"/>
    <xf numFmtId="0" fontId="37" fillId="0" borderId="0"/>
    <xf numFmtId="9" fontId="83" fillId="0" borderId="0" applyFont="0" applyFill="0" applyBorder="0" applyAlignment="0" applyProtection="0"/>
    <xf numFmtId="43" fontId="37"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37" fillId="0" borderId="0"/>
    <xf numFmtId="43" fontId="82" fillId="0" borderId="0" applyFont="0" applyFill="0" applyBorder="0" applyAlignment="0" applyProtection="0"/>
    <xf numFmtId="0" fontId="37" fillId="0" borderId="0"/>
    <xf numFmtId="0" fontId="82" fillId="0" borderId="0">
      <alignment vertical="top"/>
    </xf>
    <xf numFmtId="43" fontId="21" fillId="0" borderId="0" applyFont="0" applyFill="0" applyBorder="0" applyAlignment="0" applyProtection="0"/>
    <xf numFmtId="0" fontId="37" fillId="0" borderId="0"/>
    <xf numFmtId="43" fontId="82" fillId="0" borderId="0" applyFont="0" applyFill="0" applyBorder="0" applyAlignment="0" applyProtection="0"/>
    <xf numFmtId="43" fontId="21" fillId="0" borderId="0" applyFont="0" applyFill="0" applyBorder="0" applyAlignment="0" applyProtection="0"/>
    <xf numFmtId="0" fontId="57" fillId="0" borderId="0"/>
    <xf numFmtId="0" fontId="1" fillId="0" borderId="0"/>
    <xf numFmtId="0" fontId="90"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7" fillId="0" borderId="0" applyFont="0" applyFill="0" applyBorder="0" applyAlignment="0" applyProtection="0"/>
    <xf numFmtId="4" fontId="37" fillId="0" borderId="0" applyFont="0" applyFill="0" applyBorder="0" applyAlignment="0" applyProtection="0"/>
    <xf numFmtId="43" fontId="37" fillId="0" borderId="0" applyFont="0" applyFill="0" applyBorder="0" applyAlignment="0" applyProtection="0"/>
    <xf numFmtId="43" fontId="9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3" fontId="37" fillId="0" borderId="0" applyFont="0" applyFill="0" applyBorder="0" applyAlignment="0" applyProtection="0"/>
    <xf numFmtId="44" fontId="21"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3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7" fillId="0" borderId="0" applyFont="0" applyFill="0" applyBorder="0" applyAlignment="0" applyProtection="0"/>
    <xf numFmtId="44" fontId="21" fillId="0" borderId="0" applyFont="0" applyFill="0" applyBorder="0" applyAlignment="0" applyProtection="0"/>
    <xf numFmtId="44" fontId="37" fillId="0" borderId="0" applyFont="0" applyFill="0" applyBorder="0" applyAlignment="0" applyProtection="0"/>
    <xf numFmtId="7" fontId="3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1" fillId="0" borderId="0" applyFont="0" applyFill="0" applyBorder="0" applyAlignment="0" applyProtection="0"/>
    <xf numFmtId="5" fontId="37" fillId="0" borderId="0" applyFont="0" applyFill="0" applyBorder="0" applyAlignment="0" applyProtection="0"/>
    <xf numFmtId="5" fontId="37" fillId="0" borderId="0" applyFont="0" applyFill="0" applyBorder="0" applyAlignment="0" applyProtection="0"/>
    <xf numFmtId="5" fontId="37" fillId="0" borderId="0" applyFont="0" applyFill="0" applyBorder="0" applyAlignment="0" applyProtection="0"/>
    <xf numFmtId="5" fontId="37" fillId="0" borderId="0" applyFont="0" applyFill="0" applyBorder="0" applyAlignment="0" applyProtection="0"/>
    <xf numFmtId="0" fontId="37" fillId="0" borderId="0" applyFont="0" applyFill="0" applyBorder="0" applyAlignment="0" applyProtection="0"/>
    <xf numFmtId="2" fontId="37" fillId="0" borderId="0" applyFont="0" applyFill="0" applyBorder="0" applyAlignment="0" applyProtection="0"/>
    <xf numFmtId="178" fontId="94" fillId="0" borderId="0"/>
    <xf numFmtId="179"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53" fillId="0" borderId="0"/>
    <xf numFmtId="0" fontId="93" fillId="0" borderId="0"/>
    <xf numFmtId="0" fontId="93" fillId="0" borderId="0"/>
    <xf numFmtId="0" fontId="53" fillId="0" borderId="0"/>
    <xf numFmtId="0" fontId="53" fillId="0" borderId="0"/>
    <xf numFmtId="0" fontId="37" fillId="0" borderId="0"/>
    <xf numFmtId="0" fontId="93" fillId="0" borderId="0"/>
    <xf numFmtId="0" fontId="93" fillId="0" borderId="0"/>
    <xf numFmtId="0" fontId="92" fillId="0" borderId="0"/>
    <xf numFmtId="0" fontId="53" fillId="0" borderId="0"/>
    <xf numFmtId="0" fontId="53" fillId="0" borderId="0"/>
    <xf numFmtId="0" fontId="53" fillId="0" borderId="0"/>
    <xf numFmtId="0" fontId="9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3" fillId="0" borderId="0"/>
    <xf numFmtId="0" fontId="53" fillId="0" borderId="0"/>
    <xf numFmtId="0" fontId="37" fillId="0" borderId="0"/>
    <xf numFmtId="0" fontId="37" fillId="0" borderId="0">
      <alignment vertical="top"/>
    </xf>
    <xf numFmtId="0" fontId="37" fillId="0" borderId="0">
      <alignment vertical="top"/>
    </xf>
    <xf numFmtId="0" fontId="37" fillId="0" borderId="0"/>
    <xf numFmtId="0" fontId="37"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2" fillId="0" borderId="0">
      <alignment vertical="top"/>
    </xf>
    <xf numFmtId="0" fontId="82"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7" fillId="0" borderId="0"/>
    <xf numFmtId="0" fontId="37" fillId="0" borderId="0">
      <alignment vertical="top"/>
    </xf>
    <xf numFmtId="0" fontId="21" fillId="0" borderId="0"/>
    <xf numFmtId="0" fontId="37" fillId="0" borderId="0">
      <alignment vertical="top"/>
    </xf>
    <xf numFmtId="0" fontId="92" fillId="0" borderId="0"/>
    <xf numFmtId="0" fontId="21" fillId="0" borderId="0"/>
    <xf numFmtId="0" fontId="21" fillId="0" borderId="0"/>
    <xf numFmtId="0" fontId="37" fillId="0" borderId="0"/>
    <xf numFmtId="0" fontId="21" fillId="0" borderId="0"/>
    <xf numFmtId="0" fontId="21" fillId="0" borderId="0"/>
    <xf numFmtId="0" fontId="93" fillId="0" borderId="0"/>
    <xf numFmtId="0" fontId="93" fillId="0" borderId="0"/>
    <xf numFmtId="0" fontId="53" fillId="0" borderId="0"/>
    <xf numFmtId="0" fontId="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9" fontId="37" fillId="0" borderId="0" applyFont="0" applyFill="0" applyBorder="0" applyAlignment="0" applyProtection="0"/>
    <xf numFmtId="9" fontId="3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0" fontId="90" fillId="0" borderId="0"/>
    <xf numFmtId="43" fontId="2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90" fillId="0" borderId="0"/>
    <xf numFmtId="0" fontId="90" fillId="0" borderId="0"/>
    <xf numFmtId="0" fontId="82" fillId="0" borderId="0">
      <alignment vertical="top"/>
    </xf>
    <xf numFmtId="0" fontId="37" fillId="0" borderId="0"/>
    <xf numFmtId="44" fontId="37" fillId="0" borderId="0" applyFont="0" applyFill="0" applyBorder="0" applyAlignment="0" applyProtection="0"/>
    <xf numFmtId="0" fontId="98" fillId="0" borderId="0"/>
    <xf numFmtId="44" fontId="1" fillId="0" borderId="0" applyFont="0" applyFill="0" applyBorder="0" applyAlignment="0" applyProtection="0"/>
    <xf numFmtId="43" fontId="1" fillId="0" borderId="0" applyFont="0" applyFill="0" applyBorder="0" applyAlignment="0" applyProtection="0"/>
    <xf numFmtId="9" fontId="82" fillId="0" borderId="0" applyFont="0" applyFill="0" applyBorder="0" applyAlignment="0" applyProtection="0"/>
    <xf numFmtId="0" fontId="21" fillId="0" borderId="0"/>
    <xf numFmtId="0" fontId="37" fillId="0" borderId="0"/>
    <xf numFmtId="43" fontId="2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3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7" fillId="0" borderId="0" applyFont="0" applyFill="0" applyBorder="0" applyAlignment="0" applyProtection="0"/>
    <xf numFmtId="4" fontId="37" fillId="0" borderId="0" applyFont="0" applyFill="0" applyBorder="0" applyAlignment="0" applyProtection="0"/>
    <xf numFmtId="43" fontId="37" fillId="0" borderId="0" applyFont="0" applyFill="0" applyBorder="0" applyAlignment="0" applyProtection="0"/>
    <xf numFmtId="3" fontId="37" fillId="0" borderId="0" applyFont="0" applyFill="0" applyBorder="0" applyAlignment="0" applyProtection="0"/>
    <xf numFmtId="44" fontId="21"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3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7" fillId="0" borderId="0" applyFont="0" applyFill="0" applyBorder="0" applyAlignment="0" applyProtection="0"/>
    <xf numFmtId="44" fontId="21" fillId="0" borderId="0" applyFont="0" applyFill="0" applyBorder="0" applyAlignment="0" applyProtection="0"/>
    <xf numFmtId="44" fontId="37" fillId="0" borderId="0" applyFont="0" applyFill="0" applyBorder="0" applyAlignment="0" applyProtection="0"/>
    <xf numFmtId="7" fontId="37" fillId="0" borderId="0" applyFont="0" applyFill="0" applyBorder="0" applyAlignment="0" applyProtection="0"/>
    <xf numFmtId="44" fontId="21" fillId="0" borderId="0" applyFont="0" applyFill="0" applyBorder="0" applyAlignment="0" applyProtection="0"/>
    <xf numFmtId="5" fontId="37" fillId="0" borderId="0" applyFont="0" applyFill="0" applyBorder="0" applyAlignment="0" applyProtection="0"/>
    <xf numFmtId="5" fontId="37" fillId="0" borderId="0" applyFont="0" applyFill="0" applyBorder="0" applyAlignment="0" applyProtection="0"/>
    <xf numFmtId="5" fontId="37" fillId="0" borderId="0" applyFont="0" applyFill="0" applyBorder="0" applyAlignment="0" applyProtection="0"/>
    <xf numFmtId="5" fontId="37" fillId="0" borderId="0" applyFont="0" applyFill="0" applyBorder="0" applyAlignment="0" applyProtection="0"/>
    <xf numFmtId="0" fontId="37" fillId="0" borderId="0" applyFont="0" applyFill="0" applyBorder="0" applyAlignment="0" applyProtection="0"/>
    <xf numFmtId="2"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top"/>
    </xf>
    <xf numFmtId="0" fontId="37" fillId="0" borderId="0">
      <alignment vertical="top"/>
    </xf>
    <xf numFmtId="0" fontId="37" fillId="0" borderId="0"/>
    <xf numFmtId="0" fontId="37"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2" fillId="0" borderId="0">
      <alignment vertical="top"/>
    </xf>
    <xf numFmtId="0" fontId="82"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7" fillId="0" borderId="0"/>
    <xf numFmtId="0" fontId="37" fillId="0" borderId="0">
      <alignment vertical="top"/>
    </xf>
    <xf numFmtId="0" fontId="21" fillId="0" borderId="0"/>
    <xf numFmtId="0" fontId="37" fillId="0" borderId="0">
      <alignment vertical="top"/>
    </xf>
    <xf numFmtId="0" fontId="21" fillId="0" borderId="0"/>
    <xf numFmtId="0" fontId="21" fillId="0" borderId="0"/>
    <xf numFmtId="0" fontId="37" fillId="0" borderId="0"/>
    <xf numFmtId="0" fontId="21" fillId="0" borderId="0"/>
    <xf numFmtId="0" fontId="21"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82" fillId="0" borderId="0" applyFont="0" applyFill="0" applyBorder="0" applyAlignment="0" applyProtection="0"/>
    <xf numFmtId="43" fontId="82" fillId="0" borderId="0" applyFont="0" applyFill="0" applyBorder="0" applyAlignment="0" applyProtection="0">
      <alignment vertical="top"/>
    </xf>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1" fillId="0" borderId="0"/>
    <xf numFmtId="0" fontId="103" fillId="9" borderId="0" applyNumberFormat="0" applyBorder="0" applyAlignment="0" applyProtection="0"/>
    <xf numFmtId="0" fontId="103" fillId="10" borderId="0" applyNumberFormat="0" applyBorder="0" applyAlignment="0" applyProtection="0"/>
    <xf numFmtId="0" fontId="103" fillId="11" borderId="0" applyNumberFormat="0" applyBorder="0" applyAlignment="0" applyProtection="0"/>
    <xf numFmtId="0" fontId="103" fillId="12"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15"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12"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5" fillId="19"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6"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06" fillId="27" borderId="24" applyNumberFormat="0" applyAlignment="0" applyProtection="0"/>
    <xf numFmtId="0" fontId="107" fillId="28" borderId="25" applyNumberFormat="0" applyAlignment="0" applyProtection="0"/>
    <xf numFmtId="176" fontId="117"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37" fillId="0" borderId="0" applyFont="0" applyFill="0" applyBorder="0" applyAlignment="0" applyProtection="0"/>
    <xf numFmtId="0" fontId="108" fillId="0" borderId="0" applyNumberFormat="0" applyFill="0" applyBorder="0" applyAlignment="0" applyProtection="0"/>
    <xf numFmtId="180" fontId="94" fillId="0" borderId="0"/>
    <xf numFmtId="181" fontId="94" fillId="0" borderId="0"/>
    <xf numFmtId="0" fontId="100" fillId="11" borderId="0" applyNumberFormat="0" applyBorder="0" applyAlignment="0" applyProtection="0"/>
    <xf numFmtId="0" fontId="100" fillId="11" borderId="0" applyNumberFormat="0" applyBorder="0" applyAlignment="0" applyProtection="0"/>
    <xf numFmtId="0" fontId="109" fillId="0" borderId="26" applyNumberFormat="0" applyFill="0" applyAlignment="0" applyProtection="0"/>
    <xf numFmtId="0" fontId="110" fillId="0" borderId="27" applyNumberFormat="0" applyFill="0" applyAlignment="0" applyProtection="0"/>
    <xf numFmtId="0" fontId="111" fillId="0" borderId="28" applyNumberFormat="0" applyFill="0" applyAlignment="0" applyProtection="0"/>
    <xf numFmtId="0" fontId="111" fillId="0" borderId="0" applyNumberFormat="0" applyFill="0" applyBorder="0" applyAlignment="0" applyProtection="0"/>
    <xf numFmtId="0" fontId="104" fillId="14" borderId="24" applyNumberFormat="0" applyAlignment="0" applyProtection="0"/>
    <xf numFmtId="0" fontId="104" fillId="14" borderId="24" applyNumberFormat="0" applyAlignment="0" applyProtection="0"/>
    <xf numFmtId="0" fontId="112" fillId="0" borderId="29" applyNumberFormat="0" applyFill="0" applyAlignment="0" applyProtection="0"/>
    <xf numFmtId="0" fontId="102" fillId="29" borderId="0" applyNumberFormat="0" applyBorder="0" applyAlignment="0" applyProtection="0"/>
    <xf numFmtId="0" fontId="102" fillId="29" borderId="0" applyNumberFormat="0" applyBorder="0" applyAlignment="0" applyProtection="0"/>
    <xf numFmtId="0" fontId="103" fillId="0" borderId="0"/>
    <xf numFmtId="0" fontId="37"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9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94" fillId="0" borderId="0"/>
    <xf numFmtId="0" fontId="103" fillId="30" borderId="30" applyNumberFormat="0" applyFont="0" applyAlignment="0" applyProtection="0"/>
    <xf numFmtId="0" fontId="103" fillId="30" borderId="30" applyNumberFormat="0" applyFont="0" applyAlignment="0" applyProtection="0"/>
    <xf numFmtId="0" fontId="113" fillId="27" borderId="31" applyNumberFormat="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0" fontId="94" fillId="0" borderId="0"/>
    <xf numFmtId="0" fontId="82" fillId="0" borderId="0" applyNumberFormat="0" applyBorder="0" applyAlignment="0"/>
    <xf numFmtId="0" fontId="91" fillId="0" borderId="0" applyNumberFormat="0" applyBorder="0" applyAlignment="0"/>
    <xf numFmtId="0" fontId="118" fillId="0" borderId="0"/>
    <xf numFmtId="0" fontId="91" fillId="0" borderId="0" applyNumberFormat="0" applyBorder="0" applyAlignment="0"/>
    <xf numFmtId="0" fontId="99" fillId="0" borderId="0" applyNumberFormat="0" applyBorder="0" applyAlignment="0"/>
    <xf numFmtId="0" fontId="119" fillId="0" borderId="0"/>
    <xf numFmtId="0" fontId="120" fillId="0" borderId="0"/>
    <xf numFmtId="0" fontId="121" fillId="0" borderId="0"/>
    <xf numFmtId="0" fontId="114" fillId="0" borderId="0" applyNumberFormat="0" applyFill="0" applyBorder="0" applyAlignment="0" applyProtection="0"/>
    <xf numFmtId="0" fontId="115" fillId="0" borderId="32" applyNumberFormat="0" applyFill="0" applyAlignment="0" applyProtection="0"/>
    <xf numFmtId="0" fontId="116"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1" fontId="96" fillId="0" borderId="0">
      <alignment wrapText="1"/>
    </xf>
    <xf numFmtId="42" fontId="96" fillId="0" borderId="0">
      <alignment wrapText="1"/>
    </xf>
    <xf numFmtId="42" fontId="96" fillId="0" borderId="33">
      <alignment wrapText="1"/>
    </xf>
    <xf numFmtId="42" fontId="96" fillId="0" borderId="3">
      <alignment wrapText="1"/>
    </xf>
    <xf numFmtId="9" fontId="96" fillId="0" borderId="0">
      <alignment wrapText="1"/>
    </xf>
    <xf numFmtId="9" fontId="96" fillId="0" borderId="33">
      <alignment wrapText="1"/>
    </xf>
    <xf numFmtId="9" fontId="96" fillId="0" borderId="3">
      <alignment wrapText="1"/>
    </xf>
    <xf numFmtId="41" fontId="96" fillId="0" borderId="3">
      <alignment wrapText="1"/>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82" fontId="90" fillId="0" borderId="0" applyFont="0" applyFill="0" applyBorder="0" applyAlignment="0" applyProtection="0"/>
    <xf numFmtId="0" fontId="37" fillId="0" borderId="0"/>
    <xf numFmtId="0" fontId="37" fillId="0" borderId="0"/>
    <xf numFmtId="41" fontId="122" fillId="0" borderId="0">
      <alignment wrapText="1"/>
    </xf>
    <xf numFmtId="42" fontId="122" fillId="0" borderId="33">
      <alignment wrapText="1"/>
    </xf>
    <xf numFmtId="42" fontId="122" fillId="0" borderId="3">
      <alignment wrapText="1"/>
    </xf>
    <xf numFmtId="9" fontId="122" fillId="0" borderId="0">
      <alignment wrapText="1"/>
    </xf>
    <xf numFmtId="9" fontId="122" fillId="0" borderId="33">
      <alignment wrapText="1"/>
    </xf>
    <xf numFmtId="9" fontId="122" fillId="0" borderId="3">
      <alignment wrapText="1"/>
    </xf>
    <xf numFmtId="41" fontId="122" fillId="0" borderId="3">
      <alignment wrapText="1"/>
    </xf>
    <xf numFmtId="42" fontId="122" fillId="0" borderId="0">
      <alignment wrapText="1"/>
    </xf>
    <xf numFmtId="0" fontId="95" fillId="0" borderId="23">
      <alignment horizontal="center" wrapText="1"/>
    </xf>
    <xf numFmtId="0" fontId="54" fillId="0" borderId="23">
      <alignment horizontal="center" wrapText="1"/>
    </xf>
    <xf numFmtId="0" fontId="122" fillId="0" borderId="0">
      <alignment horizontal="left" wrapText="1" indent="4"/>
    </xf>
    <xf numFmtId="0" fontId="96" fillId="0" borderId="0">
      <alignment horizontal="left" wrapText="1"/>
    </xf>
    <xf numFmtId="0" fontId="122" fillId="0" borderId="0">
      <alignment horizontal="left" wrapText="1" indent="5"/>
    </xf>
    <xf numFmtId="0" fontId="96" fillId="0" borderId="0">
      <alignment horizontal="left" wrapText="1" indent="1"/>
    </xf>
    <xf numFmtId="0" fontId="122" fillId="0" borderId="0">
      <alignment horizontal="left" wrapText="1" indent="6"/>
    </xf>
    <xf numFmtId="0" fontId="96" fillId="0" borderId="0">
      <alignment horizontal="left" wrapText="1" indent="2"/>
    </xf>
    <xf numFmtId="0" fontId="122" fillId="0" borderId="0">
      <alignment horizontal="left" wrapText="1" indent="4"/>
    </xf>
    <xf numFmtId="0" fontId="122" fillId="0" borderId="0">
      <alignment horizontal="left" wrapText="1" indent="7"/>
    </xf>
    <xf numFmtId="0" fontId="96" fillId="0" borderId="0">
      <alignment horizontal="left" wrapText="1" indent="3"/>
    </xf>
    <xf numFmtId="0" fontId="122" fillId="0" borderId="0">
      <alignment horizontal="left" wrapText="1" indent="5"/>
    </xf>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4" fillId="0" borderId="3">
      <alignment horizontal="center" wrapText="1"/>
    </xf>
    <xf numFmtId="0" fontId="96" fillId="0" borderId="0">
      <alignment horizontal="left" wrapText="1" indent="4"/>
    </xf>
    <xf numFmtId="0" fontId="96" fillId="0" borderId="0">
      <alignment horizontal="left" wrapText="1" indent="6"/>
    </xf>
    <xf numFmtId="0" fontId="96" fillId="0" borderId="0">
      <alignment horizontal="left" wrapText="1" indent="8"/>
    </xf>
    <xf numFmtId="0" fontId="97" fillId="0" borderId="0">
      <alignment horizontal="left" wrapText="1" indent="2"/>
    </xf>
    <xf numFmtId="0" fontId="89" fillId="0" borderId="0"/>
    <xf numFmtId="0" fontId="90" fillId="0" borderId="0"/>
    <xf numFmtId="182" fontId="90" fillId="0" borderId="0" applyFont="0" applyFill="0" applyBorder="0" applyAlignment="0" applyProtection="0"/>
    <xf numFmtId="0" fontId="90" fillId="0" borderId="0"/>
    <xf numFmtId="0" fontId="1" fillId="0" borderId="0"/>
    <xf numFmtId="0" fontId="37"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82"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2" fillId="0" borderId="0">
      <alignment vertical="top"/>
    </xf>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43" fontId="82" fillId="0" borderId="0" applyFont="0" applyFill="0" applyBorder="0" applyAlignment="0" applyProtection="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44" fontId="82" fillId="0" borderId="0" applyFont="0" applyFill="0" applyBorder="0" applyAlignment="0" applyProtection="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21" fillId="0" borderId="0"/>
    <xf numFmtId="0" fontId="21" fillId="0" borderId="0"/>
    <xf numFmtId="43" fontId="98" fillId="0" borderId="0" applyFont="0" applyFill="0" applyBorder="0" applyAlignment="0" applyProtection="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21" fillId="0" borderId="0"/>
    <xf numFmtId="43" fontId="21" fillId="0" borderId="0" applyFont="0" applyFill="0" applyBorder="0" applyAlignment="0" applyProtection="0"/>
    <xf numFmtId="44" fontId="21" fillId="0" borderId="0" applyFont="0" applyFill="0" applyBorder="0" applyAlignment="0" applyProtection="0"/>
    <xf numFmtId="0" fontId="124" fillId="0" borderId="0"/>
    <xf numFmtId="0" fontId="37" fillId="0" borderId="0">
      <alignment horizontal="left"/>
    </xf>
    <xf numFmtId="40" fontId="37" fillId="0" borderId="0">
      <alignment horizontal="right"/>
    </xf>
    <xf numFmtId="0" fontId="37" fillId="0" borderId="0">
      <protection locked="0"/>
    </xf>
    <xf numFmtId="0" fontId="37" fillId="0" borderId="0">
      <alignment horizontal="left"/>
    </xf>
    <xf numFmtId="176" fontId="123" fillId="0" borderId="0" applyFont="0" applyFill="0" applyBorder="0" applyAlignment="0" applyProtection="0"/>
    <xf numFmtId="183" fontId="123" fillId="0" borderId="0" applyFont="0" applyFill="0" applyBorder="0" applyAlignment="0" applyProtection="0"/>
    <xf numFmtId="0" fontId="125" fillId="31" borderId="0">
      <alignment horizontal="center" vertical="center"/>
    </xf>
    <xf numFmtId="40" fontId="125" fillId="31" borderId="0">
      <alignment horizontal="center" vertical="center"/>
    </xf>
    <xf numFmtId="40" fontId="125" fillId="31" borderId="0">
      <alignment horizontal="center" vertical="center"/>
    </xf>
    <xf numFmtId="40" fontId="125" fillId="31" borderId="0">
      <alignment horizontal="center" vertical="center"/>
    </xf>
    <xf numFmtId="0" fontId="37" fillId="0" borderId="0"/>
    <xf numFmtId="9" fontId="21" fillId="0" borderId="0" applyFont="0" applyFill="0" applyBorder="0" applyAlignment="0" applyProtection="0"/>
    <xf numFmtId="44" fontId="82" fillId="0" borderId="0" applyFont="0" applyFill="0" applyBorder="0" applyAlignment="0" applyProtection="0"/>
    <xf numFmtId="0" fontId="1" fillId="0" borderId="0"/>
    <xf numFmtId="0" fontId="1" fillId="0" borderId="0"/>
    <xf numFmtId="9" fontId="37" fillId="0" borderId="0" applyFont="0" applyFill="0" applyBorder="0" applyAlignment="0" applyProtection="0"/>
    <xf numFmtId="40" fontId="58" fillId="0" borderId="0" applyFont="0" applyFill="0" applyBorder="0" applyAlignment="0" applyProtection="0"/>
    <xf numFmtId="40" fontId="58" fillId="0" borderId="0" applyFont="0" applyFill="0" applyBorder="0" applyAlignment="0" applyProtection="0"/>
    <xf numFmtId="176" fontId="83" fillId="0" borderId="0" applyFont="0" applyFill="0" applyBorder="0" applyAlignment="0" applyProtection="0"/>
    <xf numFmtId="9" fontId="83" fillId="0" borderId="0" applyFont="0" applyFill="0" applyBorder="0" applyAlignment="0" applyProtection="0"/>
    <xf numFmtId="40" fontId="57"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80" fillId="0" borderId="0" applyFont="0" applyFill="0" applyBorder="0" applyAlignment="0" applyProtection="0"/>
    <xf numFmtId="44" fontId="80" fillId="0" borderId="0" applyFont="0" applyFill="0" applyBorder="0" applyAlignment="0" applyProtection="0"/>
    <xf numFmtId="9" fontId="80" fillId="0" borderId="0" applyFont="0" applyFill="0" applyBorder="0" applyAlignment="0" applyProtection="0"/>
    <xf numFmtId="0" fontId="80" fillId="0" borderId="0">
      <alignment vertical="center"/>
    </xf>
    <xf numFmtId="0" fontId="80" fillId="0" borderId="0">
      <alignment vertical="center"/>
    </xf>
    <xf numFmtId="43" fontId="80" fillId="0" borderId="0" applyFont="0" applyFill="0" applyBorder="0" applyAlignment="0" applyProtection="0"/>
    <xf numFmtId="0" fontId="80" fillId="0" borderId="0">
      <alignment vertical="center"/>
    </xf>
    <xf numFmtId="43" fontId="80" fillId="0" borderId="0" applyFont="0" applyFill="0" applyBorder="0" applyAlignment="0" applyProtection="0"/>
    <xf numFmtId="9" fontId="80" fillId="0" borderId="0" applyFont="0" applyFill="0" applyBorder="0" applyAlignment="0" applyProtection="0"/>
    <xf numFmtId="0" fontId="57" fillId="0" borderId="0"/>
    <xf numFmtId="0" fontId="57"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26" fillId="0" borderId="0"/>
    <xf numFmtId="43" fontId="26" fillId="0" borderId="0" applyFont="0" applyFill="0" applyBorder="0" applyAlignment="0" applyProtection="0"/>
    <xf numFmtId="40" fontId="126" fillId="32" borderId="0">
      <alignment horizontal="left"/>
    </xf>
    <xf numFmtId="0" fontId="127" fillId="32" borderId="0">
      <alignment horizontal="left"/>
      <protection locked="0"/>
    </xf>
    <xf numFmtId="40" fontId="126" fillId="32" borderId="0">
      <alignment horizontal="left"/>
    </xf>
    <xf numFmtId="14" fontId="127" fillId="32" borderId="0">
      <alignment horizontal="left"/>
      <protection locked="0"/>
    </xf>
    <xf numFmtId="40" fontId="37" fillId="0" borderId="0"/>
    <xf numFmtId="40" fontId="37" fillId="0" borderId="0"/>
    <xf numFmtId="40" fontId="37" fillId="0" borderId="0"/>
    <xf numFmtId="40" fontId="37" fillId="0" borderId="0">
      <protection locked="0"/>
    </xf>
    <xf numFmtId="40" fontId="37" fillId="0" borderId="0"/>
    <xf numFmtId="40" fontId="125" fillId="31" borderId="0">
      <alignment horizontal="center" vertical="center"/>
    </xf>
    <xf numFmtId="40" fontId="37" fillId="0" borderId="0"/>
    <xf numFmtId="40" fontId="125" fillId="31" borderId="0"/>
    <xf numFmtId="40" fontId="125" fillId="31" borderId="0"/>
    <xf numFmtId="40" fontId="128" fillId="32" borderId="0">
      <alignment horizontal="left"/>
    </xf>
    <xf numFmtId="40" fontId="128" fillId="32" borderId="0">
      <alignment horizontal="left"/>
    </xf>
    <xf numFmtId="40" fontId="54" fillId="0" borderId="0">
      <alignment horizontal="left"/>
    </xf>
    <xf numFmtId="40" fontId="54" fillId="0" borderId="0">
      <alignment horizontal="left"/>
    </xf>
    <xf numFmtId="40" fontId="54" fillId="0" borderId="7">
      <alignment horizontal="right"/>
    </xf>
    <xf numFmtId="0" fontId="54" fillId="0" borderId="0">
      <alignment horizontal="right"/>
      <protection locked="0"/>
    </xf>
    <xf numFmtId="40" fontId="37" fillId="0" borderId="0"/>
    <xf numFmtId="40" fontId="54" fillId="0" borderId="0">
      <alignment horizontal="left"/>
    </xf>
    <xf numFmtId="40" fontId="54" fillId="0" borderId="0">
      <alignment horizontal="left"/>
    </xf>
    <xf numFmtId="40" fontId="54" fillId="0" borderId="34">
      <alignment horizontal="right"/>
    </xf>
    <xf numFmtId="0" fontId="54" fillId="0" borderId="0">
      <alignment horizontal="right"/>
      <protection locked="0"/>
    </xf>
    <xf numFmtId="40" fontId="37" fillId="0" borderId="0"/>
    <xf numFmtId="0" fontId="129" fillId="0" borderId="0">
      <alignment horizontal="left"/>
    </xf>
    <xf numFmtId="0" fontId="129" fillId="0" borderId="0">
      <alignment horizontal="left"/>
    </xf>
    <xf numFmtId="40" fontId="54" fillId="0" borderId="3">
      <alignment horizontal="right"/>
    </xf>
    <xf numFmtId="0" fontId="54" fillId="0" borderId="0">
      <alignment horizontal="right"/>
      <protection locked="0"/>
    </xf>
    <xf numFmtId="40" fontId="37" fillId="0" borderId="0"/>
    <xf numFmtId="0" fontId="129" fillId="0" borderId="0">
      <alignment horizontal="left"/>
    </xf>
    <xf numFmtId="0" fontId="129" fillId="0" borderId="0">
      <alignment horizontal="left"/>
    </xf>
    <xf numFmtId="40" fontId="54" fillId="0" borderId="33">
      <alignment horizontal="right"/>
    </xf>
    <xf numFmtId="0" fontId="54" fillId="0" borderId="0">
      <alignment horizontal="right"/>
      <protection locked="0"/>
    </xf>
    <xf numFmtId="40" fontId="37" fillId="0" borderId="0"/>
    <xf numFmtId="0" fontId="130" fillId="0" borderId="0">
      <alignment horizontal="left"/>
    </xf>
    <xf numFmtId="0" fontId="130" fillId="0" borderId="0">
      <alignment horizontal="left"/>
    </xf>
    <xf numFmtId="40" fontId="54" fillId="0" borderId="33">
      <alignment horizontal="right"/>
    </xf>
    <xf numFmtId="0" fontId="54" fillId="0" borderId="0" applyBorder="0">
      <alignment horizontal="right"/>
      <protection locked="0"/>
    </xf>
    <xf numFmtId="40" fontId="37" fillId="0" borderId="0"/>
    <xf numFmtId="0" fontId="54" fillId="33" borderId="0">
      <alignment horizontal="left"/>
    </xf>
    <xf numFmtId="0" fontId="54" fillId="33" borderId="0">
      <alignment horizontal="left"/>
    </xf>
    <xf numFmtId="40" fontId="54" fillId="0" borderId="0">
      <alignment horizontal="right"/>
    </xf>
    <xf numFmtId="0" fontId="54" fillId="0" borderId="0">
      <alignment horizontal="right"/>
      <protection locked="0"/>
    </xf>
    <xf numFmtId="40" fontId="37" fillId="0" borderId="0"/>
    <xf numFmtId="44" fontId="2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31" fillId="0" borderId="0"/>
    <xf numFmtId="0" fontId="98" fillId="0" borderId="0"/>
    <xf numFmtId="0" fontId="26" fillId="0" borderId="0"/>
    <xf numFmtId="0" fontId="1" fillId="0" borderId="0"/>
    <xf numFmtId="0" fontId="94" fillId="0" borderId="0"/>
    <xf numFmtId="186" fontId="94" fillId="0" borderId="0"/>
    <xf numFmtId="185" fontId="94" fillId="0" borderId="0"/>
    <xf numFmtId="184" fontId="94" fillId="0" borderId="0"/>
    <xf numFmtId="0" fontId="132" fillId="0" borderId="0"/>
    <xf numFmtId="0" fontId="118" fillId="0" borderId="0"/>
    <xf numFmtId="0" fontId="133" fillId="0" borderId="0"/>
    <xf numFmtId="0" fontId="134" fillId="0" borderId="0"/>
    <xf numFmtId="0" fontId="94" fillId="0" borderId="0"/>
    <xf numFmtId="186" fontId="94" fillId="0" borderId="0"/>
    <xf numFmtId="185" fontId="94" fillId="0" borderId="0"/>
    <xf numFmtId="184" fontId="94" fillId="0" borderId="0"/>
    <xf numFmtId="0" fontId="132" fillId="0" borderId="0"/>
    <xf numFmtId="0" fontId="118" fillId="0" borderId="0"/>
    <xf numFmtId="0" fontId="134" fillId="0" borderId="0"/>
    <xf numFmtId="0" fontId="134" fillId="0" borderId="0"/>
    <xf numFmtId="0" fontId="26" fillId="0" borderId="0"/>
    <xf numFmtId="0" fontId="1" fillId="0" borderId="0"/>
    <xf numFmtId="0" fontId="57" fillId="0" borderId="0"/>
    <xf numFmtId="0" fontId="1" fillId="0" borderId="0"/>
    <xf numFmtId="0" fontId="94" fillId="0" borderId="0"/>
    <xf numFmtId="0" fontId="94"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7" fillId="0" borderId="0"/>
    <xf numFmtId="0" fontId="37" fillId="0" borderId="0"/>
    <xf numFmtId="0" fontId="80" fillId="0" borderId="0">
      <alignment vertical="center"/>
    </xf>
    <xf numFmtId="44" fontId="80" fillId="0" borderId="0" applyFont="0" applyFill="0" applyBorder="0" applyAlignment="0" applyProtection="0"/>
    <xf numFmtId="9" fontId="80" fillId="0" borderId="0" applyFont="0" applyFill="0" applyBorder="0" applyAlignment="0" applyProtection="0"/>
    <xf numFmtId="0" fontId="80" fillId="0" borderId="0">
      <alignment vertical="center"/>
    </xf>
    <xf numFmtId="44" fontId="57" fillId="0" borderId="0" applyFont="0" applyFill="0" applyBorder="0" applyAlignment="0" applyProtection="0"/>
    <xf numFmtId="9" fontId="37" fillId="0" borderId="0" applyFont="0" applyFill="0" applyBorder="0" applyAlignment="0" applyProtection="0"/>
    <xf numFmtId="0" fontId="80" fillId="0" borderId="0">
      <alignment vertical="center"/>
    </xf>
    <xf numFmtId="9" fontId="57" fillId="0" borderId="0" applyFont="0" applyFill="0" applyBorder="0" applyAlignment="0" applyProtection="0"/>
    <xf numFmtId="9"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80" fillId="0" borderId="0" applyFont="0" applyFill="0" applyBorder="0" applyAlignment="0" applyProtection="0"/>
    <xf numFmtId="43" fontId="57" fillId="0" borderId="0" applyFont="0" applyFill="0" applyBorder="0" applyAlignment="0" applyProtection="0"/>
    <xf numFmtId="0" fontId="80" fillId="0" borderId="0">
      <alignment vertical="center"/>
    </xf>
    <xf numFmtId="40" fontId="58"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7" fillId="0" borderId="0"/>
    <xf numFmtId="43" fontId="80" fillId="0" borderId="0" applyFont="0" applyFill="0" applyBorder="0" applyAlignment="0" applyProtection="0"/>
    <xf numFmtId="9" fontId="80"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7" fillId="0" borderId="0"/>
    <xf numFmtId="43" fontId="37" fillId="0" borderId="0" applyFont="0" applyFill="0" applyBorder="0" applyAlignment="0" applyProtection="0"/>
    <xf numFmtId="43" fontId="82" fillId="0" borderId="0" applyFont="0" applyFill="0" applyBorder="0" applyAlignment="0" applyProtection="0"/>
    <xf numFmtId="0" fontId="57" fillId="0" borderId="0"/>
    <xf numFmtId="0" fontId="1" fillId="0" borderId="0"/>
    <xf numFmtId="44" fontId="21" fillId="0" borderId="0" applyFont="0" applyFill="0" applyBorder="0" applyAlignment="0" applyProtection="0"/>
    <xf numFmtId="44" fontId="37" fillId="0" borderId="0" applyFont="0" applyFill="0" applyBorder="0" applyAlignment="0" applyProtection="0"/>
    <xf numFmtId="0" fontId="37" fillId="0" borderId="0"/>
    <xf numFmtId="0" fontId="21" fillId="0" borderId="0"/>
    <xf numFmtId="0" fontId="21" fillId="0" borderId="0"/>
    <xf numFmtId="0" fontId="82" fillId="0" borderId="0">
      <alignment vertical="top"/>
    </xf>
    <xf numFmtId="0" fontId="21" fillId="0" borderId="0"/>
    <xf numFmtId="0" fontId="2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57"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1" fillId="0" borderId="0"/>
    <xf numFmtId="0" fontId="1" fillId="0" borderId="0"/>
    <xf numFmtId="43" fontId="2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30">
    <xf numFmtId="0" fontId="0" fillId="0" borderId="0" xfId="0"/>
    <xf numFmtId="0" fontId="3" fillId="0" borderId="0" xfId="0" applyFont="1"/>
    <xf numFmtId="0" fontId="5" fillId="0" borderId="0" xfId="0" applyFont="1"/>
    <xf numFmtId="0" fontId="6" fillId="0" borderId="0" xfId="0" applyFont="1"/>
    <xf numFmtId="0" fontId="0" fillId="0" borderId="0" xfId="0" applyAlignment="1">
      <alignment wrapText="1"/>
    </xf>
    <xf numFmtId="0" fontId="8" fillId="0" borderId="0" xfId="0" applyFont="1"/>
    <xf numFmtId="0" fontId="3" fillId="0" borderId="0" xfId="0" applyFont="1" applyAlignment="1">
      <alignment horizontal="center" wrapText="1"/>
    </xf>
    <xf numFmtId="0" fontId="8" fillId="0" borderId="0" xfId="0" applyFont="1" applyAlignment="1">
      <alignment wrapText="1"/>
    </xf>
    <xf numFmtId="165" fontId="0" fillId="2" borderId="1" xfId="1" applyNumberFormat="1" applyFont="1" applyFill="1" applyBorder="1"/>
    <xf numFmtId="165" fontId="3" fillId="2" borderId="1" xfId="1" applyNumberFormat="1" applyFont="1" applyFill="1" applyBorder="1"/>
    <xf numFmtId="0" fontId="3" fillId="3" borderId="1" xfId="0" applyFont="1" applyFill="1" applyBorder="1" applyAlignment="1">
      <alignment horizontal="center" wrapText="1"/>
    </xf>
    <xf numFmtId="43" fontId="0" fillId="0" borderId="0" xfId="1" applyFont="1"/>
    <xf numFmtId="43" fontId="8" fillId="0" borderId="0" xfId="1" applyFont="1" applyAlignment="1"/>
    <xf numFmtId="165" fontId="0" fillId="0" borderId="0" xfId="1" applyNumberFormat="1" applyFont="1"/>
    <xf numFmtId="165" fontId="8" fillId="0" borderId="0" xfId="1" applyNumberFormat="1" applyFont="1" applyAlignment="1"/>
    <xf numFmtId="165" fontId="3" fillId="3" borderId="2" xfId="1" applyNumberFormat="1" applyFont="1" applyFill="1" applyBorder="1" applyAlignment="1">
      <alignment horizontal="center" wrapText="1"/>
    </xf>
    <xf numFmtId="43" fontId="3" fillId="3" borderId="2" xfId="1" applyFont="1" applyFill="1" applyBorder="1" applyAlignment="1">
      <alignment horizontal="center" wrapText="1"/>
    </xf>
    <xf numFmtId="44" fontId="3" fillId="2" borderId="1" xfId="2" applyFont="1" applyFill="1" applyBorder="1"/>
    <xf numFmtId="166" fontId="3" fillId="2" borderId="1" xfId="2" applyNumberFormat="1" applyFont="1" applyFill="1" applyBorder="1"/>
    <xf numFmtId="0" fontId="0" fillId="0" borderId="1" xfId="0" applyBorder="1" applyAlignment="1">
      <alignment horizontal="center" vertical="center"/>
    </xf>
    <xf numFmtId="0" fontId="0" fillId="0" borderId="1" xfId="0" applyBorder="1" applyAlignment="1">
      <alignment vertical="center" wrapText="1"/>
    </xf>
    <xf numFmtId="44" fontId="0" fillId="2" borderId="1" xfId="2" applyFont="1" applyFill="1" applyBorder="1" applyAlignment="1">
      <alignment vertical="center"/>
    </xf>
    <xf numFmtId="0" fontId="0" fillId="0" borderId="0" xfId="0" applyAlignment="1">
      <alignment vertical="center"/>
    </xf>
    <xf numFmtId="0" fontId="0" fillId="3" borderId="1" xfId="0" applyFill="1" applyBorder="1" applyAlignment="1">
      <alignment horizontal="center"/>
    </xf>
    <xf numFmtId="0" fontId="0" fillId="0" borderId="1" xfId="0" applyBorder="1" applyAlignment="1">
      <alignment horizontal="center"/>
    </xf>
    <xf numFmtId="44" fontId="3" fillId="0" borderId="0" xfId="2" applyFont="1" applyFill="1" applyBorder="1"/>
    <xf numFmtId="166" fontId="0" fillId="0" borderId="1" xfId="2" applyNumberFormat="1" applyFont="1" applyFill="1" applyBorder="1"/>
    <xf numFmtId="165" fontId="3" fillId="2" borderId="1" xfId="0" applyNumberFormat="1" applyFont="1" applyFill="1" applyBorder="1"/>
    <xf numFmtId="9" fontId="0" fillId="0" borderId="0" xfId="3" applyFont="1"/>
    <xf numFmtId="9" fontId="3" fillId="2" borderId="1" xfId="3" applyFont="1" applyFill="1" applyBorder="1"/>
    <xf numFmtId="166" fontId="3" fillId="2" borderId="1" xfId="0" applyNumberFormat="1" applyFont="1" applyFill="1" applyBorder="1"/>
    <xf numFmtId="165" fontId="0" fillId="0" borderId="1" xfId="1" applyNumberFormat="1" applyFont="1" applyFill="1" applyBorder="1"/>
    <xf numFmtId="165" fontId="0" fillId="4" borderId="1" xfId="1" applyNumberFormat="1" applyFont="1" applyFill="1" applyBorder="1" applyAlignment="1">
      <alignment vertical="center"/>
    </xf>
    <xf numFmtId="0" fontId="10" fillId="0" borderId="0" xfId="0" applyFont="1" applyAlignment="1">
      <alignment vertical="center"/>
    </xf>
    <xf numFmtId="0" fontId="0" fillId="0" borderId="0" xfId="0" applyAlignment="1">
      <alignment vertical="top"/>
    </xf>
    <xf numFmtId="164" fontId="0" fillId="0" borderId="0" xfId="0" applyNumberFormat="1" applyAlignment="1">
      <alignment horizontal="left"/>
    </xf>
    <xf numFmtId="0" fontId="2" fillId="0" borderId="0" xfId="0" applyFont="1" applyAlignment="1">
      <alignment vertical="top"/>
    </xf>
    <xf numFmtId="0" fontId="3" fillId="0" borderId="0" xfId="0" applyFont="1" applyAlignment="1">
      <alignment horizontal="right"/>
    </xf>
    <xf numFmtId="0" fontId="12" fillId="0" borderId="0" xfId="0" applyFont="1" applyAlignment="1">
      <alignment horizontal="right" vertical="top"/>
    </xf>
    <xf numFmtId="166" fontId="1" fillId="2" borderId="1" xfId="2" applyNumberFormat="1" applyFont="1" applyFill="1" applyBorder="1"/>
    <xf numFmtId="0" fontId="9" fillId="0" borderId="0" xfId="0" applyFont="1"/>
    <xf numFmtId="0" fontId="14" fillId="0" borderId="0" xfId="0" applyFont="1"/>
    <xf numFmtId="164" fontId="3" fillId="0" borderId="0" xfId="0" applyNumberFormat="1" applyFont="1" applyAlignment="1">
      <alignment horizontal="right"/>
    </xf>
    <xf numFmtId="44" fontId="4" fillId="2" borderId="1" xfId="2" applyFont="1" applyFill="1" applyBorder="1"/>
    <xf numFmtId="164" fontId="4" fillId="0" borderId="0" xfId="0" applyNumberFormat="1" applyFont="1" applyAlignment="1">
      <alignment horizontal="right"/>
    </xf>
    <xf numFmtId="166" fontId="0" fillId="0" borderId="0" xfId="2" applyNumberFormat="1" applyFont="1" applyFill="1" applyBorder="1"/>
    <xf numFmtId="164" fontId="0" fillId="0" borderId="0" xfId="0" applyNumberFormat="1" applyAlignment="1">
      <alignment horizontal="right"/>
    </xf>
    <xf numFmtId="43" fontId="0" fillId="2" borderId="1" xfId="1" applyFont="1" applyFill="1" applyBorder="1" applyAlignment="1">
      <alignment vertical="center"/>
    </xf>
    <xf numFmtId="0" fontId="2" fillId="0" borderId="0" xfId="0" applyFont="1"/>
    <xf numFmtId="0" fontId="2" fillId="0" borderId="0" xfId="0" applyFont="1" applyAlignment="1">
      <alignment wrapText="1"/>
    </xf>
    <xf numFmtId="165" fontId="2" fillId="0" borderId="0" xfId="1" applyNumberFormat="1" applyFont="1"/>
    <xf numFmtId="0" fontId="16" fillId="0" borderId="0" xfId="0" applyFont="1" applyAlignment="1">
      <alignment wrapText="1"/>
    </xf>
    <xf numFmtId="165" fontId="16" fillId="0" borderId="0" xfId="1" applyNumberFormat="1" applyFont="1" applyAlignment="1"/>
    <xf numFmtId="0" fontId="2" fillId="0" borderId="0" xfId="0" applyFont="1" applyAlignment="1">
      <alignment horizontal="left"/>
    </xf>
    <xf numFmtId="0" fontId="2" fillId="0" borderId="0" xfId="0" quotePrefix="1" applyFont="1"/>
    <xf numFmtId="0" fontId="2" fillId="0" borderId="0" xfId="0" quotePrefix="1" applyFont="1" applyAlignment="1">
      <alignment horizontal="left"/>
    </xf>
    <xf numFmtId="164" fontId="0" fillId="0" borderId="0" xfId="0" applyNumberFormat="1"/>
    <xf numFmtId="0" fontId="17" fillId="0" borderId="0" xfId="0" applyFont="1"/>
    <xf numFmtId="166" fontId="17" fillId="0" borderId="3" xfId="0" applyNumberFormat="1" applyFont="1" applyBorder="1"/>
    <xf numFmtId="166" fontId="17" fillId="0" borderId="0" xfId="0" applyNumberFormat="1" applyFont="1"/>
    <xf numFmtId="164" fontId="2" fillId="0" borderId="0" xfId="0" applyNumberFormat="1" applyFont="1" applyAlignment="1">
      <alignment horizontal="left"/>
    </xf>
    <xf numFmtId="0" fontId="18" fillId="0" borderId="0" xfId="0" applyFont="1"/>
    <xf numFmtId="0" fontId="13" fillId="0" borderId="0" xfId="0" applyFont="1" applyAlignment="1">
      <alignment horizontal="left" vertical="top" wrapText="1"/>
    </xf>
    <xf numFmtId="0" fontId="19" fillId="0" borderId="0" xfId="0" applyFont="1" applyAlignment="1">
      <alignment vertical="center"/>
    </xf>
    <xf numFmtId="0" fontId="22" fillId="0" borderId="0" xfId="0" applyFont="1"/>
    <xf numFmtId="0" fontId="21" fillId="0" borderId="0" xfId="0" applyFont="1"/>
    <xf numFmtId="0" fontId="22" fillId="0" borderId="0" xfId="0" applyFont="1" applyAlignment="1">
      <alignment wrapText="1"/>
    </xf>
    <xf numFmtId="0" fontId="21" fillId="0" borderId="0" xfId="0" applyFont="1" applyAlignment="1">
      <alignment wrapText="1"/>
    </xf>
    <xf numFmtId="166" fontId="0" fillId="2" borderId="1" xfId="2" applyNumberFormat="1" applyFont="1" applyFill="1" applyBorder="1"/>
    <xf numFmtId="0" fontId="0" fillId="0" borderId="0" xfId="0" applyAlignment="1">
      <alignment horizontal="center"/>
    </xf>
    <xf numFmtId="0" fontId="15" fillId="0" borderId="0" xfId="0" applyFont="1"/>
    <xf numFmtId="0" fontId="3" fillId="0" borderId="0" xfId="0" applyFont="1" applyAlignment="1">
      <alignment horizontal="left"/>
    </xf>
    <xf numFmtId="0" fontId="19" fillId="0" borderId="0" xfId="0" applyFont="1"/>
    <xf numFmtId="0" fontId="20" fillId="0" borderId="0" xfId="0" applyFont="1"/>
    <xf numFmtId="0" fontId="23" fillId="0" borderId="0" xfId="0" applyFont="1"/>
    <xf numFmtId="166" fontId="20" fillId="2" borderId="10" xfId="2" applyNumberFormat="1" applyFont="1" applyFill="1" applyBorder="1"/>
    <xf numFmtId="0" fontId="17" fillId="0" borderId="0" xfId="0" applyFont="1" applyAlignment="1">
      <alignment horizontal="right"/>
    </xf>
    <xf numFmtId="0" fontId="3" fillId="0" borderId="1" xfId="0" applyFont="1" applyBorder="1" applyAlignment="1">
      <alignment horizontal="center"/>
    </xf>
    <xf numFmtId="0" fontId="3" fillId="0" borderId="0" xfId="0" applyFont="1" applyAlignment="1">
      <alignment horizontal="center"/>
    </xf>
    <xf numFmtId="0" fontId="11" fillId="0" borderId="0" xfId="0" applyFont="1" applyAlignment="1">
      <alignment vertical="top"/>
    </xf>
    <xf numFmtId="0" fontId="24" fillId="0" borderId="0" xfId="0" applyFont="1" applyAlignment="1">
      <alignment vertical="top"/>
    </xf>
    <xf numFmtId="165" fontId="3" fillId="0" borderId="0" xfId="1" applyNumberFormat="1" applyFont="1" applyFill="1" applyBorder="1" applyAlignment="1">
      <alignment horizontal="center" wrapText="1"/>
    </xf>
    <xf numFmtId="0" fontId="0" fillId="0" borderId="3" xfId="0" applyBorder="1"/>
    <xf numFmtId="0" fontId="25" fillId="0" borderId="0" xfId="0" quotePrefix="1" applyFont="1" applyAlignment="1">
      <alignment vertical="top"/>
    </xf>
    <xf numFmtId="0" fontId="0" fillId="0" borderId="1" xfId="0" applyBorder="1" applyAlignment="1">
      <alignment horizontal="center" vertical="top"/>
    </xf>
    <xf numFmtId="44" fontId="3" fillId="2" borderId="1" xfId="2" applyFont="1" applyFill="1" applyBorder="1" applyAlignment="1">
      <alignment vertical="top"/>
    </xf>
    <xf numFmtId="166" fontId="0" fillId="2" borderId="1" xfId="0" applyNumberFormat="1" applyFill="1" applyBorder="1" applyAlignment="1">
      <alignment vertical="top"/>
    </xf>
    <xf numFmtId="165" fontId="0" fillId="6" borderId="9" xfId="1" applyNumberFormat="1" applyFont="1" applyFill="1" applyBorder="1" applyAlignment="1">
      <alignment vertical="center"/>
    </xf>
    <xf numFmtId="165" fontId="0" fillId="6" borderId="0" xfId="1" applyNumberFormat="1" applyFont="1" applyFill="1" applyBorder="1" applyAlignment="1">
      <alignment vertical="center"/>
    </xf>
    <xf numFmtId="165" fontId="0" fillId="6" borderId="13" xfId="1" applyNumberFormat="1" applyFont="1" applyFill="1" applyBorder="1" applyAlignment="1">
      <alignment vertical="center"/>
    </xf>
    <xf numFmtId="165" fontId="0" fillId="6" borderId="15" xfId="1" applyNumberFormat="1" applyFont="1" applyFill="1" applyBorder="1" applyAlignment="1">
      <alignment vertical="center"/>
    </xf>
    <xf numFmtId="167" fontId="0" fillId="2" borderId="2" xfId="3" applyNumberFormat="1" applyFont="1" applyFill="1" applyBorder="1" applyAlignment="1">
      <alignment horizontal="center" vertical="top"/>
    </xf>
    <xf numFmtId="0" fontId="12" fillId="0" borderId="0" xfId="0" applyFont="1" applyAlignment="1">
      <alignment horizontal="left"/>
    </xf>
    <xf numFmtId="0" fontId="26" fillId="0" borderId="1" xfId="0" applyFont="1" applyBorder="1" applyAlignment="1">
      <alignment horizontal="center" vertical="top" wrapText="1"/>
    </xf>
    <xf numFmtId="0" fontId="26" fillId="0" borderId="1" xfId="0" applyFont="1" applyBorder="1" applyAlignment="1">
      <alignment horizontal="center" wrapText="1"/>
    </xf>
    <xf numFmtId="0" fontId="26" fillId="0" borderId="18" xfId="0" applyFont="1" applyBorder="1" applyAlignment="1">
      <alignment horizontal="center" wrapText="1"/>
    </xf>
    <xf numFmtId="0" fontId="26" fillId="0" borderId="19" xfId="0" applyFont="1" applyBorder="1" applyAlignment="1">
      <alignment horizontal="center"/>
    </xf>
    <xf numFmtId="0" fontId="27" fillId="0" borderId="0" xfId="0" applyFont="1" applyAlignment="1">
      <alignment horizontal="center" wrapText="1"/>
    </xf>
    <xf numFmtId="165" fontId="26" fillId="4" borderId="1" xfId="1" applyNumberFormat="1" applyFont="1" applyFill="1" applyBorder="1" applyAlignment="1">
      <alignment vertical="center"/>
    </xf>
    <xf numFmtId="0" fontId="26" fillId="0" borderId="0" xfId="0" applyFont="1"/>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14" xfId="0" applyBorder="1" applyAlignment="1">
      <alignment horizontal="center" vertical="top"/>
    </xf>
    <xf numFmtId="0" fontId="0" fillId="0" borderId="16" xfId="0" applyBorder="1" applyAlignment="1">
      <alignment horizontal="center" vertical="top"/>
    </xf>
    <xf numFmtId="165" fontId="3" fillId="2" borderId="2" xfId="0" applyNumberFormat="1" applyFont="1" applyFill="1" applyBorder="1"/>
    <xf numFmtId="165" fontId="3" fillId="2" borderId="8" xfId="0" applyNumberFormat="1" applyFont="1" applyFill="1" applyBorder="1"/>
    <xf numFmtId="165" fontId="3" fillId="2" borderId="18" xfId="0" applyNumberFormat="1" applyFont="1" applyFill="1" applyBorder="1"/>
    <xf numFmtId="165" fontId="0" fillId="6" borderId="11" xfId="1" applyNumberFormat="1" applyFont="1" applyFill="1" applyBorder="1" applyAlignment="1">
      <alignment vertical="center"/>
    </xf>
    <xf numFmtId="165" fontId="0" fillId="6" borderId="3" xfId="1" applyNumberFormat="1" applyFont="1" applyFill="1" applyBorder="1" applyAlignment="1">
      <alignment vertical="center"/>
    </xf>
    <xf numFmtId="0" fontId="26" fillId="0" borderId="0" xfId="0" applyFont="1" applyAlignment="1">
      <alignment horizontal="center" vertical="top" wrapText="1"/>
    </xf>
    <xf numFmtId="0" fontId="26" fillId="0" borderId="0" xfId="0" applyFont="1" applyAlignment="1">
      <alignment horizontal="center" wrapText="1"/>
    </xf>
    <xf numFmtId="0" fontId="26" fillId="0" borderId="0" xfId="0" applyFont="1" applyAlignment="1">
      <alignment horizontal="center"/>
    </xf>
    <xf numFmtId="165" fontId="0" fillId="5" borderId="1" xfId="1" applyNumberFormat="1" applyFont="1" applyFill="1" applyBorder="1" applyAlignment="1" applyProtection="1">
      <alignment vertical="center"/>
      <protection locked="0"/>
    </xf>
    <xf numFmtId="166" fontId="0" fillId="5" borderId="1" xfId="2" applyNumberFormat="1" applyFont="1" applyFill="1" applyBorder="1" applyProtection="1">
      <protection locked="0"/>
    </xf>
    <xf numFmtId="0" fontId="0" fillId="5" borderId="1" xfId="0"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43" fontId="0" fillId="5" borderId="1" xfId="1" applyFont="1" applyFill="1" applyBorder="1" applyProtection="1">
      <protection locked="0"/>
    </xf>
    <xf numFmtId="166" fontId="0" fillId="5" borderId="1" xfId="2" applyNumberFormat="1" applyFont="1" applyFill="1" applyBorder="1" applyAlignment="1" applyProtection="1">
      <alignment vertical="top"/>
      <protection locked="0"/>
    </xf>
    <xf numFmtId="0" fontId="2" fillId="0" borderId="0" xfId="0" applyFont="1" applyAlignment="1">
      <alignment horizontal="left" vertical="top" wrapText="1"/>
    </xf>
    <xf numFmtId="0" fontId="9" fillId="0" borderId="0" xfId="0" applyFont="1" applyAlignment="1">
      <alignment vertical="center"/>
    </xf>
    <xf numFmtId="0" fontId="9" fillId="0" borderId="0" xfId="0" applyFont="1" applyAlignment="1">
      <alignment horizontal="center" wrapText="1"/>
    </xf>
    <xf numFmtId="0" fontId="28" fillId="0" borderId="0" xfId="0" applyFont="1"/>
    <xf numFmtId="0" fontId="13" fillId="0" borderId="0" xfId="0" applyFont="1" applyAlignment="1">
      <alignment vertical="top" wrapText="1"/>
    </xf>
    <xf numFmtId="0" fontId="0" fillId="0" borderId="9" xfId="0" applyBorder="1" applyAlignment="1">
      <alignment horizontal="center" vertical="top"/>
    </xf>
    <xf numFmtId="0" fontId="0" fillId="0" borderId="0" xfId="0" applyAlignment="1">
      <alignment horizontal="center" vertical="top"/>
    </xf>
    <xf numFmtId="168" fontId="0" fillId="0" borderId="9" xfId="0" applyNumberFormat="1" applyBorder="1" applyAlignment="1">
      <alignment horizontal="center" vertical="top"/>
    </xf>
    <xf numFmtId="168" fontId="0" fillId="0" borderId="0" xfId="0" applyNumberFormat="1" applyAlignment="1">
      <alignment horizontal="center" vertical="top"/>
    </xf>
    <xf numFmtId="168" fontId="0" fillId="0" borderId="0" xfId="1" applyNumberFormat="1" applyFont="1" applyAlignment="1">
      <alignment horizontal="center"/>
    </xf>
    <xf numFmtId="168" fontId="0" fillId="0" borderId="0" xfId="0" applyNumberFormat="1" applyAlignment="1">
      <alignment horizontal="center"/>
    </xf>
    <xf numFmtId="37" fontId="0" fillId="2" borderId="2" xfId="1" applyNumberFormat="1" applyFont="1" applyFill="1" applyBorder="1" applyAlignment="1" applyProtection="1">
      <alignment horizontal="center" vertical="top"/>
      <protection locked="0"/>
    </xf>
    <xf numFmtId="0" fontId="2" fillId="0" borderId="0" xfId="0" applyFont="1" applyAlignment="1">
      <alignment vertical="center"/>
    </xf>
    <xf numFmtId="0" fontId="29" fillId="0" borderId="0" xfId="0" applyFont="1" applyAlignment="1">
      <alignment vertical="center"/>
    </xf>
    <xf numFmtId="0" fontId="30" fillId="0" borderId="0" xfId="0" applyFont="1"/>
    <xf numFmtId="0" fontId="20" fillId="0" borderId="0" xfId="0" applyFont="1" applyAlignment="1">
      <alignment horizontal="left"/>
    </xf>
    <xf numFmtId="165" fontId="9" fillId="0" borderId="0" xfId="1" applyNumberFormat="1" applyFont="1"/>
    <xf numFmtId="168" fontId="2" fillId="0" borderId="14" xfId="0" applyNumberFormat="1" applyFont="1" applyBorder="1" applyAlignment="1">
      <alignment horizontal="center"/>
    </xf>
    <xf numFmtId="168" fontId="2" fillId="0" borderId="16" xfId="0" applyNumberFormat="1" applyFont="1" applyBorder="1" applyAlignment="1">
      <alignment horizontal="center"/>
    </xf>
    <xf numFmtId="168" fontId="2" fillId="0" borderId="12" xfId="0" applyNumberFormat="1" applyFont="1" applyBorder="1" applyAlignment="1">
      <alignment horizontal="center"/>
    </xf>
    <xf numFmtId="43" fontId="26" fillId="2" borderId="1" xfId="1" applyFont="1" applyFill="1" applyBorder="1" applyAlignment="1">
      <alignment vertical="center"/>
    </xf>
    <xf numFmtId="44" fontId="26" fillId="2" borderId="1" xfId="2" applyFont="1" applyFill="1" applyBorder="1" applyAlignment="1">
      <alignment vertical="center"/>
    </xf>
    <xf numFmtId="165" fontId="26" fillId="5" borderId="1" xfId="1" applyNumberFormat="1" applyFont="1" applyFill="1" applyBorder="1" applyAlignment="1" applyProtection="1">
      <alignment vertical="center"/>
      <protection locked="0"/>
    </xf>
    <xf numFmtId="0" fontId="27" fillId="3" borderId="1" xfId="0" applyFont="1" applyFill="1" applyBorder="1" applyAlignment="1">
      <alignment horizontal="center" wrapText="1"/>
    </xf>
    <xf numFmtId="0" fontId="27" fillId="0" borderId="7" xfId="0" applyFont="1" applyBorder="1" applyAlignment="1">
      <alignment horizontal="left"/>
    </xf>
    <xf numFmtId="0" fontId="27" fillId="0" borderId="7" xfId="0" applyFont="1" applyBorder="1" applyAlignment="1">
      <alignment horizontal="center"/>
    </xf>
    <xf numFmtId="0" fontId="27" fillId="0" borderId="7" xfId="0" applyFont="1" applyBorder="1" applyAlignment="1">
      <alignment horizontal="center" wrapText="1"/>
    </xf>
    <xf numFmtId="0" fontId="26" fillId="0" borderId="1" xfId="0" applyFont="1" applyBorder="1" applyAlignment="1">
      <alignment horizontal="center" vertical="center"/>
    </xf>
    <xf numFmtId="43" fontId="26" fillId="5" borderId="1" xfId="1" applyFont="1" applyFill="1" applyBorder="1" applyAlignment="1" applyProtection="1">
      <alignment vertical="center"/>
      <protection locked="0"/>
    </xf>
    <xf numFmtId="166" fontId="26" fillId="5" borderId="1" xfId="2" applyNumberFormat="1" applyFont="1" applyFill="1" applyBorder="1" applyAlignment="1" applyProtection="1">
      <alignment vertical="center"/>
      <protection locked="0"/>
    </xf>
    <xf numFmtId="166" fontId="26" fillId="2" borderId="1" xfId="2" applyNumberFormat="1" applyFont="1" applyFill="1" applyBorder="1" applyAlignment="1">
      <alignment vertical="center"/>
    </xf>
    <xf numFmtId="43" fontId="27" fillId="2" borderId="1" xfId="1" applyFont="1" applyFill="1" applyBorder="1" applyAlignment="1">
      <alignment vertical="center"/>
    </xf>
    <xf numFmtId="166" fontId="27" fillId="2" borderId="1" xfId="2" applyNumberFormat="1" applyFont="1" applyFill="1" applyBorder="1" applyAlignment="1">
      <alignment vertical="center"/>
    </xf>
    <xf numFmtId="0" fontId="26" fillId="0" borderId="7" xfId="0" applyFont="1" applyBorder="1" applyAlignment="1">
      <alignment horizontal="center" vertical="center"/>
    </xf>
    <xf numFmtId="0" fontId="27" fillId="0" borderId="7" xfId="0" applyFont="1" applyBorder="1" applyAlignment="1">
      <alignment horizontal="left" vertical="center"/>
    </xf>
    <xf numFmtId="43" fontId="27" fillId="0" borderId="7" xfId="1" applyFont="1" applyFill="1" applyBorder="1" applyAlignment="1">
      <alignment vertical="center"/>
    </xf>
    <xf numFmtId="166" fontId="27" fillId="0" borderId="7" xfId="2" applyNumberFormat="1" applyFont="1" applyFill="1" applyBorder="1" applyAlignment="1">
      <alignment vertical="center"/>
    </xf>
    <xf numFmtId="166" fontId="26" fillId="0" borderId="1" xfId="2" applyNumberFormat="1" applyFont="1" applyFill="1" applyBorder="1" applyAlignment="1">
      <alignment vertical="center"/>
    </xf>
    <xf numFmtId="0" fontId="27" fillId="0" borderId="1" xfId="0" applyFont="1" applyBorder="1" applyAlignment="1">
      <alignment horizontal="center"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0" fontId="33" fillId="0" borderId="1" xfId="0" applyFont="1" applyBorder="1" applyAlignment="1">
      <alignment horizontal="center" vertical="center"/>
    </xf>
    <xf numFmtId="166" fontId="34" fillId="2" borderId="1" xfId="2"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center" vertical="center"/>
    </xf>
    <xf numFmtId="10" fontId="26" fillId="2" borderId="1" xfId="3" applyNumberFormat="1" applyFont="1" applyFill="1" applyBorder="1" applyAlignment="1">
      <alignment horizontal="center"/>
    </xf>
    <xf numFmtId="0" fontId="26" fillId="0" borderId="6" xfId="0" applyFont="1" applyBorder="1" applyAlignment="1">
      <alignment horizontal="left" vertical="center"/>
    </xf>
    <xf numFmtId="0" fontId="31" fillId="0" borderId="0" xfId="0" applyFont="1" applyAlignment="1">
      <alignment horizontal="left" vertical="top" wrapText="1"/>
    </xf>
    <xf numFmtId="0" fontId="26" fillId="3" borderId="1" xfId="0" applyFont="1" applyFill="1" applyBorder="1" applyAlignment="1">
      <alignment horizontal="center"/>
    </xf>
    <xf numFmtId="0" fontId="26" fillId="0" borderId="0" xfId="0" applyFont="1" applyAlignment="1">
      <alignment wrapText="1"/>
    </xf>
    <xf numFmtId="0" fontId="26" fillId="0" borderId="6" xfId="0" applyFont="1" applyBorder="1" applyAlignment="1">
      <alignment horizontal="center"/>
    </xf>
    <xf numFmtId="0" fontId="26" fillId="5" borderId="1" xfId="0" applyFont="1" applyFill="1" applyBorder="1" applyAlignment="1" applyProtection="1">
      <alignment horizontal="center"/>
      <protection locked="0"/>
    </xf>
    <xf numFmtId="39" fontId="26" fillId="5" borderId="1" xfId="1" applyNumberFormat="1" applyFont="1" applyFill="1" applyBorder="1" applyAlignment="1" applyProtection="1">
      <alignment horizontal="center"/>
      <protection locked="0"/>
    </xf>
    <xf numFmtId="166" fontId="26" fillId="5" borderId="1" xfId="2" applyNumberFormat="1" applyFont="1" applyFill="1" applyBorder="1" applyProtection="1">
      <protection locked="0"/>
    </xf>
    <xf numFmtId="166" fontId="26" fillId="2" borderId="1" xfId="2" applyNumberFormat="1" applyFont="1" applyFill="1" applyBorder="1"/>
    <xf numFmtId="0" fontId="26" fillId="0" borderId="1" xfId="0" applyFont="1" applyBorder="1" applyAlignment="1">
      <alignment horizontal="center"/>
    </xf>
    <xf numFmtId="166" fontId="27" fillId="2" borderId="8" xfId="2" applyNumberFormat="1" applyFont="1" applyFill="1" applyBorder="1"/>
    <xf numFmtId="0" fontId="27" fillId="0" borderId="0" xfId="0" applyFont="1" applyAlignment="1">
      <alignment horizontal="right"/>
    </xf>
    <xf numFmtId="166" fontId="27" fillId="2" borderId="1" xfId="2" applyNumberFormat="1" applyFont="1" applyFill="1" applyBorder="1"/>
    <xf numFmtId="0" fontId="35" fillId="0" borderId="0" xfId="0" applyFont="1" applyAlignment="1">
      <alignment horizontal="right" vertical="top"/>
    </xf>
    <xf numFmtId="0" fontId="36" fillId="0" borderId="0" xfId="0" applyFont="1" applyAlignment="1">
      <alignment vertical="top"/>
    </xf>
    <xf numFmtId="0" fontId="36" fillId="0" borderId="0" xfId="0" applyFont="1" applyAlignment="1">
      <alignment horizontal="right" vertical="top"/>
    </xf>
    <xf numFmtId="0" fontId="31" fillId="0" borderId="0" xfId="0" applyFont="1" applyAlignment="1">
      <alignment horizontal="left" wrapText="1"/>
    </xf>
    <xf numFmtId="0" fontId="37" fillId="0" borderId="0" xfId="0" applyFont="1" applyAlignment="1">
      <alignment vertical="center" wrapText="1"/>
    </xf>
    <xf numFmtId="0" fontId="38" fillId="0" borderId="0" xfId="0" applyFont="1" applyAlignment="1">
      <alignment wrapText="1"/>
    </xf>
    <xf numFmtId="0" fontId="27" fillId="3" borderId="4" xfId="0" applyFont="1" applyFill="1" applyBorder="1" applyAlignment="1">
      <alignment horizontal="center" wrapText="1"/>
    </xf>
    <xf numFmtId="0" fontId="27" fillId="3" borderId="6" xfId="0" applyFont="1" applyFill="1" applyBorder="1" applyAlignment="1">
      <alignment horizontal="center" wrapText="1"/>
    </xf>
    <xf numFmtId="166" fontId="26" fillId="2" borderId="1" xfId="0" applyNumberFormat="1" applyFont="1" applyFill="1" applyBorder="1"/>
    <xf numFmtId="37" fontId="26" fillId="5" borderId="1" xfId="0" applyNumberFormat="1" applyFont="1" applyFill="1" applyBorder="1" applyAlignment="1" applyProtection="1">
      <alignment horizontal="center"/>
      <protection locked="0"/>
    </xf>
    <xf numFmtId="0" fontId="26" fillId="5" borderId="1" xfId="0" applyFont="1" applyFill="1" applyBorder="1" applyProtection="1">
      <protection locked="0"/>
    </xf>
    <xf numFmtId="44" fontId="38" fillId="0" borderId="0" xfId="2" applyFont="1" applyAlignment="1">
      <alignment wrapText="1"/>
    </xf>
    <xf numFmtId="0" fontId="38" fillId="0" borderId="0" xfId="0" applyFont="1" applyAlignment="1">
      <alignment horizontal="center" wrapText="1"/>
    </xf>
    <xf numFmtId="0" fontId="39" fillId="0" borderId="0" xfId="0" applyFont="1" applyAlignment="1">
      <alignment horizontal="center"/>
    </xf>
    <xf numFmtId="0" fontId="38" fillId="0" borderId="0" xfId="0" applyFont="1" applyAlignment="1">
      <alignment vertical="top"/>
    </xf>
    <xf numFmtId="0" fontId="38" fillId="0" borderId="0" xfId="0" applyFont="1"/>
    <xf numFmtId="44" fontId="38" fillId="0" borderId="0" xfId="2" applyFont="1"/>
    <xf numFmtId="0" fontId="38" fillId="0" borderId="0" xfId="0" applyFont="1" applyAlignment="1">
      <alignment horizontal="center"/>
    </xf>
    <xf numFmtId="0" fontId="27" fillId="0" borderId="0" xfId="0" applyFont="1"/>
    <xf numFmtId="164" fontId="26" fillId="0" borderId="0" xfId="0" applyNumberFormat="1" applyFont="1" applyAlignment="1">
      <alignment horizontal="left"/>
    </xf>
    <xf numFmtId="165" fontId="26" fillId="0" borderId="0" xfId="1" applyNumberFormat="1" applyFont="1"/>
    <xf numFmtId="168" fontId="26" fillId="0" borderId="0" xfId="1" applyNumberFormat="1" applyFont="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27" fillId="0" borderId="0" xfId="0" applyFont="1" applyAlignment="1">
      <alignment horizontal="center"/>
    </xf>
    <xf numFmtId="168" fontId="27" fillId="0" borderId="0" xfId="0" applyNumberFormat="1" applyFont="1" applyAlignment="1">
      <alignment horizontal="center" wrapText="1"/>
    </xf>
    <xf numFmtId="0" fontId="26" fillId="0" borderId="1" xfId="0" applyFont="1" applyBorder="1" applyAlignment="1">
      <alignment horizontal="center" vertical="top"/>
    </xf>
    <xf numFmtId="37" fontId="26" fillId="2" borderId="2" xfId="1" applyNumberFormat="1" applyFont="1" applyFill="1" applyBorder="1" applyAlignment="1" applyProtection="1">
      <alignment horizontal="center" vertical="top"/>
      <protection locked="0"/>
    </xf>
    <xf numFmtId="165" fontId="26" fillId="2" borderId="1" xfId="1" applyNumberFormat="1" applyFont="1" applyFill="1" applyBorder="1"/>
    <xf numFmtId="167" fontId="26" fillId="2" borderId="2" xfId="3" applyNumberFormat="1" applyFont="1" applyFill="1" applyBorder="1" applyAlignment="1">
      <alignment horizontal="center" vertical="top"/>
    </xf>
    <xf numFmtId="0" fontId="26" fillId="0" borderId="17" xfId="0" applyFont="1" applyBorder="1" applyAlignment="1">
      <alignment horizontal="center" vertical="top"/>
    </xf>
    <xf numFmtId="165" fontId="26" fillId="6" borderId="9" xfId="1" applyNumberFormat="1" applyFont="1" applyFill="1" applyBorder="1" applyAlignment="1">
      <alignment vertical="center"/>
    </xf>
    <xf numFmtId="0" fontId="26" fillId="0" borderId="9" xfId="0" applyFont="1" applyBorder="1" applyAlignment="1">
      <alignment horizontal="center" vertical="top"/>
    </xf>
    <xf numFmtId="168" fontId="26" fillId="0" borderId="9" xfId="0" applyNumberFormat="1" applyFont="1" applyBorder="1" applyAlignment="1">
      <alignment horizontal="center" vertical="top"/>
    </xf>
    <xf numFmtId="0" fontId="26" fillId="0" borderId="14" xfId="0" applyFont="1" applyBorder="1" applyAlignment="1">
      <alignment horizontal="center" vertical="top"/>
    </xf>
    <xf numFmtId="165" fontId="26" fillId="5" borderId="17" xfId="1" applyNumberFormat="1" applyFont="1" applyFill="1" applyBorder="1" applyAlignment="1" applyProtection="1">
      <alignment vertical="top"/>
      <protection locked="0"/>
    </xf>
    <xf numFmtId="165" fontId="26" fillId="6" borderId="13" xfId="1" applyNumberFormat="1" applyFont="1" applyFill="1" applyBorder="1" applyAlignment="1">
      <alignment vertical="center"/>
    </xf>
    <xf numFmtId="0" fontId="26" fillId="0" borderId="18" xfId="0" applyFont="1" applyBorder="1" applyAlignment="1">
      <alignment horizontal="center" vertical="top"/>
    </xf>
    <xf numFmtId="165" fontId="26" fillId="6" borderId="0" xfId="1" applyNumberFormat="1" applyFont="1" applyFill="1" applyBorder="1" applyAlignment="1">
      <alignment vertical="center"/>
    </xf>
    <xf numFmtId="0" fontId="26" fillId="0" borderId="0" xfId="0" applyFont="1" applyAlignment="1">
      <alignment horizontal="center" vertical="top"/>
    </xf>
    <xf numFmtId="168" fontId="26" fillId="0" borderId="0" xfId="0" applyNumberFormat="1" applyFont="1" applyAlignment="1">
      <alignment horizontal="center" vertical="top"/>
    </xf>
    <xf numFmtId="0" fontId="26" fillId="0" borderId="16" xfId="0" applyFont="1" applyBorder="1" applyAlignment="1">
      <alignment horizontal="center" vertical="top"/>
    </xf>
    <xf numFmtId="165" fontId="26" fillId="5" borderId="18" xfId="1" applyNumberFormat="1" applyFont="1" applyFill="1" applyBorder="1" applyProtection="1">
      <protection locked="0"/>
    </xf>
    <xf numFmtId="165" fontId="26" fillId="6" borderId="15" xfId="1" applyNumberFormat="1" applyFont="1" applyFill="1" applyBorder="1" applyAlignment="1">
      <alignment vertical="center"/>
    </xf>
    <xf numFmtId="0" fontId="26" fillId="0" borderId="19" xfId="0" applyFont="1" applyBorder="1" applyAlignment="1">
      <alignment horizontal="center" vertical="top"/>
    </xf>
    <xf numFmtId="165" fontId="26" fillId="5" borderId="19" xfId="1" applyNumberFormat="1" applyFont="1" applyFill="1" applyBorder="1" applyProtection="1">
      <protection locked="0"/>
    </xf>
    <xf numFmtId="0" fontId="44" fillId="0" borderId="13" xfId="0" applyFont="1" applyBorder="1"/>
    <xf numFmtId="0" fontId="26" fillId="0" borderId="9" xfId="0" applyFont="1" applyBorder="1"/>
    <xf numFmtId="0" fontId="31" fillId="0" borderId="15" xfId="0" applyFont="1" applyBorder="1"/>
    <xf numFmtId="0" fontId="31" fillId="0" borderId="0" xfId="0" applyFont="1"/>
    <xf numFmtId="0" fontId="31" fillId="0" borderId="11" xfId="0" applyFont="1" applyBorder="1"/>
    <xf numFmtId="0" fontId="31" fillId="0" borderId="3" xfId="0" applyFont="1" applyBorder="1"/>
    <xf numFmtId="0" fontId="26" fillId="0" borderId="3" xfId="0" applyFont="1" applyBorder="1"/>
    <xf numFmtId="43" fontId="27" fillId="3" borderId="2" xfId="1" applyFont="1" applyFill="1" applyBorder="1" applyAlignment="1">
      <alignment horizontal="center" wrapText="1"/>
    </xf>
    <xf numFmtId="165" fontId="27" fillId="3" borderId="2" xfId="1" applyNumberFormat="1" applyFont="1" applyFill="1" applyBorder="1" applyAlignment="1">
      <alignment horizontal="center" wrapText="1"/>
    </xf>
    <xf numFmtId="0" fontId="0" fillId="0" borderId="0" xfId="0" applyAlignment="1">
      <alignment horizontal="left"/>
    </xf>
    <xf numFmtId="0" fontId="45" fillId="0" borderId="0" xfId="0" applyFont="1"/>
    <xf numFmtId="0" fontId="16" fillId="0" borderId="0" xfId="0" applyFont="1"/>
    <xf numFmtId="0" fontId="46" fillId="0" borderId="0" xfId="0" applyFont="1"/>
    <xf numFmtId="0" fontId="0" fillId="5" borderId="0" xfId="0" applyFill="1" applyAlignment="1" applyProtection="1">
      <alignment horizontal="left"/>
      <protection locked="0"/>
    </xf>
    <xf numFmtId="0" fontId="3" fillId="0" borderId="3" xfId="0" applyFont="1" applyBorder="1" applyAlignment="1">
      <alignment horizontal="center"/>
    </xf>
    <xf numFmtId="0" fontId="47" fillId="0" borderId="0" xfId="0" applyFont="1" applyAlignment="1">
      <alignment horizontal="left"/>
    </xf>
    <xf numFmtId="166" fontId="0" fillId="0" borderId="0" xfId="2" applyNumberFormat="1" applyFont="1"/>
    <xf numFmtId="44" fontId="0" fillId="0" borderId="0" xfId="2" applyFont="1"/>
    <xf numFmtId="165" fontId="0" fillId="0" borderId="3" xfId="1" applyNumberFormat="1" applyFont="1" applyBorder="1"/>
    <xf numFmtId="44" fontId="3" fillId="0" borderId="0" xfId="0" applyNumberFormat="1" applyFont="1"/>
    <xf numFmtId="44" fontId="3" fillId="0" borderId="0" xfId="2" applyFont="1"/>
    <xf numFmtId="44" fontId="0" fillId="0" borderId="0" xfId="0" applyNumberFormat="1"/>
    <xf numFmtId="0" fontId="48" fillId="0" borderId="0" xfId="0" applyFont="1" applyAlignment="1">
      <alignment horizontal="center"/>
    </xf>
    <xf numFmtId="166" fontId="0" fillId="0" borderId="3" xfId="2" applyNumberFormat="1" applyFont="1" applyBorder="1"/>
    <xf numFmtId="0" fontId="49" fillId="3" borderId="1" xfId="0" applyFont="1" applyFill="1" applyBorder="1" applyAlignment="1">
      <alignment horizontal="center"/>
    </xf>
    <xf numFmtId="0" fontId="2" fillId="3" borderId="1" xfId="0" applyFont="1" applyFill="1" applyBorder="1" applyAlignment="1">
      <alignment horizontal="center"/>
    </xf>
    <xf numFmtId="0" fontId="50" fillId="3" borderId="1" xfId="0" applyFont="1" applyFill="1" applyBorder="1" applyAlignment="1">
      <alignment horizontal="center" wrapText="1"/>
    </xf>
    <xf numFmtId="0" fontId="9" fillId="3" borderId="1" xfId="0" applyFont="1" applyFill="1" applyBorder="1" applyAlignment="1">
      <alignment horizontal="center" wrapText="1"/>
    </xf>
    <xf numFmtId="0" fontId="50" fillId="0" borderId="0" xfId="0" applyFont="1"/>
    <xf numFmtId="0" fontId="49" fillId="0" borderId="0" xfId="0" applyFont="1"/>
    <xf numFmtId="0" fontId="50" fillId="0" borderId="7" xfId="0" applyFont="1" applyBorder="1" applyAlignment="1">
      <alignment horizontal="center" wrapText="1"/>
    </xf>
    <xf numFmtId="43" fontId="49" fillId="5" borderId="1" xfId="1" applyFont="1" applyFill="1" applyBorder="1" applyAlignment="1" applyProtection="1">
      <alignment vertical="center"/>
      <protection locked="0"/>
    </xf>
    <xf numFmtId="43" fontId="50" fillId="0" borderId="7" xfId="1" applyFont="1" applyFill="1" applyBorder="1" applyAlignment="1">
      <alignment vertical="center"/>
    </xf>
    <xf numFmtId="0" fontId="49" fillId="0" borderId="0" xfId="0" applyFont="1" applyAlignment="1">
      <alignment vertical="center"/>
    </xf>
    <xf numFmtId="166" fontId="50" fillId="2" borderId="1" xfId="2" applyNumberFormat="1" applyFont="1" applyFill="1" applyBorder="1" applyAlignment="1">
      <alignment vertical="center"/>
    </xf>
    <xf numFmtId="166" fontId="50" fillId="0" borderId="7" xfId="2" applyNumberFormat="1" applyFont="1" applyFill="1" applyBorder="1" applyAlignment="1">
      <alignment vertical="center"/>
    </xf>
    <xf numFmtId="165" fontId="49" fillId="4" borderId="1" xfId="1" applyNumberFormat="1" applyFont="1" applyFill="1" applyBorder="1" applyAlignment="1">
      <alignment vertical="center"/>
    </xf>
    <xf numFmtId="0" fontId="49" fillId="0" borderId="0" xfId="0" applyFont="1" applyAlignment="1">
      <alignment vertical="top"/>
    </xf>
    <xf numFmtId="0" fontId="50" fillId="0" borderId="7" xfId="0" applyFont="1" applyBorder="1" applyAlignment="1">
      <alignment horizontal="left" vertical="center" wrapText="1"/>
    </xf>
    <xf numFmtId="0" fontId="9" fillId="0" borderId="7" xfId="0" applyFont="1" applyBorder="1" applyAlignment="1">
      <alignment horizontal="center" wrapText="1"/>
    </xf>
    <xf numFmtId="43" fontId="2" fillId="5" borderId="1" xfId="1" applyFont="1" applyFill="1" applyBorder="1" applyAlignment="1" applyProtection="1">
      <alignment vertical="center"/>
      <protection locked="0"/>
    </xf>
    <xf numFmtId="43" fontId="9" fillId="0" borderId="7" xfId="1" applyFont="1" applyFill="1" applyBorder="1" applyAlignment="1">
      <alignment vertical="center"/>
    </xf>
    <xf numFmtId="166" fontId="2" fillId="5" borderId="1" xfId="2" applyNumberFormat="1" applyFont="1" applyFill="1" applyBorder="1" applyAlignment="1" applyProtection="1">
      <alignment vertical="center"/>
      <protection locked="0"/>
    </xf>
    <xf numFmtId="166" fontId="9" fillId="2" borderId="1" xfId="2" applyNumberFormat="1" applyFont="1" applyFill="1" applyBorder="1" applyAlignment="1">
      <alignment vertical="center"/>
    </xf>
    <xf numFmtId="166" fontId="9" fillId="0" borderId="7" xfId="2" applyNumberFormat="1" applyFont="1" applyFill="1" applyBorder="1" applyAlignment="1">
      <alignment vertical="center"/>
    </xf>
    <xf numFmtId="166" fontId="2" fillId="0" borderId="1" xfId="2" applyNumberFormat="1" applyFont="1" applyFill="1" applyBorder="1" applyAlignment="1">
      <alignment vertical="center"/>
    </xf>
    <xf numFmtId="165" fontId="2" fillId="4" borderId="1" xfId="1" applyNumberFormat="1" applyFont="1" applyFill="1" applyBorder="1" applyAlignment="1">
      <alignment vertical="center"/>
    </xf>
    <xf numFmtId="166" fontId="2" fillId="2" borderId="1" xfId="2" applyNumberFormat="1" applyFont="1" applyFill="1" applyBorder="1" applyAlignment="1">
      <alignment vertical="center"/>
    </xf>
    <xf numFmtId="0" fontId="9" fillId="0" borderId="7" xfId="0" applyFont="1" applyBorder="1" applyAlignment="1">
      <alignment horizontal="left" vertical="center" wrapText="1"/>
    </xf>
    <xf numFmtId="43" fontId="6" fillId="0" borderId="0" xfId="0" applyNumberFormat="1" applyFont="1"/>
    <xf numFmtId="0" fontId="53" fillId="0" borderId="0" xfId="0" applyFont="1" applyAlignment="1">
      <alignment vertical="top"/>
    </xf>
    <xf numFmtId="0" fontId="37" fillId="0" borderId="0" xfId="0" applyFont="1"/>
    <xf numFmtId="0" fontId="54" fillId="7" borderId="20" xfId="0" applyFont="1" applyFill="1" applyBorder="1" applyAlignment="1">
      <alignment vertical="top"/>
    </xf>
    <xf numFmtId="0" fontId="54" fillId="7" borderId="21" xfId="0" applyFont="1" applyFill="1" applyBorder="1" applyAlignment="1">
      <alignment vertical="top"/>
    </xf>
    <xf numFmtId="0" fontId="54" fillId="7" borderId="22" xfId="0" applyFont="1" applyFill="1" applyBorder="1" applyAlignment="1">
      <alignment vertical="top"/>
    </xf>
    <xf numFmtId="0" fontId="54" fillId="0" borderId="0" xfId="0" applyFont="1" applyAlignment="1">
      <alignment vertical="top"/>
    </xf>
    <xf numFmtId="0" fontId="37" fillId="0" borderId="0" xfId="0" applyFont="1" applyAlignment="1">
      <alignment vertical="top"/>
    </xf>
    <xf numFmtId="0" fontId="54" fillId="0" borderId="0" xfId="0" applyFont="1" applyAlignment="1">
      <alignment horizontal="center" vertical="top"/>
    </xf>
    <xf numFmtId="0" fontId="54" fillId="0" borderId="0" xfId="0" applyFont="1" applyAlignment="1" applyProtection="1">
      <alignment horizontal="center" vertical="top"/>
      <protection locked="0"/>
    </xf>
    <xf numFmtId="0" fontId="54" fillId="0" borderId="3" xfId="0" applyFont="1" applyBorder="1" applyAlignment="1" applyProtection="1">
      <alignment horizontal="center" vertical="top"/>
      <protection locked="0"/>
    </xf>
    <xf numFmtId="0" fontId="54" fillId="0" borderId="3" xfId="0" applyFont="1" applyBorder="1" applyAlignment="1" applyProtection="1">
      <alignment horizontal="left" vertical="top"/>
      <protection locked="0"/>
    </xf>
    <xf numFmtId="0" fontId="37" fillId="0" borderId="3" xfId="0" applyFont="1" applyBorder="1" applyAlignment="1">
      <alignment horizontal="center" vertical="top"/>
    </xf>
    <xf numFmtId="0" fontId="55" fillId="0" borderId="0" xfId="0" applyFont="1"/>
    <xf numFmtId="0" fontId="56" fillId="0" borderId="0" xfId="0" applyFont="1"/>
    <xf numFmtId="0" fontId="37" fillId="0" borderId="0" xfId="0" applyFont="1" applyAlignment="1" applyProtection="1">
      <alignment vertical="top"/>
      <protection locked="0"/>
    </xf>
    <xf numFmtId="0" fontId="37" fillId="0" borderId="0" xfId="0" applyFont="1" applyAlignment="1" applyProtection="1">
      <alignment horizontal="center" vertical="top"/>
      <protection locked="0"/>
    </xf>
    <xf numFmtId="0" fontId="56" fillId="0" borderId="0" xfId="0" applyFont="1" applyAlignment="1" applyProtection="1">
      <alignment horizontal="left" vertical="top"/>
      <protection locked="0"/>
    </xf>
    <xf numFmtId="0" fontId="56" fillId="0" borderId="0" xfId="0" applyFont="1" applyAlignment="1" applyProtection="1">
      <alignment vertical="top"/>
      <protection locked="0"/>
    </xf>
    <xf numFmtId="37" fontId="54" fillId="0" borderId="0" xfId="4" applyNumberFormat="1" applyFont="1" applyAlignment="1">
      <alignment horizontal="center" vertical="top" wrapText="1"/>
    </xf>
    <xf numFmtId="0" fontId="54" fillId="0" borderId="0" xfId="5" quotePrefix="1" applyFont="1" applyAlignment="1">
      <alignment horizontal="center" vertical="top"/>
    </xf>
    <xf numFmtId="169" fontId="56" fillId="0" borderId="0" xfId="0" applyNumberFormat="1" applyFont="1" applyAlignment="1">
      <alignment horizontal="center" vertical="top"/>
    </xf>
    <xf numFmtId="37" fontId="54" fillId="0" borderId="0" xfId="5" applyNumberFormat="1" applyFont="1" applyAlignment="1" applyProtection="1">
      <alignment horizontal="center" vertical="top"/>
      <protection locked="0"/>
    </xf>
    <xf numFmtId="0" fontId="59" fillId="0" borderId="0" xfId="5" quotePrefix="1" applyFont="1" applyAlignment="1">
      <alignment horizontal="center" vertical="top"/>
    </xf>
    <xf numFmtId="0" fontId="37" fillId="0" borderId="0" xfId="5" quotePrefix="1" applyFont="1" applyAlignment="1">
      <alignment horizontal="center" vertical="top"/>
    </xf>
    <xf numFmtId="0" fontId="37" fillId="0" borderId="0" xfId="0" applyFont="1" applyAlignment="1">
      <alignment horizontal="center" vertical="top"/>
    </xf>
    <xf numFmtId="0" fontId="37" fillId="0" borderId="0" xfId="0" applyFont="1" applyAlignment="1">
      <alignment horizontal="left" vertical="top"/>
    </xf>
    <xf numFmtId="169" fontId="37" fillId="0" borderId="0" xfId="0" applyNumberFormat="1" applyFont="1" applyAlignment="1">
      <alignment horizontal="center" vertical="top"/>
    </xf>
    <xf numFmtId="0" fontId="50" fillId="3" borderId="4" xfId="0" applyFont="1" applyFill="1" applyBorder="1" applyAlignment="1">
      <alignment horizontal="center" wrapText="1"/>
    </xf>
    <xf numFmtId="0" fontId="9" fillId="0" borderId="0" xfId="0" applyFont="1" applyAlignment="1">
      <alignment horizontal="center"/>
    </xf>
    <xf numFmtId="166" fontId="2" fillId="5" borderId="1" xfId="2" applyNumberFormat="1" applyFont="1" applyFill="1" applyBorder="1" applyProtection="1">
      <protection locked="0"/>
    </xf>
    <xf numFmtId="166" fontId="2" fillId="2" borderId="1" xfId="2" applyNumberFormat="1" applyFont="1" applyFill="1" applyBorder="1"/>
    <xf numFmtId="166" fontId="9" fillId="2" borderId="1" xfId="2" applyNumberFormat="1" applyFont="1" applyFill="1" applyBorder="1"/>
    <xf numFmtId="0" fontId="10" fillId="0" borderId="0" xfId="0" quotePrefix="1" applyFont="1"/>
    <xf numFmtId="166" fontId="49" fillId="5" borderId="1" xfId="2" applyNumberFormat="1" applyFont="1" applyFill="1" applyBorder="1" applyProtection="1">
      <protection locked="0"/>
    </xf>
    <xf numFmtId="0" fontId="60" fillId="0" borderId="0" xfId="0" quotePrefix="1" applyFont="1"/>
    <xf numFmtId="0" fontId="9" fillId="3" borderId="4" xfId="0" applyFont="1" applyFill="1" applyBorder="1" applyAlignment="1">
      <alignment horizontal="center" wrapText="1"/>
    </xf>
    <xf numFmtId="0" fontId="30" fillId="0" borderId="0" xfId="0" applyFont="1" applyAlignment="1">
      <alignment wrapText="1"/>
    </xf>
    <xf numFmtId="0" fontId="60" fillId="0" borderId="0" xfId="0" quotePrefix="1" applyFont="1" applyAlignment="1">
      <alignment horizontal="left"/>
    </xf>
    <xf numFmtId="0" fontId="61" fillId="0" borderId="0" xfId="0" applyFont="1" applyAlignment="1">
      <alignment horizontal="left" wrapText="1"/>
    </xf>
    <xf numFmtId="164" fontId="49" fillId="0" borderId="0" xfId="0" applyNumberFormat="1" applyFont="1" applyAlignment="1">
      <alignment horizontal="left"/>
    </xf>
    <xf numFmtId="166" fontId="50" fillId="2" borderId="1" xfId="2" applyNumberFormat="1" applyFont="1" applyFill="1" applyBorder="1"/>
    <xf numFmtId="0" fontId="16" fillId="0" borderId="0" xfId="0" applyFont="1" applyAlignment="1">
      <alignment horizontal="left" wrapText="1"/>
    </xf>
    <xf numFmtId="0" fontId="52" fillId="0" borderId="0" xfId="0" quotePrefix="1" applyFont="1"/>
    <xf numFmtId="0" fontId="9" fillId="3" borderId="0" xfId="0" applyFont="1" applyFill="1" applyAlignment="1">
      <alignment horizontal="center"/>
    </xf>
    <xf numFmtId="0" fontId="9" fillId="0" borderId="0" xfId="0" applyFont="1" applyAlignment="1">
      <alignment horizontal="right"/>
    </xf>
    <xf numFmtId="0" fontId="64" fillId="0" borderId="0" xfId="0" applyFont="1"/>
    <xf numFmtId="43" fontId="2" fillId="5" borderId="1" xfId="1" applyFont="1" applyFill="1" applyBorder="1" applyProtection="1">
      <protection locked="0"/>
    </xf>
    <xf numFmtId="0" fontId="29" fillId="0" borderId="0" xfId="0" applyFont="1"/>
    <xf numFmtId="0" fontId="65" fillId="0" borderId="0" xfId="0" quotePrefix="1" applyFont="1" applyAlignment="1">
      <alignment vertical="top"/>
    </xf>
    <xf numFmtId="0" fontId="66" fillId="0" borderId="0" xfId="0" applyFont="1"/>
    <xf numFmtId="0" fontId="67" fillId="0" borderId="0" xfId="0" applyFont="1"/>
    <xf numFmtId="0" fontId="68" fillId="0" borderId="0" xfId="0" quotePrefix="1" applyFont="1" applyAlignment="1">
      <alignment vertical="top"/>
    </xf>
    <xf numFmtId="0" fontId="69" fillId="0" borderId="0" xfId="0" applyFont="1"/>
    <xf numFmtId="0" fontId="12" fillId="0" borderId="0" xfId="0" quotePrefix="1" applyFont="1"/>
    <xf numFmtId="166" fontId="62" fillId="2" borderId="10" xfId="2" applyNumberFormat="1" applyFont="1" applyFill="1" applyBorder="1"/>
    <xf numFmtId="0" fontId="12" fillId="0" borderId="0" xfId="0" applyFont="1"/>
    <xf numFmtId="0" fontId="10" fillId="0" borderId="9" xfId="0" quotePrefix="1" applyFont="1" applyBorder="1" applyAlignment="1">
      <alignment horizontal="left"/>
    </xf>
    <xf numFmtId="0" fontId="72" fillId="0" borderId="0" xfId="0" applyFont="1" applyAlignment="1">
      <alignment horizontal="left" wrapText="1"/>
    </xf>
    <xf numFmtId="165" fontId="9" fillId="2" borderId="1" xfId="0" applyNumberFormat="1" applyFont="1" applyFill="1" applyBorder="1"/>
    <xf numFmtId="165" fontId="9" fillId="2" borderId="2" xfId="0" applyNumberFormat="1" applyFont="1" applyFill="1" applyBorder="1"/>
    <xf numFmtId="165" fontId="9" fillId="2" borderId="18" xfId="0" applyNumberFormat="1" applyFont="1" applyFill="1" applyBorder="1"/>
    <xf numFmtId="165" fontId="9" fillId="2" borderId="8" xfId="0" applyNumberFormat="1" applyFont="1" applyFill="1" applyBorder="1"/>
    <xf numFmtId="0" fontId="73" fillId="0" borderId="0" xfId="0" applyFont="1" applyAlignment="1">
      <alignment horizontal="left" wrapText="1"/>
    </xf>
    <xf numFmtId="0" fontId="50" fillId="0" borderId="0" xfId="0" applyFont="1" applyAlignment="1">
      <alignment horizontal="center" wrapText="1"/>
    </xf>
    <xf numFmtId="165" fontId="50" fillId="2" borderId="1" xfId="0" applyNumberFormat="1" applyFont="1" applyFill="1" applyBorder="1"/>
    <xf numFmtId="167" fontId="2" fillId="2" borderId="2" xfId="3" applyNumberFormat="1" applyFont="1" applyFill="1" applyBorder="1" applyAlignment="1">
      <alignment horizontal="center" vertical="top"/>
    </xf>
    <xf numFmtId="9" fontId="2" fillId="0" borderId="0" xfId="3" applyFont="1"/>
    <xf numFmtId="9" fontId="9" fillId="2" borderId="1" xfId="3" applyFont="1" applyFill="1" applyBorder="1"/>
    <xf numFmtId="166" fontId="49" fillId="5" borderId="1" xfId="2" applyNumberFormat="1" applyFont="1" applyFill="1" applyBorder="1" applyAlignment="1" applyProtection="1">
      <alignment vertical="top"/>
      <protection locked="0"/>
    </xf>
    <xf numFmtId="165" fontId="49" fillId="6" borderId="9" xfId="1" applyNumberFormat="1" applyFont="1" applyFill="1" applyBorder="1" applyAlignment="1">
      <alignment vertical="center"/>
    </xf>
    <xf numFmtId="165" fontId="49" fillId="6" borderId="0" xfId="1" applyNumberFormat="1" applyFont="1" applyFill="1" applyBorder="1" applyAlignment="1">
      <alignment vertical="center"/>
    </xf>
    <xf numFmtId="0" fontId="70" fillId="0" borderId="0" xfId="0" applyFont="1" applyAlignment="1">
      <alignment horizontal="right" vertical="top"/>
    </xf>
    <xf numFmtId="166" fontId="2" fillId="5" borderId="1" xfId="2" applyNumberFormat="1" applyFont="1" applyFill="1" applyBorder="1" applyAlignment="1" applyProtection="1">
      <alignment vertical="top"/>
      <protection locked="0"/>
    </xf>
    <xf numFmtId="165" fontId="2" fillId="6" borderId="9" xfId="1" applyNumberFormat="1" applyFont="1" applyFill="1" applyBorder="1" applyAlignment="1">
      <alignment vertical="center"/>
    </xf>
    <xf numFmtId="165" fontId="2" fillId="6" borderId="0" xfId="1" applyNumberFormat="1" applyFont="1" applyFill="1" applyBorder="1" applyAlignment="1">
      <alignment vertical="center"/>
    </xf>
    <xf numFmtId="165" fontId="2" fillId="6" borderId="3" xfId="1" applyNumberFormat="1" applyFont="1" applyFill="1" applyBorder="1" applyAlignment="1">
      <alignment vertical="center"/>
    </xf>
    <xf numFmtId="44" fontId="9" fillId="2" borderId="1" xfId="2" applyFont="1" applyFill="1" applyBorder="1" applyAlignment="1">
      <alignment vertical="top"/>
    </xf>
    <xf numFmtId="44" fontId="9" fillId="2" borderId="1" xfId="2" applyFont="1" applyFill="1" applyBorder="1"/>
    <xf numFmtId="166" fontId="2" fillId="2" borderId="1" xfId="0" applyNumberFormat="1" applyFont="1" applyFill="1" applyBorder="1" applyAlignment="1">
      <alignment vertical="top"/>
    </xf>
    <xf numFmtId="166" fontId="9" fillId="2" borderId="1" xfId="0" applyNumberFormat="1" applyFont="1" applyFill="1" applyBorder="1"/>
    <xf numFmtId="0" fontId="8" fillId="0" borderId="0" xfId="0" applyFont="1" applyAlignment="1">
      <alignment horizontal="left" wrapText="1"/>
    </xf>
    <xf numFmtId="0" fontId="50" fillId="3" borderId="2" xfId="0" applyFont="1" applyFill="1" applyBorder="1" applyAlignment="1">
      <alignment horizontal="center" wrapText="1"/>
    </xf>
    <xf numFmtId="170" fontId="26" fillId="5" borderId="2" xfId="0" applyNumberFormat="1" applyFont="1" applyFill="1" applyBorder="1" applyAlignment="1" applyProtection="1">
      <alignment horizontal="center" vertical="top"/>
      <protection locked="0"/>
    </xf>
    <xf numFmtId="171" fontId="26" fillId="5" borderId="2" xfId="0" applyNumberFormat="1" applyFont="1" applyFill="1" applyBorder="1" applyAlignment="1" applyProtection="1">
      <alignment horizontal="center" vertical="top"/>
      <protection locked="0"/>
    </xf>
    <xf numFmtId="172" fontId="26" fillId="5" borderId="2" xfId="0" applyNumberFormat="1" applyFont="1" applyFill="1" applyBorder="1" applyAlignment="1" applyProtection="1">
      <alignment horizontal="center" vertical="top"/>
      <protection locked="0"/>
    </xf>
    <xf numFmtId="168" fontId="26" fillId="0" borderId="0" xfId="1" applyNumberFormat="1" applyFont="1" applyFill="1" applyAlignment="1">
      <alignment horizontal="left"/>
    </xf>
    <xf numFmtId="168" fontId="26" fillId="0" borderId="0" xfId="1" applyNumberFormat="1" applyFont="1" applyFill="1" applyAlignment="1">
      <alignment horizontal="center"/>
    </xf>
    <xf numFmtId="165" fontId="26" fillId="0" borderId="0" xfId="1" applyNumberFormat="1" applyFont="1" applyFill="1"/>
    <xf numFmtId="172" fontId="26" fillId="0" borderId="17" xfId="0" applyNumberFormat="1" applyFont="1" applyBorder="1" applyAlignment="1">
      <alignment horizontal="center" vertical="top" wrapText="1"/>
    </xf>
    <xf numFmtId="172" fontId="26" fillId="5" borderId="2" xfId="1" applyNumberFormat="1" applyFont="1" applyFill="1" applyBorder="1" applyAlignment="1" applyProtection="1">
      <alignment horizontal="center" vertical="top"/>
      <protection locked="0"/>
    </xf>
    <xf numFmtId="172" fontId="26" fillId="0" borderId="18" xfId="0" applyNumberFormat="1" applyFont="1" applyBorder="1" applyAlignment="1">
      <alignment horizontal="center" vertical="top" wrapText="1"/>
    </xf>
    <xf numFmtId="172" fontId="26" fillId="0" borderId="19" xfId="0" applyNumberFormat="1" applyFont="1" applyBorder="1" applyAlignment="1">
      <alignment horizontal="center" vertical="top" wrapText="1"/>
    </xf>
    <xf numFmtId="170" fontId="26" fillId="5" borderId="2" xfId="1" applyNumberFormat="1" applyFont="1" applyFill="1" applyBorder="1" applyAlignment="1" applyProtection="1">
      <alignment horizontal="center" vertical="top"/>
      <protection locked="0"/>
    </xf>
    <xf numFmtId="164" fontId="9" fillId="3" borderId="0" xfId="0" applyNumberFormat="1" applyFont="1" applyFill="1" applyAlignment="1">
      <alignment horizontal="center"/>
    </xf>
    <xf numFmtId="165" fontId="9" fillId="3" borderId="2" xfId="1" applyNumberFormat="1" applyFont="1" applyFill="1" applyBorder="1" applyAlignment="1">
      <alignment horizontal="center" wrapText="1"/>
    </xf>
    <xf numFmtId="44" fontId="2" fillId="2" borderId="1" xfId="2" applyFont="1" applyFill="1" applyBorder="1" applyAlignment="1">
      <alignment vertical="center"/>
    </xf>
    <xf numFmtId="43" fontId="9" fillId="3" borderId="2" xfId="1" applyFont="1" applyFill="1" applyBorder="1" applyAlignment="1">
      <alignment horizontal="center" wrapText="1"/>
    </xf>
    <xf numFmtId="43" fontId="2" fillId="2" borderId="1" xfId="1" applyFont="1" applyFill="1" applyBorder="1" applyAlignment="1">
      <alignment vertical="center"/>
    </xf>
    <xf numFmtId="165" fontId="9" fillId="2" borderId="1" xfId="1" applyNumberFormat="1" applyFont="1" applyFill="1" applyBorder="1"/>
    <xf numFmtId="165" fontId="2" fillId="5" borderId="1" xfId="1" applyNumberFormat="1" applyFont="1" applyFill="1" applyBorder="1" applyAlignment="1" applyProtection="1">
      <alignment vertical="center"/>
      <protection locked="0"/>
    </xf>
    <xf numFmtId="164" fontId="9" fillId="3" borderId="7" xfId="0" applyNumberFormat="1" applyFont="1" applyFill="1" applyBorder="1" applyAlignment="1">
      <alignment horizontal="center"/>
    </xf>
    <xf numFmtId="165" fontId="2" fillId="0" borderId="1" xfId="1" applyNumberFormat="1" applyFont="1" applyFill="1" applyBorder="1"/>
    <xf numFmtId="44" fontId="74" fillId="2" borderId="1" xfId="2" applyFont="1" applyFill="1" applyBorder="1"/>
    <xf numFmtId="166" fontId="2" fillId="0" borderId="1" xfId="2" applyNumberFormat="1" applyFont="1" applyFill="1" applyBorder="1"/>
    <xf numFmtId="0" fontId="49" fillId="0" borderId="0" xfId="0" quotePrefix="1" applyFont="1"/>
    <xf numFmtId="0" fontId="49" fillId="0" borderId="0" xfId="0" quotePrefix="1" applyFont="1" applyAlignment="1">
      <alignment horizontal="left"/>
    </xf>
    <xf numFmtId="0" fontId="49" fillId="0" borderId="0" xfId="0" applyFont="1" applyAlignment="1">
      <alignment wrapText="1"/>
    </xf>
    <xf numFmtId="165" fontId="49" fillId="5" borderId="1" xfId="1" applyNumberFormat="1" applyFont="1" applyFill="1" applyBorder="1" applyAlignment="1" applyProtection="1">
      <alignment vertical="center"/>
      <protection locked="0"/>
    </xf>
    <xf numFmtId="165" fontId="49" fillId="0" borderId="0" xfId="1" applyNumberFormat="1" applyFont="1"/>
    <xf numFmtId="165" fontId="61" fillId="0" borderId="0" xfId="1" applyNumberFormat="1" applyFont="1" applyAlignment="1"/>
    <xf numFmtId="165" fontId="50" fillId="3" borderId="2" xfId="1" applyNumberFormat="1" applyFont="1" applyFill="1" applyBorder="1" applyAlignment="1">
      <alignment horizontal="center" wrapText="1"/>
    </xf>
    <xf numFmtId="172" fontId="0" fillId="0" borderId="0" xfId="0" applyNumberFormat="1"/>
    <xf numFmtId="0" fontId="0" fillId="0" borderId="0" xfId="0" applyAlignment="1">
      <alignment horizontal="left" wrapText="1"/>
    </xf>
    <xf numFmtId="0" fontId="7" fillId="0" borderId="0" xfId="0" applyFont="1" applyAlignment="1">
      <alignment horizontal="left"/>
    </xf>
    <xf numFmtId="172" fontId="49" fillId="0" borderId="0" xfId="0" applyNumberFormat="1" applyFont="1"/>
    <xf numFmtId="172" fontId="2" fillId="0" borderId="0" xfId="0" applyNumberFormat="1" applyFont="1"/>
    <xf numFmtId="37" fontId="0" fillId="0" borderId="0" xfId="0" applyNumberFormat="1"/>
    <xf numFmtId="37" fontId="53" fillId="0" borderId="0" xfId="0" applyNumberFormat="1" applyFont="1" applyAlignment="1">
      <alignment vertical="top"/>
    </xf>
    <xf numFmtId="37" fontId="54" fillId="7" borderId="21" xfId="0" applyNumberFormat="1" applyFont="1" applyFill="1" applyBorder="1" applyAlignment="1">
      <alignment vertical="top"/>
    </xf>
    <xf numFmtId="37" fontId="54" fillId="0" borderId="0" xfId="0" applyNumberFormat="1" applyFont="1" applyAlignment="1">
      <alignment vertical="top"/>
    </xf>
    <xf numFmtId="37" fontId="54" fillId="0" borderId="0" xfId="0" applyNumberFormat="1" applyFont="1" applyAlignment="1" applyProtection="1">
      <alignment horizontal="center" vertical="top"/>
      <protection locked="0"/>
    </xf>
    <xf numFmtId="37" fontId="54" fillId="0" borderId="3" xfId="0" applyNumberFormat="1" applyFont="1" applyBorder="1" applyAlignment="1" applyProtection="1">
      <alignment horizontal="center" vertical="top"/>
      <protection locked="0"/>
    </xf>
    <xf numFmtId="37" fontId="37" fillId="0" borderId="0" xfId="0" applyNumberFormat="1" applyFont="1" applyAlignment="1">
      <alignment vertical="top"/>
    </xf>
    <xf numFmtId="0" fontId="53" fillId="0" borderId="0" xfId="0" applyFont="1" applyAlignment="1">
      <alignment horizontal="center" vertical="top"/>
    </xf>
    <xf numFmtId="0" fontId="54" fillId="7" borderId="21" xfId="0" applyFont="1" applyFill="1" applyBorder="1" applyAlignment="1">
      <alignment horizontal="center" vertical="top"/>
    </xf>
    <xf numFmtId="0" fontId="37" fillId="0" borderId="0" xfId="0" applyFont="1" applyAlignment="1">
      <alignment horizontal="center"/>
    </xf>
    <xf numFmtId="166" fontId="49" fillId="0" borderId="1" xfId="2" applyNumberFormat="1" applyFont="1" applyFill="1" applyBorder="1" applyAlignment="1">
      <alignment horizontal="right"/>
    </xf>
    <xf numFmtId="166" fontId="50" fillId="2" borderId="1" xfId="2" applyNumberFormat="1" applyFont="1" applyFill="1" applyBorder="1" applyAlignment="1">
      <alignment horizontal="right"/>
    </xf>
    <xf numFmtId="0" fontId="9" fillId="3" borderId="2" xfId="0" applyFont="1" applyFill="1" applyBorder="1" applyAlignment="1">
      <alignment horizontal="center" wrapText="1"/>
    </xf>
    <xf numFmtId="43" fontId="26" fillId="0" borderId="1" xfId="1" applyFont="1" applyFill="1" applyBorder="1" applyAlignment="1">
      <alignment vertical="center"/>
    </xf>
    <xf numFmtId="0" fontId="0" fillId="0" borderId="0" xfId="0" applyAlignment="1">
      <alignment horizontal="left" vertical="top" wrapText="1"/>
    </xf>
    <xf numFmtId="173" fontId="0" fillId="0" borderId="0" xfId="0" applyNumberFormat="1" applyAlignment="1">
      <alignment horizontal="left"/>
    </xf>
    <xf numFmtId="170" fontId="0" fillId="0" borderId="0" xfId="0" applyNumberFormat="1" applyAlignment="1">
      <alignment horizontal="left"/>
    </xf>
    <xf numFmtId="174" fontId="26" fillId="2" borderId="1" xfId="1" applyNumberFormat="1" applyFont="1" applyFill="1" applyBorder="1"/>
    <xf numFmtId="174" fontId="26" fillId="5" borderId="17" xfId="1" applyNumberFormat="1" applyFont="1" applyFill="1" applyBorder="1" applyAlignment="1" applyProtection="1">
      <alignment vertical="top"/>
      <protection locked="0"/>
    </xf>
    <xf numFmtId="174" fontId="49" fillId="2" borderId="1" xfId="1" applyNumberFormat="1" applyFont="1" applyFill="1" applyBorder="1"/>
    <xf numFmtId="174" fontId="49" fillId="5" borderId="17" xfId="1" applyNumberFormat="1" applyFont="1" applyFill="1" applyBorder="1" applyAlignment="1" applyProtection="1">
      <alignment vertical="top"/>
      <protection locked="0"/>
    </xf>
    <xf numFmtId="174" fontId="2" fillId="2" borderId="1" xfId="1" applyNumberFormat="1" applyFont="1" applyFill="1" applyBorder="1"/>
    <xf numFmtId="174" fontId="2" fillId="5" borderId="17" xfId="1" applyNumberFormat="1" applyFont="1" applyFill="1" applyBorder="1" applyAlignment="1" applyProtection="1">
      <alignment vertical="top"/>
      <protection locked="0"/>
    </xf>
    <xf numFmtId="175" fontId="0" fillId="0" borderId="0" xfId="0" applyNumberFormat="1" applyAlignment="1">
      <alignment horizontal="left"/>
    </xf>
    <xf numFmtId="172" fontId="0" fillId="0" borderId="0" xfId="0" applyNumberFormat="1" applyAlignment="1">
      <alignment horizontal="left"/>
    </xf>
    <xf numFmtId="0" fontId="52" fillId="0" borderId="0" xfId="0" applyFont="1"/>
    <xf numFmtId="0" fontId="0" fillId="0" borderId="0" xfId="0" applyAlignment="1">
      <alignment horizontal="center" vertical="center"/>
    </xf>
    <xf numFmtId="0" fontId="0" fillId="0" borderId="1" xfId="0" quotePrefix="1" applyBorder="1" applyAlignment="1">
      <alignment horizontal="center" vertical="center"/>
    </xf>
    <xf numFmtId="0" fontId="31" fillId="0" borderId="3" xfId="0" applyFont="1" applyBorder="1" applyAlignment="1">
      <alignment horizontal="left" vertical="top"/>
    </xf>
    <xf numFmtId="166" fontId="84" fillId="0" borderId="0" xfId="0" applyNumberFormat="1" applyFont="1"/>
    <xf numFmtId="164" fontId="26" fillId="0" borderId="0" xfId="0" applyNumberFormat="1" applyFont="1" applyAlignment="1">
      <alignment horizontal="right"/>
    </xf>
    <xf numFmtId="164" fontId="27" fillId="0" borderId="0" xfId="0" applyNumberFormat="1" applyFont="1" applyAlignment="1">
      <alignment horizontal="right"/>
    </xf>
    <xf numFmtId="164" fontId="85" fillId="0" borderId="0" xfId="0" applyNumberFormat="1" applyFont="1" applyAlignment="1">
      <alignment horizontal="right"/>
    </xf>
    <xf numFmtId="44" fontId="85" fillId="2" borderId="1" xfId="2" applyFont="1" applyFill="1" applyBorder="1"/>
    <xf numFmtId="165" fontId="27" fillId="0" borderId="0" xfId="1" applyNumberFormat="1" applyFont="1" applyFill="1" applyBorder="1" applyAlignment="1">
      <alignment wrapText="1"/>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27" fillId="0" borderId="9" xfId="0" applyFont="1" applyBorder="1" applyAlignment="1">
      <alignment horizontal="left"/>
    </xf>
    <xf numFmtId="0" fontId="27" fillId="0" borderId="9" xfId="0" applyFont="1" applyBorder="1" applyAlignment="1">
      <alignment horizontal="center"/>
    </xf>
    <xf numFmtId="0" fontId="27" fillId="0" borderId="9" xfId="0" applyFont="1" applyBorder="1" applyAlignment="1">
      <alignment horizontal="center" wrapText="1"/>
    </xf>
    <xf numFmtId="0" fontId="26" fillId="0" borderId="9" xfId="0" applyFont="1" applyBorder="1" applyAlignment="1">
      <alignment horizontal="center" vertical="center"/>
    </xf>
    <xf numFmtId="0" fontId="27" fillId="0" borderId="9" xfId="0" applyFont="1" applyBorder="1" applyAlignment="1">
      <alignment horizontal="left" vertical="center"/>
    </xf>
    <xf numFmtId="166" fontId="27" fillId="0" borderId="9" xfId="2" applyNumberFormat="1" applyFont="1" applyFill="1" applyBorder="1" applyAlignment="1">
      <alignment vertical="center"/>
    </xf>
    <xf numFmtId="0" fontId="26" fillId="0" borderId="8" xfId="0" applyFont="1" applyBorder="1" applyAlignment="1">
      <alignment horizontal="center" vertical="center"/>
    </xf>
    <xf numFmtId="166" fontId="50" fillId="0" borderId="0" xfId="2" applyNumberFormat="1" applyFont="1" applyFill="1" applyBorder="1" applyAlignment="1">
      <alignment vertical="center"/>
    </xf>
    <xf numFmtId="166" fontId="86" fillId="2" borderId="1" xfId="2" applyNumberFormat="1" applyFont="1" applyFill="1" applyBorder="1" applyAlignment="1">
      <alignment vertical="center"/>
    </xf>
    <xf numFmtId="166" fontId="49" fillId="0" borderId="0" xfId="2" applyNumberFormat="1" applyFont="1" applyFill="1" applyBorder="1" applyAlignment="1" applyProtection="1">
      <alignment vertical="center"/>
      <protection locked="0"/>
    </xf>
    <xf numFmtId="166" fontId="86" fillId="0" borderId="0" xfId="2" applyNumberFormat="1" applyFont="1" applyFill="1" applyBorder="1" applyAlignment="1">
      <alignment vertical="center"/>
    </xf>
    <xf numFmtId="166" fontId="9" fillId="0" borderId="0" xfId="2" applyNumberFormat="1" applyFont="1" applyFill="1" applyBorder="1" applyAlignment="1">
      <alignment vertical="center"/>
    </xf>
    <xf numFmtId="166" fontId="62" fillId="2" borderId="1" xfId="2" applyNumberFormat="1" applyFont="1" applyFill="1" applyBorder="1" applyAlignment="1">
      <alignment vertical="center"/>
    </xf>
    <xf numFmtId="166" fontId="0" fillId="5" borderId="1" xfId="2" applyNumberFormat="1" applyFont="1" applyFill="1" applyBorder="1"/>
    <xf numFmtId="0" fontId="0" fillId="5" borderId="1" xfId="0" applyFill="1" applyBorder="1"/>
    <xf numFmtId="37" fontId="0" fillId="5" borderId="1" xfId="0" applyNumberFormat="1" applyFill="1" applyBorder="1" applyAlignment="1">
      <alignment horizontal="center"/>
    </xf>
    <xf numFmtId="0" fontId="0" fillId="5" borderId="1" xfId="0" applyFill="1" applyBorder="1" applyAlignment="1">
      <alignment horizontal="left" wrapText="1"/>
    </xf>
    <xf numFmtId="177" fontId="0" fillId="5" borderId="1" xfId="1" applyNumberFormat="1" applyFont="1" applyFill="1" applyBorder="1" applyProtection="1">
      <protection locked="0"/>
    </xf>
    <xf numFmtId="165" fontId="26" fillId="0" borderId="0" xfId="1" applyNumberFormat="1" applyFont="1" applyBorder="1"/>
    <xf numFmtId="0" fontId="87" fillId="8" borderId="6" xfId="0" applyFont="1" applyFill="1" applyBorder="1" applyAlignment="1" applyProtection="1">
      <alignment horizontal="left"/>
      <protection locked="0"/>
    </xf>
    <xf numFmtId="0" fontId="87" fillId="8" borderId="7" xfId="0" applyFont="1" applyFill="1" applyBorder="1" applyAlignment="1" applyProtection="1">
      <alignment horizontal="left"/>
      <protection locked="0"/>
    </xf>
    <xf numFmtId="0" fontId="87" fillId="8"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166" fontId="49" fillId="5" borderId="1" xfId="2" applyNumberFormat="1" applyFont="1" applyFill="1" applyBorder="1" applyProtection="1"/>
    <xf numFmtId="165" fontId="0" fillId="5" borderId="1" xfId="1" applyNumberFormat="1" applyFont="1" applyFill="1" applyBorder="1" applyProtection="1">
      <protection locked="0"/>
    </xf>
    <xf numFmtId="0" fontId="26" fillId="0" borderId="17" xfId="0" applyFont="1" applyBorder="1" applyAlignment="1">
      <alignment horizontal="center" vertical="top" wrapText="1"/>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0" fontId="0" fillId="5" borderId="2" xfId="0" applyFill="1" applyBorder="1" applyAlignment="1" applyProtection="1">
      <alignment horizontal="center" vertical="top"/>
      <protection locked="0"/>
    </xf>
    <xf numFmtId="37" fontId="0" fillId="5" borderId="2" xfId="1" applyNumberFormat="1" applyFont="1" applyFill="1" applyBorder="1" applyAlignment="1" applyProtection="1">
      <alignment horizontal="center" vertical="top"/>
      <protection locked="0"/>
    </xf>
    <xf numFmtId="165" fontId="0" fillId="5" borderId="17" xfId="1" applyNumberFormat="1" applyFont="1" applyFill="1" applyBorder="1" applyAlignment="1" applyProtection="1">
      <alignment vertical="top"/>
      <protection locked="0"/>
    </xf>
    <xf numFmtId="165" fontId="0" fillId="5" borderId="18" xfId="1" applyNumberFormat="1" applyFont="1" applyFill="1" applyBorder="1" applyProtection="1">
      <protection locked="0"/>
    </xf>
    <xf numFmtId="165" fontId="0" fillId="5" borderId="19" xfId="1" applyNumberFormat="1" applyFont="1" applyFill="1" applyBorder="1" applyProtection="1">
      <protection locked="0"/>
    </xf>
    <xf numFmtId="168" fontId="0" fillId="5" borderId="2" xfId="1" applyNumberFormat="1" applyFont="1" applyFill="1" applyBorder="1" applyAlignment="1" applyProtection="1">
      <alignment horizontal="center" vertical="top"/>
      <protection locked="0"/>
    </xf>
    <xf numFmtId="0" fontId="26" fillId="5" borderId="2" xfId="0" applyFont="1" applyFill="1" applyBorder="1" applyAlignment="1" applyProtection="1">
      <alignment horizontal="center" vertical="top"/>
      <protection locked="0"/>
    </xf>
    <xf numFmtId="37" fontId="26" fillId="5" borderId="2" xfId="1" applyNumberFormat="1" applyFont="1" applyFill="1" applyBorder="1" applyAlignment="1" applyProtection="1">
      <alignment horizontal="center" vertical="top"/>
      <protection locked="0"/>
    </xf>
    <xf numFmtId="168" fontId="26" fillId="5" borderId="2" xfId="1" applyNumberFormat="1" applyFont="1" applyFill="1" applyBorder="1" applyAlignment="1" applyProtection="1">
      <alignment horizontal="center" vertical="top"/>
      <protection locked="0"/>
    </xf>
    <xf numFmtId="165" fontId="88" fillId="8" borderId="1" xfId="1" applyNumberFormat="1" applyFont="1" applyFill="1" applyBorder="1" applyProtection="1">
      <protection locked="0"/>
    </xf>
    <xf numFmtId="0" fontId="57" fillId="0" borderId="0" xfId="960"/>
    <xf numFmtId="0" fontId="37" fillId="0" borderId="0" xfId="960" applyFont="1"/>
    <xf numFmtId="0" fontId="37" fillId="0" borderId="0" xfId="960" applyFont="1" applyAlignment="1">
      <alignment vertical="top"/>
    </xf>
    <xf numFmtId="0" fontId="37" fillId="0" borderId="0" xfId="5" applyFont="1" applyAlignment="1">
      <alignment vertical="top"/>
    </xf>
    <xf numFmtId="169" fontId="37" fillId="0" borderId="0" xfId="960" applyNumberFormat="1" applyFont="1" applyAlignment="1">
      <alignment horizontal="center" vertical="top"/>
    </xf>
    <xf numFmtId="0" fontId="37" fillId="0" borderId="0" xfId="960" applyFont="1" applyAlignment="1">
      <alignment horizontal="center" vertical="top"/>
    </xf>
    <xf numFmtId="37" fontId="37" fillId="0" borderId="0" xfId="960" applyNumberFormat="1" applyFont="1" applyAlignment="1">
      <alignment vertical="top"/>
    </xf>
    <xf numFmtId="0" fontId="37" fillId="0" borderId="0" xfId="961" applyFont="1" applyAlignment="1" applyProtection="1">
      <alignment horizontal="center" vertical="top"/>
      <protection locked="0"/>
    </xf>
    <xf numFmtId="169" fontId="37" fillId="0" borderId="0" xfId="961" applyNumberFormat="1" applyFont="1" applyAlignment="1">
      <alignment horizontal="center" vertical="top"/>
    </xf>
    <xf numFmtId="0" fontId="54" fillId="0" borderId="0" xfId="956" applyFont="1" applyAlignment="1">
      <alignment horizontal="center" vertical="top" wrapText="1"/>
    </xf>
    <xf numFmtId="0" fontId="37" fillId="0" borderId="0" xfId="956" applyFont="1" applyAlignment="1">
      <alignment vertical="top" wrapText="1"/>
    </xf>
    <xf numFmtId="37" fontId="54" fillId="0" borderId="0" xfId="956" applyNumberFormat="1" applyFont="1" applyAlignment="1">
      <alignment horizontal="center" vertical="top" wrapText="1"/>
    </xf>
    <xf numFmtId="0" fontId="57" fillId="0" borderId="0" xfId="974"/>
    <xf numFmtId="0" fontId="37" fillId="0" borderId="0" xfId="974" applyFont="1"/>
    <xf numFmtId="0" fontId="37" fillId="0" borderId="0" xfId="974" applyFont="1" applyAlignment="1">
      <alignment vertical="top"/>
    </xf>
    <xf numFmtId="0" fontId="37" fillId="0" borderId="0" xfId="975" applyFont="1" applyAlignment="1">
      <alignment vertical="top"/>
    </xf>
    <xf numFmtId="169" fontId="37" fillId="0" borderId="0" xfId="975" applyNumberFormat="1" applyFont="1" applyAlignment="1">
      <alignment horizontal="center" vertical="top"/>
    </xf>
    <xf numFmtId="0" fontId="37" fillId="0" borderId="0" xfId="975" applyFont="1" applyAlignment="1">
      <alignment horizontal="center" vertical="top"/>
    </xf>
    <xf numFmtId="0" fontId="54" fillId="0" borderId="0" xfId="975" applyFont="1" applyAlignment="1">
      <alignment horizontal="center" vertical="top" wrapText="1"/>
    </xf>
    <xf numFmtId="37" fontId="54" fillId="0" borderId="0" xfId="975" applyNumberFormat="1" applyFont="1" applyAlignment="1">
      <alignment horizontal="center" vertical="top" wrapText="1"/>
    </xf>
    <xf numFmtId="0" fontId="37" fillId="0" borderId="0" xfId="1550" applyFont="1" applyAlignment="1">
      <alignment vertical="top"/>
    </xf>
    <xf numFmtId="0" fontId="37" fillId="0" borderId="0" xfId="2246" applyFont="1"/>
    <xf numFmtId="0" fontId="37" fillId="0" borderId="0" xfId="2246" applyFont="1" applyAlignment="1">
      <alignment vertical="top"/>
    </xf>
    <xf numFmtId="169" fontId="37" fillId="0" borderId="0" xfId="2246" applyNumberFormat="1" applyFont="1" applyAlignment="1">
      <alignment horizontal="center" vertical="top"/>
    </xf>
    <xf numFmtId="0" fontId="37" fillId="0" borderId="0" xfId="2246" applyFont="1" applyAlignment="1">
      <alignment horizontal="center" vertical="top"/>
    </xf>
    <xf numFmtId="0" fontId="54" fillId="0" borderId="0" xfId="2246" applyFont="1" applyAlignment="1">
      <alignment horizontal="center" vertical="top" wrapText="1"/>
    </xf>
    <xf numFmtId="0" fontId="37" fillId="0" borderId="0" xfId="2246" applyFont="1" applyAlignment="1">
      <alignment vertical="top" wrapText="1"/>
    </xf>
    <xf numFmtId="37" fontId="54" fillId="0" borderId="0" xfId="2246" applyNumberFormat="1" applyFont="1" applyAlignment="1">
      <alignment horizontal="center" vertical="top" wrapText="1"/>
    </xf>
    <xf numFmtId="0" fontId="37" fillId="0" borderId="0" xfId="2247" applyFont="1" applyAlignment="1">
      <alignment vertical="top"/>
    </xf>
    <xf numFmtId="0" fontId="37" fillId="0" borderId="0" xfId="4" applyFont="1" applyAlignment="1">
      <alignment vertical="top"/>
    </xf>
    <xf numFmtId="0" fontId="37" fillId="0" borderId="0" xfId="4" applyFont="1" applyAlignment="1">
      <alignment vertical="top" wrapText="1"/>
    </xf>
    <xf numFmtId="37" fontId="37" fillId="0" borderId="0" xfId="4" applyNumberFormat="1" applyFont="1" applyAlignment="1">
      <alignment vertical="top" wrapText="1"/>
    </xf>
    <xf numFmtId="0" fontId="54" fillId="0" borderId="0" xfId="4" applyFont="1" applyAlignment="1">
      <alignment horizontal="center" vertical="top" wrapText="1"/>
    </xf>
    <xf numFmtId="0" fontId="54" fillId="0" borderId="0" xfId="2247" applyFont="1" applyAlignment="1">
      <alignment horizontal="center" vertical="top" wrapText="1"/>
    </xf>
    <xf numFmtId="0" fontId="37" fillId="0" borderId="0" xfId="2247" applyFont="1" applyAlignment="1">
      <alignment vertical="top" wrapText="1"/>
    </xf>
    <xf numFmtId="37" fontId="54" fillId="0" borderId="0" xfId="2247" applyNumberFormat="1" applyFont="1" applyAlignment="1">
      <alignment horizontal="center" vertical="top" wrapText="1"/>
    </xf>
    <xf numFmtId="0" fontId="135" fillId="0" borderId="0" xfId="2247" applyFont="1" applyAlignment="1">
      <alignment vertical="top"/>
    </xf>
    <xf numFmtId="0" fontId="54" fillId="0" borderId="0" xfId="2247" applyFont="1" applyAlignment="1">
      <alignment horizontal="center" vertical="top"/>
    </xf>
    <xf numFmtId="0" fontId="37" fillId="0" borderId="0" xfId="2248" applyFont="1" applyAlignment="1">
      <alignment vertical="top"/>
    </xf>
    <xf numFmtId="0" fontId="37" fillId="0" borderId="0" xfId="484" applyFont="1" applyAlignment="1">
      <alignment vertical="top"/>
    </xf>
    <xf numFmtId="0" fontId="37" fillId="0" borderId="0" xfId="484" applyFont="1" applyAlignment="1">
      <alignment horizontal="center" vertical="top"/>
    </xf>
    <xf numFmtId="169" fontId="37" fillId="0" borderId="0" xfId="484" applyNumberFormat="1" applyFont="1" applyAlignment="1">
      <alignment horizontal="center" vertical="top"/>
    </xf>
    <xf numFmtId="37" fontId="37" fillId="0" borderId="0" xfId="484" applyNumberFormat="1" applyFont="1" applyAlignment="1">
      <alignment vertical="top"/>
    </xf>
    <xf numFmtId="0" fontId="37" fillId="0" borderId="0" xfId="953" applyFont="1" applyAlignment="1">
      <alignment vertical="top"/>
    </xf>
    <xf numFmtId="0" fontId="54" fillId="0" borderId="0" xfId="953" applyFont="1" applyAlignment="1">
      <alignment horizontal="center" vertical="top" wrapText="1"/>
    </xf>
    <xf numFmtId="0" fontId="37" fillId="0" borderId="0" xfId="953" applyFont="1" applyAlignment="1">
      <alignment vertical="top" wrapText="1"/>
    </xf>
    <xf numFmtId="37" fontId="54" fillId="0" borderId="0" xfId="953" applyNumberFormat="1" applyFont="1" applyAlignment="1">
      <alignment horizontal="center" vertical="top" wrapText="1"/>
    </xf>
    <xf numFmtId="1" fontId="54" fillId="0" borderId="0" xfId="953" applyNumberFormat="1" applyFont="1" applyAlignment="1">
      <alignment horizontal="center" vertical="top" wrapText="1"/>
    </xf>
    <xf numFmtId="0" fontId="37" fillId="0" borderId="0" xfId="957" applyFont="1" applyAlignment="1">
      <alignment vertical="top"/>
    </xf>
    <xf numFmtId="0" fontId="54" fillId="0" borderId="0" xfId="957" applyFont="1" applyAlignment="1">
      <alignment horizontal="center" vertical="top" wrapText="1"/>
    </xf>
    <xf numFmtId="0" fontId="37" fillId="0" borderId="0" xfId="957" applyFont="1" applyAlignment="1">
      <alignment vertical="top" wrapText="1"/>
    </xf>
    <xf numFmtId="37" fontId="54" fillId="0" borderId="0" xfId="957" applyNumberFormat="1" applyFont="1" applyAlignment="1">
      <alignment horizontal="center" vertical="top" wrapText="1"/>
    </xf>
    <xf numFmtId="0" fontId="54" fillId="0" borderId="0" xfId="2248" applyFont="1" applyAlignment="1">
      <alignment horizontal="center" vertical="top" wrapText="1"/>
    </xf>
    <xf numFmtId="37" fontId="54" fillId="0" borderId="0" xfId="2248" applyNumberFormat="1" applyFont="1" applyAlignment="1">
      <alignment horizontal="center" vertical="top" wrapText="1"/>
    </xf>
    <xf numFmtId="0" fontId="37" fillId="0" borderId="0" xfId="959" applyFont="1" applyAlignment="1">
      <alignment vertical="top"/>
    </xf>
    <xf numFmtId="0" fontId="37" fillId="0" borderId="0" xfId="959" applyFont="1" applyAlignment="1">
      <alignment vertical="top" wrapText="1"/>
    </xf>
    <xf numFmtId="0" fontId="54" fillId="0" borderId="0" xfId="959" applyFont="1" applyAlignment="1">
      <alignment horizontal="center" vertical="top" wrapText="1"/>
    </xf>
    <xf numFmtId="169" fontId="37" fillId="0" borderId="0" xfId="2249" applyNumberFormat="1" applyFont="1" applyAlignment="1">
      <alignment horizontal="center" vertical="top"/>
    </xf>
    <xf numFmtId="0" fontId="54" fillId="0" borderId="0" xfId="2249" applyFont="1" applyAlignment="1">
      <alignment horizontal="center" vertical="top" wrapText="1"/>
    </xf>
    <xf numFmtId="0" fontId="0" fillId="0" borderId="0" xfId="0" applyAlignment="1">
      <alignment horizontal="left" wrapText="1"/>
    </xf>
    <xf numFmtId="0" fontId="0" fillId="0" borderId="0" xfId="0" applyAlignment="1">
      <alignment horizontal="left" vertical="top" wrapText="1"/>
    </xf>
    <xf numFmtId="172" fontId="15" fillId="0" borderId="0" xfId="0" applyNumberFormat="1" applyFont="1" applyAlignment="1">
      <alignment horizontal="left"/>
    </xf>
    <xf numFmtId="0" fontId="0" fillId="0" borderId="0" xfId="0" applyAlignment="1">
      <alignment wrapText="1"/>
    </xf>
    <xf numFmtId="0" fontId="26" fillId="0" borderId="1"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0" fontId="34" fillId="2" borderId="6" xfId="0" applyFont="1" applyFill="1" applyBorder="1" applyAlignment="1">
      <alignment horizontal="left" vertical="center"/>
    </xf>
    <xf numFmtId="0" fontId="34" fillId="2" borderId="7" xfId="0" applyFont="1" applyFill="1" applyBorder="1" applyAlignment="1">
      <alignment horizontal="left" vertical="center"/>
    </xf>
    <xf numFmtId="0" fontId="34"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 xfId="0" applyFont="1" applyFill="1" applyBorder="1" applyAlignment="1">
      <alignment horizontal="left" vertical="center"/>
    </xf>
    <xf numFmtId="0" fontId="27" fillId="2" borderId="5" xfId="0" applyFont="1" applyFill="1" applyBorder="1" applyAlignment="1">
      <alignment horizontal="left" vertic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5" xfId="0" applyFont="1" applyFill="1" applyBorder="1" applyAlignment="1">
      <alignment horizontal="left" vertical="center"/>
    </xf>
    <xf numFmtId="0" fontId="27" fillId="0" borderId="3" xfId="0" applyFont="1" applyBorder="1" applyAlignment="1">
      <alignment horizontal="left" vertical="center" wrapText="1"/>
    </xf>
    <xf numFmtId="0" fontId="27" fillId="3" borderId="1" xfId="0" applyFont="1" applyFill="1" applyBorder="1" applyAlignment="1">
      <alignment horizontal="center"/>
    </xf>
    <xf numFmtId="0" fontId="26" fillId="5" borderId="1" xfId="0" applyFont="1" applyFill="1" applyBorder="1" applyAlignment="1" applyProtection="1">
      <alignment horizontal="left"/>
      <protection locked="0"/>
    </xf>
    <xf numFmtId="0" fontId="8" fillId="0" borderId="0" xfId="0" applyFont="1" applyAlignment="1">
      <alignment horizontal="left" wrapText="1"/>
    </xf>
    <xf numFmtId="0" fontId="31" fillId="0" borderId="0" xfId="0" applyFont="1" applyAlignment="1">
      <alignment horizontal="left" vertical="top" wrapText="1"/>
    </xf>
    <xf numFmtId="0" fontId="26" fillId="3" borderId="6" xfId="0" applyFont="1" applyFill="1" applyBorder="1" applyAlignment="1">
      <alignment horizontal="center"/>
    </xf>
    <xf numFmtId="0" fontId="26" fillId="3" borderId="5" xfId="0" applyFont="1" applyFill="1" applyBorder="1" applyAlignment="1">
      <alignment horizontal="center"/>
    </xf>
    <xf numFmtId="0" fontId="27" fillId="3" borderId="1" xfId="0" applyFont="1" applyFill="1" applyBorder="1" applyAlignment="1">
      <alignment horizontal="center" wrapText="1"/>
    </xf>
    <xf numFmtId="172" fontId="0" fillId="5" borderId="0" xfId="0" applyNumberFormat="1" applyFill="1" applyAlignment="1" applyProtection="1">
      <alignment horizontal="left" vertical="top" wrapText="1"/>
      <protection locked="0"/>
    </xf>
    <xf numFmtId="0" fontId="0" fillId="5" borderId="0" xfId="0" quotePrefix="1" applyFill="1" applyAlignment="1" applyProtection="1">
      <alignment horizontal="left" vertical="top" wrapText="1"/>
      <protection locked="0"/>
    </xf>
    <xf numFmtId="0" fontId="40" fillId="0" borderId="0" xfId="0" applyFont="1" applyAlignment="1">
      <alignment horizontal="left" vertical="top" wrapText="1"/>
    </xf>
    <xf numFmtId="0" fontId="31" fillId="0" borderId="0" xfId="0" applyFont="1" applyAlignment="1">
      <alignment horizontal="left" wrapText="1"/>
    </xf>
    <xf numFmtId="0" fontId="26" fillId="3" borderId="1" xfId="0" applyFont="1" applyFill="1" applyBorder="1" applyAlignment="1">
      <alignment horizontal="center"/>
    </xf>
    <xf numFmtId="0" fontId="27" fillId="3" borderId="4" xfId="0" applyFont="1" applyFill="1" applyBorder="1" applyAlignment="1">
      <alignment horizontal="center" wrapText="1"/>
    </xf>
    <xf numFmtId="0" fontId="0" fillId="0" borderId="1" xfId="0" applyBorder="1" applyAlignment="1">
      <alignment horizontal="left"/>
    </xf>
    <xf numFmtId="0" fontId="26" fillId="0" borderId="1" xfId="0" applyFont="1" applyBorder="1" applyAlignment="1">
      <alignment horizontal="left"/>
    </xf>
    <xf numFmtId="0" fontId="26" fillId="0" borderId="1" xfId="0" applyFont="1" applyBorder="1" applyAlignment="1">
      <alignment horizontal="left" vertical="center" wrapText="1"/>
    </xf>
    <xf numFmtId="0" fontId="0" fillId="3" borderId="1" xfId="0" applyFill="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3" borderId="6" xfId="0" applyFont="1" applyFill="1" applyBorder="1" applyAlignment="1">
      <alignment horizontal="center"/>
    </xf>
    <xf numFmtId="0" fontId="3" fillId="3" borderId="5" xfId="0" applyFont="1" applyFill="1" applyBorder="1" applyAlignment="1">
      <alignment horizontal="center"/>
    </xf>
    <xf numFmtId="0" fontId="0" fillId="5" borderId="1" xfId="0" applyFill="1" applyBorder="1" applyAlignment="1" applyProtection="1">
      <alignment horizontal="left"/>
      <protection locked="0"/>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3" fillId="3" borderId="7" xfId="0" applyFont="1" applyFill="1" applyBorder="1" applyAlignment="1">
      <alignment horizontal="center"/>
    </xf>
    <xf numFmtId="0" fontId="3" fillId="3" borderId="13" xfId="0" applyFont="1" applyFill="1" applyBorder="1" applyAlignment="1">
      <alignment horizontal="center"/>
    </xf>
    <xf numFmtId="0" fontId="3" fillId="3" borderId="9" xfId="0" applyFont="1" applyFill="1" applyBorder="1" applyAlignment="1">
      <alignment horizontal="center"/>
    </xf>
    <xf numFmtId="0" fontId="3" fillId="3" borderId="14" xfId="0" applyFont="1" applyFill="1" applyBorder="1" applyAlignment="1">
      <alignment horizontal="center"/>
    </xf>
    <xf numFmtId="0" fontId="3" fillId="3" borderId="11" xfId="0" applyFont="1" applyFill="1" applyBorder="1" applyAlignment="1">
      <alignment horizontal="center"/>
    </xf>
    <xf numFmtId="0" fontId="3" fillId="3" borderId="3" xfId="0" applyFont="1" applyFill="1" applyBorder="1" applyAlignment="1">
      <alignment horizontal="center"/>
    </xf>
    <xf numFmtId="0" fontId="3" fillId="3" borderId="12" xfId="0" applyFont="1" applyFill="1" applyBorder="1" applyAlignment="1">
      <alignment horizontal="center"/>
    </xf>
    <xf numFmtId="0" fontId="2" fillId="5" borderId="1" xfId="0" applyFont="1" applyFill="1" applyBorder="1" applyAlignment="1" applyProtection="1">
      <alignment horizontal="left"/>
      <protection locked="0"/>
    </xf>
    <xf numFmtId="0" fontId="3" fillId="0" borderId="1" xfId="0" applyFont="1" applyBorder="1" applyAlignment="1">
      <alignment horizontal="left"/>
    </xf>
    <xf numFmtId="172" fontId="26" fillId="5" borderId="13" xfId="0" applyNumberFormat="1" applyFont="1" applyFill="1" applyBorder="1" applyAlignment="1" applyProtection="1">
      <alignment horizontal="left" vertical="top"/>
      <protection locked="0"/>
    </xf>
    <xf numFmtId="172" fontId="26" fillId="5" borderId="14" xfId="0" applyNumberFormat="1" applyFont="1" applyFill="1" applyBorder="1" applyAlignment="1" applyProtection="1">
      <alignment horizontal="left" vertical="top"/>
      <protection locked="0"/>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3" fillId="3" borderId="2" xfId="0" applyFont="1" applyFill="1" applyBorder="1" applyAlignment="1">
      <alignment horizontal="center"/>
    </xf>
    <xf numFmtId="0" fontId="27" fillId="3" borderId="13" xfId="0" applyFont="1" applyFill="1" applyBorder="1" applyAlignment="1">
      <alignment horizontal="center"/>
    </xf>
    <xf numFmtId="0" fontId="27" fillId="3" borderId="14" xfId="0" applyFont="1" applyFill="1" applyBorder="1" applyAlignment="1">
      <alignment horizontal="center"/>
    </xf>
    <xf numFmtId="0" fontId="27" fillId="3" borderId="11" xfId="0" applyFont="1" applyFill="1" applyBorder="1" applyAlignment="1">
      <alignment horizontal="center"/>
    </xf>
    <xf numFmtId="0" fontId="27" fillId="3" borderId="12" xfId="0" applyFont="1" applyFill="1" applyBorder="1" applyAlignment="1">
      <alignment horizontal="center"/>
    </xf>
    <xf numFmtId="168" fontId="27" fillId="3" borderId="2" xfId="0" applyNumberFormat="1" applyFont="1" applyFill="1" applyBorder="1" applyAlignment="1">
      <alignment horizontal="center" wrapText="1"/>
    </xf>
    <xf numFmtId="168" fontId="27" fillId="3" borderId="8" xfId="0" applyNumberFormat="1" applyFont="1" applyFill="1" applyBorder="1" applyAlignment="1">
      <alignment horizontal="center" wrapText="1"/>
    </xf>
    <xf numFmtId="165" fontId="3" fillId="0" borderId="0" xfId="1" applyNumberFormat="1" applyFont="1" applyFill="1" applyBorder="1" applyAlignment="1">
      <alignment horizontal="center" wrapText="1"/>
    </xf>
    <xf numFmtId="164" fontId="3" fillId="3" borderId="6"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3" borderId="5" xfId="0" applyNumberFormat="1" applyFont="1" applyFill="1" applyBorder="1" applyAlignment="1">
      <alignment horizontal="center"/>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0" fillId="5" borderId="0" xfId="0" applyFill="1" applyAlignment="1">
      <alignment horizontal="left" vertical="top" wrapText="1"/>
    </xf>
    <xf numFmtId="0" fontId="0" fillId="5" borderId="0" xfId="0" applyFill="1" applyAlignment="1" applyProtection="1">
      <alignment horizontal="center" vertical="top" wrapText="1"/>
      <protection locked="0"/>
    </xf>
    <xf numFmtId="0" fontId="0" fillId="5" borderId="1" xfId="0" applyFill="1" applyBorder="1" applyAlignment="1">
      <alignment horizontal="left"/>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3" borderId="6"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87" fillId="8" borderId="6" xfId="0" applyFont="1" applyFill="1" applyBorder="1" applyAlignment="1" applyProtection="1">
      <alignment horizontal="left"/>
      <protection locked="0"/>
    </xf>
    <xf numFmtId="0" fontId="87" fillId="8" borderId="7" xfId="0" applyFont="1" applyFill="1" applyBorder="1" applyAlignment="1" applyProtection="1">
      <alignment horizontal="left"/>
      <protection locked="0"/>
    </xf>
    <xf numFmtId="0" fontId="87" fillId="8" borderId="5" xfId="0" applyFont="1" applyFill="1" applyBorder="1" applyAlignment="1" applyProtection="1">
      <alignment horizontal="left"/>
      <protection locked="0"/>
    </xf>
    <xf numFmtId="0" fontId="0" fillId="5" borderId="13"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26" fillId="5" borderId="13" xfId="0" applyFont="1" applyFill="1" applyBorder="1" applyAlignment="1" applyProtection="1">
      <alignment horizontal="left" vertical="top"/>
      <protection locked="0"/>
    </xf>
    <xf numFmtId="0" fontId="26" fillId="5" borderId="14" xfId="0" applyFont="1" applyFill="1" applyBorder="1" applyAlignment="1" applyProtection="1">
      <alignment horizontal="left" vertical="top"/>
      <protection locked="0"/>
    </xf>
    <xf numFmtId="0" fontId="27" fillId="2" borderId="6" xfId="0" applyFont="1" applyFill="1" applyBorder="1" applyAlignment="1">
      <alignment vertical="center"/>
    </xf>
    <xf numFmtId="0" fontId="27" fillId="2" borderId="7" xfId="0" applyFont="1" applyFill="1" applyBorder="1" applyAlignment="1">
      <alignment vertical="center"/>
    </xf>
    <xf numFmtId="0" fontId="27" fillId="2" borderId="5" xfId="0" applyFont="1" applyFill="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5" xfId="0" applyFont="1" applyBorder="1" applyAlignment="1">
      <alignment vertical="center"/>
    </xf>
    <xf numFmtId="0" fontId="27" fillId="0" borderId="7" xfId="0" applyFont="1" applyBorder="1" applyAlignment="1">
      <alignment horizontal="left" vertical="center" wrapText="1"/>
    </xf>
    <xf numFmtId="0" fontId="50" fillId="3" borderId="2" xfId="0" applyFont="1" applyFill="1" applyBorder="1" applyAlignment="1">
      <alignment horizontal="center" wrapText="1"/>
    </xf>
    <xf numFmtId="0" fontId="50" fillId="3" borderId="8" xfId="0" applyFont="1" applyFill="1" applyBorder="1" applyAlignment="1">
      <alignment horizontal="center" wrapText="1"/>
    </xf>
    <xf numFmtId="0" fontId="9" fillId="3" borderId="2" xfId="0" applyFont="1" applyFill="1" applyBorder="1" applyAlignment="1">
      <alignment horizontal="center" wrapText="1"/>
    </xf>
    <xf numFmtId="0" fontId="9" fillId="3" borderId="8" xfId="0" applyFont="1" applyFill="1" applyBorder="1" applyAlignment="1">
      <alignment horizontal="center" wrapText="1"/>
    </xf>
    <xf numFmtId="0" fontId="50" fillId="3" borderId="1" xfId="0" applyFont="1" applyFill="1" applyBorder="1" applyAlignment="1">
      <alignment horizontal="center" wrapText="1"/>
    </xf>
    <xf numFmtId="0" fontId="9" fillId="3" borderId="1" xfId="0" applyFont="1" applyFill="1" applyBorder="1" applyAlignment="1">
      <alignment horizontal="center" wrapText="1"/>
    </xf>
    <xf numFmtId="165" fontId="9" fillId="0" borderId="0" xfId="1" applyNumberFormat="1" applyFont="1" applyFill="1" applyBorder="1" applyAlignment="1">
      <alignment horizontal="center" wrapText="1"/>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5" xfId="0" applyFont="1" applyFill="1" applyBorder="1" applyAlignment="1">
      <alignment vertical="center"/>
    </xf>
    <xf numFmtId="0" fontId="26" fillId="0" borderId="11"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left" vertical="center"/>
    </xf>
  </cellXfs>
  <cellStyles count="3424">
    <cellStyle name="20% - Accent1 2" xfId="379" xr:uid="{00000000-0005-0000-0000-000000000000}"/>
    <cellStyle name="20% - Accent2 2" xfId="380" xr:uid="{00000000-0005-0000-0000-000001000000}"/>
    <cellStyle name="20% - Accent3 2" xfId="381" xr:uid="{00000000-0005-0000-0000-000002000000}"/>
    <cellStyle name="20% - Accent4 2" xfId="382" xr:uid="{00000000-0005-0000-0000-000003000000}"/>
    <cellStyle name="20% - Accent5 2" xfId="383" xr:uid="{00000000-0005-0000-0000-000004000000}"/>
    <cellStyle name="20% - Accent6 2" xfId="384" xr:uid="{00000000-0005-0000-0000-000005000000}"/>
    <cellStyle name="40% - Accent1 2" xfId="385" xr:uid="{00000000-0005-0000-0000-000006000000}"/>
    <cellStyle name="40% - Accent2 2" xfId="386" xr:uid="{00000000-0005-0000-0000-000007000000}"/>
    <cellStyle name="40% - Accent3 2" xfId="387" xr:uid="{00000000-0005-0000-0000-000008000000}"/>
    <cellStyle name="40% - Accent4 2" xfId="388" xr:uid="{00000000-0005-0000-0000-000009000000}"/>
    <cellStyle name="40% - Accent5 2" xfId="389" xr:uid="{00000000-0005-0000-0000-00000A000000}"/>
    <cellStyle name="40% - Accent6 2" xfId="390" xr:uid="{00000000-0005-0000-0000-00000B000000}"/>
    <cellStyle name="60% - Accent1 2" xfId="391" xr:uid="{00000000-0005-0000-0000-00000C000000}"/>
    <cellStyle name="60% - Accent2 2" xfId="392" xr:uid="{00000000-0005-0000-0000-00000D000000}"/>
    <cellStyle name="60% - Accent3 2" xfId="393" xr:uid="{00000000-0005-0000-0000-00000E000000}"/>
    <cellStyle name="60% - Accent4 2" xfId="394" xr:uid="{00000000-0005-0000-0000-00000F000000}"/>
    <cellStyle name="60% - Accent5 2" xfId="395" xr:uid="{00000000-0005-0000-0000-000010000000}"/>
    <cellStyle name="60% - Accent6 2" xfId="396" xr:uid="{00000000-0005-0000-0000-000011000000}"/>
    <cellStyle name="Accent1 2" xfId="397" xr:uid="{00000000-0005-0000-0000-000012000000}"/>
    <cellStyle name="Accent2 2" xfId="398" xr:uid="{00000000-0005-0000-0000-000013000000}"/>
    <cellStyle name="Accent3 2" xfId="399" xr:uid="{00000000-0005-0000-0000-000014000000}"/>
    <cellStyle name="Accent4 2" xfId="400" xr:uid="{00000000-0005-0000-0000-000015000000}"/>
    <cellStyle name="Accent5 2" xfId="401" xr:uid="{00000000-0005-0000-0000-000016000000}"/>
    <cellStyle name="Accent6 2" xfId="402" xr:uid="{00000000-0005-0000-0000-000017000000}"/>
    <cellStyle name="AccountClassificationTotalRowBalanceCol" xfId="1228" xr:uid="{00000000-0005-0000-0000-000018000000}"/>
    <cellStyle name="AccountClassificationTotalRowDescCol" xfId="1227" xr:uid="{00000000-0005-0000-0000-000019000000}"/>
    <cellStyle name="AccountClassificationTotalRowJERefCol" xfId="1230" xr:uid="{00000000-0005-0000-0000-00001A000000}"/>
    <cellStyle name="AccountClassificationTotalRowNameCol" xfId="1226" xr:uid="{00000000-0005-0000-0000-00001B000000}"/>
    <cellStyle name="AccountClassificationTotalRowSpacerCol" xfId="1229" xr:uid="{00000000-0005-0000-0000-00001C000000}"/>
    <cellStyle name="AccountDetailRowBalanceCol" xfId="757" xr:uid="{00000000-0005-0000-0000-00001D000000}"/>
    <cellStyle name="AccountDetailRowDescCol" xfId="756" xr:uid="{00000000-0005-0000-0000-00001E000000}"/>
    <cellStyle name="AccountDetailRowJERefCol" xfId="1211" xr:uid="{00000000-0005-0000-0000-00001F000000}"/>
    <cellStyle name="AccountDetailRowNameCol" xfId="759" xr:uid="{00000000-0005-0000-0000-000020000000}"/>
    <cellStyle name="AccountDetailRowSpacerCol" xfId="758" xr:uid="{00000000-0005-0000-0000-000021000000}"/>
    <cellStyle name="AccountTypeTotalRowBalanceCol" xfId="1233" xr:uid="{00000000-0005-0000-0000-000022000000}"/>
    <cellStyle name="AccountTypeTotalRowDescCol" xfId="1232" xr:uid="{00000000-0005-0000-0000-000023000000}"/>
    <cellStyle name="AccountTypeTotalRowJERefCol" xfId="1235" xr:uid="{00000000-0005-0000-0000-000024000000}"/>
    <cellStyle name="AccountTypeTotalRowNameCol" xfId="1231" xr:uid="{00000000-0005-0000-0000-000025000000}"/>
    <cellStyle name="AccountTypeTotalRowSpacerCol" xfId="1234" xr:uid="{00000000-0005-0000-0000-000026000000}"/>
    <cellStyle name="Amount" xfId="485" xr:uid="{00000000-0005-0000-0000-000027000000}"/>
    <cellStyle name="Amount - $" xfId="486" xr:uid="{00000000-0005-0000-0000-000028000000}"/>
    <cellStyle name="Amount - $ Double Underline" xfId="487" xr:uid="{00000000-0005-0000-0000-000029000000}"/>
    <cellStyle name="Amount - $ Single Underline" xfId="488" xr:uid="{00000000-0005-0000-0000-00002A000000}"/>
    <cellStyle name="Amount - %" xfId="489" xr:uid="{00000000-0005-0000-0000-00002B000000}"/>
    <cellStyle name="Amount - % Double Underline" xfId="490" xr:uid="{00000000-0005-0000-0000-00002C000000}"/>
    <cellStyle name="Amount - % Single Underline" xfId="491" xr:uid="{00000000-0005-0000-0000-00002D000000}"/>
    <cellStyle name="Amount - Single Underline" xfId="492" xr:uid="{00000000-0005-0000-0000-00002E000000}"/>
    <cellStyle name="Bad 2" xfId="403" xr:uid="{00000000-0005-0000-0000-00002F000000}"/>
    <cellStyle name="Bad 3" xfId="404" xr:uid="{00000000-0005-0000-0000-000030000000}"/>
    <cellStyle name="Calculation 2" xfId="405" xr:uid="{00000000-0005-0000-0000-000031000000}"/>
    <cellStyle name="Check Cell 2" xfId="406" xr:uid="{00000000-0005-0000-0000-000032000000}"/>
    <cellStyle name="ColumnHeaderRowBalanceCol" xfId="762" xr:uid="{00000000-0005-0000-0000-000033000000}"/>
    <cellStyle name="ColumnHeaderRowDescCol" xfId="764" xr:uid="{00000000-0005-0000-0000-000034000000}"/>
    <cellStyle name="ColumnHeaderRowJERefCol" xfId="1210" xr:uid="{00000000-0005-0000-0000-000035000000}"/>
    <cellStyle name="ColumnHeaderRowNameCol" xfId="765" xr:uid="{00000000-0005-0000-0000-000036000000}"/>
    <cellStyle name="ColumnHeaderRowSpacerCol" xfId="763" xr:uid="{00000000-0005-0000-0000-000037000000}"/>
    <cellStyle name="ColumnMetadataRowBalanceCol" xfId="1207" xr:uid="{00000000-0005-0000-0000-000038000000}"/>
    <cellStyle name="ColumnMetadataRowDescCol" xfId="1206" xr:uid="{00000000-0005-0000-0000-000039000000}"/>
    <cellStyle name="ColumnMetadataRowJERefCol" xfId="1209" xr:uid="{00000000-0005-0000-0000-00003A000000}"/>
    <cellStyle name="ColumnMetadataRowNameCol" xfId="1205" xr:uid="{00000000-0005-0000-0000-00003B000000}"/>
    <cellStyle name="ColumnMetadataRowSpacerCol" xfId="1208" xr:uid="{00000000-0005-0000-0000-00003C000000}"/>
    <cellStyle name="Comma" xfId="1" builtinId="3"/>
    <cellStyle name="Comma 10" xfId="241" xr:uid="{00000000-0005-0000-0000-00003E000000}"/>
    <cellStyle name="Comma 10 2" xfId="243" xr:uid="{00000000-0005-0000-0000-00003F000000}"/>
    <cellStyle name="Comma 10 2 2" xfId="370" xr:uid="{00000000-0005-0000-0000-000040000000}"/>
    <cellStyle name="Comma 10 3" xfId="368" xr:uid="{00000000-0005-0000-0000-000041000000}"/>
    <cellStyle name="Comma 10 3 2" xfId="693" xr:uid="{00000000-0005-0000-0000-000042000000}"/>
    <cellStyle name="Comma 10 4" xfId="623" xr:uid="{00000000-0005-0000-0000-000043000000}"/>
    <cellStyle name="Comma 11" xfId="372" xr:uid="{00000000-0005-0000-0000-000044000000}"/>
    <cellStyle name="Comma 11 2" xfId="493" xr:uid="{00000000-0005-0000-0000-000045000000}"/>
    <cellStyle name="Comma 12" xfId="494" xr:uid="{00000000-0005-0000-0000-000046000000}"/>
    <cellStyle name="Comma 13" xfId="495" xr:uid="{00000000-0005-0000-0000-000047000000}"/>
    <cellStyle name="Comma 13 2" xfId="496" xr:uid="{00000000-0005-0000-0000-000048000000}"/>
    <cellStyle name="Comma 14" xfId="497" xr:uid="{00000000-0005-0000-0000-000049000000}"/>
    <cellStyle name="Comma 15" xfId="544" xr:uid="{00000000-0005-0000-0000-00004A000000}"/>
    <cellStyle name="Comma 15 10" xfId="2743" xr:uid="{00000000-0005-0000-0000-00004B000000}"/>
    <cellStyle name="Comma 15 2" xfId="701" xr:uid="{00000000-0005-0000-0000-00004C000000}"/>
    <cellStyle name="Comma 15 2 2" xfId="808" xr:uid="{00000000-0005-0000-0000-00004D000000}"/>
    <cellStyle name="Comma 15 2 2 2" xfId="896" xr:uid="{00000000-0005-0000-0000-00004E000000}"/>
    <cellStyle name="Comma 15 2 2 2 2" xfId="1491" xr:uid="{00000000-0005-0000-0000-00004F000000}"/>
    <cellStyle name="Comma 15 2 2 2 2 2" xfId="2189" xr:uid="{00000000-0005-0000-0000-000050000000}"/>
    <cellStyle name="Comma 15 2 2 2 2 3" xfId="2664" xr:uid="{00000000-0005-0000-0000-000051000000}"/>
    <cellStyle name="Comma 15 2 2 2 2 4" xfId="3367" xr:uid="{00000000-0005-0000-0000-000052000000}"/>
    <cellStyle name="Comma 15 2 2 2 3" xfId="1139" xr:uid="{00000000-0005-0000-0000-000053000000}"/>
    <cellStyle name="Comma 15 2 2 2 3 2" xfId="1938" xr:uid="{00000000-0005-0000-0000-000054000000}"/>
    <cellStyle name="Comma 15 2 2 2 3 3" xfId="3116" xr:uid="{00000000-0005-0000-0000-000055000000}"/>
    <cellStyle name="Comma 15 2 2 2 4" xfId="1718" xr:uid="{00000000-0005-0000-0000-000056000000}"/>
    <cellStyle name="Comma 15 2 2 2 5" xfId="2413" xr:uid="{00000000-0005-0000-0000-000057000000}"/>
    <cellStyle name="Comma 15 2 2 2 6" xfId="2896" xr:uid="{00000000-0005-0000-0000-000058000000}"/>
    <cellStyle name="Comma 15 2 2 3" xfId="1403" xr:uid="{00000000-0005-0000-0000-000059000000}"/>
    <cellStyle name="Comma 15 2 2 3 2" xfId="2101" xr:uid="{00000000-0005-0000-0000-00005A000000}"/>
    <cellStyle name="Comma 15 2 2 3 3" xfId="2576" xr:uid="{00000000-0005-0000-0000-00005B000000}"/>
    <cellStyle name="Comma 15 2 2 3 4" xfId="3279" xr:uid="{00000000-0005-0000-0000-00005C000000}"/>
    <cellStyle name="Comma 15 2 2 4" xfId="1051" xr:uid="{00000000-0005-0000-0000-00005D000000}"/>
    <cellStyle name="Comma 15 2 2 4 2" xfId="1850" xr:uid="{00000000-0005-0000-0000-00005E000000}"/>
    <cellStyle name="Comma 15 2 2 4 3" xfId="3028" xr:uid="{00000000-0005-0000-0000-00005F000000}"/>
    <cellStyle name="Comma 15 2 2 5" xfId="1630" xr:uid="{00000000-0005-0000-0000-000060000000}"/>
    <cellStyle name="Comma 15 2 2 6" xfId="2325" xr:uid="{00000000-0005-0000-0000-000061000000}"/>
    <cellStyle name="Comma 15 2 2 7" xfId="2808" xr:uid="{00000000-0005-0000-0000-000062000000}"/>
    <cellStyle name="Comma 15 2 3" xfId="940" xr:uid="{00000000-0005-0000-0000-000063000000}"/>
    <cellStyle name="Comma 15 2 3 2" xfId="1535" xr:uid="{00000000-0005-0000-0000-000064000000}"/>
    <cellStyle name="Comma 15 2 3 2 2" xfId="2233" xr:uid="{00000000-0005-0000-0000-000065000000}"/>
    <cellStyle name="Comma 15 2 3 2 3" xfId="2708" xr:uid="{00000000-0005-0000-0000-000066000000}"/>
    <cellStyle name="Comma 15 2 3 2 4" xfId="3411" xr:uid="{00000000-0005-0000-0000-000067000000}"/>
    <cellStyle name="Comma 15 2 3 3" xfId="1183" xr:uid="{00000000-0005-0000-0000-000068000000}"/>
    <cellStyle name="Comma 15 2 3 3 2" xfId="1982" xr:uid="{00000000-0005-0000-0000-000069000000}"/>
    <cellStyle name="Comma 15 2 3 3 3" xfId="3160" xr:uid="{00000000-0005-0000-0000-00006A000000}"/>
    <cellStyle name="Comma 15 2 3 4" xfId="1762" xr:uid="{00000000-0005-0000-0000-00006B000000}"/>
    <cellStyle name="Comma 15 2 3 5" xfId="2457" xr:uid="{00000000-0005-0000-0000-00006C000000}"/>
    <cellStyle name="Comma 15 2 3 6" xfId="2940" xr:uid="{00000000-0005-0000-0000-00006D000000}"/>
    <cellStyle name="Comma 15 2 4" xfId="852" xr:uid="{00000000-0005-0000-0000-00006E000000}"/>
    <cellStyle name="Comma 15 2 4 2" xfId="1447" xr:uid="{00000000-0005-0000-0000-00006F000000}"/>
    <cellStyle name="Comma 15 2 4 2 2" xfId="2145" xr:uid="{00000000-0005-0000-0000-000070000000}"/>
    <cellStyle name="Comma 15 2 4 2 3" xfId="2620" xr:uid="{00000000-0005-0000-0000-000071000000}"/>
    <cellStyle name="Comma 15 2 4 2 4" xfId="3323" xr:uid="{00000000-0005-0000-0000-000072000000}"/>
    <cellStyle name="Comma 15 2 4 3" xfId="1095" xr:uid="{00000000-0005-0000-0000-000073000000}"/>
    <cellStyle name="Comma 15 2 4 3 2" xfId="1894" xr:uid="{00000000-0005-0000-0000-000074000000}"/>
    <cellStyle name="Comma 15 2 4 3 3" xfId="3072" xr:uid="{00000000-0005-0000-0000-000075000000}"/>
    <cellStyle name="Comma 15 2 4 4" xfId="1674" xr:uid="{00000000-0005-0000-0000-000076000000}"/>
    <cellStyle name="Comma 15 2 4 5" xfId="2369" xr:uid="{00000000-0005-0000-0000-000077000000}"/>
    <cellStyle name="Comma 15 2 4 6" xfId="2852" xr:uid="{00000000-0005-0000-0000-000078000000}"/>
    <cellStyle name="Comma 15 2 5" xfId="1359" xr:uid="{00000000-0005-0000-0000-000079000000}"/>
    <cellStyle name="Comma 15 2 5 2" xfId="2057" xr:uid="{00000000-0005-0000-0000-00007A000000}"/>
    <cellStyle name="Comma 15 2 5 3" xfId="2532" xr:uid="{00000000-0005-0000-0000-00007B000000}"/>
    <cellStyle name="Comma 15 2 5 4" xfId="3235" xr:uid="{00000000-0005-0000-0000-00007C000000}"/>
    <cellStyle name="Comma 15 2 6" xfId="1007" xr:uid="{00000000-0005-0000-0000-00007D000000}"/>
    <cellStyle name="Comma 15 2 6 2" xfId="1806" xr:uid="{00000000-0005-0000-0000-00007E000000}"/>
    <cellStyle name="Comma 15 2 6 3" xfId="2984" xr:uid="{00000000-0005-0000-0000-00007F000000}"/>
    <cellStyle name="Comma 15 2 7" xfId="1586" xr:uid="{00000000-0005-0000-0000-000080000000}"/>
    <cellStyle name="Comma 15 2 8" xfId="2281" xr:uid="{00000000-0005-0000-0000-000081000000}"/>
    <cellStyle name="Comma 15 2 9" xfId="2764" xr:uid="{00000000-0005-0000-0000-000082000000}"/>
    <cellStyle name="Comma 15 3" xfId="787" xr:uid="{00000000-0005-0000-0000-000083000000}"/>
    <cellStyle name="Comma 15 3 2" xfId="875" xr:uid="{00000000-0005-0000-0000-000084000000}"/>
    <cellStyle name="Comma 15 3 2 2" xfId="1470" xr:uid="{00000000-0005-0000-0000-000085000000}"/>
    <cellStyle name="Comma 15 3 2 2 2" xfId="2168" xr:uid="{00000000-0005-0000-0000-000086000000}"/>
    <cellStyle name="Comma 15 3 2 2 3" xfId="2643" xr:uid="{00000000-0005-0000-0000-000087000000}"/>
    <cellStyle name="Comma 15 3 2 2 4" xfId="3346" xr:uid="{00000000-0005-0000-0000-000088000000}"/>
    <cellStyle name="Comma 15 3 2 3" xfId="1118" xr:uid="{00000000-0005-0000-0000-000089000000}"/>
    <cellStyle name="Comma 15 3 2 3 2" xfId="1917" xr:uid="{00000000-0005-0000-0000-00008A000000}"/>
    <cellStyle name="Comma 15 3 2 3 3" xfId="3095" xr:uid="{00000000-0005-0000-0000-00008B000000}"/>
    <cellStyle name="Comma 15 3 2 4" xfId="1697" xr:uid="{00000000-0005-0000-0000-00008C000000}"/>
    <cellStyle name="Comma 15 3 2 5" xfId="2392" xr:uid="{00000000-0005-0000-0000-00008D000000}"/>
    <cellStyle name="Comma 15 3 2 6" xfId="2875" xr:uid="{00000000-0005-0000-0000-00008E000000}"/>
    <cellStyle name="Comma 15 3 3" xfId="1382" xr:uid="{00000000-0005-0000-0000-00008F000000}"/>
    <cellStyle name="Comma 15 3 3 2" xfId="2080" xr:uid="{00000000-0005-0000-0000-000090000000}"/>
    <cellStyle name="Comma 15 3 3 3" xfId="2555" xr:uid="{00000000-0005-0000-0000-000091000000}"/>
    <cellStyle name="Comma 15 3 3 4" xfId="3258" xr:uid="{00000000-0005-0000-0000-000092000000}"/>
    <cellStyle name="Comma 15 3 4" xfId="1030" xr:uid="{00000000-0005-0000-0000-000093000000}"/>
    <cellStyle name="Comma 15 3 4 2" xfId="1829" xr:uid="{00000000-0005-0000-0000-000094000000}"/>
    <cellStyle name="Comma 15 3 4 3" xfId="3007" xr:uid="{00000000-0005-0000-0000-000095000000}"/>
    <cellStyle name="Comma 15 3 5" xfId="1609" xr:uid="{00000000-0005-0000-0000-000096000000}"/>
    <cellStyle name="Comma 15 3 6" xfId="2304" xr:uid="{00000000-0005-0000-0000-000097000000}"/>
    <cellStyle name="Comma 15 3 7" xfId="2787" xr:uid="{00000000-0005-0000-0000-000098000000}"/>
    <cellStyle name="Comma 15 4" xfId="919" xr:uid="{00000000-0005-0000-0000-000099000000}"/>
    <cellStyle name="Comma 15 4 2" xfId="1514" xr:uid="{00000000-0005-0000-0000-00009A000000}"/>
    <cellStyle name="Comma 15 4 2 2" xfId="2212" xr:uid="{00000000-0005-0000-0000-00009B000000}"/>
    <cellStyle name="Comma 15 4 2 3" xfId="2687" xr:uid="{00000000-0005-0000-0000-00009C000000}"/>
    <cellStyle name="Comma 15 4 2 4" xfId="3390" xr:uid="{00000000-0005-0000-0000-00009D000000}"/>
    <cellStyle name="Comma 15 4 3" xfId="1162" xr:uid="{00000000-0005-0000-0000-00009E000000}"/>
    <cellStyle name="Comma 15 4 3 2" xfId="1961" xr:uid="{00000000-0005-0000-0000-00009F000000}"/>
    <cellStyle name="Comma 15 4 3 3" xfId="3139" xr:uid="{00000000-0005-0000-0000-0000A0000000}"/>
    <cellStyle name="Comma 15 4 4" xfId="1741" xr:uid="{00000000-0005-0000-0000-0000A1000000}"/>
    <cellStyle name="Comma 15 4 5" xfId="2436" xr:uid="{00000000-0005-0000-0000-0000A2000000}"/>
    <cellStyle name="Comma 15 4 6" xfId="2919" xr:uid="{00000000-0005-0000-0000-0000A3000000}"/>
    <cellStyle name="Comma 15 5" xfId="831" xr:uid="{00000000-0005-0000-0000-0000A4000000}"/>
    <cellStyle name="Comma 15 5 2" xfId="1426" xr:uid="{00000000-0005-0000-0000-0000A5000000}"/>
    <cellStyle name="Comma 15 5 2 2" xfId="2124" xr:uid="{00000000-0005-0000-0000-0000A6000000}"/>
    <cellStyle name="Comma 15 5 2 3" xfId="2599" xr:uid="{00000000-0005-0000-0000-0000A7000000}"/>
    <cellStyle name="Comma 15 5 2 4" xfId="3302" xr:uid="{00000000-0005-0000-0000-0000A8000000}"/>
    <cellStyle name="Comma 15 5 3" xfId="1074" xr:uid="{00000000-0005-0000-0000-0000A9000000}"/>
    <cellStyle name="Comma 15 5 3 2" xfId="1873" xr:uid="{00000000-0005-0000-0000-0000AA000000}"/>
    <cellStyle name="Comma 15 5 3 3" xfId="3051" xr:uid="{00000000-0005-0000-0000-0000AB000000}"/>
    <cellStyle name="Comma 15 5 4" xfId="1653" xr:uid="{00000000-0005-0000-0000-0000AC000000}"/>
    <cellStyle name="Comma 15 5 5" xfId="2348" xr:uid="{00000000-0005-0000-0000-0000AD000000}"/>
    <cellStyle name="Comma 15 5 6" xfId="2831" xr:uid="{00000000-0005-0000-0000-0000AE000000}"/>
    <cellStyle name="Comma 15 6" xfId="1338" xr:uid="{00000000-0005-0000-0000-0000AF000000}"/>
    <cellStyle name="Comma 15 6 2" xfId="2036" xr:uid="{00000000-0005-0000-0000-0000B0000000}"/>
    <cellStyle name="Comma 15 6 3" xfId="2511" xr:uid="{00000000-0005-0000-0000-0000B1000000}"/>
    <cellStyle name="Comma 15 6 4" xfId="3214" xr:uid="{00000000-0005-0000-0000-0000B2000000}"/>
    <cellStyle name="Comma 15 7" xfId="986" xr:uid="{00000000-0005-0000-0000-0000B3000000}"/>
    <cellStyle name="Comma 15 7 2" xfId="1785" xr:uid="{00000000-0005-0000-0000-0000B4000000}"/>
    <cellStyle name="Comma 15 7 3" xfId="2963" xr:uid="{00000000-0005-0000-0000-0000B5000000}"/>
    <cellStyle name="Comma 15 8" xfId="1565" xr:uid="{00000000-0005-0000-0000-0000B6000000}"/>
    <cellStyle name="Comma 15 9" xfId="2260" xr:uid="{00000000-0005-0000-0000-0000B7000000}"/>
    <cellStyle name="Comma 16" xfId="482" xr:uid="{00000000-0005-0000-0000-0000B8000000}"/>
    <cellStyle name="Comma 16 10" xfId="2739" xr:uid="{00000000-0005-0000-0000-0000B9000000}"/>
    <cellStyle name="Comma 16 2" xfId="696" xr:uid="{00000000-0005-0000-0000-0000BA000000}"/>
    <cellStyle name="Comma 16 2 2" xfId="804" xr:uid="{00000000-0005-0000-0000-0000BB000000}"/>
    <cellStyle name="Comma 16 2 2 2" xfId="892" xr:uid="{00000000-0005-0000-0000-0000BC000000}"/>
    <cellStyle name="Comma 16 2 2 2 2" xfId="1487" xr:uid="{00000000-0005-0000-0000-0000BD000000}"/>
    <cellStyle name="Comma 16 2 2 2 2 2" xfId="2185" xr:uid="{00000000-0005-0000-0000-0000BE000000}"/>
    <cellStyle name="Comma 16 2 2 2 2 3" xfId="2660" xr:uid="{00000000-0005-0000-0000-0000BF000000}"/>
    <cellStyle name="Comma 16 2 2 2 2 4" xfId="3363" xr:uid="{00000000-0005-0000-0000-0000C0000000}"/>
    <cellStyle name="Comma 16 2 2 2 3" xfId="1135" xr:uid="{00000000-0005-0000-0000-0000C1000000}"/>
    <cellStyle name="Comma 16 2 2 2 3 2" xfId="1934" xr:uid="{00000000-0005-0000-0000-0000C2000000}"/>
    <cellStyle name="Comma 16 2 2 2 3 3" xfId="3112" xr:uid="{00000000-0005-0000-0000-0000C3000000}"/>
    <cellStyle name="Comma 16 2 2 2 4" xfId="1714" xr:uid="{00000000-0005-0000-0000-0000C4000000}"/>
    <cellStyle name="Comma 16 2 2 2 5" xfId="2409" xr:uid="{00000000-0005-0000-0000-0000C5000000}"/>
    <cellStyle name="Comma 16 2 2 2 6" xfId="2892" xr:uid="{00000000-0005-0000-0000-0000C6000000}"/>
    <cellStyle name="Comma 16 2 2 3" xfId="1399" xr:uid="{00000000-0005-0000-0000-0000C7000000}"/>
    <cellStyle name="Comma 16 2 2 3 2" xfId="2097" xr:uid="{00000000-0005-0000-0000-0000C8000000}"/>
    <cellStyle name="Comma 16 2 2 3 3" xfId="2572" xr:uid="{00000000-0005-0000-0000-0000C9000000}"/>
    <cellStyle name="Comma 16 2 2 3 4" xfId="3275" xr:uid="{00000000-0005-0000-0000-0000CA000000}"/>
    <cellStyle name="Comma 16 2 2 4" xfId="1047" xr:uid="{00000000-0005-0000-0000-0000CB000000}"/>
    <cellStyle name="Comma 16 2 2 4 2" xfId="1846" xr:uid="{00000000-0005-0000-0000-0000CC000000}"/>
    <cellStyle name="Comma 16 2 2 4 3" xfId="3024" xr:uid="{00000000-0005-0000-0000-0000CD000000}"/>
    <cellStyle name="Comma 16 2 2 5" xfId="1626" xr:uid="{00000000-0005-0000-0000-0000CE000000}"/>
    <cellStyle name="Comma 16 2 2 6" xfId="2321" xr:uid="{00000000-0005-0000-0000-0000CF000000}"/>
    <cellStyle name="Comma 16 2 2 7" xfId="2804" xr:uid="{00000000-0005-0000-0000-0000D0000000}"/>
    <cellStyle name="Comma 16 2 3" xfId="936" xr:uid="{00000000-0005-0000-0000-0000D1000000}"/>
    <cellStyle name="Comma 16 2 3 2" xfId="1531" xr:uid="{00000000-0005-0000-0000-0000D2000000}"/>
    <cellStyle name="Comma 16 2 3 2 2" xfId="2229" xr:uid="{00000000-0005-0000-0000-0000D3000000}"/>
    <cellStyle name="Comma 16 2 3 2 3" xfId="2704" xr:uid="{00000000-0005-0000-0000-0000D4000000}"/>
    <cellStyle name="Comma 16 2 3 2 4" xfId="3407" xr:uid="{00000000-0005-0000-0000-0000D5000000}"/>
    <cellStyle name="Comma 16 2 3 3" xfId="1179" xr:uid="{00000000-0005-0000-0000-0000D6000000}"/>
    <cellStyle name="Comma 16 2 3 3 2" xfId="1978" xr:uid="{00000000-0005-0000-0000-0000D7000000}"/>
    <cellStyle name="Comma 16 2 3 3 3" xfId="3156" xr:uid="{00000000-0005-0000-0000-0000D8000000}"/>
    <cellStyle name="Comma 16 2 3 4" xfId="1758" xr:uid="{00000000-0005-0000-0000-0000D9000000}"/>
    <cellStyle name="Comma 16 2 3 5" xfId="2453" xr:uid="{00000000-0005-0000-0000-0000DA000000}"/>
    <cellStyle name="Comma 16 2 3 6" xfId="2936" xr:uid="{00000000-0005-0000-0000-0000DB000000}"/>
    <cellStyle name="Comma 16 2 4" xfId="848" xr:uid="{00000000-0005-0000-0000-0000DC000000}"/>
    <cellStyle name="Comma 16 2 4 2" xfId="1443" xr:uid="{00000000-0005-0000-0000-0000DD000000}"/>
    <cellStyle name="Comma 16 2 4 2 2" xfId="2141" xr:uid="{00000000-0005-0000-0000-0000DE000000}"/>
    <cellStyle name="Comma 16 2 4 2 3" xfId="2616" xr:uid="{00000000-0005-0000-0000-0000DF000000}"/>
    <cellStyle name="Comma 16 2 4 2 4" xfId="3319" xr:uid="{00000000-0005-0000-0000-0000E0000000}"/>
    <cellStyle name="Comma 16 2 4 3" xfId="1091" xr:uid="{00000000-0005-0000-0000-0000E1000000}"/>
    <cellStyle name="Comma 16 2 4 3 2" xfId="1890" xr:uid="{00000000-0005-0000-0000-0000E2000000}"/>
    <cellStyle name="Comma 16 2 4 3 3" xfId="3068" xr:uid="{00000000-0005-0000-0000-0000E3000000}"/>
    <cellStyle name="Comma 16 2 4 4" xfId="1670" xr:uid="{00000000-0005-0000-0000-0000E4000000}"/>
    <cellStyle name="Comma 16 2 4 5" xfId="2365" xr:uid="{00000000-0005-0000-0000-0000E5000000}"/>
    <cellStyle name="Comma 16 2 4 6" xfId="2848" xr:uid="{00000000-0005-0000-0000-0000E6000000}"/>
    <cellStyle name="Comma 16 2 5" xfId="1355" xr:uid="{00000000-0005-0000-0000-0000E7000000}"/>
    <cellStyle name="Comma 16 2 5 2" xfId="2053" xr:uid="{00000000-0005-0000-0000-0000E8000000}"/>
    <cellStyle name="Comma 16 2 5 3" xfId="2528" xr:uid="{00000000-0005-0000-0000-0000E9000000}"/>
    <cellStyle name="Comma 16 2 5 4" xfId="3231" xr:uid="{00000000-0005-0000-0000-0000EA000000}"/>
    <cellStyle name="Comma 16 2 6" xfId="1003" xr:uid="{00000000-0005-0000-0000-0000EB000000}"/>
    <cellStyle name="Comma 16 2 6 2" xfId="1802" xr:uid="{00000000-0005-0000-0000-0000EC000000}"/>
    <cellStyle name="Comma 16 2 6 3" xfId="2980" xr:uid="{00000000-0005-0000-0000-0000ED000000}"/>
    <cellStyle name="Comma 16 2 7" xfId="1582" xr:uid="{00000000-0005-0000-0000-0000EE000000}"/>
    <cellStyle name="Comma 16 2 8" xfId="2277" xr:uid="{00000000-0005-0000-0000-0000EF000000}"/>
    <cellStyle name="Comma 16 2 9" xfId="2760" xr:uid="{00000000-0005-0000-0000-0000F0000000}"/>
    <cellStyle name="Comma 16 3" xfId="783" xr:uid="{00000000-0005-0000-0000-0000F1000000}"/>
    <cellStyle name="Comma 16 3 2" xfId="871" xr:uid="{00000000-0005-0000-0000-0000F2000000}"/>
    <cellStyle name="Comma 16 3 2 2" xfId="1466" xr:uid="{00000000-0005-0000-0000-0000F3000000}"/>
    <cellStyle name="Comma 16 3 2 2 2" xfId="2164" xr:uid="{00000000-0005-0000-0000-0000F4000000}"/>
    <cellStyle name="Comma 16 3 2 2 3" xfId="2639" xr:uid="{00000000-0005-0000-0000-0000F5000000}"/>
    <cellStyle name="Comma 16 3 2 2 4" xfId="3342" xr:uid="{00000000-0005-0000-0000-0000F6000000}"/>
    <cellStyle name="Comma 16 3 2 3" xfId="1114" xr:uid="{00000000-0005-0000-0000-0000F7000000}"/>
    <cellStyle name="Comma 16 3 2 3 2" xfId="1913" xr:uid="{00000000-0005-0000-0000-0000F8000000}"/>
    <cellStyle name="Comma 16 3 2 3 3" xfId="3091" xr:uid="{00000000-0005-0000-0000-0000F9000000}"/>
    <cellStyle name="Comma 16 3 2 4" xfId="1693" xr:uid="{00000000-0005-0000-0000-0000FA000000}"/>
    <cellStyle name="Comma 16 3 2 5" xfId="2388" xr:uid="{00000000-0005-0000-0000-0000FB000000}"/>
    <cellStyle name="Comma 16 3 2 6" xfId="2871" xr:uid="{00000000-0005-0000-0000-0000FC000000}"/>
    <cellStyle name="Comma 16 3 3" xfId="1378" xr:uid="{00000000-0005-0000-0000-0000FD000000}"/>
    <cellStyle name="Comma 16 3 3 2" xfId="2076" xr:uid="{00000000-0005-0000-0000-0000FE000000}"/>
    <cellStyle name="Comma 16 3 3 3" xfId="2551" xr:uid="{00000000-0005-0000-0000-0000FF000000}"/>
    <cellStyle name="Comma 16 3 3 4" xfId="3254" xr:uid="{00000000-0005-0000-0000-000000010000}"/>
    <cellStyle name="Comma 16 3 4" xfId="1026" xr:uid="{00000000-0005-0000-0000-000001010000}"/>
    <cellStyle name="Comma 16 3 4 2" xfId="1825" xr:uid="{00000000-0005-0000-0000-000002010000}"/>
    <cellStyle name="Comma 16 3 4 3" xfId="3003" xr:uid="{00000000-0005-0000-0000-000003010000}"/>
    <cellStyle name="Comma 16 3 5" xfId="1605" xr:uid="{00000000-0005-0000-0000-000004010000}"/>
    <cellStyle name="Comma 16 3 6" xfId="2300" xr:uid="{00000000-0005-0000-0000-000005010000}"/>
    <cellStyle name="Comma 16 3 7" xfId="2783" xr:uid="{00000000-0005-0000-0000-000006010000}"/>
    <cellStyle name="Comma 16 4" xfId="915" xr:uid="{00000000-0005-0000-0000-000007010000}"/>
    <cellStyle name="Comma 16 4 2" xfId="1510" xr:uid="{00000000-0005-0000-0000-000008010000}"/>
    <cellStyle name="Comma 16 4 2 2" xfId="2208" xr:uid="{00000000-0005-0000-0000-000009010000}"/>
    <cellStyle name="Comma 16 4 2 3" xfId="2683" xr:uid="{00000000-0005-0000-0000-00000A010000}"/>
    <cellStyle name="Comma 16 4 2 4" xfId="3386" xr:uid="{00000000-0005-0000-0000-00000B010000}"/>
    <cellStyle name="Comma 16 4 3" xfId="1158" xr:uid="{00000000-0005-0000-0000-00000C010000}"/>
    <cellStyle name="Comma 16 4 3 2" xfId="1957" xr:uid="{00000000-0005-0000-0000-00000D010000}"/>
    <cellStyle name="Comma 16 4 3 3" xfId="3135" xr:uid="{00000000-0005-0000-0000-00000E010000}"/>
    <cellStyle name="Comma 16 4 4" xfId="1737" xr:uid="{00000000-0005-0000-0000-00000F010000}"/>
    <cellStyle name="Comma 16 4 5" xfId="2432" xr:uid="{00000000-0005-0000-0000-000010010000}"/>
    <cellStyle name="Comma 16 4 6" xfId="2915" xr:uid="{00000000-0005-0000-0000-000011010000}"/>
    <cellStyle name="Comma 16 5" xfId="827" xr:uid="{00000000-0005-0000-0000-000012010000}"/>
    <cellStyle name="Comma 16 5 2" xfId="1422" xr:uid="{00000000-0005-0000-0000-000013010000}"/>
    <cellStyle name="Comma 16 5 2 2" xfId="2120" xr:uid="{00000000-0005-0000-0000-000014010000}"/>
    <cellStyle name="Comma 16 5 2 3" xfId="2595" xr:uid="{00000000-0005-0000-0000-000015010000}"/>
    <cellStyle name="Comma 16 5 2 4" xfId="3298" xr:uid="{00000000-0005-0000-0000-000016010000}"/>
    <cellStyle name="Comma 16 5 3" xfId="1070" xr:uid="{00000000-0005-0000-0000-000017010000}"/>
    <cellStyle name="Comma 16 5 3 2" xfId="1869" xr:uid="{00000000-0005-0000-0000-000018010000}"/>
    <cellStyle name="Comma 16 5 3 3" xfId="3047" xr:uid="{00000000-0005-0000-0000-000019010000}"/>
    <cellStyle name="Comma 16 5 4" xfId="1649" xr:uid="{00000000-0005-0000-0000-00001A010000}"/>
    <cellStyle name="Comma 16 5 5" xfId="2344" xr:uid="{00000000-0005-0000-0000-00001B010000}"/>
    <cellStyle name="Comma 16 5 6" xfId="2827" xr:uid="{00000000-0005-0000-0000-00001C010000}"/>
    <cellStyle name="Comma 16 6" xfId="1334" xr:uid="{00000000-0005-0000-0000-00001D010000}"/>
    <cellStyle name="Comma 16 6 2" xfId="2032" xr:uid="{00000000-0005-0000-0000-00001E010000}"/>
    <cellStyle name="Comma 16 6 3" xfId="2507" xr:uid="{00000000-0005-0000-0000-00001F010000}"/>
    <cellStyle name="Comma 16 6 4" xfId="3210" xr:uid="{00000000-0005-0000-0000-000020010000}"/>
    <cellStyle name="Comma 16 7" xfId="982" xr:uid="{00000000-0005-0000-0000-000021010000}"/>
    <cellStyle name="Comma 16 7 2" xfId="1781" xr:uid="{00000000-0005-0000-0000-000022010000}"/>
    <cellStyle name="Comma 16 7 3" xfId="2959" xr:uid="{00000000-0005-0000-0000-000023010000}"/>
    <cellStyle name="Comma 16 8" xfId="1561" xr:uid="{00000000-0005-0000-0000-000024010000}"/>
    <cellStyle name="Comma 16 9" xfId="2256" xr:uid="{00000000-0005-0000-0000-000025010000}"/>
    <cellStyle name="Comma 17" xfId="704" xr:uid="{00000000-0005-0000-0000-000026010000}"/>
    <cellStyle name="Comma 17 2" xfId="718" xr:uid="{00000000-0005-0000-0000-000027010000}"/>
    <cellStyle name="Comma 18" xfId="744" xr:uid="{00000000-0005-0000-0000-000028010000}"/>
    <cellStyle name="Comma 19" xfId="753" xr:uid="{00000000-0005-0000-0000-000029010000}"/>
    <cellStyle name="Comma 2" xfId="10" xr:uid="{00000000-0005-0000-0000-00002A010000}"/>
    <cellStyle name="Comma 2 10" xfId="407" xr:uid="{00000000-0005-0000-0000-00002B010000}"/>
    <cellStyle name="Comma 2 11" xfId="558" xr:uid="{00000000-0005-0000-0000-00002C010000}"/>
    <cellStyle name="Comma 2 12" xfId="66" xr:uid="{00000000-0005-0000-0000-00002D010000}"/>
    <cellStyle name="Comma 2 13" xfId="52" xr:uid="{00000000-0005-0000-0000-00002E010000}"/>
    <cellStyle name="Comma 2 13 2" xfId="1318" xr:uid="{00000000-0005-0000-0000-00002F010000}"/>
    <cellStyle name="Comma 2 13 3" xfId="1200" xr:uid="{00000000-0005-0000-0000-000030010000}"/>
    <cellStyle name="Comma 2 14" xfId="46" xr:uid="{00000000-0005-0000-0000-000031010000}"/>
    <cellStyle name="Comma 2 14 2" xfId="1314" xr:uid="{00000000-0005-0000-0000-000032010000}"/>
    <cellStyle name="Comma 2 14 3" xfId="2024" xr:uid="{00000000-0005-0000-0000-000033010000}"/>
    <cellStyle name="Comma 2 14 4" xfId="2499" xr:uid="{00000000-0005-0000-0000-000034010000}"/>
    <cellStyle name="Comma 2 14 5" xfId="3202" xr:uid="{00000000-0005-0000-0000-000035010000}"/>
    <cellStyle name="Comma 2 15" xfId="965" xr:uid="{00000000-0005-0000-0000-000036010000}"/>
    <cellStyle name="Comma 2 16" xfId="1552" xr:uid="{00000000-0005-0000-0000-000037010000}"/>
    <cellStyle name="Comma 2 17" xfId="2730" xr:uid="{00000000-0005-0000-0000-000038010000}"/>
    <cellStyle name="Comma 2 2" xfId="23" xr:uid="{00000000-0005-0000-0000-000039010000}"/>
    <cellStyle name="Comma 2 2 2" xfId="36" xr:uid="{00000000-0005-0000-0000-00003A010000}"/>
    <cellStyle name="Comma 2 2 2 2" xfId="54" xr:uid="{00000000-0005-0000-0000-00003B010000}"/>
    <cellStyle name="Comma 2 2 2 2 2" xfId="258" xr:uid="{00000000-0005-0000-0000-00003C010000}"/>
    <cellStyle name="Comma 2 2 2 3" xfId="257" xr:uid="{00000000-0005-0000-0000-00003D010000}"/>
    <cellStyle name="Comma 2 2 2 4" xfId="499" xr:uid="{00000000-0005-0000-0000-00003E010000}"/>
    <cellStyle name="Comma 2 2 2 5" xfId="56" xr:uid="{00000000-0005-0000-0000-00003F010000}"/>
    <cellStyle name="Comma 2 2 2 6" xfId="1305" xr:uid="{00000000-0005-0000-0000-000040010000}"/>
    <cellStyle name="Comma 2 2 3" xfId="32" xr:uid="{00000000-0005-0000-0000-000041010000}"/>
    <cellStyle name="Comma 2 2 3 2" xfId="259" xr:uid="{00000000-0005-0000-0000-000042010000}"/>
    <cellStyle name="Comma 2 2 3 3" xfId="53" xr:uid="{00000000-0005-0000-0000-000043010000}"/>
    <cellStyle name="Comma 2 2 3 4" xfId="1302" xr:uid="{00000000-0005-0000-0000-000044010000}"/>
    <cellStyle name="Comma 2 2 3 5" xfId="970" xr:uid="{00000000-0005-0000-0000-000045010000}"/>
    <cellStyle name="Comma 2 2 4" xfId="256" xr:uid="{00000000-0005-0000-0000-000046010000}"/>
    <cellStyle name="Comma 2 2 5" xfId="498" xr:uid="{00000000-0005-0000-0000-000047010000}"/>
    <cellStyle name="Comma 2 2 6" xfId="773" xr:uid="{00000000-0005-0000-0000-000048010000}"/>
    <cellStyle name="Comma 2 2 7" xfId="61" xr:uid="{00000000-0005-0000-0000-000049010000}"/>
    <cellStyle name="Comma 2 2 7 2" xfId="1319" xr:uid="{00000000-0005-0000-0000-00004A010000}"/>
    <cellStyle name="Comma 2 2 7 3" xfId="1248" xr:uid="{00000000-0005-0000-0000-00004B010000}"/>
    <cellStyle name="Comma 2 2 7 4" xfId="1999" xr:uid="{00000000-0005-0000-0000-00004C010000}"/>
    <cellStyle name="Comma 2 2 7 5" xfId="2474" xr:uid="{00000000-0005-0000-0000-00004D010000}"/>
    <cellStyle name="Comma 2 2 7 6" xfId="3177" xr:uid="{00000000-0005-0000-0000-00004E010000}"/>
    <cellStyle name="Comma 2 2 8" xfId="2727" xr:uid="{00000000-0005-0000-0000-00004F010000}"/>
    <cellStyle name="Comma 2 3" xfId="21" xr:uid="{00000000-0005-0000-0000-000050010000}"/>
    <cellStyle name="Comma 2 3 2" xfId="260" xr:uid="{00000000-0005-0000-0000-000051010000}"/>
    <cellStyle name="Comma 2 3 3" xfId="1281" xr:uid="{00000000-0005-0000-0000-000052010000}"/>
    <cellStyle name="Comma 2 3 3 2" xfId="2009" xr:uid="{00000000-0005-0000-0000-000053010000}"/>
    <cellStyle name="Comma 2 3 3 3" xfId="2484" xr:uid="{00000000-0005-0000-0000-000054010000}"/>
    <cellStyle name="Comma 2 3 3 4" xfId="3187" xr:uid="{00000000-0005-0000-0000-000055010000}"/>
    <cellStyle name="Comma 2 4" xfId="42" xr:uid="{00000000-0005-0000-0000-000056010000}"/>
    <cellStyle name="Comma 2 4 2" xfId="62" xr:uid="{00000000-0005-0000-0000-000057010000}"/>
    <cellStyle name="Comma 2 4 2 2" xfId="67" xr:uid="{00000000-0005-0000-0000-000058010000}"/>
    <cellStyle name="Comma 2 4 2 2 2" xfId="68" xr:uid="{00000000-0005-0000-0000-000059010000}"/>
    <cellStyle name="Comma 2 4 2 2 2 2" xfId="264" xr:uid="{00000000-0005-0000-0000-00005A010000}"/>
    <cellStyle name="Comma 2 4 2 2 2 2 2" xfId="633" xr:uid="{00000000-0005-0000-0000-00005B010000}"/>
    <cellStyle name="Comma 2 4 2 2 2 3" xfId="562" xr:uid="{00000000-0005-0000-0000-00005C010000}"/>
    <cellStyle name="Comma 2 4 2 2 3" xfId="263" xr:uid="{00000000-0005-0000-0000-00005D010000}"/>
    <cellStyle name="Comma 2 4 2 2 3 2" xfId="632" xr:uid="{00000000-0005-0000-0000-00005E010000}"/>
    <cellStyle name="Comma 2 4 2 2 4" xfId="561" xr:uid="{00000000-0005-0000-0000-00005F010000}"/>
    <cellStyle name="Comma 2 4 2 3" xfId="69" xr:uid="{00000000-0005-0000-0000-000060010000}"/>
    <cellStyle name="Comma 2 4 2 3 2" xfId="265" xr:uid="{00000000-0005-0000-0000-000061010000}"/>
    <cellStyle name="Comma 2 4 2 3 2 2" xfId="634" xr:uid="{00000000-0005-0000-0000-000062010000}"/>
    <cellStyle name="Comma 2 4 2 3 3" xfId="563" xr:uid="{00000000-0005-0000-0000-000063010000}"/>
    <cellStyle name="Comma 2 4 2 4" xfId="262" xr:uid="{00000000-0005-0000-0000-000064010000}"/>
    <cellStyle name="Comma 2 4 2 4 2" xfId="631" xr:uid="{00000000-0005-0000-0000-000065010000}"/>
    <cellStyle name="Comma 2 4 2 5" xfId="560" xr:uid="{00000000-0005-0000-0000-000066010000}"/>
    <cellStyle name="Comma 2 4 3" xfId="261" xr:uid="{00000000-0005-0000-0000-000067010000}"/>
    <cellStyle name="Comma 2 4 3 2" xfId="630" xr:uid="{00000000-0005-0000-0000-000068010000}"/>
    <cellStyle name="Comma 2 4 4" xfId="559" xr:uid="{00000000-0005-0000-0000-000069010000}"/>
    <cellStyle name="Comma 2 4 5" xfId="59" xr:uid="{00000000-0005-0000-0000-00006A010000}"/>
    <cellStyle name="Comma 2 4 6" xfId="1311" xr:uid="{00000000-0005-0000-0000-00006B010000}"/>
    <cellStyle name="Comma 2 4 7" xfId="972" xr:uid="{00000000-0005-0000-0000-00006C010000}"/>
    <cellStyle name="Comma 2 5" xfId="70" xr:uid="{00000000-0005-0000-0000-00006D010000}"/>
    <cellStyle name="Comma 2 5 2" xfId="266" xr:uid="{00000000-0005-0000-0000-00006E010000}"/>
    <cellStyle name="Comma 2 5 2 2" xfId="635" xr:uid="{00000000-0005-0000-0000-00006F010000}"/>
    <cellStyle name="Comma 2 5 3" xfId="564" xr:uid="{00000000-0005-0000-0000-000070010000}"/>
    <cellStyle name="Comma 2 6" xfId="71" xr:uid="{00000000-0005-0000-0000-000071010000}"/>
    <cellStyle name="Comma 2 6 2" xfId="72" xr:uid="{00000000-0005-0000-0000-000072010000}"/>
    <cellStyle name="Comma 2 6 2 2" xfId="268" xr:uid="{00000000-0005-0000-0000-000073010000}"/>
    <cellStyle name="Comma 2 6 2 2 2" xfId="637" xr:uid="{00000000-0005-0000-0000-000074010000}"/>
    <cellStyle name="Comma 2 6 2 3" xfId="566" xr:uid="{00000000-0005-0000-0000-000075010000}"/>
    <cellStyle name="Comma 2 6 3" xfId="267" xr:uid="{00000000-0005-0000-0000-000076010000}"/>
    <cellStyle name="Comma 2 6 3 2" xfId="636" xr:uid="{00000000-0005-0000-0000-000077010000}"/>
    <cellStyle name="Comma 2 6 4" xfId="565" xr:uid="{00000000-0005-0000-0000-000078010000}"/>
    <cellStyle name="Comma 2 7" xfId="73" xr:uid="{00000000-0005-0000-0000-000079010000}"/>
    <cellStyle name="Comma 2 7 2" xfId="269" xr:uid="{00000000-0005-0000-0000-00007A010000}"/>
    <cellStyle name="Comma 2 7 2 2" xfId="638" xr:uid="{00000000-0005-0000-0000-00007B010000}"/>
    <cellStyle name="Comma 2 7 3" xfId="567" xr:uid="{00000000-0005-0000-0000-00007C010000}"/>
    <cellStyle name="Comma 2 8" xfId="251" xr:uid="{00000000-0005-0000-0000-00007D010000}"/>
    <cellStyle name="Comma 2 8 10" xfId="2737" xr:uid="{00000000-0005-0000-0000-00007E010000}"/>
    <cellStyle name="Comma 2 8 2" xfId="626" xr:uid="{00000000-0005-0000-0000-00007F010000}"/>
    <cellStyle name="Comma 2 8 2 2" xfId="802" xr:uid="{00000000-0005-0000-0000-000080010000}"/>
    <cellStyle name="Comma 2 8 2 2 2" xfId="890" xr:uid="{00000000-0005-0000-0000-000081010000}"/>
    <cellStyle name="Comma 2 8 2 2 2 2" xfId="1485" xr:uid="{00000000-0005-0000-0000-000082010000}"/>
    <cellStyle name="Comma 2 8 2 2 2 2 2" xfId="2183" xr:uid="{00000000-0005-0000-0000-000083010000}"/>
    <cellStyle name="Comma 2 8 2 2 2 2 3" xfId="2658" xr:uid="{00000000-0005-0000-0000-000084010000}"/>
    <cellStyle name="Comma 2 8 2 2 2 2 4" xfId="3361" xr:uid="{00000000-0005-0000-0000-000085010000}"/>
    <cellStyle name="Comma 2 8 2 2 2 3" xfId="1133" xr:uid="{00000000-0005-0000-0000-000086010000}"/>
    <cellStyle name="Comma 2 8 2 2 2 3 2" xfId="1932" xr:uid="{00000000-0005-0000-0000-000087010000}"/>
    <cellStyle name="Comma 2 8 2 2 2 3 3" xfId="3110" xr:uid="{00000000-0005-0000-0000-000088010000}"/>
    <cellStyle name="Comma 2 8 2 2 2 4" xfId="1712" xr:uid="{00000000-0005-0000-0000-000089010000}"/>
    <cellStyle name="Comma 2 8 2 2 2 5" xfId="2407" xr:uid="{00000000-0005-0000-0000-00008A010000}"/>
    <cellStyle name="Comma 2 8 2 2 2 6" xfId="2890" xr:uid="{00000000-0005-0000-0000-00008B010000}"/>
    <cellStyle name="Comma 2 8 2 2 3" xfId="1397" xr:uid="{00000000-0005-0000-0000-00008C010000}"/>
    <cellStyle name="Comma 2 8 2 2 3 2" xfId="2095" xr:uid="{00000000-0005-0000-0000-00008D010000}"/>
    <cellStyle name="Comma 2 8 2 2 3 3" xfId="2570" xr:uid="{00000000-0005-0000-0000-00008E010000}"/>
    <cellStyle name="Comma 2 8 2 2 3 4" xfId="3273" xr:uid="{00000000-0005-0000-0000-00008F010000}"/>
    <cellStyle name="Comma 2 8 2 2 4" xfId="1045" xr:uid="{00000000-0005-0000-0000-000090010000}"/>
    <cellStyle name="Comma 2 8 2 2 4 2" xfId="1844" xr:uid="{00000000-0005-0000-0000-000091010000}"/>
    <cellStyle name="Comma 2 8 2 2 4 3" xfId="3022" xr:uid="{00000000-0005-0000-0000-000092010000}"/>
    <cellStyle name="Comma 2 8 2 2 5" xfId="1624" xr:uid="{00000000-0005-0000-0000-000093010000}"/>
    <cellStyle name="Comma 2 8 2 2 6" xfId="2319" xr:uid="{00000000-0005-0000-0000-000094010000}"/>
    <cellStyle name="Comma 2 8 2 2 7" xfId="2802" xr:uid="{00000000-0005-0000-0000-000095010000}"/>
    <cellStyle name="Comma 2 8 2 3" xfId="934" xr:uid="{00000000-0005-0000-0000-000096010000}"/>
    <cellStyle name="Comma 2 8 2 3 2" xfId="1529" xr:uid="{00000000-0005-0000-0000-000097010000}"/>
    <cellStyle name="Comma 2 8 2 3 2 2" xfId="2227" xr:uid="{00000000-0005-0000-0000-000098010000}"/>
    <cellStyle name="Comma 2 8 2 3 2 3" xfId="2702" xr:uid="{00000000-0005-0000-0000-000099010000}"/>
    <cellStyle name="Comma 2 8 2 3 2 4" xfId="3405" xr:uid="{00000000-0005-0000-0000-00009A010000}"/>
    <cellStyle name="Comma 2 8 2 3 3" xfId="1177" xr:uid="{00000000-0005-0000-0000-00009B010000}"/>
    <cellStyle name="Comma 2 8 2 3 3 2" xfId="1976" xr:uid="{00000000-0005-0000-0000-00009C010000}"/>
    <cellStyle name="Comma 2 8 2 3 3 3" xfId="3154" xr:uid="{00000000-0005-0000-0000-00009D010000}"/>
    <cellStyle name="Comma 2 8 2 3 4" xfId="1756" xr:uid="{00000000-0005-0000-0000-00009E010000}"/>
    <cellStyle name="Comma 2 8 2 3 5" xfId="2451" xr:uid="{00000000-0005-0000-0000-00009F010000}"/>
    <cellStyle name="Comma 2 8 2 3 6" xfId="2934" xr:uid="{00000000-0005-0000-0000-0000A0010000}"/>
    <cellStyle name="Comma 2 8 2 4" xfId="846" xr:uid="{00000000-0005-0000-0000-0000A1010000}"/>
    <cellStyle name="Comma 2 8 2 4 2" xfId="1441" xr:uid="{00000000-0005-0000-0000-0000A2010000}"/>
    <cellStyle name="Comma 2 8 2 4 2 2" xfId="2139" xr:uid="{00000000-0005-0000-0000-0000A3010000}"/>
    <cellStyle name="Comma 2 8 2 4 2 3" xfId="2614" xr:uid="{00000000-0005-0000-0000-0000A4010000}"/>
    <cellStyle name="Comma 2 8 2 4 2 4" xfId="3317" xr:uid="{00000000-0005-0000-0000-0000A5010000}"/>
    <cellStyle name="Comma 2 8 2 4 3" xfId="1089" xr:uid="{00000000-0005-0000-0000-0000A6010000}"/>
    <cellStyle name="Comma 2 8 2 4 3 2" xfId="1888" xr:uid="{00000000-0005-0000-0000-0000A7010000}"/>
    <cellStyle name="Comma 2 8 2 4 3 3" xfId="3066" xr:uid="{00000000-0005-0000-0000-0000A8010000}"/>
    <cellStyle name="Comma 2 8 2 4 4" xfId="1668" xr:uid="{00000000-0005-0000-0000-0000A9010000}"/>
    <cellStyle name="Comma 2 8 2 4 5" xfId="2363" xr:uid="{00000000-0005-0000-0000-0000AA010000}"/>
    <cellStyle name="Comma 2 8 2 4 6" xfId="2846" xr:uid="{00000000-0005-0000-0000-0000AB010000}"/>
    <cellStyle name="Comma 2 8 2 5" xfId="1353" xr:uid="{00000000-0005-0000-0000-0000AC010000}"/>
    <cellStyle name="Comma 2 8 2 5 2" xfId="2051" xr:uid="{00000000-0005-0000-0000-0000AD010000}"/>
    <cellStyle name="Comma 2 8 2 5 3" xfId="2526" xr:uid="{00000000-0005-0000-0000-0000AE010000}"/>
    <cellStyle name="Comma 2 8 2 5 4" xfId="3229" xr:uid="{00000000-0005-0000-0000-0000AF010000}"/>
    <cellStyle name="Comma 2 8 2 6" xfId="1001" xr:uid="{00000000-0005-0000-0000-0000B0010000}"/>
    <cellStyle name="Comma 2 8 2 6 2" xfId="1800" xr:uid="{00000000-0005-0000-0000-0000B1010000}"/>
    <cellStyle name="Comma 2 8 2 6 3" xfId="2978" xr:uid="{00000000-0005-0000-0000-0000B2010000}"/>
    <cellStyle name="Comma 2 8 2 7" xfId="1580" xr:uid="{00000000-0005-0000-0000-0000B3010000}"/>
    <cellStyle name="Comma 2 8 2 8" xfId="2275" xr:uid="{00000000-0005-0000-0000-0000B4010000}"/>
    <cellStyle name="Comma 2 8 2 9" xfId="2758" xr:uid="{00000000-0005-0000-0000-0000B5010000}"/>
    <cellStyle name="Comma 2 8 3" xfId="781" xr:uid="{00000000-0005-0000-0000-0000B6010000}"/>
    <cellStyle name="Comma 2 8 3 2" xfId="869" xr:uid="{00000000-0005-0000-0000-0000B7010000}"/>
    <cellStyle name="Comma 2 8 3 2 2" xfId="1464" xr:uid="{00000000-0005-0000-0000-0000B8010000}"/>
    <cellStyle name="Comma 2 8 3 2 2 2" xfId="2162" xr:uid="{00000000-0005-0000-0000-0000B9010000}"/>
    <cellStyle name="Comma 2 8 3 2 2 3" xfId="2637" xr:uid="{00000000-0005-0000-0000-0000BA010000}"/>
    <cellStyle name="Comma 2 8 3 2 2 4" xfId="3340" xr:uid="{00000000-0005-0000-0000-0000BB010000}"/>
    <cellStyle name="Comma 2 8 3 2 3" xfId="1112" xr:uid="{00000000-0005-0000-0000-0000BC010000}"/>
    <cellStyle name="Comma 2 8 3 2 3 2" xfId="1911" xr:uid="{00000000-0005-0000-0000-0000BD010000}"/>
    <cellStyle name="Comma 2 8 3 2 3 3" xfId="3089" xr:uid="{00000000-0005-0000-0000-0000BE010000}"/>
    <cellStyle name="Comma 2 8 3 2 4" xfId="1691" xr:uid="{00000000-0005-0000-0000-0000BF010000}"/>
    <cellStyle name="Comma 2 8 3 2 5" xfId="2386" xr:uid="{00000000-0005-0000-0000-0000C0010000}"/>
    <cellStyle name="Comma 2 8 3 2 6" xfId="2869" xr:uid="{00000000-0005-0000-0000-0000C1010000}"/>
    <cellStyle name="Comma 2 8 3 3" xfId="1376" xr:uid="{00000000-0005-0000-0000-0000C2010000}"/>
    <cellStyle name="Comma 2 8 3 3 2" xfId="2074" xr:uid="{00000000-0005-0000-0000-0000C3010000}"/>
    <cellStyle name="Comma 2 8 3 3 3" xfId="2549" xr:uid="{00000000-0005-0000-0000-0000C4010000}"/>
    <cellStyle name="Comma 2 8 3 3 4" xfId="3252" xr:uid="{00000000-0005-0000-0000-0000C5010000}"/>
    <cellStyle name="Comma 2 8 3 4" xfId="1024" xr:uid="{00000000-0005-0000-0000-0000C6010000}"/>
    <cellStyle name="Comma 2 8 3 4 2" xfId="1823" xr:uid="{00000000-0005-0000-0000-0000C7010000}"/>
    <cellStyle name="Comma 2 8 3 4 3" xfId="3001" xr:uid="{00000000-0005-0000-0000-0000C8010000}"/>
    <cellStyle name="Comma 2 8 3 5" xfId="1603" xr:uid="{00000000-0005-0000-0000-0000C9010000}"/>
    <cellStyle name="Comma 2 8 3 6" xfId="2298" xr:uid="{00000000-0005-0000-0000-0000CA010000}"/>
    <cellStyle name="Comma 2 8 3 7" xfId="2781" xr:uid="{00000000-0005-0000-0000-0000CB010000}"/>
    <cellStyle name="Comma 2 8 4" xfId="913" xr:uid="{00000000-0005-0000-0000-0000CC010000}"/>
    <cellStyle name="Comma 2 8 4 2" xfId="1508" xr:uid="{00000000-0005-0000-0000-0000CD010000}"/>
    <cellStyle name="Comma 2 8 4 2 2" xfId="2206" xr:uid="{00000000-0005-0000-0000-0000CE010000}"/>
    <cellStyle name="Comma 2 8 4 2 3" xfId="2681" xr:uid="{00000000-0005-0000-0000-0000CF010000}"/>
    <cellStyle name="Comma 2 8 4 2 4" xfId="3384" xr:uid="{00000000-0005-0000-0000-0000D0010000}"/>
    <cellStyle name="Comma 2 8 4 3" xfId="1156" xr:uid="{00000000-0005-0000-0000-0000D1010000}"/>
    <cellStyle name="Comma 2 8 4 3 2" xfId="1955" xr:uid="{00000000-0005-0000-0000-0000D2010000}"/>
    <cellStyle name="Comma 2 8 4 3 3" xfId="3133" xr:uid="{00000000-0005-0000-0000-0000D3010000}"/>
    <cellStyle name="Comma 2 8 4 4" xfId="1735" xr:uid="{00000000-0005-0000-0000-0000D4010000}"/>
    <cellStyle name="Comma 2 8 4 5" xfId="2430" xr:uid="{00000000-0005-0000-0000-0000D5010000}"/>
    <cellStyle name="Comma 2 8 4 6" xfId="2913" xr:uid="{00000000-0005-0000-0000-0000D6010000}"/>
    <cellStyle name="Comma 2 8 5" xfId="825" xr:uid="{00000000-0005-0000-0000-0000D7010000}"/>
    <cellStyle name="Comma 2 8 5 2" xfId="1420" xr:uid="{00000000-0005-0000-0000-0000D8010000}"/>
    <cellStyle name="Comma 2 8 5 2 2" xfId="2118" xr:uid="{00000000-0005-0000-0000-0000D9010000}"/>
    <cellStyle name="Comma 2 8 5 2 3" xfId="2593" xr:uid="{00000000-0005-0000-0000-0000DA010000}"/>
    <cellStyle name="Comma 2 8 5 2 4" xfId="3296" xr:uid="{00000000-0005-0000-0000-0000DB010000}"/>
    <cellStyle name="Comma 2 8 5 3" xfId="1068" xr:uid="{00000000-0005-0000-0000-0000DC010000}"/>
    <cellStyle name="Comma 2 8 5 3 2" xfId="1867" xr:uid="{00000000-0005-0000-0000-0000DD010000}"/>
    <cellStyle name="Comma 2 8 5 3 3" xfId="3045" xr:uid="{00000000-0005-0000-0000-0000DE010000}"/>
    <cellStyle name="Comma 2 8 5 4" xfId="1647" xr:uid="{00000000-0005-0000-0000-0000DF010000}"/>
    <cellStyle name="Comma 2 8 5 5" xfId="2342" xr:uid="{00000000-0005-0000-0000-0000E0010000}"/>
    <cellStyle name="Comma 2 8 5 6" xfId="2825" xr:uid="{00000000-0005-0000-0000-0000E1010000}"/>
    <cellStyle name="Comma 2 8 6" xfId="1332" xr:uid="{00000000-0005-0000-0000-0000E2010000}"/>
    <cellStyle name="Comma 2 8 6 2" xfId="2030" xr:uid="{00000000-0005-0000-0000-0000E3010000}"/>
    <cellStyle name="Comma 2 8 6 3" xfId="2505" xr:uid="{00000000-0005-0000-0000-0000E4010000}"/>
    <cellStyle name="Comma 2 8 6 4" xfId="3208" xr:uid="{00000000-0005-0000-0000-0000E5010000}"/>
    <cellStyle name="Comma 2 8 7" xfId="980" xr:uid="{00000000-0005-0000-0000-0000E6010000}"/>
    <cellStyle name="Comma 2 8 7 2" xfId="1779" xr:uid="{00000000-0005-0000-0000-0000E7010000}"/>
    <cellStyle name="Comma 2 8 7 3" xfId="2957" xr:uid="{00000000-0005-0000-0000-0000E8010000}"/>
    <cellStyle name="Comma 2 8 8" xfId="1559" xr:uid="{00000000-0005-0000-0000-0000E9010000}"/>
    <cellStyle name="Comma 2 8 9" xfId="2254" xr:uid="{00000000-0005-0000-0000-0000EA010000}"/>
    <cellStyle name="Comma 2 9" xfId="255" xr:uid="{00000000-0005-0000-0000-0000EB010000}"/>
    <cellStyle name="Comma 2 9 2" xfId="629" xr:uid="{00000000-0005-0000-0000-0000EC010000}"/>
    <cellStyle name="Comma 20" xfId="760" xr:uid="{00000000-0005-0000-0000-0000ED010000}"/>
    <cellStyle name="Comma 21" xfId="962" xr:uid="{00000000-0005-0000-0000-0000EE010000}"/>
    <cellStyle name="Comma 21 2" xfId="1284" xr:uid="{00000000-0005-0000-0000-0000EF010000}"/>
    <cellStyle name="Comma 21 3" xfId="2012" xr:uid="{00000000-0005-0000-0000-0000F0010000}"/>
    <cellStyle name="Comma 21 4" xfId="2487" xr:uid="{00000000-0005-0000-0000-0000F1010000}"/>
    <cellStyle name="Comma 21 5" xfId="3190" xr:uid="{00000000-0005-0000-0000-0000F2010000}"/>
    <cellStyle name="Comma 22" xfId="2722" xr:uid="{00000000-0005-0000-0000-0000F3010000}"/>
    <cellStyle name="Comma 3" xfId="18" xr:uid="{00000000-0005-0000-0000-0000F4010000}"/>
    <cellStyle name="Comma 3 2" xfId="24" xr:uid="{00000000-0005-0000-0000-0000F5010000}"/>
    <cellStyle name="Comma 3 2 2" xfId="270" xr:uid="{00000000-0005-0000-0000-0000F6010000}"/>
    <cellStyle name="Comma 3 2 2 2" xfId="410" xr:uid="{00000000-0005-0000-0000-0000F7010000}"/>
    <cellStyle name="Comma 3 2 3" xfId="409" xr:uid="{00000000-0005-0000-0000-0000F8010000}"/>
    <cellStyle name="Comma 3 2 4" xfId="774" xr:uid="{00000000-0005-0000-0000-0000F9010000}"/>
    <cellStyle name="Comma 3 2 5" xfId="74" xr:uid="{00000000-0005-0000-0000-0000FA010000}"/>
    <cellStyle name="Comma 3 3" xfId="35" xr:uid="{00000000-0005-0000-0000-0000FB010000}"/>
    <cellStyle name="Comma 3 3 2" xfId="411" xr:uid="{00000000-0005-0000-0000-0000FC010000}"/>
    <cellStyle name="Comma 3 4" xfId="33" xr:uid="{00000000-0005-0000-0000-0000FD010000}"/>
    <cellStyle name="Comma 3 4 2" xfId="408" xr:uid="{00000000-0005-0000-0000-0000FE010000}"/>
    <cellStyle name="Comma 3 4 3" xfId="1303" xr:uid="{00000000-0005-0000-0000-0000FF010000}"/>
    <cellStyle name="Comma 3 5" xfId="44" xr:uid="{00000000-0005-0000-0000-000000020000}"/>
    <cellStyle name="Comma 3 6" xfId="1197" xr:uid="{00000000-0005-0000-0000-000001020000}"/>
    <cellStyle name="Comma 3 6 2" xfId="1996" xr:uid="{00000000-0005-0000-0000-000002020000}"/>
    <cellStyle name="Comma 3 6 3" xfId="2471" xr:uid="{00000000-0005-0000-0000-000003020000}"/>
    <cellStyle name="Comma 3 6 4" xfId="3174" xr:uid="{00000000-0005-0000-0000-000004020000}"/>
    <cellStyle name="Comma 4" xfId="22" xr:uid="{00000000-0005-0000-0000-000005020000}"/>
    <cellStyle name="Comma 4 2" xfId="76" xr:uid="{00000000-0005-0000-0000-000006020000}"/>
    <cellStyle name="Comma 4 2 2" xfId="272" xr:uid="{00000000-0005-0000-0000-000007020000}"/>
    <cellStyle name="Comma 4 2 2 2" xfId="414" xr:uid="{00000000-0005-0000-0000-000008020000}"/>
    <cellStyle name="Comma 4 2 3" xfId="413" xr:uid="{00000000-0005-0000-0000-000009020000}"/>
    <cellStyle name="Comma 4 3" xfId="271" xr:uid="{00000000-0005-0000-0000-00000A020000}"/>
    <cellStyle name="Comma 4 3 2" xfId="415" xr:uid="{00000000-0005-0000-0000-00000B020000}"/>
    <cellStyle name="Comma 4 4" xfId="412" xr:uid="{00000000-0005-0000-0000-00000C020000}"/>
    <cellStyle name="Comma 4 5" xfId="772" xr:uid="{00000000-0005-0000-0000-00000D020000}"/>
    <cellStyle name="Comma 4 6" xfId="75" xr:uid="{00000000-0005-0000-0000-00000E020000}"/>
    <cellStyle name="Comma 5" xfId="27" xr:uid="{00000000-0005-0000-0000-00000F020000}"/>
    <cellStyle name="Comma 5 2" xfId="416" xr:uid="{00000000-0005-0000-0000-000010020000}"/>
    <cellStyle name="Comma 5 3" xfId="776" xr:uid="{00000000-0005-0000-0000-000011020000}"/>
    <cellStyle name="Comma 5 4" xfId="77" xr:uid="{00000000-0005-0000-0000-000012020000}"/>
    <cellStyle name="Comma 6" xfId="29" xr:uid="{00000000-0005-0000-0000-000013020000}"/>
    <cellStyle name="Comma 6 2" xfId="79" xr:uid="{00000000-0005-0000-0000-000014020000}"/>
    <cellStyle name="Comma 6 3" xfId="242" xr:uid="{00000000-0005-0000-0000-000015020000}"/>
    <cellStyle name="Comma 6 3 2" xfId="369" xr:uid="{00000000-0005-0000-0000-000016020000}"/>
    <cellStyle name="Comma 6 4" xfId="78" xr:uid="{00000000-0005-0000-0000-000017020000}"/>
    <cellStyle name="Comma 6 5" xfId="1299" xr:uid="{00000000-0005-0000-0000-000018020000}"/>
    <cellStyle name="Comma 6 5 2" xfId="2016" xr:uid="{00000000-0005-0000-0000-000019020000}"/>
    <cellStyle name="Comma 6 5 3" xfId="2491" xr:uid="{00000000-0005-0000-0000-00001A020000}"/>
    <cellStyle name="Comma 6 5 4" xfId="3194" xr:uid="{00000000-0005-0000-0000-00001B020000}"/>
    <cellStyle name="Comma 7" xfId="28" xr:uid="{00000000-0005-0000-0000-00001C020000}"/>
    <cellStyle name="Comma 7 2" xfId="81" xr:uid="{00000000-0005-0000-0000-00001D020000}"/>
    <cellStyle name="Comma 7 2 2" xfId="82" xr:uid="{00000000-0005-0000-0000-00001E020000}"/>
    <cellStyle name="Comma 7 2 3" xfId="83" xr:uid="{00000000-0005-0000-0000-00001F020000}"/>
    <cellStyle name="Comma 7 3" xfId="500" xr:uid="{00000000-0005-0000-0000-000020020000}"/>
    <cellStyle name="Comma 7 4" xfId="80" xr:uid="{00000000-0005-0000-0000-000021020000}"/>
    <cellStyle name="Comma 7 5" xfId="1298" xr:uid="{00000000-0005-0000-0000-000022020000}"/>
    <cellStyle name="Comma 8" xfId="38" xr:uid="{00000000-0005-0000-0000-000023020000}"/>
    <cellStyle name="Comma 8 2" xfId="85" xr:uid="{00000000-0005-0000-0000-000024020000}"/>
    <cellStyle name="Comma 8 3" xfId="501" xr:uid="{00000000-0005-0000-0000-000025020000}"/>
    <cellStyle name="Comma 8 4" xfId="84" xr:uid="{00000000-0005-0000-0000-000026020000}"/>
    <cellStyle name="Comma 8 5" xfId="1307" xr:uid="{00000000-0005-0000-0000-000027020000}"/>
    <cellStyle name="Comma 8 5 2" xfId="2020" xr:uid="{00000000-0005-0000-0000-000028020000}"/>
    <cellStyle name="Comma 8 5 3" xfId="2495" xr:uid="{00000000-0005-0000-0000-000029020000}"/>
    <cellStyle name="Comma 8 5 4" xfId="3198" xr:uid="{00000000-0005-0000-0000-00002A020000}"/>
    <cellStyle name="Comma 9" xfId="86" xr:uid="{00000000-0005-0000-0000-00002B020000}"/>
    <cellStyle name="Comma 9 2" xfId="87" xr:uid="{00000000-0005-0000-0000-00002C020000}"/>
    <cellStyle name="Comma 9 3" xfId="502" xr:uid="{00000000-0005-0000-0000-00002D020000}"/>
    <cellStyle name="Comma0" xfId="88" xr:uid="{00000000-0005-0000-0000-00002E020000}"/>
    <cellStyle name="Comma0 2" xfId="273" xr:uid="{00000000-0005-0000-0000-00002F020000}"/>
    <cellStyle name="Currency" xfId="2" builtinId="4"/>
    <cellStyle name="Currency 10" xfId="371" xr:uid="{00000000-0005-0000-0000-000031020000}"/>
    <cellStyle name="Currency 11" xfId="483" xr:uid="{00000000-0005-0000-0000-000032020000}"/>
    <cellStyle name="Currency 11 10" xfId="2740" xr:uid="{00000000-0005-0000-0000-000033020000}"/>
    <cellStyle name="Currency 11 2" xfId="697" xr:uid="{00000000-0005-0000-0000-000034020000}"/>
    <cellStyle name="Currency 11 2 2" xfId="805" xr:uid="{00000000-0005-0000-0000-000035020000}"/>
    <cellStyle name="Currency 11 2 2 2" xfId="893" xr:uid="{00000000-0005-0000-0000-000036020000}"/>
    <cellStyle name="Currency 11 2 2 2 2" xfId="1488" xr:uid="{00000000-0005-0000-0000-000037020000}"/>
    <cellStyle name="Currency 11 2 2 2 2 2" xfId="2186" xr:uid="{00000000-0005-0000-0000-000038020000}"/>
    <cellStyle name="Currency 11 2 2 2 2 3" xfId="2661" xr:uid="{00000000-0005-0000-0000-000039020000}"/>
    <cellStyle name="Currency 11 2 2 2 2 4" xfId="3364" xr:uid="{00000000-0005-0000-0000-00003A020000}"/>
    <cellStyle name="Currency 11 2 2 2 3" xfId="1136" xr:uid="{00000000-0005-0000-0000-00003B020000}"/>
    <cellStyle name="Currency 11 2 2 2 3 2" xfId="1935" xr:uid="{00000000-0005-0000-0000-00003C020000}"/>
    <cellStyle name="Currency 11 2 2 2 3 3" xfId="3113" xr:uid="{00000000-0005-0000-0000-00003D020000}"/>
    <cellStyle name="Currency 11 2 2 2 4" xfId="1715" xr:uid="{00000000-0005-0000-0000-00003E020000}"/>
    <cellStyle name="Currency 11 2 2 2 5" xfId="2410" xr:uid="{00000000-0005-0000-0000-00003F020000}"/>
    <cellStyle name="Currency 11 2 2 2 6" xfId="2893" xr:uid="{00000000-0005-0000-0000-000040020000}"/>
    <cellStyle name="Currency 11 2 2 3" xfId="1400" xr:uid="{00000000-0005-0000-0000-000041020000}"/>
    <cellStyle name="Currency 11 2 2 3 2" xfId="2098" xr:uid="{00000000-0005-0000-0000-000042020000}"/>
    <cellStyle name="Currency 11 2 2 3 3" xfId="2573" xr:uid="{00000000-0005-0000-0000-000043020000}"/>
    <cellStyle name="Currency 11 2 2 3 4" xfId="3276" xr:uid="{00000000-0005-0000-0000-000044020000}"/>
    <cellStyle name="Currency 11 2 2 4" xfId="1048" xr:uid="{00000000-0005-0000-0000-000045020000}"/>
    <cellStyle name="Currency 11 2 2 4 2" xfId="1847" xr:uid="{00000000-0005-0000-0000-000046020000}"/>
    <cellStyle name="Currency 11 2 2 4 3" xfId="3025" xr:uid="{00000000-0005-0000-0000-000047020000}"/>
    <cellStyle name="Currency 11 2 2 5" xfId="1627" xr:uid="{00000000-0005-0000-0000-000048020000}"/>
    <cellStyle name="Currency 11 2 2 6" xfId="2322" xr:uid="{00000000-0005-0000-0000-000049020000}"/>
    <cellStyle name="Currency 11 2 2 7" xfId="2805" xr:uid="{00000000-0005-0000-0000-00004A020000}"/>
    <cellStyle name="Currency 11 2 3" xfId="937" xr:uid="{00000000-0005-0000-0000-00004B020000}"/>
    <cellStyle name="Currency 11 2 3 2" xfId="1532" xr:uid="{00000000-0005-0000-0000-00004C020000}"/>
    <cellStyle name="Currency 11 2 3 2 2" xfId="2230" xr:uid="{00000000-0005-0000-0000-00004D020000}"/>
    <cellStyle name="Currency 11 2 3 2 3" xfId="2705" xr:uid="{00000000-0005-0000-0000-00004E020000}"/>
    <cellStyle name="Currency 11 2 3 2 4" xfId="3408" xr:uid="{00000000-0005-0000-0000-00004F020000}"/>
    <cellStyle name="Currency 11 2 3 3" xfId="1180" xr:uid="{00000000-0005-0000-0000-000050020000}"/>
    <cellStyle name="Currency 11 2 3 3 2" xfId="1979" xr:uid="{00000000-0005-0000-0000-000051020000}"/>
    <cellStyle name="Currency 11 2 3 3 3" xfId="3157" xr:uid="{00000000-0005-0000-0000-000052020000}"/>
    <cellStyle name="Currency 11 2 3 4" xfId="1759" xr:uid="{00000000-0005-0000-0000-000053020000}"/>
    <cellStyle name="Currency 11 2 3 5" xfId="2454" xr:uid="{00000000-0005-0000-0000-000054020000}"/>
    <cellStyle name="Currency 11 2 3 6" xfId="2937" xr:uid="{00000000-0005-0000-0000-000055020000}"/>
    <cellStyle name="Currency 11 2 4" xfId="849" xr:uid="{00000000-0005-0000-0000-000056020000}"/>
    <cellStyle name="Currency 11 2 4 2" xfId="1444" xr:uid="{00000000-0005-0000-0000-000057020000}"/>
    <cellStyle name="Currency 11 2 4 2 2" xfId="2142" xr:uid="{00000000-0005-0000-0000-000058020000}"/>
    <cellStyle name="Currency 11 2 4 2 3" xfId="2617" xr:uid="{00000000-0005-0000-0000-000059020000}"/>
    <cellStyle name="Currency 11 2 4 2 4" xfId="3320" xr:uid="{00000000-0005-0000-0000-00005A020000}"/>
    <cellStyle name="Currency 11 2 4 3" xfId="1092" xr:uid="{00000000-0005-0000-0000-00005B020000}"/>
    <cellStyle name="Currency 11 2 4 3 2" xfId="1891" xr:uid="{00000000-0005-0000-0000-00005C020000}"/>
    <cellStyle name="Currency 11 2 4 3 3" xfId="3069" xr:uid="{00000000-0005-0000-0000-00005D020000}"/>
    <cellStyle name="Currency 11 2 4 4" xfId="1671" xr:uid="{00000000-0005-0000-0000-00005E020000}"/>
    <cellStyle name="Currency 11 2 4 5" xfId="2366" xr:uid="{00000000-0005-0000-0000-00005F020000}"/>
    <cellStyle name="Currency 11 2 4 6" xfId="2849" xr:uid="{00000000-0005-0000-0000-000060020000}"/>
    <cellStyle name="Currency 11 2 5" xfId="1356" xr:uid="{00000000-0005-0000-0000-000061020000}"/>
    <cellStyle name="Currency 11 2 5 2" xfId="2054" xr:uid="{00000000-0005-0000-0000-000062020000}"/>
    <cellStyle name="Currency 11 2 5 3" xfId="2529" xr:uid="{00000000-0005-0000-0000-000063020000}"/>
    <cellStyle name="Currency 11 2 5 4" xfId="3232" xr:uid="{00000000-0005-0000-0000-000064020000}"/>
    <cellStyle name="Currency 11 2 6" xfId="1004" xr:uid="{00000000-0005-0000-0000-000065020000}"/>
    <cellStyle name="Currency 11 2 6 2" xfId="1803" xr:uid="{00000000-0005-0000-0000-000066020000}"/>
    <cellStyle name="Currency 11 2 6 3" xfId="2981" xr:uid="{00000000-0005-0000-0000-000067020000}"/>
    <cellStyle name="Currency 11 2 7" xfId="1583" xr:uid="{00000000-0005-0000-0000-000068020000}"/>
    <cellStyle name="Currency 11 2 8" xfId="2278" xr:uid="{00000000-0005-0000-0000-000069020000}"/>
    <cellStyle name="Currency 11 2 9" xfId="2761" xr:uid="{00000000-0005-0000-0000-00006A020000}"/>
    <cellStyle name="Currency 11 3" xfId="784" xr:uid="{00000000-0005-0000-0000-00006B020000}"/>
    <cellStyle name="Currency 11 3 2" xfId="872" xr:uid="{00000000-0005-0000-0000-00006C020000}"/>
    <cellStyle name="Currency 11 3 2 2" xfId="1467" xr:uid="{00000000-0005-0000-0000-00006D020000}"/>
    <cellStyle name="Currency 11 3 2 2 2" xfId="2165" xr:uid="{00000000-0005-0000-0000-00006E020000}"/>
    <cellStyle name="Currency 11 3 2 2 3" xfId="2640" xr:uid="{00000000-0005-0000-0000-00006F020000}"/>
    <cellStyle name="Currency 11 3 2 2 4" xfId="3343" xr:uid="{00000000-0005-0000-0000-000070020000}"/>
    <cellStyle name="Currency 11 3 2 3" xfId="1115" xr:uid="{00000000-0005-0000-0000-000071020000}"/>
    <cellStyle name="Currency 11 3 2 3 2" xfId="1914" xr:uid="{00000000-0005-0000-0000-000072020000}"/>
    <cellStyle name="Currency 11 3 2 3 3" xfId="3092" xr:uid="{00000000-0005-0000-0000-000073020000}"/>
    <cellStyle name="Currency 11 3 2 4" xfId="1694" xr:uid="{00000000-0005-0000-0000-000074020000}"/>
    <cellStyle name="Currency 11 3 2 5" xfId="2389" xr:uid="{00000000-0005-0000-0000-000075020000}"/>
    <cellStyle name="Currency 11 3 2 6" xfId="2872" xr:uid="{00000000-0005-0000-0000-000076020000}"/>
    <cellStyle name="Currency 11 3 3" xfId="1379" xr:uid="{00000000-0005-0000-0000-000077020000}"/>
    <cellStyle name="Currency 11 3 3 2" xfId="2077" xr:uid="{00000000-0005-0000-0000-000078020000}"/>
    <cellStyle name="Currency 11 3 3 3" xfId="2552" xr:uid="{00000000-0005-0000-0000-000079020000}"/>
    <cellStyle name="Currency 11 3 3 4" xfId="3255" xr:uid="{00000000-0005-0000-0000-00007A020000}"/>
    <cellStyle name="Currency 11 3 4" xfId="1027" xr:uid="{00000000-0005-0000-0000-00007B020000}"/>
    <cellStyle name="Currency 11 3 4 2" xfId="1826" xr:uid="{00000000-0005-0000-0000-00007C020000}"/>
    <cellStyle name="Currency 11 3 4 3" xfId="3004" xr:uid="{00000000-0005-0000-0000-00007D020000}"/>
    <cellStyle name="Currency 11 3 5" xfId="1606" xr:uid="{00000000-0005-0000-0000-00007E020000}"/>
    <cellStyle name="Currency 11 3 6" xfId="2301" xr:uid="{00000000-0005-0000-0000-00007F020000}"/>
    <cellStyle name="Currency 11 3 7" xfId="2784" xr:uid="{00000000-0005-0000-0000-000080020000}"/>
    <cellStyle name="Currency 11 4" xfId="916" xr:uid="{00000000-0005-0000-0000-000081020000}"/>
    <cellStyle name="Currency 11 4 2" xfId="1511" xr:uid="{00000000-0005-0000-0000-000082020000}"/>
    <cellStyle name="Currency 11 4 2 2" xfId="2209" xr:uid="{00000000-0005-0000-0000-000083020000}"/>
    <cellStyle name="Currency 11 4 2 3" xfId="2684" xr:uid="{00000000-0005-0000-0000-000084020000}"/>
    <cellStyle name="Currency 11 4 2 4" xfId="3387" xr:uid="{00000000-0005-0000-0000-000085020000}"/>
    <cellStyle name="Currency 11 4 3" xfId="1159" xr:uid="{00000000-0005-0000-0000-000086020000}"/>
    <cellStyle name="Currency 11 4 3 2" xfId="1958" xr:uid="{00000000-0005-0000-0000-000087020000}"/>
    <cellStyle name="Currency 11 4 3 3" xfId="3136" xr:uid="{00000000-0005-0000-0000-000088020000}"/>
    <cellStyle name="Currency 11 4 4" xfId="1738" xr:uid="{00000000-0005-0000-0000-000089020000}"/>
    <cellStyle name="Currency 11 4 5" xfId="2433" xr:uid="{00000000-0005-0000-0000-00008A020000}"/>
    <cellStyle name="Currency 11 4 6" xfId="2916" xr:uid="{00000000-0005-0000-0000-00008B020000}"/>
    <cellStyle name="Currency 11 5" xfId="828" xr:uid="{00000000-0005-0000-0000-00008C020000}"/>
    <cellStyle name="Currency 11 5 2" xfId="1423" xr:uid="{00000000-0005-0000-0000-00008D020000}"/>
    <cellStyle name="Currency 11 5 2 2" xfId="2121" xr:uid="{00000000-0005-0000-0000-00008E020000}"/>
    <cellStyle name="Currency 11 5 2 3" xfId="2596" xr:uid="{00000000-0005-0000-0000-00008F020000}"/>
    <cellStyle name="Currency 11 5 2 4" xfId="3299" xr:uid="{00000000-0005-0000-0000-000090020000}"/>
    <cellStyle name="Currency 11 5 3" xfId="1071" xr:uid="{00000000-0005-0000-0000-000091020000}"/>
    <cellStyle name="Currency 11 5 3 2" xfId="1870" xr:uid="{00000000-0005-0000-0000-000092020000}"/>
    <cellStyle name="Currency 11 5 3 3" xfId="3048" xr:uid="{00000000-0005-0000-0000-000093020000}"/>
    <cellStyle name="Currency 11 5 4" xfId="1650" xr:uid="{00000000-0005-0000-0000-000094020000}"/>
    <cellStyle name="Currency 11 5 5" xfId="2345" xr:uid="{00000000-0005-0000-0000-000095020000}"/>
    <cellStyle name="Currency 11 5 6" xfId="2828" xr:uid="{00000000-0005-0000-0000-000096020000}"/>
    <cellStyle name="Currency 11 6" xfId="1335" xr:uid="{00000000-0005-0000-0000-000097020000}"/>
    <cellStyle name="Currency 11 6 2" xfId="2033" xr:uid="{00000000-0005-0000-0000-000098020000}"/>
    <cellStyle name="Currency 11 6 3" xfId="2508" xr:uid="{00000000-0005-0000-0000-000099020000}"/>
    <cellStyle name="Currency 11 6 4" xfId="3211" xr:uid="{00000000-0005-0000-0000-00009A020000}"/>
    <cellStyle name="Currency 11 7" xfId="983" xr:uid="{00000000-0005-0000-0000-00009B020000}"/>
    <cellStyle name="Currency 11 7 2" xfId="1782" xr:uid="{00000000-0005-0000-0000-00009C020000}"/>
    <cellStyle name="Currency 11 7 3" xfId="2960" xr:uid="{00000000-0005-0000-0000-00009D020000}"/>
    <cellStyle name="Currency 11 8" xfId="1562" xr:uid="{00000000-0005-0000-0000-00009E020000}"/>
    <cellStyle name="Currency 11 9" xfId="2257" xr:uid="{00000000-0005-0000-0000-00009F020000}"/>
    <cellStyle name="Currency 12" xfId="724" xr:uid="{00000000-0005-0000-0000-0000A0020000}"/>
    <cellStyle name="Currency 13" xfId="754" xr:uid="{00000000-0005-0000-0000-0000A1020000}"/>
    <cellStyle name="Currency 14" xfId="761" xr:uid="{00000000-0005-0000-0000-0000A2020000}"/>
    <cellStyle name="Currency 15" xfId="768" xr:uid="{00000000-0005-0000-0000-0000A3020000}"/>
    <cellStyle name="Currency 16" xfId="963" xr:uid="{00000000-0005-0000-0000-0000A4020000}"/>
    <cellStyle name="Currency 16 2" xfId="1285" xr:uid="{00000000-0005-0000-0000-0000A5020000}"/>
    <cellStyle name="Currency 16 3" xfId="2013" xr:uid="{00000000-0005-0000-0000-0000A6020000}"/>
    <cellStyle name="Currency 16 4" xfId="2488" xr:uid="{00000000-0005-0000-0000-0000A7020000}"/>
    <cellStyle name="Currency 16 5" xfId="3191" xr:uid="{00000000-0005-0000-0000-0000A8020000}"/>
    <cellStyle name="Currency 17" xfId="2723" xr:uid="{00000000-0005-0000-0000-0000A9020000}"/>
    <cellStyle name="Currency 2" xfId="11" xr:uid="{00000000-0005-0000-0000-0000AA020000}"/>
    <cellStyle name="Currency 2 10" xfId="1290" xr:uid="{00000000-0005-0000-0000-0000AB020000}"/>
    <cellStyle name="Currency 2 11" xfId="966" xr:uid="{00000000-0005-0000-0000-0000AC020000}"/>
    <cellStyle name="Currency 2 11 2" xfId="1553" xr:uid="{00000000-0005-0000-0000-0000AD020000}"/>
    <cellStyle name="Currency 2 12" xfId="2731" xr:uid="{00000000-0005-0000-0000-0000AE020000}"/>
    <cellStyle name="Currency 2 2" xfId="90" xr:uid="{00000000-0005-0000-0000-0000AF020000}"/>
    <cellStyle name="Currency 2 2 2" xfId="91" xr:uid="{00000000-0005-0000-0000-0000B0020000}"/>
    <cellStyle name="Currency 2 2 2 2" xfId="92" xr:uid="{00000000-0005-0000-0000-0000B1020000}"/>
    <cellStyle name="Currency 2 2 2 2 2" xfId="277" xr:uid="{00000000-0005-0000-0000-0000B2020000}"/>
    <cellStyle name="Currency 2 2 2 3" xfId="276" xr:uid="{00000000-0005-0000-0000-0000B3020000}"/>
    <cellStyle name="Currency 2 2 2 4" xfId="418" xr:uid="{00000000-0005-0000-0000-0000B4020000}"/>
    <cellStyle name="Currency 2 2 3" xfId="93" xr:uid="{00000000-0005-0000-0000-0000B5020000}"/>
    <cellStyle name="Currency 2 2 3 2" xfId="278" xr:uid="{00000000-0005-0000-0000-0000B6020000}"/>
    <cellStyle name="Currency 2 2 4" xfId="275" xr:uid="{00000000-0005-0000-0000-0000B7020000}"/>
    <cellStyle name="Currency 2 2 5" xfId="417" xr:uid="{00000000-0005-0000-0000-0000B8020000}"/>
    <cellStyle name="Currency 2 2 6" xfId="1251" xr:uid="{00000000-0005-0000-0000-0000B9020000}"/>
    <cellStyle name="Currency 2 2 6 2" xfId="2002" xr:uid="{00000000-0005-0000-0000-0000BA020000}"/>
    <cellStyle name="Currency 2 2 6 3" xfId="2477" xr:uid="{00000000-0005-0000-0000-0000BB020000}"/>
    <cellStyle name="Currency 2 2 6 4" xfId="3180" xr:uid="{00000000-0005-0000-0000-0000BC020000}"/>
    <cellStyle name="Currency 2 3" xfId="94" xr:uid="{00000000-0005-0000-0000-0000BD020000}"/>
    <cellStyle name="Currency 2 3 2" xfId="279" xr:uid="{00000000-0005-0000-0000-0000BE020000}"/>
    <cellStyle name="Currency 2 3 3" xfId="419" xr:uid="{00000000-0005-0000-0000-0000BF020000}"/>
    <cellStyle name="Currency 2 4" xfId="95" xr:uid="{00000000-0005-0000-0000-0000C0020000}"/>
    <cellStyle name="Currency 2 4 2" xfId="96" xr:uid="{00000000-0005-0000-0000-0000C1020000}"/>
    <cellStyle name="Currency 2 4 2 2" xfId="97" xr:uid="{00000000-0005-0000-0000-0000C2020000}"/>
    <cellStyle name="Currency 2 4 2 2 2" xfId="282" xr:uid="{00000000-0005-0000-0000-0000C3020000}"/>
    <cellStyle name="Currency 2 4 2 2 2 2" xfId="642" xr:uid="{00000000-0005-0000-0000-0000C4020000}"/>
    <cellStyle name="Currency 2 4 2 2 3" xfId="571" xr:uid="{00000000-0005-0000-0000-0000C5020000}"/>
    <cellStyle name="Currency 2 4 2 3" xfId="281" xr:uid="{00000000-0005-0000-0000-0000C6020000}"/>
    <cellStyle name="Currency 2 4 2 3 2" xfId="641" xr:uid="{00000000-0005-0000-0000-0000C7020000}"/>
    <cellStyle name="Currency 2 4 2 4" xfId="570" xr:uid="{00000000-0005-0000-0000-0000C8020000}"/>
    <cellStyle name="Currency 2 4 3" xfId="280" xr:uid="{00000000-0005-0000-0000-0000C9020000}"/>
    <cellStyle name="Currency 2 4 3 2" xfId="640" xr:uid="{00000000-0005-0000-0000-0000CA020000}"/>
    <cellStyle name="Currency 2 4 4" xfId="569" xr:uid="{00000000-0005-0000-0000-0000CB020000}"/>
    <cellStyle name="Currency 2 5" xfId="98" xr:uid="{00000000-0005-0000-0000-0000CC020000}"/>
    <cellStyle name="Currency 2 5 2" xfId="99" xr:uid="{00000000-0005-0000-0000-0000CD020000}"/>
    <cellStyle name="Currency 2 5 2 2" xfId="284" xr:uid="{00000000-0005-0000-0000-0000CE020000}"/>
    <cellStyle name="Currency 2 5 2 2 2" xfId="644" xr:uid="{00000000-0005-0000-0000-0000CF020000}"/>
    <cellStyle name="Currency 2 5 2 3" xfId="573" xr:uid="{00000000-0005-0000-0000-0000D0020000}"/>
    <cellStyle name="Currency 2 5 3" xfId="283" xr:uid="{00000000-0005-0000-0000-0000D1020000}"/>
    <cellStyle name="Currency 2 5 3 2" xfId="643" xr:uid="{00000000-0005-0000-0000-0000D2020000}"/>
    <cellStyle name="Currency 2 5 4" xfId="572" xr:uid="{00000000-0005-0000-0000-0000D3020000}"/>
    <cellStyle name="Currency 2 6" xfId="274" xr:uid="{00000000-0005-0000-0000-0000D4020000}"/>
    <cellStyle name="Currency 2 6 2" xfId="639" xr:uid="{00000000-0005-0000-0000-0000D5020000}"/>
    <cellStyle name="Currency 2 7" xfId="568" xr:uid="{00000000-0005-0000-0000-0000D6020000}"/>
    <cellStyle name="Currency 2 8" xfId="89" xr:uid="{00000000-0005-0000-0000-0000D7020000}"/>
    <cellStyle name="Currency 2 8 2" xfId="1322" xr:uid="{00000000-0005-0000-0000-0000D8020000}"/>
    <cellStyle name="Currency 2 8 3" xfId="1246" xr:uid="{00000000-0005-0000-0000-0000D9020000}"/>
    <cellStyle name="Currency 2 9" xfId="47" xr:uid="{00000000-0005-0000-0000-0000DA020000}"/>
    <cellStyle name="Currency 2 9 2" xfId="1315" xr:uid="{00000000-0005-0000-0000-0000DB020000}"/>
    <cellStyle name="Currency 2 9 3" xfId="2025" xr:uid="{00000000-0005-0000-0000-0000DC020000}"/>
    <cellStyle name="Currency 2 9 4" xfId="2500" xr:uid="{00000000-0005-0000-0000-0000DD020000}"/>
    <cellStyle name="Currency 2 9 5" xfId="3203" xr:uid="{00000000-0005-0000-0000-0000DE020000}"/>
    <cellStyle name="Currency 3" xfId="14" xr:uid="{00000000-0005-0000-0000-0000DF020000}"/>
    <cellStyle name="Currency 3 2" xfId="101" xr:uid="{00000000-0005-0000-0000-0000E0020000}"/>
    <cellStyle name="Currency 3 2 2" xfId="286" xr:uid="{00000000-0005-0000-0000-0000E1020000}"/>
    <cellStyle name="Currency 3 2 2 2" xfId="645" xr:uid="{00000000-0005-0000-0000-0000E2020000}"/>
    <cellStyle name="Currency 3 2 3" xfId="574" xr:uid="{00000000-0005-0000-0000-0000E3020000}"/>
    <cellStyle name="Currency 3 3" xfId="102" xr:uid="{00000000-0005-0000-0000-0000E4020000}"/>
    <cellStyle name="Currency 3 3 2" xfId="287" xr:uid="{00000000-0005-0000-0000-0000E5020000}"/>
    <cellStyle name="Currency 3 4" xfId="250" xr:uid="{00000000-0005-0000-0000-0000E6020000}"/>
    <cellStyle name="Currency 3 4 10" xfId="2736" xr:uid="{00000000-0005-0000-0000-0000E7020000}"/>
    <cellStyle name="Currency 3 4 2" xfId="625" xr:uid="{00000000-0005-0000-0000-0000E8020000}"/>
    <cellStyle name="Currency 3 4 2 2" xfId="801" xr:uid="{00000000-0005-0000-0000-0000E9020000}"/>
    <cellStyle name="Currency 3 4 2 2 2" xfId="889" xr:uid="{00000000-0005-0000-0000-0000EA020000}"/>
    <cellStyle name="Currency 3 4 2 2 2 2" xfId="1484" xr:uid="{00000000-0005-0000-0000-0000EB020000}"/>
    <cellStyle name="Currency 3 4 2 2 2 2 2" xfId="2182" xr:uid="{00000000-0005-0000-0000-0000EC020000}"/>
    <cellStyle name="Currency 3 4 2 2 2 2 3" xfId="2657" xr:uid="{00000000-0005-0000-0000-0000ED020000}"/>
    <cellStyle name="Currency 3 4 2 2 2 2 4" xfId="3360" xr:uid="{00000000-0005-0000-0000-0000EE020000}"/>
    <cellStyle name="Currency 3 4 2 2 2 3" xfId="1132" xr:uid="{00000000-0005-0000-0000-0000EF020000}"/>
    <cellStyle name="Currency 3 4 2 2 2 3 2" xfId="1931" xr:uid="{00000000-0005-0000-0000-0000F0020000}"/>
    <cellStyle name="Currency 3 4 2 2 2 3 3" xfId="3109" xr:uid="{00000000-0005-0000-0000-0000F1020000}"/>
    <cellStyle name="Currency 3 4 2 2 2 4" xfId="1711" xr:uid="{00000000-0005-0000-0000-0000F2020000}"/>
    <cellStyle name="Currency 3 4 2 2 2 5" xfId="2406" xr:uid="{00000000-0005-0000-0000-0000F3020000}"/>
    <cellStyle name="Currency 3 4 2 2 2 6" xfId="2889" xr:uid="{00000000-0005-0000-0000-0000F4020000}"/>
    <cellStyle name="Currency 3 4 2 2 3" xfId="1396" xr:uid="{00000000-0005-0000-0000-0000F5020000}"/>
    <cellStyle name="Currency 3 4 2 2 3 2" xfId="2094" xr:uid="{00000000-0005-0000-0000-0000F6020000}"/>
    <cellStyle name="Currency 3 4 2 2 3 3" xfId="2569" xr:uid="{00000000-0005-0000-0000-0000F7020000}"/>
    <cellStyle name="Currency 3 4 2 2 3 4" xfId="3272" xr:uid="{00000000-0005-0000-0000-0000F8020000}"/>
    <cellStyle name="Currency 3 4 2 2 4" xfId="1044" xr:uid="{00000000-0005-0000-0000-0000F9020000}"/>
    <cellStyle name="Currency 3 4 2 2 4 2" xfId="1843" xr:uid="{00000000-0005-0000-0000-0000FA020000}"/>
    <cellStyle name="Currency 3 4 2 2 4 3" xfId="3021" xr:uid="{00000000-0005-0000-0000-0000FB020000}"/>
    <cellStyle name="Currency 3 4 2 2 5" xfId="1623" xr:uid="{00000000-0005-0000-0000-0000FC020000}"/>
    <cellStyle name="Currency 3 4 2 2 6" xfId="2318" xr:uid="{00000000-0005-0000-0000-0000FD020000}"/>
    <cellStyle name="Currency 3 4 2 2 7" xfId="2801" xr:uid="{00000000-0005-0000-0000-0000FE020000}"/>
    <cellStyle name="Currency 3 4 2 3" xfId="933" xr:uid="{00000000-0005-0000-0000-0000FF020000}"/>
    <cellStyle name="Currency 3 4 2 3 2" xfId="1528" xr:uid="{00000000-0005-0000-0000-000000030000}"/>
    <cellStyle name="Currency 3 4 2 3 2 2" xfId="2226" xr:uid="{00000000-0005-0000-0000-000001030000}"/>
    <cellStyle name="Currency 3 4 2 3 2 3" xfId="2701" xr:uid="{00000000-0005-0000-0000-000002030000}"/>
    <cellStyle name="Currency 3 4 2 3 2 4" xfId="3404" xr:uid="{00000000-0005-0000-0000-000003030000}"/>
    <cellStyle name="Currency 3 4 2 3 3" xfId="1176" xr:uid="{00000000-0005-0000-0000-000004030000}"/>
    <cellStyle name="Currency 3 4 2 3 3 2" xfId="1975" xr:uid="{00000000-0005-0000-0000-000005030000}"/>
    <cellStyle name="Currency 3 4 2 3 3 3" xfId="3153" xr:uid="{00000000-0005-0000-0000-000006030000}"/>
    <cellStyle name="Currency 3 4 2 3 4" xfId="1755" xr:uid="{00000000-0005-0000-0000-000007030000}"/>
    <cellStyle name="Currency 3 4 2 3 5" xfId="2450" xr:uid="{00000000-0005-0000-0000-000008030000}"/>
    <cellStyle name="Currency 3 4 2 3 6" xfId="2933" xr:uid="{00000000-0005-0000-0000-000009030000}"/>
    <cellStyle name="Currency 3 4 2 4" xfId="845" xr:uid="{00000000-0005-0000-0000-00000A030000}"/>
    <cellStyle name="Currency 3 4 2 4 2" xfId="1440" xr:uid="{00000000-0005-0000-0000-00000B030000}"/>
    <cellStyle name="Currency 3 4 2 4 2 2" xfId="2138" xr:uid="{00000000-0005-0000-0000-00000C030000}"/>
    <cellStyle name="Currency 3 4 2 4 2 3" xfId="2613" xr:uid="{00000000-0005-0000-0000-00000D030000}"/>
    <cellStyle name="Currency 3 4 2 4 2 4" xfId="3316" xr:uid="{00000000-0005-0000-0000-00000E030000}"/>
    <cellStyle name="Currency 3 4 2 4 3" xfId="1088" xr:uid="{00000000-0005-0000-0000-00000F030000}"/>
    <cellStyle name="Currency 3 4 2 4 3 2" xfId="1887" xr:uid="{00000000-0005-0000-0000-000010030000}"/>
    <cellStyle name="Currency 3 4 2 4 3 3" xfId="3065" xr:uid="{00000000-0005-0000-0000-000011030000}"/>
    <cellStyle name="Currency 3 4 2 4 4" xfId="1667" xr:uid="{00000000-0005-0000-0000-000012030000}"/>
    <cellStyle name="Currency 3 4 2 4 5" xfId="2362" xr:uid="{00000000-0005-0000-0000-000013030000}"/>
    <cellStyle name="Currency 3 4 2 4 6" xfId="2845" xr:uid="{00000000-0005-0000-0000-000014030000}"/>
    <cellStyle name="Currency 3 4 2 5" xfId="1352" xr:uid="{00000000-0005-0000-0000-000015030000}"/>
    <cellStyle name="Currency 3 4 2 5 2" xfId="2050" xr:uid="{00000000-0005-0000-0000-000016030000}"/>
    <cellStyle name="Currency 3 4 2 5 3" xfId="2525" xr:uid="{00000000-0005-0000-0000-000017030000}"/>
    <cellStyle name="Currency 3 4 2 5 4" xfId="3228" xr:uid="{00000000-0005-0000-0000-000018030000}"/>
    <cellStyle name="Currency 3 4 2 6" xfId="1000" xr:uid="{00000000-0005-0000-0000-000019030000}"/>
    <cellStyle name="Currency 3 4 2 6 2" xfId="1799" xr:uid="{00000000-0005-0000-0000-00001A030000}"/>
    <cellStyle name="Currency 3 4 2 6 3" xfId="2977" xr:uid="{00000000-0005-0000-0000-00001B030000}"/>
    <cellStyle name="Currency 3 4 2 7" xfId="1579" xr:uid="{00000000-0005-0000-0000-00001C030000}"/>
    <cellStyle name="Currency 3 4 2 8" xfId="2274" xr:uid="{00000000-0005-0000-0000-00001D030000}"/>
    <cellStyle name="Currency 3 4 2 9" xfId="2757" xr:uid="{00000000-0005-0000-0000-00001E030000}"/>
    <cellStyle name="Currency 3 4 3" xfId="780" xr:uid="{00000000-0005-0000-0000-00001F030000}"/>
    <cellStyle name="Currency 3 4 3 2" xfId="868" xr:uid="{00000000-0005-0000-0000-000020030000}"/>
    <cellStyle name="Currency 3 4 3 2 2" xfId="1463" xr:uid="{00000000-0005-0000-0000-000021030000}"/>
    <cellStyle name="Currency 3 4 3 2 2 2" xfId="2161" xr:uid="{00000000-0005-0000-0000-000022030000}"/>
    <cellStyle name="Currency 3 4 3 2 2 3" xfId="2636" xr:uid="{00000000-0005-0000-0000-000023030000}"/>
    <cellStyle name="Currency 3 4 3 2 2 4" xfId="3339" xr:uid="{00000000-0005-0000-0000-000024030000}"/>
    <cellStyle name="Currency 3 4 3 2 3" xfId="1111" xr:uid="{00000000-0005-0000-0000-000025030000}"/>
    <cellStyle name="Currency 3 4 3 2 3 2" xfId="1910" xr:uid="{00000000-0005-0000-0000-000026030000}"/>
    <cellStyle name="Currency 3 4 3 2 3 3" xfId="3088" xr:uid="{00000000-0005-0000-0000-000027030000}"/>
    <cellStyle name="Currency 3 4 3 2 4" xfId="1690" xr:uid="{00000000-0005-0000-0000-000028030000}"/>
    <cellStyle name="Currency 3 4 3 2 5" xfId="2385" xr:uid="{00000000-0005-0000-0000-000029030000}"/>
    <cellStyle name="Currency 3 4 3 2 6" xfId="2868" xr:uid="{00000000-0005-0000-0000-00002A030000}"/>
    <cellStyle name="Currency 3 4 3 3" xfId="1375" xr:uid="{00000000-0005-0000-0000-00002B030000}"/>
    <cellStyle name="Currency 3 4 3 3 2" xfId="2073" xr:uid="{00000000-0005-0000-0000-00002C030000}"/>
    <cellStyle name="Currency 3 4 3 3 3" xfId="2548" xr:uid="{00000000-0005-0000-0000-00002D030000}"/>
    <cellStyle name="Currency 3 4 3 3 4" xfId="3251" xr:uid="{00000000-0005-0000-0000-00002E030000}"/>
    <cellStyle name="Currency 3 4 3 4" xfId="1023" xr:uid="{00000000-0005-0000-0000-00002F030000}"/>
    <cellStyle name="Currency 3 4 3 4 2" xfId="1822" xr:uid="{00000000-0005-0000-0000-000030030000}"/>
    <cellStyle name="Currency 3 4 3 4 3" xfId="3000" xr:uid="{00000000-0005-0000-0000-000031030000}"/>
    <cellStyle name="Currency 3 4 3 5" xfId="1602" xr:uid="{00000000-0005-0000-0000-000032030000}"/>
    <cellStyle name="Currency 3 4 3 6" xfId="2297" xr:uid="{00000000-0005-0000-0000-000033030000}"/>
    <cellStyle name="Currency 3 4 3 7" xfId="2780" xr:uid="{00000000-0005-0000-0000-000034030000}"/>
    <cellStyle name="Currency 3 4 4" xfId="912" xr:uid="{00000000-0005-0000-0000-000035030000}"/>
    <cellStyle name="Currency 3 4 4 2" xfId="1507" xr:uid="{00000000-0005-0000-0000-000036030000}"/>
    <cellStyle name="Currency 3 4 4 2 2" xfId="2205" xr:uid="{00000000-0005-0000-0000-000037030000}"/>
    <cellStyle name="Currency 3 4 4 2 3" xfId="2680" xr:uid="{00000000-0005-0000-0000-000038030000}"/>
    <cellStyle name="Currency 3 4 4 2 4" xfId="3383" xr:uid="{00000000-0005-0000-0000-000039030000}"/>
    <cellStyle name="Currency 3 4 4 3" xfId="1155" xr:uid="{00000000-0005-0000-0000-00003A030000}"/>
    <cellStyle name="Currency 3 4 4 3 2" xfId="1954" xr:uid="{00000000-0005-0000-0000-00003B030000}"/>
    <cellStyle name="Currency 3 4 4 3 3" xfId="3132" xr:uid="{00000000-0005-0000-0000-00003C030000}"/>
    <cellStyle name="Currency 3 4 4 4" xfId="1734" xr:uid="{00000000-0005-0000-0000-00003D030000}"/>
    <cellStyle name="Currency 3 4 4 5" xfId="2429" xr:uid="{00000000-0005-0000-0000-00003E030000}"/>
    <cellStyle name="Currency 3 4 4 6" xfId="2912" xr:uid="{00000000-0005-0000-0000-00003F030000}"/>
    <cellStyle name="Currency 3 4 5" xfId="824" xr:uid="{00000000-0005-0000-0000-000040030000}"/>
    <cellStyle name="Currency 3 4 5 2" xfId="1419" xr:uid="{00000000-0005-0000-0000-000041030000}"/>
    <cellStyle name="Currency 3 4 5 2 2" xfId="2117" xr:uid="{00000000-0005-0000-0000-000042030000}"/>
    <cellStyle name="Currency 3 4 5 2 3" xfId="2592" xr:uid="{00000000-0005-0000-0000-000043030000}"/>
    <cellStyle name="Currency 3 4 5 2 4" xfId="3295" xr:uid="{00000000-0005-0000-0000-000044030000}"/>
    <cellStyle name="Currency 3 4 5 3" xfId="1067" xr:uid="{00000000-0005-0000-0000-000045030000}"/>
    <cellStyle name="Currency 3 4 5 3 2" xfId="1866" xr:uid="{00000000-0005-0000-0000-000046030000}"/>
    <cellStyle name="Currency 3 4 5 3 3" xfId="3044" xr:uid="{00000000-0005-0000-0000-000047030000}"/>
    <cellStyle name="Currency 3 4 5 4" xfId="1646" xr:uid="{00000000-0005-0000-0000-000048030000}"/>
    <cellStyle name="Currency 3 4 5 5" xfId="2341" xr:uid="{00000000-0005-0000-0000-000049030000}"/>
    <cellStyle name="Currency 3 4 5 6" xfId="2824" xr:uid="{00000000-0005-0000-0000-00004A030000}"/>
    <cellStyle name="Currency 3 4 6" xfId="1331" xr:uid="{00000000-0005-0000-0000-00004B030000}"/>
    <cellStyle name="Currency 3 4 6 2" xfId="2029" xr:uid="{00000000-0005-0000-0000-00004C030000}"/>
    <cellStyle name="Currency 3 4 6 3" xfId="2504" xr:uid="{00000000-0005-0000-0000-00004D030000}"/>
    <cellStyle name="Currency 3 4 6 4" xfId="3207" xr:uid="{00000000-0005-0000-0000-00004E030000}"/>
    <cellStyle name="Currency 3 4 7" xfId="979" xr:uid="{00000000-0005-0000-0000-00004F030000}"/>
    <cellStyle name="Currency 3 4 7 2" xfId="1778" xr:uid="{00000000-0005-0000-0000-000050030000}"/>
    <cellStyle name="Currency 3 4 7 3" xfId="2956" xr:uid="{00000000-0005-0000-0000-000051030000}"/>
    <cellStyle name="Currency 3 4 8" xfId="1558" xr:uid="{00000000-0005-0000-0000-000052030000}"/>
    <cellStyle name="Currency 3 4 9" xfId="2253" xr:uid="{00000000-0005-0000-0000-000053030000}"/>
    <cellStyle name="Currency 3 5" xfId="285" xr:uid="{00000000-0005-0000-0000-000054030000}"/>
    <cellStyle name="Currency 3 6" xfId="100" xr:uid="{00000000-0005-0000-0000-000055030000}"/>
    <cellStyle name="Currency 3 6 2" xfId="1323" xr:uid="{00000000-0005-0000-0000-000056030000}"/>
    <cellStyle name="Currency 3 6 3" xfId="1198" xr:uid="{00000000-0005-0000-0000-000057030000}"/>
    <cellStyle name="Currency 3 6 4" xfId="1997" xr:uid="{00000000-0005-0000-0000-000058030000}"/>
    <cellStyle name="Currency 3 6 5" xfId="2472" xr:uid="{00000000-0005-0000-0000-000059030000}"/>
    <cellStyle name="Currency 3 6 6" xfId="3175" xr:uid="{00000000-0005-0000-0000-00005A030000}"/>
    <cellStyle name="Currency 3 7" xfId="1293" xr:uid="{00000000-0005-0000-0000-00005B030000}"/>
    <cellStyle name="Currency 4" xfId="31" xr:uid="{00000000-0005-0000-0000-00005C030000}"/>
    <cellStyle name="Currency 4 2" xfId="288" xr:uid="{00000000-0005-0000-0000-00005D030000}"/>
    <cellStyle name="Currency 4 3" xfId="420" xr:uid="{00000000-0005-0000-0000-00005E030000}"/>
    <cellStyle name="Currency 4 4" xfId="103" xr:uid="{00000000-0005-0000-0000-00005F030000}"/>
    <cellStyle name="Currency 4 5" xfId="1301" xr:uid="{00000000-0005-0000-0000-000060030000}"/>
    <cellStyle name="Currency 4 5 2" xfId="2018" xr:uid="{00000000-0005-0000-0000-000061030000}"/>
    <cellStyle name="Currency 4 5 3" xfId="2493" xr:uid="{00000000-0005-0000-0000-000062030000}"/>
    <cellStyle name="Currency 4 5 4" xfId="3196" xr:uid="{00000000-0005-0000-0000-000063030000}"/>
    <cellStyle name="Currency 5" xfId="39" xr:uid="{00000000-0005-0000-0000-000064030000}"/>
    <cellStyle name="Currency 5 2" xfId="105" xr:uid="{00000000-0005-0000-0000-000065030000}"/>
    <cellStyle name="Currency 5 3" xfId="545" xr:uid="{00000000-0005-0000-0000-000066030000}"/>
    <cellStyle name="Currency 5 3 10" xfId="2744" xr:uid="{00000000-0005-0000-0000-000067030000}"/>
    <cellStyle name="Currency 5 3 2" xfId="702" xr:uid="{00000000-0005-0000-0000-000068030000}"/>
    <cellStyle name="Currency 5 3 2 2" xfId="809" xr:uid="{00000000-0005-0000-0000-000069030000}"/>
    <cellStyle name="Currency 5 3 2 2 2" xfId="897" xr:uid="{00000000-0005-0000-0000-00006A030000}"/>
    <cellStyle name="Currency 5 3 2 2 2 2" xfId="1492" xr:uid="{00000000-0005-0000-0000-00006B030000}"/>
    <cellStyle name="Currency 5 3 2 2 2 2 2" xfId="2190" xr:uid="{00000000-0005-0000-0000-00006C030000}"/>
    <cellStyle name="Currency 5 3 2 2 2 2 3" xfId="2665" xr:uid="{00000000-0005-0000-0000-00006D030000}"/>
    <cellStyle name="Currency 5 3 2 2 2 2 4" xfId="3368" xr:uid="{00000000-0005-0000-0000-00006E030000}"/>
    <cellStyle name="Currency 5 3 2 2 2 3" xfId="1140" xr:uid="{00000000-0005-0000-0000-00006F030000}"/>
    <cellStyle name="Currency 5 3 2 2 2 3 2" xfId="1939" xr:uid="{00000000-0005-0000-0000-000070030000}"/>
    <cellStyle name="Currency 5 3 2 2 2 3 3" xfId="3117" xr:uid="{00000000-0005-0000-0000-000071030000}"/>
    <cellStyle name="Currency 5 3 2 2 2 4" xfId="1719" xr:uid="{00000000-0005-0000-0000-000072030000}"/>
    <cellStyle name="Currency 5 3 2 2 2 5" xfId="2414" xr:uid="{00000000-0005-0000-0000-000073030000}"/>
    <cellStyle name="Currency 5 3 2 2 2 6" xfId="2897" xr:uid="{00000000-0005-0000-0000-000074030000}"/>
    <cellStyle name="Currency 5 3 2 2 3" xfId="1404" xr:uid="{00000000-0005-0000-0000-000075030000}"/>
    <cellStyle name="Currency 5 3 2 2 3 2" xfId="2102" xr:uid="{00000000-0005-0000-0000-000076030000}"/>
    <cellStyle name="Currency 5 3 2 2 3 3" xfId="2577" xr:uid="{00000000-0005-0000-0000-000077030000}"/>
    <cellStyle name="Currency 5 3 2 2 3 4" xfId="3280" xr:uid="{00000000-0005-0000-0000-000078030000}"/>
    <cellStyle name="Currency 5 3 2 2 4" xfId="1052" xr:uid="{00000000-0005-0000-0000-000079030000}"/>
    <cellStyle name="Currency 5 3 2 2 4 2" xfId="1851" xr:uid="{00000000-0005-0000-0000-00007A030000}"/>
    <cellStyle name="Currency 5 3 2 2 4 3" xfId="3029" xr:uid="{00000000-0005-0000-0000-00007B030000}"/>
    <cellStyle name="Currency 5 3 2 2 5" xfId="1631" xr:uid="{00000000-0005-0000-0000-00007C030000}"/>
    <cellStyle name="Currency 5 3 2 2 6" xfId="2326" xr:uid="{00000000-0005-0000-0000-00007D030000}"/>
    <cellStyle name="Currency 5 3 2 2 7" xfId="2809" xr:uid="{00000000-0005-0000-0000-00007E030000}"/>
    <cellStyle name="Currency 5 3 2 3" xfId="941" xr:uid="{00000000-0005-0000-0000-00007F030000}"/>
    <cellStyle name="Currency 5 3 2 3 2" xfId="1536" xr:uid="{00000000-0005-0000-0000-000080030000}"/>
    <cellStyle name="Currency 5 3 2 3 2 2" xfId="2234" xr:uid="{00000000-0005-0000-0000-000081030000}"/>
    <cellStyle name="Currency 5 3 2 3 2 3" xfId="2709" xr:uid="{00000000-0005-0000-0000-000082030000}"/>
    <cellStyle name="Currency 5 3 2 3 2 4" xfId="3412" xr:uid="{00000000-0005-0000-0000-000083030000}"/>
    <cellStyle name="Currency 5 3 2 3 3" xfId="1184" xr:uid="{00000000-0005-0000-0000-000084030000}"/>
    <cellStyle name="Currency 5 3 2 3 3 2" xfId="1983" xr:uid="{00000000-0005-0000-0000-000085030000}"/>
    <cellStyle name="Currency 5 3 2 3 3 3" xfId="3161" xr:uid="{00000000-0005-0000-0000-000086030000}"/>
    <cellStyle name="Currency 5 3 2 3 4" xfId="1763" xr:uid="{00000000-0005-0000-0000-000087030000}"/>
    <cellStyle name="Currency 5 3 2 3 5" xfId="2458" xr:uid="{00000000-0005-0000-0000-000088030000}"/>
    <cellStyle name="Currency 5 3 2 3 6" xfId="2941" xr:uid="{00000000-0005-0000-0000-000089030000}"/>
    <cellStyle name="Currency 5 3 2 4" xfId="853" xr:uid="{00000000-0005-0000-0000-00008A030000}"/>
    <cellStyle name="Currency 5 3 2 4 2" xfId="1448" xr:uid="{00000000-0005-0000-0000-00008B030000}"/>
    <cellStyle name="Currency 5 3 2 4 2 2" xfId="2146" xr:uid="{00000000-0005-0000-0000-00008C030000}"/>
    <cellStyle name="Currency 5 3 2 4 2 3" xfId="2621" xr:uid="{00000000-0005-0000-0000-00008D030000}"/>
    <cellStyle name="Currency 5 3 2 4 2 4" xfId="3324" xr:uid="{00000000-0005-0000-0000-00008E030000}"/>
    <cellStyle name="Currency 5 3 2 4 3" xfId="1096" xr:uid="{00000000-0005-0000-0000-00008F030000}"/>
    <cellStyle name="Currency 5 3 2 4 3 2" xfId="1895" xr:uid="{00000000-0005-0000-0000-000090030000}"/>
    <cellStyle name="Currency 5 3 2 4 3 3" xfId="3073" xr:uid="{00000000-0005-0000-0000-000091030000}"/>
    <cellStyle name="Currency 5 3 2 4 4" xfId="1675" xr:uid="{00000000-0005-0000-0000-000092030000}"/>
    <cellStyle name="Currency 5 3 2 4 5" xfId="2370" xr:uid="{00000000-0005-0000-0000-000093030000}"/>
    <cellStyle name="Currency 5 3 2 4 6" xfId="2853" xr:uid="{00000000-0005-0000-0000-000094030000}"/>
    <cellStyle name="Currency 5 3 2 5" xfId="1360" xr:uid="{00000000-0005-0000-0000-000095030000}"/>
    <cellStyle name="Currency 5 3 2 5 2" xfId="2058" xr:uid="{00000000-0005-0000-0000-000096030000}"/>
    <cellStyle name="Currency 5 3 2 5 3" xfId="2533" xr:uid="{00000000-0005-0000-0000-000097030000}"/>
    <cellStyle name="Currency 5 3 2 5 4" xfId="3236" xr:uid="{00000000-0005-0000-0000-000098030000}"/>
    <cellStyle name="Currency 5 3 2 6" xfId="1008" xr:uid="{00000000-0005-0000-0000-000099030000}"/>
    <cellStyle name="Currency 5 3 2 6 2" xfId="1807" xr:uid="{00000000-0005-0000-0000-00009A030000}"/>
    <cellStyle name="Currency 5 3 2 6 3" xfId="2985" xr:uid="{00000000-0005-0000-0000-00009B030000}"/>
    <cellStyle name="Currency 5 3 2 7" xfId="1587" xr:uid="{00000000-0005-0000-0000-00009C030000}"/>
    <cellStyle name="Currency 5 3 2 8" xfId="2282" xr:uid="{00000000-0005-0000-0000-00009D030000}"/>
    <cellStyle name="Currency 5 3 2 9" xfId="2765" xr:uid="{00000000-0005-0000-0000-00009E030000}"/>
    <cellStyle name="Currency 5 3 3" xfId="788" xr:uid="{00000000-0005-0000-0000-00009F030000}"/>
    <cellStyle name="Currency 5 3 3 2" xfId="876" xr:uid="{00000000-0005-0000-0000-0000A0030000}"/>
    <cellStyle name="Currency 5 3 3 2 2" xfId="1471" xr:uid="{00000000-0005-0000-0000-0000A1030000}"/>
    <cellStyle name="Currency 5 3 3 2 2 2" xfId="2169" xr:uid="{00000000-0005-0000-0000-0000A2030000}"/>
    <cellStyle name="Currency 5 3 3 2 2 3" xfId="2644" xr:uid="{00000000-0005-0000-0000-0000A3030000}"/>
    <cellStyle name="Currency 5 3 3 2 2 4" xfId="3347" xr:uid="{00000000-0005-0000-0000-0000A4030000}"/>
    <cellStyle name="Currency 5 3 3 2 3" xfId="1119" xr:uid="{00000000-0005-0000-0000-0000A5030000}"/>
    <cellStyle name="Currency 5 3 3 2 3 2" xfId="1918" xr:uid="{00000000-0005-0000-0000-0000A6030000}"/>
    <cellStyle name="Currency 5 3 3 2 3 3" xfId="3096" xr:uid="{00000000-0005-0000-0000-0000A7030000}"/>
    <cellStyle name="Currency 5 3 3 2 4" xfId="1698" xr:uid="{00000000-0005-0000-0000-0000A8030000}"/>
    <cellStyle name="Currency 5 3 3 2 5" xfId="2393" xr:uid="{00000000-0005-0000-0000-0000A9030000}"/>
    <cellStyle name="Currency 5 3 3 2 6" xfId="2876" xr:uid="{00000000-0005-0000-0000-0000AA030000}"/>
    <cellStyle name="Currency 5 3 3 3" xfId="1383" xr:uid="{00000000-0005-0000-0000-0000AB030000}"/>
    <cellStyle name="Currency 5 3 3 3 2" xfId="2081" xr:uid="{00000000-0005-0000-0000-0000AC030000}"/>
    <cellStyle name="Currency 5 3 3 3 3" xfId="2556" xr:uid="{00000000-0005-0000-0000-0000AD030000}"/>
    <cellStyle name="Currency 5 3 3 3 4" xfId="3259" xr:uid="{00000000-0005-0000-0000-0000AE030000}"/>
    <cellStyle name="Currency 5 3 3 4" xfId="1031" xr:uid="{00000000-0005-0000-0000-0000AF030000}"/>
    <cellStyle name="Currency 5 3 3 4 2" xfId="1830" xr:uid="{00000000-0005-0000-0000-0000B0030000}"/>
    <cellStyle name="Currency 5 3 3 4 3" xfId="3008" xr:uid="{00000000-0005-0000-0000-0000B1030000}"/>
    <cellStyle name="Currency 5 3 3 5" xfId="1610" xr:uid="{00000000-0005-0000-0000-0000B2030000}"/>
    <cellStyle name="Currency 5 3 3 6" xfId="2305" xr:uid="{00000000-0005-0000-0000-0000B3030000}"/>
    <cellStyle name="Currency 5 3 3 7" xfId="2788" xr:uid="{00000000-0005-0000-0000-0000B4030000}"/>
    <cellStyle name="Currency 5 3 4" xfId="920" xr:uid="{00000000-0005-0000-0000-0000B5030000}"/>
    <cellStyle name="Currency 5 3 4 2" xfId="1515" xr:uid="{00000000-0005-0000-0000-0000B6030000}"/>
    <cellStyle name="Currency 5 3 4 2 2" xfId="2213" xr:uid="{00000000-0005-0000-0000-0000B7030000}"/>
    <cellStyle name="Currency 5 3 4 2 3" xfId="2688" xr:uid="{00000000-0005-0000-0000-0000B8030000}"/>
    <cellStyle name="Currency 5 3 4 2 4" xfId="3391" xr:uid="{00000000-0005-0000-0000-0000B9030000}"/>
    <cellStyle name="Currency 5 3 4 3" xfId="1163" xr:uid="{00000000-0005-0000-0000-0000BA030000}"/>
    <cellStyle name="Currency 5 3 4 3 2" xfId="1962" xr:uid="{00000000-0005-0000-0000-0000BB030000}"/>
    <cellStyle name="Currency 5 3 4 3 3" xfId="3140" xr:uid="{00000000-0005-0000-0000-0000BC030000}"/>
    <cellStyle name="Currency 5 3 4 4" xfId="1742" xr:uid="{00000000-0005-0000-0000-0000BD030000}"/>
    <cellStyle name="Currency 5 3 4 5" xfId="2437" xr:uid="{00000000-0005-0000-0000-0000BE030000}"/>
    <cellStyle name="Currency 5 3 4 6" xfId="2920" xr:uid="{00000000-0005-0000-0000-0000BF030000}"/>
    <cellStyle name="Currency 5 3 5" xfId="832" xr:uid="{00000000-0005-0000-0000-0000C0030000}"/>
    <cellStyle name="Currency 5 3 5 2" xfId="1427" xr:uid="{00000000-0005-0000-0000-0000C1030000}"/>
    <cellStyle name="Currency 5 3 5 2 2" xfId="2125" xr:uid="{00000000-0005-0000-0000-0000C2030000}"/>
    <cellStyle name="Currency 5 3 5 2 3" xfId="2600" xr:uid="{00000000-0005-0000-0000-0000C3030000}"/>
    <cellStyle name="Currency 5 3 5 2 4" xfId="3303" xr:uid="{00000000-0005-0000-0000-0000C4030000}"/>
    <cellStyle name="Currency 5 3 5 3" xfId="1075" xr:uid="{00000000-0005-0000-0000-0000C5030000}"/>
    <cellStyle name="Currency 5 3 5 3 2" xfId="1874" xr:uid="{00000000-0005-0000-0000-0000C6030000}"/>
    <cellStyle name="Currency 5 3 5 3 3" xfId="3052" xr:uid="{00000000-0005-0000-0000-0000C7030000}"/>
    <cellStyle name="Currency 5 3 5 4" xfId="1654" xr:uid="{00000000-0005-0000-0000-0000C8030000}"/>
    <cellStyle name="Currency 5 3 5 5" xfId="2349" xr:uid="{00000000-0005-0000-0000-0000C9030000}"/>
    <cellStyle name="Currency 5 3 5 6" xfId="2832" xr:uid="{00000000-0005-0000-0000-0000CA030000}"/>
    <cellStyle name="Currency 5 3 6" xfId="1339" xr:uid="{00000000-0005-0000-0000-0000CB030000}"/>
    <cellStyle name="Currency 5 3 6 2" xfId="2037" xr:uid="{00000000-0005-0000-0000-0000CC030000}"/>
    <cellStyle name="Currency 5 3 6 3" xfId="2512" xr:uid="{00000000-0005-0000-0000-0000CD030000}"/>
    <cellStyle name="Currency 5 3 6 4" xfId="3215" xr:uid="{00000000-0005-0000-0000-0000CE030000}"/>
    <cellStyle name="Currency 5 3 7" xfId="987" xr:uid="{00000000-0005-0000-0000-0000CF030000}"/>
    <cellStyle name="Currency 5 3 7 2" xfId="1786" xr:uid="{00000000-0005-0000-0000-0000D0030000}"/>
    <cellStyle name="Currency 5 3 7 3" xfId="2964" xr:uid="{00000000-0005-0000-0000-0000D1030000}"/>
    <cellStyle name="Currency 5 3 8" xfId="1566" xr:uid="{00000000-0005-0000-0000-0000D2030000}"/>
    <cellStyle name="Currency 5 3 9" xfId="2261" xr:uid="{00000000-0005-0000-0000-0000D3030000}"/>
    <cellStyle name="Currency 5 4" xfId="104" xr:uid="{00000000-0005-0000-0000-0000D4030000}"/>
    <cellStyle name="Currency 5 5" xfId="1308" xr:uid="{00000000-0005-0000-0000-0000D5030000}"/>
    <cellStyle name="Currency 5 5 2" xfId="2021" xr:uid="{00000000-0005-0000-0000-0000D6030000}"/>
    <cellStyle name="Currency 5 5 3" xfId="2496" xr:uid="{00000000-0005-0000-0000-0000D7030000}"/>
    <cellStyle name="Currency 5 5 4" xfId="3199" xr:uid="{00000000-0005-0000-0000-0000D8030000}"/>
    <cellStyle name="Currency 6" xfId="106" xr:uid="{00000000-0005-0000-0000-0000D9030000}"/>
    <cellStyle name="Currency 6 2" xfId="107" xr:uid="{00000000-0005-0000-0000-0000DA030000}"/>
    <cellStyle name="Currency 6 3" xfId="108" xr:uid="{00000000-0005-0000-0000-0000DB030000}"/>
    <cellStyle name="Currency 6 4" xfId="109" xr:uid="{00000000-0005-0000-0000-0000DC030000}"/>
    <cellStyle name="Currency 7" xfId="110" xr:uid="{00000000-0005-0000-0000-0000DD030000}"/>
    <cellStyle name="Currency 7 2" xfId="289" xr:uid="{00000000-0005-0000-0000-0000DE030000}"/>
    <cellStyle name="Currency 7 2 2" xfId="646" xr:uid="{00000000-0005-0000-0000-0000DF030000}"/>
    <cellStyle name="Currency 7 3" xfId="575" xr:uid="{00000000-0005-0000-0000-0000E0030000}"/>
    <cellStyle name="Currency 8" xfId="239" xr:uid="{00000000-0005-0000-0000-0000E1030000}"/>
    <cellStyle name="Currency 8 2" xfId="367" xr:uid="{00000000-0005-0000-0000-0000E2030000}"/>
    <cellStyle name="Currency 8 2 2" xfId="692" xr:uid="{00000000-0005-0000-0000-0000E3030000}"/>
    <cellStyle name="Currency 8 3" xfId="622" xr:uid="{00000000-0005-0000-0000-0000E4030000}"/>
    <cellStyle name="Currency 9" xfId="248" xr:uid="{00000000-0005-0000-0000-0000E5030000}"/>
    <cellStyle name="Currency0" xfId="111" xr:uid="{00000000-0005-0000-0000-0000E6030000}"/>
    <cellStyle name="Currency0 2" xfId="112" xr:uid="{00000000-0005-0000-0000-0000E7030000}"/>
    <cellStyle name="Currency0 2 2" xfId="291" xr:uid="{00000000-0005-0000-0000-0000E8030000}"/>
    <cellStyle name="Currency0 2 3" xfId="540" xr:uid="{00000000-0005-0000-0000-0000E9030000}"/>
    <cellStyle name="Currency0 3" xfId="113" xr:uid="{00000000-0005-0000-0000-0000EA030000}"/>
    <cellStyle name="Currency0 3 2" xfId="114" xr:uid="{00000000-0005-0000-0000-0000EB030000}"/>
    <cellStyle name="Currency0 3 2 2" xfId="293" xr:uid="{00000000-0005-0000-0000-0000EC030000}"/>
    <cellStyle name="Currency0 3 3" xfId="292" xr:uid="{00000000-0005-0000-0000-0000ED030000}"/>
    <cellStyle name="Currency0 4" xfId="290" xr:uid="{00000000-0005-0000-0000-0000EE030000}"/>
    <cellStyle name="Currency0 5" xfId="503" xr:uid="{00000000-0005-0000-0000-0000EF030000}"/>
    <cellStyle name="Date" xfId="115" xr:uid="{00000000-0005-0000-0000-0000F0030000}"/>
    <cellStyle name="Date 2" xfId="294" xr:uid="{00000000-0005-0000-0000-0000F1030000}"/>
    <cellStyle name="Explanatory Text 2" xfId="421" xr:uid="{00000000-0005-0000-0000-0000F2030000}"/>
    <cellStyle name="Fixed" xfId="116" xr:uid="{00000000-0005-0000-0000-0000F3030000}"/>
    <cellStyle name="Fixed 2" xfId="295" xr:uid="{00000000-0005-0000-0000-0000F4030000}"/>
    <cellStyle name="FRxAmtStyle" xfId="117" xr:uid="{00000000-0005-0000-0000-0000F5030000}"/>
    <cellStyle name="FRxAmtStyle 2" xfId="422" xr:uid="{00000000-0005-0000-0000-0000F6030000}"/>
    <cellStyle name="FRxAmtStyle 2 2" xfId="1265" xr:uid="{00000000-0005-0000-0000-0000F7030000}"/>
    <cellStyle name="FRxAmtStyle 3" xfId="1257" xr:uid="{00000000-0005-0000-0000-0000F8030000}"/>
    <cellStyle name="FRxCurrStyle" xfId="423" xr:uid="{00000000-0005-0000-0000-0000F9030000}"/>
    <cellStyle name="FRxCurrStyle 2" xfId="1266" xr:uid="{00000000-0005-0000-0000-0000FA030000}"/>
    <cellStyle name="FRxCurrStyle 3" xfId="1258" xr:uid="{00000000-0005-0000-0000-0000FB030000}"/>
    <cellStyle name="FRxPcntStyle" xfId="118" xr:uid="{00000000-0005-0000-0000-0000FC030000}"/>
    <cellStyle name="FRxPcntStyle 2" xfId="1267" xr:uid="{00000000-0005-0000-0000-0000FD030000}"/>
    <cellStyle name="FRxPcntStyle 3" xfId="1259" xr:uid="{00000000-0005-0000-0000-0000FE030000}"/>
    <cellStyle name="Good 2" xfId="424" xr:uid="{00000000-0005-0000-0000-0000FF030000}"/>
    <cellStyle name="Good 3" xfId="425" xr:uid="{00000000-0005-0000-0000-000000040000}"/>
    <cellStyle name="GroupSectionHeaderRowDescCol" xfId="1213" xr:uid="{00000000-0005-0000-0000-000001040000}"/>
    <cellStyle name="GroupSectionHeaderRowNameCol" xfId="1212" xr:uid="{00000000-0005-0000-0000-000002040000}"/>
    <cellStyle name="Heading 1 2" xfId="426" xr:uid="{00000000-0005-0000-0000-000003040000}"/>
    <cellStyle name="Heading 2 2" xfId="427" xr:uid="{00000000-0005-0000-0000-000004040000}"/>
    <cellStyle name="Heading 3 2" xfId="428" xr:uid="{00000000-0005-0000-0000-000005040000}"/>
    <cellStyle name="Heading 4 2" xfId="429" xr:uid="{00000000-0005-0000-0000-000006040000}"/>
    <cellStyle name="Input 2" xfId="430" xr:uid="{00000000-0005-0000-0000-000007040000}"/>
    <cellStyle name="Input 3" xfId="431" xr:uid="{00000000-0005-0000-0000-000008040000}"/>
    <cellStyle name="Linked Cell 2" xfId="432" xr:uid="{00000000-0005-0000-0000-000009040000}"/>
    <cellStyle name="NetIncomeLossRowBalanceCol" xfId="1238" xr:uid="{00000000-0005-0000-0000-00000A040000}"/>
    <cellStyle name="NetIncomeLossRowDescCol" xfId="1237" xr:uid="{00000000-0005-0000-0000-00000B040000}"/>
    <cellStyle name="NetIncomeLossRowJERefCol" xfId="1240" xr:uid="{00000000-0005-0000-0000-00000C040000}"/>
    <cellStyle name="NetIncomeLossRowNameCol" xfId="1236" xr:uid="{00000000-0005-0000-0000-00000D040000}"/>
    <cellStyle name="NetIncomeLossRowSpacerCol" xfId="1239" xr:uid="{00000000-0005-0000-0000-00000E040000}"/>
    <cellStyle name="Neutral 2" xfId="433" xr:uid="{00000000-0005-0000-0000-00000F040000}"/>
    <cellStyle name="Neutral 3" xfId="434" xr:uid="{00000000-0005-0000-0000-000010040000}"/>
    <cellStyle name="Normal" xfId="0" builtinId="0"/>
    <cellStyle name="Normal 10" xfId="119" xr:uid="{00000000-0005-0000-0000-000012040000}"/>
    <cellStyle name="Normal 10 2" xfId="120" xr:uid="{00000000-0005-0000-0000-000013040000}"/>
    <cellStyle name="Normal 10 2 2" xfId="121" xr:uid="{00000000-0005-0000-0000-000014040000}"/>
    <cellStyle name="Normal 10 3" xfId="122" xr:uid="{00000000-0005-0000-0000-000015040000}"/>
    <cellStyle name="Normal 10 4" xfId="435" xr:uid="{00000000-0005-0000-0000-000016040000}"/>
    <cellStyle name="Normal 11" xfId="123" xr:uid="{00000000-0005-0000-0000-000017040000}"/>
    <cellStyle name="Normal 11 2" xfId="124" xr:uid="{00000000-0005-0000-0000-000018040000}"/>
    <cellStyle name="Normal 11 2 2" xfId="125" xr:uid="{00000000-0005-0000-0000-000019040000}"/>
    <cellStyle name="Normal 11 2 3" xfId="543" xr:uid="{00000000-0005-0000-0000-00001A040000}"/>
    <cellStyle name="Normal 11 3" xfId="126" xr:uid="{00000000-0005-0000-0000-00001B040000}"/>
    <cellStyle name="Normal 11 3 2" xfId="127" xr:uid="{00000000-0005-0000-0000-00001C040000}"/>
    <cellStyle name="Normal 11 4" xfId="436" xr:uid="{00000000-0005-0000-0000-00001D040000}"/>
    <cellStyle name="Normal 12" xfId="128" xr:uid="{00000000-0005-0000-0000-00001E040000}"/>
    <cellStyle name="Normal 12 2" xfId="129" xr:uid="{00000000-0005-0000-0000-00001F040000}"/>
    <cellStyle name="Normal 12 2 2" xfId="484" xr:uid="{00000000-0005-0000-0000-000020040000}"/>
    <cellStyle name="Normal 12 2 2 10" xfId="2741" xr:uid="{00000000-0005-0000-0000-000021040000}"/>
    <cellStyle name="Normal 12 2 2 2" xfId="698" xr:uid="{00000000-0005-0000-0000-000022040000}"/>
    <cellStyle name="Normal 12 2 2 2 2" xfId="806" xr:uid="{00000000-0005-0000-0000-000023040000}"/>
    <cellStyle name="Normal 12 2 2 2 2 2" xfId="894" xr:uid="{00000000-0005-0000-0000-000024040000}"/>
    <cellStyle name="Normal 12 2 2 2 2 2 2" xfId="1489" xr:uid="{00000000-0005-0000-0000-000025040000}"/>
    <cellStyle name="Normal 12 2 2 2 2 2 2 2" xfId="2187" xr:uid="{00000000-0005-0000-0000-000026040000}"/>
    <cellStyle name="Normal 12 2 2 2 2 2 2 3" xfId="2662" xr:uid="{00000000-0005-0000-0000-000027040000}"/>
    <cellStyle name="Normal 12 2 2 2 2 2 2 4" xfId="3365" xr:uid="{00000000-0005-0000-0000-000028040000}"/>
    <cellStyle name="Normal 12 2 2 2 2 2 3" xfId="1137" xr:uid="{00000000-0005-0000-0000-000029040000}"/>
    <cellStyle name="Normal 12 2 2 2 2 2 3 2" xfId="1936" xr:uid="{00000000-0005-0000-0000-00002A040000}"/>
    <cellStyle name="Normal 12 2 2 2 2 2 3 3" xfId="3114" xr:uid="{00000000-0005-0000-0000-00002B040000}"/>
    <cellStyle name="Normal 12 2 2 2 2 2 4" xfId="1716" xr:uid="{00000000-0005-0000-0000-00002C040000}"/>
    <cellStyle name="Normal 12 2 2 2 2 2 5" xfId="2411" xr:uid="{00000000-0005-0000-0000-00002D040000}"/>
    <cellStyle name="Normal 12 2 2 2 2 2 6" xfId="2894" xr:uid="{00000000-0005-0000-0000-00002E040000}"/>
    <cellStyle name="Normal 12 2 2 2 2 3" xfId="1401" xr:uid="{00000000-0005-0000-0000-00002F040000}"/>
    <cellStyle name="Normal 12 2 2 2 2 3 2" xfId="2099" xr:uid="{00000000-0005-0000-0000-000030040000}"/>
    <cellStyle name="Normal 12 2 2 2 2 3 3" xfId="2574" xr:uid="{00000000-0005-0000-0000-000031040000}"/>
    <cellStyle name="Normal 12 2 2 2 2 3 4" xfId="3277" xr:uid="{00000000-0005-0000-0000-000032040000}"/>
    <cellStyle name="Normal 12 2 2 2 2 4" xfId="1049" xr:uid="{00000000-0005-0000-0000-000033040000}"/>
    <cellStyle name="Normal 12 2 2 2 2 4 2" xfId="1848" xr:uid="{00000000-0005-0000-0000-000034040000}"/>
    <cellStyle name="Normal 12 2 2 2 2 4 3" xfId="3026" xr:uid="{00000000-0005-0000-0000-000035040000}"/>
    <cellStyle name="Normal 12 2 2 2 2 5" xfId="1628" xr:uid="{00000000-0005-0000-0000-000036040000}"/>
    <cellStyle name="Normal 12 2 2 2 2 6" xfId="2323" xr:uid="{00000000-0005-0000-0000-000037040000}"/>
    <cellStyle name="Normal 12 2 2 2 2 7" xfId="2806" xr:uid="{00000000-0005-0000-0000-000038040000}"/>
    <cellStyle name="Normal 12 2 2 2 3" xfId="938" xr:uid="{00000000-0005-0000-0000-000039040000}"/>
    <cellStyle name="Normal 12 2 2 2 3 2" xfId="1533" xr:uid="{00000000-0005-0000-0000-00003A040000}"/>
    <cellStyle name="Normal 12 2 2 2 3 2 2" xfId="2231" xr:uid="{00000000-0005-0000-0000-00003B040000}"/>
    <cellStyle name="Normal 12 2 2 2 3 2 3" xfId="2706" xr:uid="{00000000-0005-0000-0000-00003C040000}"/>
    <cellStyle name="Normal 12 2 2 2 3 2 4" xfId="3409" xr:uid="{00000000-0005-0000-0000-00003D040000}"/>
    <cellStyle name="Normal 12 2 2 2 3 3" xfId="1181" xr:uid="{00000000-0005-0000-0000-00003E040000}"/>
    <cellStyle name="Normal 12 2 2 2 3 3 2" xfId="1980" xr:uid="{00000000-0005-0000-0000-00003F040000}"/>
    <cellStyle name="Normal 12 2 2 2 3 3 3" xfId="3158" xr:uid="{00000000-0005-0000-0000-000040040000}"/>
    <cellStyle name="Normal 12 2 2 2 3 4" xfId="1760" xr:uid="{00000000-0005-0000-0000-000041040000}"/>
    <cellStyle name="Normal 12 2 2 2 3 5" xfId="2455" xr:uid="{00000000-0005-0000-0000-000042040000}"/>
    <cellStyle name="Normal 12 2 2 2 3 6" xfId="2938" xr:uid="{00000000-0005-0000-0000-000043040000}"/>
    <cellStyle name="Normal 12 2 2 2 4" xfId="850" xr:uid="{00000000-0005-0000-0000-000044040000}"/>
    <cellStyle name="Normal 12 2 2 2 4 2" xfId="1445" xr:uid="{00000000-0005-0000-0000-000045040000}"/>
    <cellStyle name="Normal 12 2 2 2 4 2 2" xfId="2143" xr:uid="{00000000-0005-0000-0000-000046040000}"/>
    <cellStyle name="Normal 12 2 2 2 4 2 3" xfId="2618" xr:uid="{00000000-0005-0000-0000-000047040000}"/>
    <cellStyle name="Normal 12 2 2 2 4 2 4" xfId="3321" xr:uid="{00000000-0005-0000-0000-000048040000}"/>
    <cellStyle name="Normal 12 2 2 2 4 3" xfId="1093" xr:uid="{00000000-0005-0000-0000-000049040000}"/>
    <cellStyle name="Normal 12 2 2 2 4 3 2" xfId="1892" xr:uid="{00000000-0005-0000-0000-00004A040000}"/>
    <cellStyle name="Normal 12 2 2 2 4 3 3" xfId="3070" xr:uid="{00000000-0005-0000-0000-00004B040000}"/>
    <cellStyle name="Normal 12 2 2 2 4 4" xfId="1672" xr:uid="{00000000-0005-0000-0000-00004C040000}"/>
    <cellStyle name="Normal 12 2 2 2 4 5" xfId="2367" xr:uid="{00000000-0005-0000-0000-00004D040000}"/>
    <cellStyle name="Normal 12 2 2 2 4 6" xfId="2850" xr:uid="{00000000-0005-0000-0000-00004E040000}"/>
    <cellStyle name="Normal 12 2 2 2 5" xfId="1357" xr:uid="{00000000-0005-0000-0000-00004F040000}"/>
    <cellStyle name="Normal 12 2 2 2 5 2" xfId="2055" xr:uid="{00000000-0005-0000-0000-000050040000}"/>
    <cellStyle name="Normal 12 2 2 2 5 3" xfId="2530" xr:uid="{00000000-0005-0000-0000-000051040000}"/>
    <cellStyle name="Normal 12 2 2 2 5 4" xfId="3233" xr:uid="{00000000-0005-0000-0000-000052040000}"/>
    <cellStyle name="Normal 12 2 2 2 6" xfId="1005" xr:uid="{00000000-0005-0000-0000-000053040000}"/>
    <cellStyle name="Normal 12 2 2 2 6 2" xfId="1804" xr:uid="{00000000-0005-0000-0000-000054040000}"/>
    <cellStyle name="Normal 12 2 2 2 6 3" xfId="2982" xr:uid="{00000000-0005-0000-0000-000055040000}"/>
    <cellStyle name="Normal 12 2 2 2 7" xfId="1584" xr:uid="{00000000-0005-0000-0000-000056040000}"/>
    <cellStyle name="Normal 12 2 2 2 8" xfId="2279" xr:uid="{00000000-0005-0000-0000-000057040000}"/>
    <cellStyle name="Normal 12 2 2 2 9" xfId="2762" xr:uid="{00000000-0005-0000-0000-000058040000}"/>
    <cellStyle name="Normal 12 2 2 3" xfId="785" xr:uid="{00000000-0005-0000-0000-000059040000}"/>
    <cellStyle name="Normal 12 2 2 3 2" xfId="873" xr:uid="{00000000-0005-0000-0000-00005A040000}"/>
    <cellStyle name="Normal 12 2 2 3 2 2" xfId="1468" xr:uid="{00000000-0005-0000-0000-00005B040000}"/>
    <cellStyle name="Normal 12 2 2 3 2 2 2" xfId="2166" xr:uid="{00000000-0005-0000-0000-00005C040000}"/>
    <cellStyle name="Normal 12 2 2 3 2 2 3" xfId="2641" xr:uid="{00000000-0005-0000-0000-00005D040000}"/>
    <cellStyle name="Normal 12 2 2 3 2 2 4" xfId="3344" xr:uid="{00000000-0005-0000-0000-00005E040000}"/>
    <cellStyle name="Normal 12 2 2 3 2 3" xfId="1116" xr:uid="{00000000-0005-0000-0000-00005F040000}"/>
    <cellStyle name="Normal 12 2 2 3 2 3 2" xfId="1915" xr:uid="{00000000-0005-0000-0000-000060040000}"/>
    <cellStyle name="Normal 12 2 2 3 2 3 3" xfId="3093" xr:uid="{00000000-0005-0000-0000-000061040000}"/>
    <cellStyle name="Normal 12 2 2 3 2 4" xfId="1695" xr:uid="{00000000-0005-0000-0000-000062040000}"/>
    <cellStyle name="Normal 12 2 2 3 2 5" xfId="2390" xr:uid="{00000000-0005-0000-0000-000063040000}"/>
    <cellStyle name="Normal 12 2 2 3 2 6" xfId="2873" xr:uid="{00000000-0005-0000-0000-000064040000}"/>
    <cellStyle name="Normal 12 2 2 3 3" xfId="1380" xr:uid="{00000000-0005-0000-0000-000065040000}"/>
    <cellStyle name="Normal 12 2 2 3 3 2" xfId="2078" xr:uid="{00000000-0005-0000-0000-000066040000}"/>
    <cellStyle name="Normal 12 2 2 3 3 3" xfId="2553" xr:uid="{00000000-0005-0000-0000-000067040000}"/>
    <cellStyle name="Normal 12 2 2 3 3 4" xfId="3256" xr:uid="{00000000-0005-0000-0000-000068040000}"/>
    <cellStyle name="Normal 12 2 2 3 4" xfId="1028" xr:uid="{00000000-0005-0000-0000-000069040000}"/>
    <cellStyle name="Normal 12 2 2 3 4 2" xfId="1827" xr:uid="{00000000-0005-0000-0000-00006A040000}"/>
    <cellStyle name="Normal 12 2 2 3 4 3" xfId="3005" xr:uid="{00000000-0005-0000-0000-00006B040000}"/>
    <cellStyle name="Normal 12 2 2 3 5" xfId="1607" xr:uid="{00000000-0005-0000-0000-00006C040000}"/>
    <cellStyle name="Normal 12 2 2 3 6" xfId="2302" xr:uid="{00000000-0005-0000-0000-00006D040000}"/>
    <cellStyle name="Normal 12 2 2 3 7" xfId="2785" xr:uid="{00000000-0005-0000-0000-00006E040000}"/>
    <cellStyle name="Normal 12 2 2 4" xfId="917" xr:uid="{00000000-0005-0000-0000-00006F040000}"/>
    <cellStyle name="Normal 12 2 2 4 2" xfId="1512" xr:uid="{00000000-0005-0000-0000-000070040000}"/>
    <cellStyle name="Normal 12 2 2 4 2 2" xfId="2210" xr:uid="{00000000-0005-0000-0000-000071040000}"/>
    <cellStyle name="Normal 12 2 2 4 2 3" xfId="2685" xr:uid="{00000000-0005-0000-0000-000072040000}"/>
    <cellStyle name="Normal 12 2 2 4 2 4" xfId="3388" xr:uid="{00000000-0005-0000-0000-000073040000}"/>
    <cellStyle name="Normal 12 2 2 4 3" xfId="1160" xr:uid="{00000000-0005-0000-0000-000074040000}"/>
    <cellStyle name="Normal 12 2 2 4 3 2" xfId="1959" xr:uid="{00000000-0005-0000-0000-000075040000}"/>
    <cellStyle name="Normal 12 2 2 4 3 3" xfId="3137" xr:uid="{00000000-0005-0000-0000-000076040000}"/>
    <cellStyle name="Normal 12 2 2 4 4" xfId="1739" xr:uid="{00000000-0005-0000-0000-000077040000}"/>
    <cellStyle name="Normal 12 2 2 4 5" xfId="2434" xr:uid="{00000000-0005-0000-0000-000078040000}"/>
    <cellStyle name="Normal 12 2 2 4 6" xfId="2917" xr:uid="{00000000-0005-0000-0000-000079040000}"/>
    <cellStyle name="Normal 12 2 2 5" xfId="829" xr:uid="{00000000-0005-0000-0000-00007A040000}"/>
    <cellStyle name="Normal 12 2 2 5 2" xfId="1424" xr:uid="{00000000-0005-0000-0000-00007B040000}"/>
    <cellStyle name="Normal 12 2 2 5 2 2" xfId="2122" xr:uid="{00000000-0005-0000-0000-00007C040000}"/>
    <cellStyle name="Normal 12 2 2 5 2 3" xfId="2597" xr:uid="{00000000-0005-0000-0000-00007D040000}"/>
    <cellStyle name="Normal 12 2 2 5 2 4" xfId="3300" xr:uid="{00000000-0005-0000-0000-00007E040000}"/>
    <cellStyle name="Normal 12 2 2 5 3" xfId="1072" xr:uid="{00000000-0005-0000-0000-00007F040000}"/>
    <cellStyle name="Normal 12 2 2 5 3 2" xfId="1871" xr:uid="{00000000-0005-0000-0000-000080040000}"/>
    <cellStyle name="Normal 12 2 2 5 3 3" xfId="3049" xr:uid="{00000000-0005-0000-0000-000081040000}"/>
    <cellStyle name="Normal 12 2 2 5 4" xfId="1651" xr:uid="{00000000-0005-0000-0000-000082040000}"/>
    <cellStyle name="Normal 12 2 2 5 5" xfId="2346" xr:uid="{00000000-0005-0000-0000-000083040000}"/>
    <cellStyle name="Normal 12 2 2 5 6" xfId="2829" xr:uid="{00000000-0005-0000-0000-000084040000}"/>
    <cellStyle name="Normal 12 2 2 6" xfId="1336" xr:uid="{00000000-0005-0000-0000-000085040000}"/>
    <cellStyle name="Normal 12 2 2 6 2" xfId="2034" xr:uid="{00000000-0005-0000-0000-000086040000}"/>
    <cellStyle name="Normal 12 2 2 6 3" xfId="2509" xr:uid="{00000000-0005-0000-0000-000087040000}"/>
    <cellStyle name="Normal 12 2 2 6 4" xfId="3212" xr:uid="{00000000-0005-0000-0000-000088040000}"/>
    <cellStyle name="Normal 12 2 2 7" xfId="984" xr:uid="{00000000-0005-0000-0000-000089040000}"/>
    <cellStyle name="Normal 12 2 2 7 2" xfId="1783" xr:uid="{00000000-0005-0000-0000-00008A040000}"/>
    <cellStyle name="Normal 12 2 2 7 3" xfId="2961" xr:uid="{00000000-0005-0000-0000-00008B040000}"/>
    <cellStyle name="Normal 12 2 2 8" xfId="1563" xr:uid="{00000000-0005-0000-0000-00008C040000}"/>
    <cellStyle name="Normal 12 2 2 9" xfId="2258" xr:uid="{00000000-0005-0000-0000-00008D040000}"/>
    <cellStyle name="Normal 12 3" xfId="130" xr:uid="{00000000-0005-0000-0000-00008E040000}"/>
    <cellStyle name="Normal 12 3 2" xfId="296" xr:uid="{00000000-0005-0000-0000-00008F040000}"/>
    <cellStyle name="Normal 12 3 3" xfId="539" xr:uid="{00000000-0005-0000-0000-000090040000}"/>
    <cellStyle name="Normal 12 4" xfId="131" xr:uid="{00000000-0005-0000-0000-000091040000}"/>
    <cellStyle name="Normal 12 4 2" xfId="132" xr:uid="{00000000-0005-0000-0000-000092040000}"/>
    <cellStyle name="Normal 12 4 3" xfId="541" xr:uid="{00000000-0005-0000-0000-000093040000}"/>
    <cellStyle name="Normal 12 5" xfId="65" xr:uid="{00000000-0005-0000-0000-000094040000}"/>
    <cellStyle name="Normal 13" xfId="133" xr:uid="{00000000-0005-0000-0000-000095040000}"/>
    <cellStyle name="Normal 13 2" xfId="134" xr:uid="{00000000-0005-0000-0000-000096040000}"/>
    <cellStyle name="Normal 13 3" xfId="135" xr:uid="{00000000-0005-0000-0000-000097040000}"/>
    <cellStyle name="Normal 13 4" xfId="542" xr:uid="{00000000-0005-0000-0000-000098040000}"/>
    <cellStyle name="Normal 13 4 10" xfId="2742" xr:uid="{00000000-0005-0000-0000-000099040000}"/>
    <cellStyle name="Normal 13 4 2" xfId="700" xr:uid="{00000000-0005-0000-0000-00009A040000}"/>
    <cellStyle name="Normal 13 4 2 2" xfId="807" xr:uid="{00000000-0005-0000-0000-00009B040000}"/>
    <cellStyle name="Normal 13 4 2 2 2" xfId="895" xr:uid="{00000000-0005-0000-0000-00009C040000}"/>
    <cellStyle name="Normal 13 4 2 2 2 2" xfId="1490" xr:uid="{00000000-0005-0000-0000-00009D040000}"/>
    <cellStyle name="Normal 13 4 2 2 2 2 2" xfId="2188" xr:uid="{00000000-0005-0000-0000-00009E040000}"/>
    <cellStyle name="Normal 13 4 2 2 2 2 3" xfId="2663" xr:uid="{00000000-0005-0000-0000-00009F040000}"/>
    <cellStyle name="Normal 13 4 2 2 2 2 4" xfId="3366" xr:uid="{00000000-0005-0000-0000-0000A0040000}"/>
    <cellStyle name="Normal 13 4 2 2 2 3" xfId="1138" xr:uid="{00000000-0005-0000-0000-0000A1040000}"/>
    <cellStyle name="Normal 13 4 2 2 2 3 2" xfId="1937" xr:uid="{00000000-0005-0000-0000-0000A2040000}"/>
    <cellStyle name="Normal 13 4 2 2 2 3 3" xfId="3115" xr:uid="{00000000-0005-0000-0000-0000A3040000}"/>
    <cellStyle name="Normal 13 4 2 2 2 4" xfId="1717" xr:uid="{00000000-0005-0000-0000-0000A4040000}"/>
    <cellStyle name="Normal 13 4 2 2 2 5" xfId="2412" xr:uid="{00000000-0005-0000-0000-0000A5040000}"/>
    <cellStyle name="Normal 13 4 2 2 2 6" xfId="2895" xr:uid="{00000000-0005-0000-0000-0000A6040000}"/>
    <cellStyle name="Normal 13 4 2 2 3" xfId="1402" xr:uid="{00000000-0005-0000-0000-0000A7040000}"/>
    <cellStyle name="Normal 13 4 2 2 3 2" xfId="2100" xr:uid="{00000000-0005-0000-0000-0000A8040000}"/>
    <cellStyle name="Normal 13 4 2 2 3 3" xfId="2575" xr:uid="{00000000-0005-0000-0000-0000A9040000}"/>
    <cellStyle name="Normal 13 4 2 2 3 4" xfId="3278" xr:uid="{00000000-0005-0000-0000-0000AA040000}"/>
    <cellStyle name="Normal 13 4 2 2 4" xfId="1050" xr:uid="{00000000-0005-0000-0000-0000AB040000}"/>
    <cellStyle name="Normal 13 4 2 2 4 2" xfId="1849" xr:uid="{00000000-0005-0000-0000-0000AC040000}"/>
    <cellStyle name="Normal 13 4 2 2 4 3" xfId="3027" xr:uid="{00000000-0005-0000-0000-0000AD040000}"/>
    <cellStyle name="Normal 13 4 2 2 5" xfId="1629" xr:uid="{00000000-0005-0000-0000-0000AE040000}"/>
    <cellStyle name="Normal 13 4 2 2 6" xfId="2324" xr:uid="{00000000-0005-0000-0000-0000AF040000}"/>
    <cellStyle name="Normal 13 4 2 2 7" xfId="2807" xr:uid="{00000000-0005-0000-0000-0000B0040000}"/>
    <cellStyle name="Normal 13 4 2 3" xfId="939" xr:uid="{00000000-0005-0000-0000-0000B1040000}"/>
    <cellStyle name="Normal 13 4 2 3 2" xfId="1534" xr:uid="{00000000-0005-0000-0000-0000B2040000}"/>
    <cellStyle name="Normal 13 4 2 3 2 2" xfId="2232" xr:uid="{00000000-0005-0000-0000-0000B3040000}"/>
    <cellStyle name="Normal 13 4 2 3 2 3" xfId="2707" xr:uid="{00000000-0005-0000-0000-0000B4040000}"/>
    <cellStyle name="Normal 13 4 2 3 2 4" xfId="3410" xr:uid="{00000000-0005-0000-0000-0000B5040000}"/>
    <cellStyle name="Normal 13 4 2 3 3" xfId="1182" xr:uid="{00000000-0005-0000-0000-0000B6040000}"/>
    <cellStyle name="Normal 13 4 2 3 3 2" xfId="1981" xr:uid="{00000000-0005-0000-0000-0000B7040000}"/>
    <cellStyle name="Normal 13 4 2 3 3 3" xfId="3159" xr:uid="{00000000-0005-0000-0000-0000B8040000}"/>
    <cellStyle name="Normal 13 4 2 3 4" xfId="1761" xr:uid="{00000000-0005-0000-0000-0000B9040000}"/>
    <cellStyle name="Normal 13 4 2 3 5" xfId="2456" xr:uid="{00000000-0005-0000-0000-0000BA040000}"/>
    <cellStyle name="Normal 13 4 2 3 6" xfId="2939" xr:uid="{00000000-0005-0000-0000-0000BB040000}"/>
    <cellStyle name="Normal 13 4 2 4" xfId="851" xr:uid="{00000000-0005-0000-0000-0000BC040000}"/>
    <cellStyle name="Normal 13 4 2 4 2" xfId="1446" xr:uid="{00000000-0005-0000-0000-0000BD040000}"/>
    <cellStyle name="Normal 13 4 2 4 2 2" xfId="2144" xr:uid="{00000000-0005-0000-0000-0000BE040000}"/>
    <cellStyle name="Normal 13 4 2 4 2 3" xfId="2619" xr:uid="{00000000-0005-0000-0000-0000BF040000}"/>
    <cellStyle name="Normal 13 4 2 4 2 4" xfId="3322" xr:uid="{00000000-0005-0000-0000-0000C0040000}"/>
    <cellStyle name="Normal 13 4 2 4 3" xfId="1094" xr:uid="{00000000-0005-0000-0000-0000C1040000}"/>
    <cellStyle name="Normal 13 4 2 4 3 2" xfId="1893" xr:uid="{00000000-0005-0000-0000-0000C2040000}"/>
    <cellStyle name="Normal 13 4 2 4 3 3" xfId="3071" xr:uid="{00000000-0005-0000-0000-0000C3040000}"/>
    <cellStyle name="Normal 13 4 2 4 4" xfId="1673" xr:uid="{00000000-0005-0000-0000-0000C4040000}"/>
    <cellStyle name="Normal 13 4 2 4 5" xfId="2368" xr:uid="{00000000-0005-0000-0000-0000C5040000}"/>
    <cellStyle name="Normal 13 4 2 4 6" xfId="2851" xr:uid="{00000000-0005-0000-0000-0000C6040000}"/>
    <cellStyle name="Normal 13 4 2 5" xfId="1358" xr:uid="{00000000-0005-0000-0000-0000C7040000}"/>
    <cellStyle name="Normal 13 4 2 5 2" xfId="2056" xr:uid="{00000000-0005-0000-0000-0000C8040000}"/>
    <cellStyle name="Normal 13 4 2 5 3" xfId="2531" xr:uid="{00000000-0005-0000-0000-0000C9040000}"/>
    <cellStyle name="Normal 13 4 2 5 4" xfId="3234" xr:uid="{00000000-0005-0000-0000-0000CA040000}"/>
    <cellStyle name="Normal 13 4 2 6" xfId="1006" xr:uid="{00000000-0005-0000-0000-0000CB040000}"/>
    <cellStyle name="Normal 13 4 2 6 2" xfId="1805" xr:uid="{00000000-0005-0000-0000-0000CC040000}"/>
    <cellStyle name="Normal 13 4 2 6 3" xfId="2983" xr:uid="{00000000-0005-0000-0000-0000CD040000}"/>
    <cellStyle name="Normal 13 4 2 7" xfId="1585" xr:uid="{00000000-0005-0000-0000-0000CE040000}"/>
    <cellStyle name="Normal 13 4 2 8" xfId="2280" xr:uid="{00000000-0005-0000-0000-0000CF040000}"/>
    <cellStyle name="Normal 13 4 2 9" xfId="2763" xr:uid="{00000000-0005-0000-0000-0000D0040000}"/>
    <cellStyle name="Normal 13 4 3" xfId="786" xr:uid="{00000000-0005-0000-0000-0000D1040000}"/>
    <cellStyle name="Normal 13 4 3 2" xfId="874" xr:uid="{00000000-0005-0000-0000-0000D2040000}"/>
    <cellStyle name="Normal 13 4 3 2 2" xfId="1469" xr:uid="{00000000-0005-0000-0000-0000D3040000}"/>
    <cellStyle name="Normal 13 4 3 2 2 2" xfId="2167" xr:uid="{00000000-0005-0000-0000-0000D4040000}"/>
    <cellStyle name="Normal 13 4 3 2 2 3" xfId="2642" xr:uid="{00000000-0005-0000-0000-0000D5040000}"/>
    <cellStyle name="Normal 13 4 3 2 2 4" xfId="3345" xr:uid="{00000000-0005-0000-0000-0000D6040000}"/>
    <cellStyle name="Normal 13 4 3 2 3" xfId="1117" xr:uid="{00000000-0005-0000-0000-0000D7040000}"/>
    <cellStyle name="Normal 13 4 3 2 3 2" xfId="1916" xr:uid="{00000000-0005-0000-0000-0000D8040000}"/>
    <cellStyle name="Normal 13 4 3 2 3 3" xfId="3094" xr:uid="{00000000-0005-0000-0000-0000D9040000}"/>
    <cellStyle name="Normal 13 4 3 2 4" xfId="1696" xr:uid="{00000000-0005-0000-0000-0000DA040000}"/>
    <cellStyle name="Normal 13 4 3 2 5" xfId="2391" xr:uid="{00000000-0005-0000-0000-0000DB040000}"/>
    <cellStyle name="Normal 13 4 3 2 6" xfId="2874" xr:uid="{00000000-0005-0000-0000-0000DC040000}"/>
    <cellStyle name="Normal 13 4 3 3" xfId="1381" xr:uid="{00000000-0005-0000-0000-0000DD040000}"/>
    <cellStyle name="Normal 13 4 3 3 2" xfId="2079" xr:uid="{00000000-0005-0000-0000-0000DE040000}"/>
    <cellStyle name="Normal 13 4 3 3 3" xfId="2554" xr:uid="{00000000-0005-0000-0000-0000DF040000}"/>
    <cellStyle name="Normal 13 4 3 3 4" xfId="3257" xr:uid="{00000000-0005-0000-0000-0000E0040000}"/>
    <cellStyle name="Normal 13 4 3 4" xfId="1029" xr:uid="{00000000-0005-0000-0000-0000E1040000}"/>
    <cellStyle name="Normal 13 4 3 4 2" xfId="1828" xr:uid="{00000000-0005-0000-0000-0000E2040000}"/>
    <cellStyle name="Normal 13 4 3 4 3" xfId="3006" xr:uid="{00000000-0005-0000-0000-0000E3040000}"/>
    <cellStyle name="Normal 13 4 3 5" xfId="1608" xr:uid="{00000000-0005-0000-0000-0000E4040000}"/>
    <cellStyle name="Normal 13 4 3 6" xfId="2303" xr:uid="{00000000-0005-0000-0000-0000E5040000}"/>
    <cellStyle name="Normal 13 4 3 7" xfId="2786" xr:uid="{00000000-0005-0000-0000-0000E6040000}"/>
    <cellStyle name="Normal 13 4 4" xfId="918" xr:uid="{00000000-0005-0000-0000-0000E7040000}"/>
    <cellStyle name="Normal 13 4 4 2" xfId="1513" xr:uid="{00000000-0005-0000-0000-0000E8040000}"/>
    <cellStyle name="Normal 13 4 4 2 2" xfId="2211" xr:uid="{00000000-0005-0000-0000-0000E9040000}"/>
    <cellStyle name="Normal 13 4 4 2 3" xfId="2686" xr:uid="{00000000-0005-0000-0000-0000EA040000}"/>
    <cellStyle name="Normal 13 4 4 2 4" xfId="3389" xr:uid="{00000000-0005-0000-0000-0000EB040000}"/>
    <cellStyle name="Normal 13 4 4 3" xfId="1161" xr:uid="{00000000-0005-0000-0000-0000EC040000}"/>
    <cellStyle name="Normal 13 4 4 3 2" xfId="1960" xr:uid="{00000000-0005-0000-0000-0000ED040000}"/>
    <cellStyle name="Normal 13 4 4 3 3" xfId="3138" xr:uid="{00000000-0005-0000-0000-0000EE040000}"/>
    <cellStyle name="Normal 13 4 4 4" xfId="1740" xr:uid="{00000000-0005-0000-0000-0000EF040000}"/>
    <cellStyle name="Normal 13 4 4 5" xfId="2435" xr:uid="{00000000-0005-0000-0000-0000F0040000}"/>
    <cellStyle name="Normal 13 4 4 6" xfId="2918" xr:uid="{00000000-0005-0000-0000-0000F1040000}"/>
    <cellStyle name="Normal 13 4 5" xfId="830" xr:uid="{00000000-0005-0000-0000-0000F2040000}"/>
    <cellStyle name="Normal 13 4 5 2" xfId="1425" xr:uid="{00000000-0005-0000-0000-0000F3040000}"/>
    <cellStyle name="Normal 13 4 5 2 2" xfId="2123" xr:uid="{00000000-0005-0000-0000-0000F4040000}"/>
    <cellStyle name="Normal 13 4 5 2 3" xfId="2598" xr:uid="{00000000-0005-0000-0000-0000F5040000}"/>
    <cellStyle name="Normal 13 4 5 2 4" xfId="3301" xr:uid="{00000000-0005-0000-0000-0000F6040000}"/>
    <cellStyle name="Normal 13 4 5 3" xfId="1073" xr:uid="{00000000-0005-0000-0000-0000F7040000}"/>
    <cellStyle name="Normal 13 4 5 3 2" xfId="1872" xr:uid="{00000000-0005-0000-0000-0000F8040000}"/>
    <cellStyle name="Normal 13 4 5 3 3" xfId="3050" xr:uid="{00000000-0005-0000-0000-0000F9040000}"/>
    <cellStyle name="Normal 13 4 5 4" xfId="1652" xr:uid="{00000000-0005-0000-0000-0000FA040000}"/>
    <cellStyle name="Normal 13 4 5 5" xfId="2347" xr:uid="{00000000-0005-0000-0000-0000FB040000}"/>
    <cellStyle name="Normal 13 4 5 6" xfId="2830" xr:uid="{00000000-0005-0000-0000-0000FC040000}"/>
    <cellStyle name="Normal 13 4 6" xfId="1337" xr:uid="{00000000-0005-0000-0000-0000FD040000}"/>
    <cellStyle name="Normal 13 4 6 2" xfId="2035" xr:uid="{00000000-0005-0000-0000-0000FE040000}"/>
    <cellStyle name="Normal 13 4 6 3" xfId="2510" xr:uid="{00000000-0005-0000-0000-0000FF040000}"/>
    <cellStyle name="Normal 13 4 6 4" xfId="3213" xr:uid="{00000000-0005-0000-0000-000000050000}"/>
    <cellStyle name="Normal 13 4 7" xfId="985" xr:uid="{00000000-0005-0000-0000-000001050000}"/>
    <cellStyle name="Normal 13 4 7 2" xfId="1784" xr:uid="{00000000-0005-0000-0000-000002050000}"/>
    <cellStyle name="Normal 13 4 7 3" xfId="2962" xr:uid="{00000000-0005-0000-0000-000003050000}"/>
    <cellStyle name="Normal 13 4 8" xfId="1564" xr:uid="{00000000-0005-0000-0000-000004050000}"/>
    <cellStyle name="Normal 13 4 9" xfId="2259" xr:uid="{00000000-0005-0000-0000-000005050000}"/>
    <cellStyle name="Normal 14" xfId="136" xr:uid="{00000000-0005-0000-0000-000006050000}"/>
    <cellStyle name="Normal 14 2" xfId="137" xr:uid="{00000000-0005-0000-0000-000007050000}"/>
    <cellStyle name="Normal 14 2 2" xfId="547" xr:uid="{00000000-0005-0000-0000-000008050000}"/>
    <cellStyle name="Normal 14 3" xfId="244" xr:uid="{00000000-0005-0000-0000-000009050000}"/>
    <cellStyle name="Normal 15" xfId="60" xr:uid="{00000000-0005-0000-0000-00000A050000}"/>
    <cellStyle name="Normal 15 2" xfId="138" xr:uid="{00000000-0005-0000-0000-00000B050000}"/>
    <cellStyle name="Normal 15 2 2" xfId="245" xr:uid="{00000000-0005-0000-0000-00000C050000}"/>
    <cellStyle name="Normal 15 2 3" xfId="297" xr:uid="{00000000-0005-0000-0000-00000D050000}"/>
    <cellStyle name="Normal 15 3" xfId="240" xr:uid="{00000000-0005-0000-0000-00000E050000}"/>
    <cellStyle name="Normal 15 4" xfId="254" xr:uid="{00000000-0005-0000-0000-00000F050000}"/>
    <cellStyle name="Normal 16" xfId="139" xr:uid="{00000000-0005-0000-0000-000010050000}"/>
    <cellStyle name="Normal 16 2" xfId="140" xr:uid="{00000000-0005-0000-0000-000011050000}"/>
    <cellStyle name="Normal 16 2 2" xfId="299" xr:uid="{00000000-0005-0000-0000-000012050000}"/>
    <cellStyle name="Normal 16 3" xfId="298" xr:uid="{00000000-0005-0000-0000-000013050000}"/>
    <cellStyle name="Normal 17" xfId="141" xr:uid="{00000000-0005-0000-0000-000014050000}"/>
    <cellStyle name="Normal 17 2" xfId="142" xr:uid="{00000000-0005-0000-0000-000015050000}"/>
    <cellStyle name="Normal 17 2 2" xfId="301" xr:uid="{00000000-0005-0000-0000-000016050000}"/>
    <cellStyle name="Normal 17 3" xfId="300" xr:uid="{00000000-0005-0000-0000-000017050000}"/>
    <cellStyle name="Normal 18" xfId="143" xr:uid="{00000000-0005-0000-0000-000018050000}"/>
    <cellStyle name="Normal 18 2" xfId="144" xr:uid="{00000000-0005-0000-0000-000019050000}"/>
    <cellStyle name="Normal 18 2 2" xfId="303" xr:uid="{00000000-0005-0000-0000-00001A050000}"/>
    <cellStyle name="Normal 18 3" xfId="302" xr:uid="{00000000-0005-0000-0000-00001B050000}"/>
    <cellStyle name="Normal 19" xfId="145" xr:uid="{00000000-0005-0000-0000-00001C050000}"/>
    <cellStyle name="Normal 19 2" xfId="146" xr:uid="{00000000-0005-0000-0000-00001D050000}"/>
    <cellStyle name="Normal 2" xfId="5" xr:uid="{00000000-0005-0000-0000-00001E050000}"/>
    <cellStyle name="Normal 2 2" xfId="13" xr:uid="{00000000-0005-0000-0000-00001F050000}"/>
    <cellStyle name="Normal 2 2 2" xfId="55" xr:uid="{00000000-0005-0000-0000-000020050000}"/>
    <cellStyle name="Normal 2 2 2 2" xfId="247" xr:uid="{00000000-0005-0000-0000-000021050000}"/>
    <cellStyle name="Normal 2 2 2 2 2" xfId="439" xr:uid="{00000000-0005-0000-0000-000022050000}"/>
    <cellStyle name="Normal 2 2 2 3" xfId="438" xr:uid="{00000000-0005-0000-0000-000023050000}"/>
    <cellStyle name="Normal 2 2 2 4" xfId="1276" xr:uid="{00000000-0005-0000-0000-000024050000}"/>
    <cellStyle name="Normal 2 2 3" xfId="440" xr:uid="{00000000-0005-0000-0000-000025050000}"/>
    <cellStyle name="Normal 2 2 4" xfId="437" xr:uid="{00000000-0005-0000-0000-000026050000}"/>
    <cellStyle name="Normal 2 2 5" xfId="147" xr:uid="{00000000-0005-0000-0000-000027050000}"/>
    <cellStyle name="Normal 2 2 5 2" xfId="1324" xr:uid="{00000000-0005-0000-0000-000028050000}"/>
    <cellStyle name="Normal 2 2 5 3" xfId="1247" xr:uid="{00000000-0005-0000-0000-000029050000}"/>
    <cellStyle name="Normal 2 2 5 4" xfId="1998" xr:uid="{00000000-0005-0000-0000-00002A050000}"/>
    <cellStyle name="Normal 2 2 5 5" xfId="2473" xr:uid="{00000000-0005-0000-0000-00002B050000}"/>
    <cellStyle name="Normal 2 2 5 6" xfId="3176" xr:uid="{00000000-0005-0000-0000-00002C050000}"/>
    <cellStyle name="Normal 2 2 6" xfId="1292" xr:uid="{00000000-0005-0000-0000-00002D050000}"/>
    <cellStyle name="Normal 2 2 7" xfId="968" xr:uid="{00000000-0005-0000-0000-00002E050000}"/>
    <cellStyle name="Normal 2 2 7 2" xfId="2726" xr:uid="{00000000-0005-0000-0000-00002F050000}"/>
    <cellStyle name="Normal 2 2_Final FY 08 Unit Cost Summary" xfId="504" xr:uid="{00000000-0005-0000-0000-000030050000}"/>
    <cellStyle name="Normal 2 3" xfId="148" xr:uid="{00000000-0005-0000-0000-000031050000}"/>
    <cellStyle name="Normal 2 3 2" xfId="149" xr:uid="{00000000-0005-0000-0000-000032050000}"/>
    <cellStyle name="Normal 2 3 2 2" xfId="305" xr:uid="{00000000-0005-0000-0000-000033050000}"/>
    <cellStyle name="Normal 2 3 2 3" xfId="442" xr:uid="{00000000-0005-0000-0000-000034050000}"/>
    <cellStyle name="Normal 2 3 2 4" xfId="1274" xr:uid="{00000000-0005-0000-0000-000035050000}"/>
    <cellStyle name="Normal 2 3 3" xfId="150" xr:uid="{00000000-0005-0000-0000-000036050000}"/>
    <cellStyle name="Normal 2 3 3 2" xfId="306" xr:uid="{00000000-0005-0000-0000-000037050000}"/>
    <cellStyle name="Normal 2 3 4" xfId="304" xr:uid="{00000000-0005-0000-0000-000038050000}"/>
    <cellStyle name="Normal 2 3 5" xfId="441" xr:uid="{00000000-0005-0000-0000-000039050000}"/>
    <cellStyle name="Normal 2 3 6" xfId="1254" xr:uid="{00000000-0005-0000-0000-00003A050000}"/>
    <cellStyle name="Normal 2 4" xfId="151" xr:uid="{00000000-0005-0000-0000-00003B050000}"/>
    <cellStyle name="Normal 2 4 2" xfId="307" xr:uid="{00000000-0005-0000-0000-00003C050000}"/>
    <cellStyle name="Normal 2 4 3" xfId="443" xr:uid="{00000000-0005-0000-0000-00003D050000}"/>
    <cellStyle name="Normal 2 4 4" xfId="1252" xr:uid="{00000000-0005-0000-0000-00003E050000}"/>
    <cellStyle name="Normal 2 5" xfId="152" xr:uid="{00000000-0005-0000-0000-00003F050000}"/>
    <cellStyle name="Normal 2 5 2" xfId="308" xr:uid="{00000000-0005-0000-0000-000040050000}"/>
    <cellStyle name="Normal 2 5 3" xfId="1256" xr:uid="{00000000-0005-0000-0000-000041050000}"/>
    <cellStyle name="Normal 2 6" xfId="249" xr:uid="{00000000-0005-0000-0000-000042050000}"/>
    <cellStyle name="Normal 2 7" xfId="57" xr:uid="{00000000-0005-0000-0000-000043050000}"/>
    <cellStyle name="Normal 2 8" xfId="1199" xr:uid="{00000000-0005-0000-0000-000044050000}"/>
    <cellStyle name="Normal 2 9" xfId="2725" xr:uid="{00000000-0005-0000-0000-000045050000}"/>
    <cellStyle name="Normal 2_09 AuMHC NG Unit Cost Worksheet TJ" xfId="505" xr:uid="{00000000-0005-0000-0000-000046050000}"/>
    <cellStyle name="Normal 20" xfId="153" xr:uid="{00000000-0005-0000-0000-000047050000}"/>
    <cellStyle name="Normal 20 2" xfId="154" xr:uid="{00000000-0005-0000-0000-000048050000}"/>
    <cellStyle name="Normal 20 2 2" xfId="310" xr:uid="{00000000-0005-0000-0000-000049050000}"/>
    <cellStyle name="Normal 20 2 2 2" xfId="648" xr:uid="{00000000-0005-0000-0000-00004A050000}"/>
    <cellStyle name="Normal 20 2 3" xfId="577" xr:uid="{00000000-0005-0000-0000-00004B050000}"/>
    <cellStyle name="Normal 20 3" xfId="309" xr:uid="{00000000-0005-0000-0000-00004C050000}"/>
    <cellStyle name="Normal 20 3 2" xfId="647" xr:uid="{00000000-0005-0000-0000-00004D050000}"/>
    <cellStyle name="Normal 20 4" xfId="576" xr:uid="{00000000-0005-0000-0000-00004E050000}"/>
    <cellStyle name="Normal 21" xfId="238" xr:uid="{00000000-0005-0000-0000-00004F050000}"/>
    <cellStyle name="Normal 21 2" xfId="366" xr:uid="{00000000-0005-0000-0000-000050050000}"/>
    <cellStyle name="Normal 21 2 2" xfId="691" xr:uid="{00000000-0005-0000-0000-000051050000}"/>
    <cellStyle name="Normal 21 3" xfId="621" xr:uid="{00000000-0005-0000-0000-000052050000}"/>
    <cellStyle name="Normal 22" xfId="246" xr:uid="{00000000-0005-0000-0000-000053050000}"/>
    <cellStyle name="Normal 23" xfId="253" xr:uid="{00000000-0005-0000-0000-000054050000}"/>
    <cellStyle name="Normal 23 2" xfId="373" xr:uid="{00000000-0005-0000-0000-000055050000}"/>
    <cellStyle name="Normal 23 2 2" xfId="694" xr:uid="{00000000-0005-0000-0000-000056050000}"/>
    <cellStyle name="Normal 23 3" xfId="628" xr:uid="{00000000-0005-0000-0000-000057050000}"/>
    <cellStyle name="Normal 24" xfId="374" xr:uid="{00000000-0005-0000-0000-000058050000}"/>
    <cellStyle name="Normal 24 2" xfId="376" xr:uid="{00000000-0005-0000-0000-000059050000}"/>
    <cellStyle name="Normal 24 3" xfId="742" xr:uid="{00000000-0005-0000-0000-00005A050000}"/>
    <cellStyle name="Normal 24 3 2" xfId="743" xr:uid="{00000000-0005-0000-0000-00005B050000}"/>
    <cellStyle name="Normal 25" xfId="378" xr:uid="{00000000-0005-0000-0000-00005C050000}"/>
    <cellStyle name="Normal 25 10" xfId="2738" xr:uid="{00000000-0005-0000-0000-00005D050000}"/>
    <cellStyle name="Normal 25 2" xfId="695" xr:uid="{00000000-0005-0000-0000-00005E050000}"/>
    <cellStyle name="Normal 25 2 2" xfId="803" xr:uid="{00000000-0005-0000-0000-00005F050000}"/>
    <cellStyle name="Normal 25 2 2 2" xfId="891" xr:uid="{00000000-0005-0000-0000-000060050000}"/>
    <cellStyle name="Normal 25 2 2 2 2" xfId="1486" xr:uid="{00000000-0005-0000-0000-000061050000}"/>
    <cellStyle name="Normal 25 2 2 2 2 2" xfId="2184" xr:uid="{00000000-0005-0000-0000-000062050000}"/>
    <cellStyle name="Normal 25 2 2 2 2 3" xfId="2659" xr:uid="{00000000-0005-0000-0000-000063050000}"/>
    <cellStyle name="Normal 25 2 2 2 2 4" xfId="3362" xr:uid="{00000000-0005-0000-0000-000064050000}"/>
    <cellStyle name="Normal 25 2 2 2 3" xfId="1134" xr:uid="{00000000-0005-0000-0000-000065050000}"/>
    <cellStyle name="Normal 25 2 2 2 3 2" xfId="1933" xr:uid="{00000000-0005-0000-0000-000066050000}"/>
    <cellStyle name="Normal 25 2 2 2 3 3" xfId="3111" xr:uid="{00000000-0005-0000-0000-000067050000}"/>
    <cellStyle name="Normal 25 2 2 2 4" xfId="1713" xr:uid="{00000000-0005-0000-0000-000068050000}"/>
    <cellStyle name="Normal 25 2 2 2 5" xfId="2408" xr:uid="{00000000-0005-0000-0000-000069050000}"/>
    <cellStyle name="Normal 25 2 2 2 6" xfId="2891" xr:uid="{00000000-0005-0000-0000-00006A050000}"/>
    <cellStyle name="Normal 25 2 2 3" xfId="1398" xr:uid="{00000000-0005-0000-0000-00006B050000}"/>
    <cellStyle name="Normal 25 2 2 3 2" xfId="2096" xr:uid="{00000000-0005-0000-0000-00006C050000}"/>
    <cellStyle name="Normal 25 2 2 3 3" xfId="2571" xr:uid="{00000000-0005-0000-0000-00006D050000}"/>
    <cellStyle name="Normal 25 2 2 3 4" xfId="3274" xr:uid="{00000000-0005-0000-0000-00006E050000}"/>
    <cellStyle name="Normal 25 2 2 4" xfId="1046" xr:uid="{00000000-0005-0000-0000-00006F050000}"/>
    <cellStyle name="Normal 25 2 2 4 2" xfId="1845" xr:uid="{00000000-0005-0000-0000-000070050000}"/>
    <cellStyle name="Normal 25 2 2 4 3" xfId="3023" xr:uid="{00000000-0005-0000-0000-000071050000}"/>
    <cellStyle name="Normal 25 2 2 5" xfId="1625" xr:uid="{00000000-0005-0000-0000-000072050000}"/>
    <cellStyle name="Normal 25 2 2 6" xfId="2320" xr:uid="{00000000-0005-0000-0000-000073050000}"/>
    <cellStyle name="Normal 25 2 2 7" xfId="2803" xr:uid="{00000000-0005-0000-0000-000074050000}"/>
    <cellStyle name="Normal 25 2 3" xfId="935" xr:uid="{00000000-0005-0000-0000-000075050000}"/>
    <cellStyle name="Normal 25 2 3 2" xfId="1530" xr:uid="{00000000-0005-0000-0000-000076050000}"/>
    <cellStyle name="Normal 25 2 3 2 2" xfId="2228" xr:uid="{00000000-0005-0000-0000-000077050000}"/>
    <cellStyle name="Normal 25 2 3 2 3" xfId="2703" xr:uid="{00000000-0005-0000-0000-000078050000}"/>
    <cellStyle name="Normal 25 2 3 2 4" xfId="3406" xr:uid="{00000000-0005-0000-0000-000079050000}"/>
    <cellStyle name="Normal 25 2 3 3" xfId="1178" xr:uid="{00000000-0005-0000-0000-00007A050000}"/>
    <cellStyle name="Normal 25 2 3 3 2" xfId="1977" xr:uid="{00000000-0005-0000-0000-00007B050000}"/>
    <cellStyle name="Normal 25 2 3 3 3" xfId="3155" xr:uid="{00000000-0005-0000-0000-00007C050000}"/>
    <cellStyle name="Normal 25 2 3 4" xfId="1757" xr:uid="{00000000-0005-0000-0000-00007D050000}"/>
    <cellStyle name="Normal 25 2 3 5" xfId="2452" xr:uid="{00000000-0005-0000-0000-00007E050000}"/>
    <cellStyle name="Normal 25 2 3 6" xfId="2935" xr:uid="{00000000-0005-0000-0000-00007F050000}"/>
    <cellStyle name="Normal 25 2 4" xfId="847" xr:uid="{00000000-0005-0000-0000-000080050000}"/>
    <cellStyle name="Normal 25 2 4 2" xfId="1442" xr:uid="{00000000-0005-0000-0000-000081050000}"/>
    <cellStyle name="Normal 25 2 4 2 2" xfId="2140" xr:uid="{00000000-0005-0000-0000-000082050000}"/>
    <cellStyle name="Normal 25 2 4 2 3" xfId="2615" xr:uid="{00000000-0005-0000-0000-000083050000}"/>
    <cellStyle name="Normal 25 2 4 2 4" xfId="3318" xr:uid="{00000000-0005-0000-0000-000084050000}"/>
    <cellStyle name="Normal 25 2 4 3" xfId="1090" xr:uid="{00000000-0005-0000-0000-000085050000}"/>
    <cellStyle name="Normal 25 2 4 3 2" xfId="1889" xr:uid="{00000000-0005-0000-0000-000086050000}"/>
    <cellStyle name="Normal 25 2 4 3 3" xfId="3067" xr:uid="{00000000-0005-0000-0000-000087050000}"/>
    <cellStyle name="Normal 25 2 4 4" xfId="1669" xr:uid="{00000000-0005-0000-0000-000088050000}"/>
    <cellStyle name="Normal 25 2 4 5" xfId="2364" xr:uid="{00000000-0005-0000-0000-000089050000}"/>
    <cellStyle name="Normal 25 2 4 6" xfId="2847" xr:uid="{00000000-0005-0000-0000-00008A050000}"/>
    <cellStyle name="Normal 25 2 5" xfId="1354" xr:uid="{00000000-0005-0000-0000-00008B050000}"/>
    <cellStyle name="Normal 25 2 5 2" xfId="2052" xr:uid="{00000000-0005-0000-0000-00008C050000}"/>
    <cellStyle name="Normal 25 2 5 3" xfId="2527" xr:uid="{00000000-0005-0000-0000-00008D050000}"/>
    <cellStyle name="Normal 25 2 5 4" xfId="3230" xr:uid="{00000000-0005-0000-0000-00008E050000}"/>
    <cellStyle name="Normal 25 2 6" xfId="1002" xr:uid="{00000000-0005-0000-0000-00008F050000}"/>
    <cellStyle name="Normal 25 2 6 2" xfId="1801" xr:uid="{00000000-0005-0000-0000-000090050000}"/>
    <cellStyle name="Normal 25 2 6 3" xfId="2979" xr:uid="{00000000-0005-0000-0000-000091050000}"/>
    <cellStyle name="Normal 25 2 7" xfId="1581" xr:uid="{00000000-0005-0000-0000-000092050000}"/>
    <cellStyle name="Normal 25 2 8" xfId="2276" xr:uid="{00000000-0005-0000-0000-000093050000}"/>
    <cellStyle name="Normal 25 2 9" xfId="2759" xr:uid="{00000000-0005-0000-0000-000094050000}"/>
    <cellStyle name="Normal 25 3" xfId="782" xr:uid="{00000000-0005-0000-0000-000095050000}"/>
    <cellStyle name="Normal 25 3 2" xfId="870" xr:uid="{00000000-0005-0000-0000-000096050000}"/>
    <cellStyle name="Normal 25 3 2 2" xfId="1465" xr:uid="{00000000-0005-0000-0000-000097050000}"/>
    <cellStyle name="Normal 25 3 2 2 2" xfId="2163" xr:uid="{00000000-0005-0000-0000-000098050000}"/>
    <cellStyle name="Normal 25 3 2 2 3" xfId="2638" xr:uid="{00000000-0005-0000-0000-000099050000}"/>
    <cellStyle name="Normal 25 3 2 2 4" xfId="3341" xr:uid="{00000000-0005-0000-0000-00009A050000}"/>
    <cellStyle name="Normal 25 3 2 3" xfId="1113" xr:uid="{00000000-0005-0000-0000-00009B050000}"/>
    <cellStyle name="Normal 25 3 2 3 2" xfId="1912" xr:uid="{00000000-0005-0000-0000-00009C050000}"/>
    <cellStyle name="Normal 25 3 2 3 3" xfId="3090" xr:uid="{00000000-0005-0000-0000-00009D050000}"/>
    <cellStyle name="Normal 25 3 2 4" xfId="1692" xr:uid="{00000000-0005-0000-0000-00009E050000}"/>
    <cellStyle name="Normal 25 3 2 5" xfId="2387" xr:uid="{00000000-0005-0000-0000-00009F050000}"/>
    <cellStyle name="Normal 25 3 2 6" xfId="2870" xr:uid="{00000000-0005-0000-0000-0000A0050000}"/>
    <cellStyle name="Normal 25 3 3" xfId="1377" xr:uid="{00000000-0005-0000-0000-0000A1050000}"/>
    <cellStyle name="Normal 25 3 3 2" xfId="2075" xr:uid="{00000000-0005-0000-0000-0000A2050000}"/>
    <cellStyle name="Normal 25 3 3 3" xfId="2550" xr:uid="{00000000-0005-0000-0000-0000A3050000}"/>
    <cellStyle name="Normal 25 3 3 4" xfId="3253" xr:uid="{00000000-0005-0000-0000-0000A4050000}"/>
    <cellStyle name="Normal 25 3 4" xfId="1025" xr:uid="{00000000-0005-0000-0000-0000A5050000}"/>
    <cellStyle name="Normal 25 3 4 2" xfId="1824" xr:uid="{00000000-0005-0000-0000-0000A6050000}"/>
    <cellStyle name="Normal 25 3 4 3" xfId="3002" xr:uid="{00000000-0005-0000-0000-0000A7050000}"/>
    <cellStyle name="Normal 25 3 5" xfId="1604" xr:uid="{00000000-0005-0000-0000-0000A8050000}"/>
    <cellStyle name="Normal 25 3 6" xfId="2299" xr:uid="{00000000-0005-0000-0000-0000A9050000}"/>
    <cellStyle name="Normal 25 3 7" xfId="2782" xr:uid="{00000000-0005-0000-0000-0000AA050000}"/>
    <cellStyle name="Normal 25 4" xfId="914" xr:uid="{00000000-0005-0000-0000-0000AB050000}"/>
    <cellStyle name="Normal 25 4 2" xfId="1509" xr:uid="{00000000-0005-0000-0000-0000AC050000}"/>
    <cellStyle name="Normal 25 4 2 2" xfId="2207" xr:uid="{00000000-0005-0000-0000-0000AD050000}"/>
    <cellStyle name="Normal 25 4 2 3" xfId="2682" xr:uid="{00000000-0005-0000-0000-0000AE050000}"/>
    <cellStyle name="Normal 25 4 2 4" xfId="3385" xr:uid="{00000000-0005-0000-0000-0000AF050000}"/>
    <cellStyle name="Normal 25 4 3" xfId="1157" xr:uid="{00000000-0005-0000-0000-0000B0050000}"/>
    <cellStyle name="Normal 25 4 3 2" xfId="1956" xr:uid="{00000000-0005-0000-0000-0000B1050000}"/>
    <cellStyle name="Normal 25 4 3 3" xfId="3134" xr:uid="{00000000-0005-0000-0000-0000B2050000}"/>
    <cellStyle name="Normal 25 4 4" xfId="1736" xr:uid="{00000000-0005-0000-0000-0000B3050000}"/>
    <cellStyle name="Normal 25 4 5" xfId="2431" xr:uid="{00000000-0005-0000-0000-0000B4050000}"/>
    <cellStyle name="Normal 25 4 6" xfId="2914" xr:uid="{00000000-0005-0000-0000-0000B5050000}"/>
    <cellStyle name="Normal 25 5" xfId="826" xr:uid="{00000000-0005-0000-0000-0000B6050000}"/>
    <cellStyle name="Normal 25 5 2" xfId="1421" xr:uid="{00000000-0005-0000-0000-0000B7050000}"/>
    <cellStyle name="Normal 25 5 2 2" xfId="2119" xr:uid="{00000000-0005-0000-0000-0000B8050000}"/>
    <cellStyle name="Normal 25 5 2 3" xfId="2594" xr:uid="{00000000-0005-0000-0000-0000B9050000}"/>
    <cellStyle name="Normal 25 5 2 4" xfId="3297" xr:uid="{00000000-0005-0000-0000-0000BA050000}"/>
    <cellStyle name="Normal 25 5 3" xfId="1069" xr:uid="{00000000-0005-0000-0000-0000BB050000}"/>
    <cellStyle name="Normal 25 5 3 2" xfId="1868" xr:uid="{00000000-0005-0000-0000-0000BC050000}"/>
    <cellStyle name="Normal 25 5 3 3" xfId="3046" xr:uid="{00000000-0005-0000-0000-0000BD050000}"/>
    <cellStyle name="Normal 25 5 4" xfId="1648" xr:uid="{00000000-0005-0000-0000-0000BE050000}"/>
    <cellStyle name="Normal 25 5 5" xfId="2343" xr:uid="{00000000-0005-0000-0000-0000BF050000}"/>
    <cellStyle name="Normal 25 5 6" xfId="2826" xr:uid="{00000000-0005-0000-0000-0000C0050000}"/>
    <cellStyle name="Normal 25 6" xfId="1333" xr:uid="{00000000-0005-0000-0000-0000C1050000}"/>
    <cellStyle name="Normal 25 6 2" xfId="2031" xr:uid="{00000000-0005-0000-0000-0000C2050000}"/>
    <cellStyle name="Normal 25 6 3" xfId="2506" xr:uid="{00000000-0005-0000-0000-0000C3050000}"/>
    <cellStyle name="Normal 25 6 4" xfId="3209" xr:uid="{00000000-0005-0000-0000-0000C4050000}"/>
    <cellStyle name="Normal 25 7" xfId="981" xr:uid="{00000000-0005-0000-0000-0000C5050000}"/>
    <cellStyle name="Normal 25 7 2" xfId="1780" xr:uid="{00000000-0005-0000-0000-0000C6050000}"/>
    <cellStyle name="Normal 25 7 3" xfId="2958" xr:uid="{00000000-0005-0000-0000-0000C7050000}"/>
    <cellStyle name="Normal 25 8" xfId="1560" xr:uid="{00000000-0005-0000-0000-0000C8050000}"/>
    <cellStyle name="Normal 25 9" xfId="2255" xr:uid="{00000000-0005-0000-0000-0000C9050000}"/>
    <cellStyle name="Normal 26" xfId="548" xr:uid="{00000000-0005-0000-0000-0000CA050000}"/>
    <cellStyle name="Normal 26 10" xfId="2746" xr:uid="{00000000-0005-0000-0000-0000CB050000}"/>
    <cellStyle name="Normal 26 2" xfId="705" xr:uid="{00000000-0005-0000-0000-0000CC050000}"/>
    <cellStyle name="Normal 26 2 2" xfId="811" xr:uid="{00000000-0005-0000-0000-0000CD050000}"/>
    <cellStyle name="Normal 26 2 2 2" xfId="899" xr:uid="{00000000-0005-0000-0000-0000CE050000}"/>
    <cellStyle name="Normal 26 2 2 2 2" xfId="1494" xr:uid="{00000000-0005-0000-0000-0000CF050000}"/>
    <cellStyle name="Normal 26 2 2 2 2 2" xfId="2192" xr:uid="{00000000-0005-0000-0000-0000D0050000}"/>
    <cellStyle name="Normal 26 2 2 2 2 3" xfId="2667" xr:uid="{00000000-0005-0000-0000-0000D1050000}"/>
    <cellStyle name="Normal 26 2 2 2 2 4" xfId="3370" xr:uid="{00000000-0005-0000-0000-0000D2050000}"/>
    <cellStyle name="Normal 26 2 2 2 3" xfId="1142" xr:uid="{00000000-0005-0000-0000-0000D3050000}"/>
    <cellStyle name="Normal 26 2 2 2 3 2" xfId="1941" xr:uid="{00000000-0005-0000-0000-0000D4050000}"/>
    <cellStyle name="Normal 26 2 2 2 3 3" xfId="3119" xr:uid="{00000000-0005-0000-0000-0000D5050000}"/>
    <cellStyle name="Normal 26 2 2 2 4" xfId="1721" xr:uid="{00000000-0005-0000-0000-0000D6050000}"/>
    <cellStyle name="Normal 26 2 2 2 5" xfId="2416" xr:uid="{00000000-0005-0000-0000-0000D7050000}"/>
    <cellStyle name="Normal 26 2 2 2 6" xfId="2899" xr:uid="{00000000-0005-0000-0000-0000D8050000}"/>
    <cellStyle name="Normal 26 2 2 3" xfId="1406" xr:uid="{00000000-0005-0000-0000-0000D9050000}"/>
    <cellStyle name="Normal 26 2 2 3 2" xfId="2104" xr:uid="{00000000-0005-0000-0000-0000DA050000}"/>
    <cellStyle name="Normal 26 2 2 3 3" xfId="2579" xr:uid="{00000000-0005-0000-0000-0000DB050000}"/>
    <cellStyle name="Normal 26 2 2 3 4" xfId="3282" xr:uid="{00000000-0005-0000-0000-0000DC050000}"/>
    <cellStyle name="Normal 26 2 2 4" xfId="1054" xr:uid="{00000000-0005-0000-0000-0000DD050000}"/>
    <cellStyle name="Normal 26 2 2 4 2" xfId="1853" xr:uid="{00000000-0005-0000-0000-0000DE050000}"/>
    <cellStyle name="Normal 26 2 2 4 3" xfId="3031" xr:uid="{00000000-0005-0000-0000-0000DF050000}"/>
    <cellStyle name="Normal 26 2 2 5" xfId="1633" xr:uid="{00000000-0005-0000-0000-0000E0050000}"/>
    <cellStyle name="Normal 26 2 2 6" xfId="2328" xr:uid="{00000000-0005-0000-0000-0000E1050000}"/>
    <cellStyle name="Normal 26 2 2 7" xfId="2811" xr:uid="{00000000-0005-0000-0000-0000E2050000}"/>
    <cellStyle name="Normal 26 2 3" xfId="943" xr:uid="{00000000-0005-0000-0000-0000E3050000}"/>
    <cellStyle name="Normal 26 2 3 2" xfId="1538" xr:uid="{00000000-0005-0000-0000-0000E4050000}"/>
    <cellStyle name="Normal 26 2 3 2 2" xfId="2236" xr:uid="{00000000-0005-0000-0000-0000E5050000}"/>
    <cellStyle name="Normal 26 2 3 2 3" xfId="2711" xr:uid="{00000000-0005-0000-0000-0000E6050000}"/>
    <cellStyle name="Normal 26 2 3 2 4" xfId="3414" xr:uid="{00000000-0005-0000-0000-0000E7050000}"/>
    <cellStyle name="Normal 26 2 3 3" xfId="1186" xr:uid="{00000000-0005-0000-0000-0000E8050000}"/>
    <cellStyle name="Normal 26 2 3 3 2" xfId="1985" xr:uid="{00000000-0005-0000-0000-0000E9050000}"/>
    <cellStyle name="Normal 26 2 3 3 3" xfId="3163" xr:uid="{00000000-0005-0000-0000-0000EA050000}"/>
    <cellStyle name="Normal 26 2 3 4" xfId="1765" xr:uid="{00000000-0005-0000-0000-0000EB050000}"/>
    <cellStyle name="Normal 26 2 3 5" xfId="2460" xr:uid="{00000000-0005-0000-0000-0000EC050000}"/>
    <cellStyle name="Normal 26 2 3 6" xfId="2943" xr:uid="{00000000-0005-0000-0000-0000ED050000}"/>
    <cellStyle name="Normal 26 2 4" xfId="855" xr:uid="{00000000-0005-0000-0000-0000EE050000}"/>
    <cellStyle name="Normal 26 2 4 2" xfId="1450" xr:uid="{00000000-0005-0000-0000-0000EF050000}"/>
    <cellStyle name="Normal 26 2 4 2 2" xfId="2148" xr:uid="{00000000-0005-0000-0000-0000F0050000}"/>
    <cellStyle name="Normal 26 2 4 2 3" xfId="2623" xr:uid="{00000000-0005-0000-0000-0000F1050000}"/>
    <cellStyle name="Normal 26 2 4 2 4" xfId="3326" xr:uid="{00000000-0005-0000-0000-0000F2050000}"/>
    <cellStyle name="Normal 26 2 4 3" xfId="1098" xr:uid="{00000000-0005-0000-0000-0000F3050000}"/>
    <cellStyle name="Normal 26 2 4 3 2" xfId="1897" xr:uid="{00000000-0005-0000-0000-0000F4050000}"/>
    <cellStyle name="Normal 26 2 4 3 3" xfId="3075" xr:uid="{00000000-0005-0000-0000-0000F5050000}"/>
    <cellStyle name="Normal 26 2 4 4" xfId="1677" xr:uid="{00000000-0005-0000-0000-0000F6050000}"/>
    <cellStyle name="Normal 26 2 4 5" xfId="2372" xr:uid="{00000000-0005-0000-0000-0000F7050000}"/>
    <cellStyle name="Normal 26 2 4 6" xfId="2855" xr:uid="{00000000-0005-0000-0000-0000F8050000}"/>
    <cellStyle name="Normal 26 2 5" xfId="1362" xr:uid="{00000000-0005-0000-0000-0000F9050000}"/>
    <cellStyle name="Normal 26 2 5 2" xfId="2060" xr:uid="{00000000-0005-0000-0000-0000FA050000}"/>
    <cellStyle name="Normal 26 2 5 3" xfId="2535" xr:uid="{00000000-0005-0000-0000-0000FB050000}"/>
    <cellStyle name="Normal 26 2 5 4" xfId="3238" xr:uid="{00000000-0005-0000-0000-0000FC050000}"/>
    <cellStyle name="Normal 26 2 6" xfId="1010" xr:uid="{00000000-0005-0000-0000-0000FD050000}"/>
    <cellStyle name="Normal 26 2 6 2" xfId="1809" xr:uid="{00000000-0005-0000-0000-0000FE050000}"/>
    <cellStyle name="Normal 26 2 6 3" xfId="2987" xr:uid="{00000000-0005-0000-0000-0000FF050000}"/>
    <cellStyle name="Normal 26 2 7" xfId="1589" xr:uid="{00000000-0005-0000-0000-000000060000}"/>
    <cellStyle name="Normal 26 2 8" xfId="2284" xr:uid="{00000000-0005-0000-0000-000001060000}"/>
    <cellStyle name="Normal 26 2 9" xfId="2767" xr:uid="{00000000-0005-0000-0000-000002060000}"/>
    <cellStyle name="Normal 26 3" xfId="790" xr:uid="{00000000-0005-0000-0000-000003060000}"/>
    <cellStyle name="Normal 26 3 2" xfId="878" xr:uid="{00000000-0005-0000-0000-000004060000}"/>
    <cellStyle name="Normal 26 3 2 2" xfId="1473" xr:uid="{00000000-0005-0000-0000-000005060000}"/>
    <cellStyle name="Normal 26 3 2 2 2" xfId="2171" xr:uid="{00000000-0005-0000-0000-000006060000}"/>
    <cellStyle name="Normal 26 3 2 2 3" xfId="2646" xr:uid="{00000000-0005-0000-0000-000007060000}"/>
    <cellStyle name="Normal 26 3 2 2 4" xfId="3349" xr:uid="{00000000-0005-0000-0000-000008060000}"/>
    <cellStyle name="Normal 26 3 2 3" xfId="1121" xr:uid="{00000000-0005-0000-0000-000009060000}"/>
    <cellStyle name="Normal 26 3 2 3 2" xfId="1920" xr:uid="{00000000-0005-0000-0000-00000A060000}"/>
    <cellStyle name="Normal 26 3 2 3 3" xfId="3098" xr:uid="{00000000-0005-0000-0000-00000B060000}"/>
    <cellStyle name="Normal 26 3 2 4" xfId="1700" xr:uid="{00000000-0005-0000-0000-00000C060000}"/>
    <cellStyle name="Normal 26 3 2 5" xfId="2395" xr:uid="{00000000-0005-0000-0000-00000D060000}"/>
    <cellStyle name="Normal 26 3 2 6" xfId="2878" xr:uid="{00000000-0005-0000-0000-00000E060000}"/>
    <cellStyle name="Normal 26 3 3" xfId="1385" xr:uid="{00000000-0005-0000-0000-00000F060000}"/>
    <cellStyle name="Normal 26 3 3 2" xfId="2083" xr:uid="{00000000-0005-0000-0000-000010060000}"/>
    <cellStyle name="Normal 26 3 3 3" xfId="2558" xr:uid="{00000000-0005-0000-0000-000011060000}"/>
    <cellStyle name="Normal 26 3 3 4" xfId="3261" xr:uid="{00000000-0005-0000-0000-000012060000}"/>
    <cellStyle name="Normal 26 3 4" xfId="1033" xr:uid="{00000000-0005-0000-0000-000013060000}"/>
    <cellStyle name="Normal 26 3 4 2" xfId="1832" xr:uid="{00000000-0005-0000-0000-000014060000}"/>
    <cellStyle name="Normal 26 3 4 3" xfId="3010" xr:uid="{00000000-0005-0000-0000-000015060000}"/>
    <cellStyle name="Normal 26 3 5" xfId="1612" xr:uid="{00000000-0005-0000-0000-000016060000}"/>
    <cellStyle name="Normal 26 3 6" xfId="2307" xr:uid="{00000000-0005-0000-0000-000017060000}"/>
    <cellStyle name="Normal 26 3 7" xfId="2790" xr:uid="{00000000-0005-0000-0000-000018060000}"/>
    <cellStyle name="Normal 26 4" xfId="922" xr:uid="{00000000-0005-0000-0000-000019060000}"/>
    <cellStyle name="Normal 26 4 2" xfId="1517" xr:uid="{00000000-0005-0000-0000-00001A060000}"/>
    <cellStyle name="Normal 26 4 2 2" xfId="2215" xr:uid="{00000000-0005-0000-0000-00001B060000}"/>
    <cellStyle name="Normal 26 4 2 3" xfId="2690" xr:uid="{00000000-0005-0000-0000-00001C060000}"/>
    <cellStyle name="Normal 26 4 2 4" xfId="3393" xr:uid="{00000000-0005-0000-0000-00001D060000}"/>
    <cellStyle name="Normal 26 4 3" xfId="1165" xr:uid="{00000000-0005-0000-0000-00001E060000}"/>
    <cellStyle name="Normal 26 4 3 2" xfId="1964" xr:uid="{00000000-0005-0000-0000-00001F060000}"/>
    <cellStyle name="Normal 26 4 3 3" xfId="3142" xr:uid="{00000000-0005-0000-0000-000020060000}"/>
    <cellStyle name="Normal 26 4 4" xfId="1744" xr:uid="{00000000-0005-0000-0000-000021060000}"/>
    <cellStyle name="Normal 26 4 5" xfId="2439" xr:uid="{00000000-0005-0000-0000-000022060000}"/>
    <cellStyle name="Normal 26 4 6" xfId="2922" xr:uid="{00000000-0005-0000-0000-000023060000}"/>
    <cellStyle name="Normal 26 5" xfId="834" xr:uid="{00000000-0005-0000-0000-000024060000}"/>
    <cellStyle name="Normal 26 5 2" xfId="1429" xr:uid="{00000000-0005-0000-0000-000025060000}"/>
    <cellStyle name="Normal 26 5 2 2" xfId="2127" xr:uid="{00000000-0005-0000-0000-000026060000}"/>
    <cellStyle name="Normal 26 5 2 3" xfId="2602" xr:uid="{00000000-0005-0000-0000-000027060000}"/>
    <cellStyle name="Normal 26 5 2 4" xfId="3305" xr:uid="{00000000-0005-0000-0000-000028060000}"/>
    <cellStyle name="Normal 26 5 3" xfId="1077" xr:uid="{00000000-0005-0000-0000-000029060000}"/>
    <cellStyle name="Normal 26 5 3 2" xfId="1876" xr:uid="{00000000-0005-0000-0000-00002A060000}"/>
    <cellStyle name="Normal 26 5 3 3" xfId="3054" xr:uid="{00000000-0005-0000-0000-00002B060000}"/>
    <cellStyle name="Normal 26 5 4" xfId="1656" xr:uid="{00000000-0005-0000-0000-00002C060000}"/>
    <cellStyle name="Normal 26 5 5" xfId="2351" xr:uid="{00000000-0005-0000-0000-00002D060000}"/>
    <cellStyle name="Normal 26 5 6" xfId="2834" xr:uid="{00000000-0005-0000-0000-00002E060000}"/>
    <cellStyle name="Normal 26 6" xfId="1341" xr:uid="{00000000-0005-0000-0000-00002F060000}"/>
    <cellStyle name="Normal 26 6 2" xfId="2039" xr:uid="{00000000-0005-0000-0000-000030060000}"/>
    <cellStyle name="Normal 26 6 3" xfId="2514" xr:uid="{00000000-0005-0000-0000-000031060000}"/>
    <cellStyle name="Normal 26 6 4" xfId="3217" xr:uid="{00000000-0005-0000-0000-000032060000}"/>
    <cellStyle name="Normal 26 7" xfId="989" xr:uid="{00000000-0005-0000-0000-000033060000}"/>
    <cellStyle name="Normal 26 7 2" xfId="1788" xr:uid="{00000000-0005-0000-0000-000034060000}"/>
    <cellStyle name="Normal 26 7 3" xfId="2966" xr:uid="{00000000-0005-0000-0000-000035060000}"/>
    <cellStyle name="Normal 26 8" xfId="1568" xr:uid="{00000000-0005-0000-0000-000036060000}"/>
    <cellStyle name="Normal 26 9" xfId="2263" xr:uid="{00000000-0005-0000-0000-000037060000}"/>
    <cellStyle name="Normal 27" xfId="549" xr:uid="{00000000-0005-0000-0000-000038060000}"/>
    <cellStyle name="Normal 27 10" xfId="2747" xr:uid="{00000000-0005-0000-0000-000039060000}"/>
    <cellStyle name="Normal 27 2" xfId="706" xr:uid="{00000000-0005-0000-0000-00003A060000}"/>
    <cellStyle name="Normal 27 2 2" xfId="812" xr:uid="{00000000-0005-0000-0000-00003B060000}"/>
    <cellStyle name="Normal 27 2 2 2" xfId="900" xr:uid="{00000000-0005-0000-0000-00003C060000}"/>
    <cellStyle name="Normal 27 2 2 2 2" xfId="1495" xr:uid="{00000000-0005-0000-0000-00003D060000}"/>
    <cellStyle name="Normal 27 2 2 2 2 2" xfId="2193" xr:uid="{00000000-0005-0000-0000-00003E060000}"/>
    <cellStyle name="Normal 27 2 2 2 2 3" xfId="2668" xr:uid="{00000000-0005-0000-0000-00003F060000}"/>
    <cellStyle name="Normal 27 2 2 2 2 4" xfId="3371" xr:uid="{00000000-0005-0000-0000-000040060000}"/>
    <cellStyle name="Normal 27 2 2 2 3" xfId="1143" xr:uid="{00000000-0005-0000-0000-000041060000}"/>
    <cellStyle name="Normal 27 2 2 2 3 2" xfId="1942" xr:uid="{00000000-0005-0000-0000-000042060000}"/>
    <cellStyle name="Normal 27 2 2 2 3 3" xfId="3120" xr:uid="{00000000-0005-0000-0000-000043060000}"/>
    <cellStyle name="Normal 27 2 2 2 4" xfId="1722" xr:uid="{00000000-0005-0000-0000-000044060000}"/>
    <cellStyle name="Normal 27 2 2 2 5" xfId="2417" xr:uid="{00000000-0005-0000-0000-000045060000}"/>
    <cellStyle name="Normal 27 2 2 2 6" xfId="2900" xr:uid="{00000000-0005-0000-0000-000046060000}"/>
    <cellStyle name="Normal 27 2 2 3" xfId="1407" xr:uid="{00000000-0005-0000-0000-000047060000}"/>
    <cellStyle name="Normal 27 2 2 3 2" xfId="2105" xr:uid="{00000000-0005-0000-0000-000048060000}"/>
    <cellStyle name="Normal 27 2 2 3 3" xfId="2580" xr:uid="{00000000-0005-0000-0000-000049060000}"/>
    <cellStyle name="Normal 27 2 2 3 4" xfId="3283" xr:uid="{00000000-0005-0000-0000-00004A060000}"/>
    <cellStyle name="Normal 27 2 2 4" xfId="1055" xr:uid="{00000000-0005-0000-0000-00004B060000}"/>
    <cellStyle name="Normal 27 2 2 4 2" xfId="1854" xr:uid="{00000000-0005-0000-0000-00004C060000}"/>
    <cellStyle name="Normal 27 2 2 4 3" xfId="3032" xr:uid="{00000000-0005-0000-0000-00004D060000}"/>
    <cellStyle name="Normal 27 2 2 5" xfId="1634" xr:uid="{00000000-0005-0000-0000-00004E060000}"/>
    <cellStyle name="Normal 27 2 2 6" xfId="2329" xr:uid="{00000000-0005-0000-0000-00004F060000}"/>
    <cellStyle name="Normal 27 2 2 7" xfId="2812" xr:uid="{00000000-0005-0000-0000-000050060000}"/>
    <cellStyle name="Normal 27 2 3" xfId="944" xr:uid="{00000000-0005-0000-0000-000051060000}"/>
    <cellStyle name="Normal 27 2 3 2" xfId="1539" xr:uid="{00000000-0005-0000-0000-000052060000}"/>
    <cellStyle name="Normal 27 2 3 2 2" xfId="2237" xr:uid="{00000000-0005-0000-0000-000053060000}"/>
    <cellStyle name="Normal 27 2 3 2 3" xfId="2712" xr:uid="{00000000-0005-0000-0000-000054060000}"/>
    <cellStyle name="Normal 27 2 3 2 4" xfId="3415" xr:uid="{00000000-0005-0000-0000-000055060000}"/>
    <cellStyle name="Normal 27 2 3 3" xfId="1187" xr:uid="{00000000-0005-0000-0000-000056060000}"/>
    <cellStyle name="Normal 27 2 3 3 2" xfId="1986" xr:uid="{00000000-0005-0000-0000-000057060000}"/>
    <cellStyle name="Normal 27 2 3 3 3" xfId="3164" xr:uid="{00000000-0005-0000-0000-000058060000}"/>
    <cellStyle name="Normal 27 2 3 4" xfId="1766" xr:uid="{00000000-0005-0000-0000-000059060000}"/>
    <cellStyle name="Normal 27 2 3 5" xfId="2461" xr:uid="{00000000-0005-0000-0000-00005A060000}"/>
    <cellStyle name="Normal 27 2 3 6" xfId="2944" xr:uid="{00000000-0005-0000-0000-00005B060000}"/>
    <cellStyle name="Normal 27 2 4" xfId="856" xr:uid="{00000000-0005-0000-0000-00005C060000}"/>
    <cellStyle name="Normal 27 2 4 2" xfId="1451" xr:uid="{00000000-0005-0000-0000-00005D060000}"/>
    <cellStyle name="Normal 27 2 4 2 2" xfId="2149" xr:uid="{00000000-0005-0000-0000-00005E060000}"/>
    <cellStyle name="Normal 27 2 4 2 3" xfId="2624" xr:uid="{00000000-0005-0000-0000-00005F060000}"/>
    <cellStyle name="Normal 27 2 4 2 4" xfId="3327" xr:uid="{00000000-0005-0000-0000-000060060000}"/>
    <cellStyle name="Normal 27 2 4 3" xfId="1099" xr:uid="{00000000-0005-0000-0000-000061060000}"/>
    <cellStyle name="Normal 27 2 4 3 2" xfId="1898" xr:uid="{00000000-0005-0000-0000-000062060000}"/>
    <cellStyle name="Normal 27 2 4 3 3" xfId="3076" xr:uid="{00000000-0005-0000-0000-000063060000}"/>
    <cellStyle name="Normal 27 2 4 4" xfId="1678" xr:uid="{00000000-0005-0000-0000-000064060000}"/>
    <cellStyle name="Normal 27 2 4 5" xfId="2373" xr:uid="{00000000-0005-0000-0000-000065060000}"/>
    <cellStyle name="Normal 27 2 4 6" xfId="2856" xr:uid="{00000000-0005-0000-0000-000066060000}"/>
    <cellStyle name="Normal 27 2 5" xfId="1363" xr:uid="{00000000-0005-0000-0000-000067060000}"/>
    <cellStyle name="Normal 27 2 5 2" xfId="2061" xr:uid="{00000000-0005-0000-0000-000068060000}"/>
    <cellStyle name="Normal 27 2 5 3" xfId="2536" xr:uid="{00000000-0005-0000-0000-000069060000}"/>
    <cellStyle name="Normal 27 2 5 4" xfId="3239" xr:uid="{00000000-0005-0000-0000-00006A060000}"/>
    <cellStyle name="Normal 27 2 6" xfId="1011" xr:uid="{00000000-0005-0000-0000-00006B060000}"/>
    <cellStyle name="Normal 27 2 6 2" xfId="1810" xr:uid="{00000000-0005-0000-0000-00006C060000}"/>
    <cellStyle name="Normal 27 2 6 3" xfId="2988" xr:uid="{00000000-0005-0000-0000-00006D060000}"/>
    <cellStyle name="Normal 27 2 7" xfId="1590" xr:uid="{00000000-0005-0000-0000-00006E060000}"/>
    <cellStyle name="Normal 27 2 8" xfId="2285" xr:uid="{00000000-0005-0000-0000-00006F060000}"/>
    <cellStyle name="Normal 27 2 9" xfId="2768" xr:uid="{00000000-0005-0000-0000-000070060000}"/>
    <cellStyle name="Normal 27 3" xfId="791" xr:uid="{00000000-0005-0000-0000-000071060000}"/>
    <cellStyle name="Normal 27 3 2" xfId="879" xr:uid="{00000000-0005-0000-0000-000072060000}"/>
    <cellStyle name="Normal 27 3 2 2" xfId="1474" xr:uid="{00000000-0005-0000-0000-000073060000}"/>
    <cellStyle name="Normal 27 3 2 2 2" xfId="2172" xr:uid="{00000000-0005-0000-0000-000074060000}"/>
    <cellStyle name="Normal 27 3 2 2 3" xfId="2647" xr:uid="{00000000-0005-0000-0000-000075060000}"/>
    <cellStyle name="Normal 27 3 2 2 4" xfId="3350" xr:uid="{00000000-0005-0000-0000-000076060000}"/>
    <cellStyle name="Normal 27 3 2 3" xfId="1122" xr:uid="{00000000-0005-0000-0000-000077060000}"/>
    <cellStyle name="Normal 27 3 2 3 2" xfId="1921" xr:uid="{00000000-0005-0000-0000-000078060000}"/>
    <cellStyle name="Normal 27 3 2 3 3" xfId="3099" xr:uid="{00000000-0005-0000-0000-000079060000}"/>
    <cellStyle name="Normal 27 3 2 4" xfId="1701" xr:uid="{00000000-0005-0000-0000-00007A060000}"/>
    <cellStyle name="Normal 27 3 2 5" xfId="2396" xr:uid="{00000000-0005-0000-0000-00007B060000}"/>
    <cellStyle name="Normal 27 3 2 6" xfId="2879" xr:uid="{00000000-0005-0000-0000-00007C060000}"/>
    <cellStyle name="Normal 27 3 3" xfId="1386" xr:uid="{00000000-0005-0000-0000-00007D060000}"/>
    <cellStyle name="Normal 27 3 3 2" xfId="2084" xr:uid="{00000000-0005-0000-0000-00007E060000}"/>
    <cellStyle name="Normal 27 3 3 3" xfId="2559" xr:uid="{00000000-0005-0000-0000-00007F060000}"/>
    <cellStyle name="Normal 27 3 3 4" xfId="3262" xr:uid="{00000000-0005-0000-0000-000080060000}"/>
    <cellStyle name="Normal 27 3 4" xfId="1034" xr:uid="{00000000-0005-0000-0000-000081060000}"/>
    <cellStyle name="Normal 27 3 4 2" xfId="1833" xr:uid="{00000000-0005-0000-0000-000082060000}"/>
    <cellStyle name="Normal 27 3 4 3" xfId="3011" xr:uid="{00000000-0005-0000-0000-000083060000}"/>
    <cellStyle name="Normal 27 3 5" xfId="1613" xr:uid="{00000000-0005-0000-0000-000084060000}"/>
    <cellStyle name="Normal 27 3 6" xfId="2308" xr:uid="{00000000-0005-0000-0000-000085060000}"/>
    <cellStyle name="Normal 27 3 7" xfId="2791" xr:uid="{00000000-0005-0000-0000-000086060000}"/>
    <cellStyle name="Normal 27 4" xfId="923" xr:uid="{00000000-0005-0000-0000-000087060000}"/>
    <cellStyle name="Normal 27 4 2" xfId="1518" xr:uid="{00000000-0005-0000-0000-000088060000}"/>
    <cellStyle name="Normal 27 4 2 2" xfId="2216" xr:uid="{00000000-0005-0000-0000-000089060000}"/>
    <cellStyle name="Normal 27 4 2 3" xfId="2691" xr:uid="{00000000-0005-0000-0000-00008A060000}"/>
    <cellStyle name="Normal 27 4 2 4" xfId="3394" xr:uid="{00000000-0005-0000-0000-00008B060000}"/>
    <cellStyle name="Normal 27 4 3" xfId="1166" xr:uid="{00000000-0005-0000-0000-00008C060000}"/>
    <cellStyle name="Normal 27 4 3 2" xfId="1965" xr:uid="{00000000-0005-0000-0000-00008D060000}"/>
    <cellStyle name="Normal 27 4 3 3" xfId="3143" xr:uid="{00000000-0005-0000-0000-00008E060000}"/>
    <cellStyle name="Normal 27 4 4" xfId="1745" xr:uid="{00000000-0005-0000-0000-00008F060000}"/>
    <cellStyle name="Normal 27 4 5" xfId="2440" xr:uid="{00000000-0005-0000-0000-000090060000}"/>
    <cellStyle name="Normal 27 4 6" xfId="2923" xr:uid="{00000000-0005-0000-0000-000091060000}"/>
    <cellStyle name="Normal 27 5" xfId="835" xr:uid="{00000000-0005-0000-0000-000092060000}"/>
    <cellStyle name="Normal 27 5 2" xfId="1430" xr:uid="{00000000-0005-0000-0000-000093060000}"/>
    <cellStyle name="Normal 27 5 2 2" xfId="2128" xr:uid="{00000000-0005-0000-0000-000094060000}"/>
    <cellStyle name="Normal 27 5 2 3" xfId="2603" xr:uid="{00000000-0005-0000-0000-000095060000}"/>
    <cellStyle name="Normal 27 5 2 4" xfId="3306" xr:uid="{00000000-0005-0000-0000-000096060000}"/>
    <cellStyle name="Normal 27 5 3" xfId="1078" xr:uid="{00000000-0005-0000-0000-000097060000}"/>
    <cellStyle name="Normal 27 5 3 2" xfId="1877" xr:uid="{00000000-0005-0000-0000-000098060000}"/>
    <cellStyle name="Normal 27 5 3 3" xfId="3055" xr:uid="{00000000-0005-0000-0000-000099060000}"/>
    <cellStyle name="Normal 27 5 4" xfId="1657" xr:uid="{00000000-0005-0000-0000-00009A060000}"/>
    <cellStyle name="Normal 27 5 5" xfId="2352" xr:uid="{00000000-0005-0000-0000-00009B060000}"/>
    <cellStyle name="Normal 27 5 6" xfId="2835" xr:uid="{00000000-0005-0000-0000-00009C060000}"/>
    <cellStyle name="Normal 27 6" xfId="1342" xr:uid="{00000000-0005-0000-0000-00009D060000}"/>
    <cellStyle name="Normal 27 6 2" xfId="2040" xr:uid="{00000000-0005-0000-0000-00009E060000}"/>
    <cellStyle name="Normal 27 6 3" xfId="2515" xr:uid="{00000000-0005-0000-0000-00009F060000}"/>
    <cellStyle name="Normal 27 6 4" xfId="3218" xr:uid="{00000000-0005-0000-0000-0000A0060000}"/>
    <cellStyle name="Normal 27 7" xfId="990" xr:uid="{00000000-0005-0000-0000-0000A1060000}"/>
    <cellStyle name="Normal 27 7 2" xfId="1789" xr:uid="{00000000-0005-0000-0000-0000A2060000}"/>
    <cellStyle name="Normal 27 7 3" xfId="2967" xr:uid="{00000000-0005-0000-0000-0000A3060000}"/>
    <cellStyle name="Normal 27 8" xfId="1569" xr:uid="{00000000-0005-0000-0000-0000A4060000}"/>
    <cellStyle name="Normal 27 9" xfId="2264" xr:uid="{00000000-0005-0000-0000-0000A5060000}"/>
    <cellStyle name="Normal 28" xfId="550" xr:uid="{00000000-0005-0000-0000-0000A6060000}"/>
    <cellStyle name="Normal 28 10" xfId="2748" xr:uid="{00000000-0005-0000-0000-0000A7060000}"/>
    <cellStyle name="Normal 28 2" xfId="707" xr:uid="{00000000-0005-0000-0000-0000A8060000}"/>
    <cellStyle name="Normal 28 2 2" xfId="813" xr:uid="{00000000-0005-0000-0000-0000A9060000}"/>
    <cellStyle name="Normal 28 2 2 2" xfId="901" xr:uid="{00000000-0005-0000-0000-0000AA060000}"/>
    <cellStyle name="Normal 28 2 2 2 2" xfId="1496" xr:uid="{00000000-0005-0000-0000-0000AB060000}"/>
    <cellStyle name="Normal 28 2 2 2 2 2" xfId="2194" xr:uid="{00000000-0005-0000-0000-0000AC060000}"/>
    <cellStyle name="Normal 28 2 2 2 2 3" xfId="2669" xr:uid="{00000000-0005-0000-0000-0000AD060000}"/>
    <cellStyle name="Normal 28 2 2 2 2 4" xfId="3372" xr:uid="{00000000-0005-0000-0000-0000AE060000}"/>
    <cellStyle name="Normal 28 2 2 2 3" xfId="1144" xr:uid="{00000000-0005-0000-0000-0000AF060000}"/>
    <cellStyle name="Normal 28 2 2 2 3 2" xfId="1943" xr:uid="{00000000-0005-0000-0000-0000B0060000}"/>
    <cellStyle name="Normal 28 2 2 2 3 3" xfId="3121" xr:uid="{00000000-0005-0000-0000-0000B1060000}"/>
    <cellStyle name="Normal 28 2 2 2 4" xfId="1723" xr:uid="{00000000-0005-0000-0000-0000B2060000}"/>
    <cellStyle name="Normal 28 2 2 2 5" xfId="2418" xr:uid="{00000000-0005-0000-0000-0000B3060000}"/>
    <cellStyle name="Normal 28 2 2 2 6" xfId="2901" xr:uid="{00000000-0005-0000-0000-0000B4060000}"/>
    <cellStyle name="Normal 28 2 2 3" xfId="1408" xr:uid="{00000000-0005-0000-0000-0000B5060000}"/>
    <cellStyle name="Normal 28 2 2 3 2" xfId="2106" xr:uid="{00000000-0005-0000-0000-0000B6060000}"/>
    <cellStyle name="Normal 28 2 2 3 3" xfId="2581" xr:uid="{00000000-0005-0000-0000-0000B7060000}"/>
    <cellStyle name="Normal 28 2 2 3 4" xfId="3284" xr:uid="{00000000-0005-0000-0000-0000B8060000}"/>
    <cellStyle name="Normal 28 2 2 4" xfId="1056" xr:uid="{00000000-0005-0000-0000-0000B9060000}"/>
    <cellStyle name="Normal 28 2 2 4 2" xfId="1855" xr:uid="{00000000-0005-0000-0000-0000BA060000}"/>
    <cellStyle name="Normal 28 2 2 4 3" xfId="3033" xr:uid="{00000000-0005-0000-0000-0000BB060000}"/>
    <cellStyle name="Normal 28 2 2 5" xfId="1635" xr:uid="{00000000-0005-0000-0000-0000BC060000}"/>
    <cellStyle name="Normal 28 2 2 6" xfId="2330" xr:uid="{00000000-0005-0000-0000-0000BD060000}"/>
    <cellStyle name="Normal 28 2 2 7" xfId="2813" xr:uid="{00000000-0005-0000-0000-0000BE060000}"/>
    <cellStyle name="Normal 28 2 3" xfId="945" xr:uid="{00000000-0005-0000-0000-0000BF060000}"/>
    <cellStyle name="Normal 28 2 3 2" xfId="1540" xr:uid="{00000000-0005-0000-0000-0000C0060000}"/>
    <cellStyle name="Normal 28 2 3 2 2" xfId="2238" xr:uid="{00000000-0005-0000-0000-0000C1060000}"/>
    <cellStyle name="Normal 28 2 3 2 3" xfId="2713" xr:uid="{00000000-0005-0000-0000-0000C2060000}"/>
    <cellStyle name="Normal 28 2 3 2 4" xfId="3416" xr:uid="{00000000-0005-0000-0000-0000C3060000}"/>
    <cellStyle name="Normal 28 2 3 3" xfId="1188" xr:uid="{00000000-0005-0000-0000-0000C4060000}"/>
    <cellStyle name="Normal 28 2 3 3 2" xfId="1987" xr:uid="{00000000-0005-0000-0000-0000C5060000}"/>
    <cellStyle name="Normal 28 2 3 3 3" xfId="3165" xr:uid="{00000000-0005-0000-0000-0000C6060000}"/>
    <cellStyle name="Normal 28 2 3 4" xfId="1767" xr:uid="{00000000-0005-0000-0000-0000C7060000}"/>
    <cellStyle name="Normal 28 2 3 5" xfId="2462" xr:uid="{00000000-0005-0000-0000-0000C8060000}"/>
    <cellStyle name="Normal 28 2 3 6" xfId="2945" xr:uid="{00000000-0005-0000-0000-0000C9060000}"/>
    <cellStyle name="Normal 28 2 4" xfId="857" xr:uid="{00000000-0005-0000-0000-0000CA060000}"/>
    <cellStyle name="Normal 28 2 4 2" xfId="1452" xr:uid="{00000000-0005-0000-0000-0000CB060000}"/>
    <cellStyle name="Normal 28 2 4 2 2" xfId="2150" xr:uid="{00000000-0005-0000-0000-0000CC060000}"/>
    <cellStyle name="Normal 28 2 4 2 3" xfId="2625" xr:uid="{00000000-0005-0000-0000-0000CD060000}"/>
    <cellStyle name="Normal 28 2 4 2 4" xfId="3328" xr:uid="{00000000-0005-0000-0000-0000CE060000}"/>
    <cellStyle name="Normal 28 2 4 3" xfId="1100" xr:uid="{00000000-0005-0000-0000-0000CF060000}"/>
    <cellStyle name="Normal 28 2 4 3 2" xfId="1899" xr:uid="{00000000-0005-0000-0000-0000D0060000}"/>
    <cellStyle name="Normal 28 2 4 3 3" xfId="3077" xr:uid="{00000000-0005-0000-0000-0000D1060000}"/>
    <cellStyle name="Normal 28 2 4 4" xfId="1679" xr:uid="{00000000-0005-0000-0000-0000D2060000}"/>
    <cellStyle name="Normal 28 2 4 5" xfId="2374" xr:uid="{00000000-0005-0000-0000-0000D3060000}"/>
    <cellStyle name="Normal 28 2 4 6" xfId="2857" xr:uid="{00000000-0005-0000-0000-0000D4060000}"/>
    <cellStyle name="Normal 28 2 5" xfId="1364" xr:uid="{00000000-0005-0000-0000-0000D5060000}"/>
    <cellStyle name="Normal 28 2 5 2" xfId="2062" xr:uid="{00000000-0005-0000-0000-0000D6060000}"/>
    <cellStyle name="Normal 28 2 5 3" xfId="2537" xr:uid="{00000000-0005-0000-0000-0000D7060000}"/>
    <cellStyle name="Normal 28 2 5 4" xfId="3240" xr:uid="{00000000-0005-0000-0000-0000D8060000}"/>
    <cellStyle name="Normal 28 2 6" xfId="1012" xr:uid="{00000000-0005-0000-0000-0000D9060000}"/>
    <cellStyle name="Normal 28 2 6 2" xfId="1811" xr:uid="{00000000-0005-0000-0000-0000DA060000}"/>
    <cellStyle name="Normal 28 2 6 3" xfId="2989" xr:uid="{00000000-0005-0000-0000-0000DB060000}"/>
    <cellStyle name="Normal 28 2 7" xfId="1591" xr:uid="{00000000-0005-0000-0000-0000DC060000}"/>
    <cellStyle name="Normal 28 2 8" xfId="2286" xr:uid="{00000000-0005-0000-0000-0000DD060000}"/>
    <cellStyle name="Normal 28 2 9" xfId="2769" xr:uid="{00000000-0005-0000-0000-0000DE060000}"/>
    <cellStyle name="Normal 28 3" xfId="792" xr:uid="{00000000-0005-0000-0000-0000DF060000}"/>
    <cellStyle name="Normal 28 3 2" xfId="880" xr:uid="{00000000-0005-0000-0000-0000E0060000}"/>
    <cellStyle name="Normal 28 3 2 2" xfId="1475" xr:uid="{00000000-0005-0000-0000-0000E1060000}"/>
    <cellStyle name="Normal 28 3 2 2 2" xfId="2173" xr:uid="{00000000-0005-0000-0000-0000E2060000}"/>
    <cellStyle name="Normal 28 3 2 2 3" xfId="2648" xr:uid="{00000000-0005-0000-0000-0000E3060000}"/>
    <cellStyle name="Normal 28 3 2 2 4" xfId="3351" xr:uid="{00000000-0005-0000-0000-0000E4060000}"/>
    <cellStyle name="Normal 28 3 2 3" xfId="1123" xr:uid="{00000000-0005-0000-0000-0000E5060000}"/>
    <cellStyle name="Normal 28 3 2 3 2" xfId="1922" xr:uid="{00000000-0005-0000-0000-0000E6060000}"/>
    <cellStyle name="Normal 28 3 2 3 3" xfId="3100" xr:uid="{00000000-0005-0000-0000-0000E7060000}"/>
    <cellStyle name="Normal 28 3 2 4" xfId="1702" xr:uid="{00000000-0005-0000-0000-0000E8060000}"/>
    <cellStyle name="Normal 28 3 2 5" xfId="2397" xr:uid="{00000000-0005-0000-0000-0000E9060000}"/>
    <cellStyle name="Normal 28 3 2 6" xfId="2880" xr:uid="{00000000-0005-0000-0000-0000EA060000}"/>
    <cellStyle name="Normal 28 3 3" xfId="1387" xr:uid="{00000000-0005-0000-0000-0000EB060000}"/>
    <cellStyle name="Normal 28 3 3 2" xfId="2085" xr:uid="{00000000-0005-0000-0000-0000EC060000}"/>
    <cellStyle name="Normal 28 3 3 3" xfId="2560" xr:uid="{00000000-0005-0000-0000-0000ED060000}"/>
    <cellStyle name="Normal 28 3 3 4" xfId="3263" xr:uid="{00000000-0005-0000-0000-0000EE060000}"/>
    <cellStyle name="Normal 28 3 4" xfId="1035" xr:uid="{00000000-0005-0000-0000-0000EF060000}"/>
    <cellStyle name="Normal 28 3 4 2" xfId="1834" xr:uid="{00000000-0005-0000-0000-0000F0060000}"/>
    <cellStyle name="Normal 28 3 4 3" xfId="3012" xr:uid="{00000000-0005-0000-0000-0000F1060000}"/>
    <cellStyle name="Normal 28 3 5" xfId="1614" xr:uid="{00000000-0005-0000-0000-0000F2060000}"/>
    <cellStyle name="Normal 28 3 6" xfId="2309" xr:uid="{00000000-0005-0000-0000-0000F3060000}"/>
    <cellStyle name="Normal 28 3 7" xfId="2792" xr:uid="{00000000-0005-0000-0000-0000F4060000}"/>
    <cellStyle name="Normal 28 4" xfId="924" xr:uid="{00000000-0005-0000-0000-0000F5060000}"/>
    <cellStyle name="Normal 28 4 2" xfId="1519" xr:uid="{00000000-0005-0000-0000-0000F6060000}"/>
    <cellStyle name="Normal 28 4 2 2" xfId="2217" xr:uid="{00000000-0005-0000-0000-0000F7060000}"/>
    <cellStyle name="Normal 28 4 2 3" xfId="2692" xr:uid="{00000000-0005-0000-0000-0000F8060000}"/>
    <cellStyle name="Normal 28 4 2 4" xfId="3395" xr:uid="{00000000-0005-0000-0000-0000F9060000}"/>
    <cellStyle name="Normal 28 4 3" xfId="1167" xr:uid="{00000000-0005-0000-0000-0000FA060000}"/>
    <cellStyle name="Normal 28 4 3 2" xfId="1966" xr:uid="{00000000-0005-0000-0000-0000FB060000}"/>
    <cellStyle name="Normal 28 4 3 3" xfId="3144" xr:uid="{00000000-0005-0000-0000-0000FC060000}"/>
    <cellStyle name="Normal 28 4 4" xfId="1746" xr:uid="{00000000-0005-0000-0000-0000FD060000}"/>
    <cellStyle name="Normal 28 4 5" xfId="2441" xr:uid="{00000000-0005-0000-0000-0000FE060000}"/>
    <cellStyle name="Normal 28 4 6" xfId="2924" xr:uid="{00000000-0005-0000-0000-0000FF060000}"/>
    <cellStyle name="Normal 28 5" xfId="836" xr:uid="{00000000-0005-0000-0000-000000070000}"/>
    <cellStyle name="Normal 28 5 2" xfId="1431" xr:uid="{00000000-0005-0000-0000-000001070000}"/>
    <cellStyle name="Normal 28 5 2 2" xfId="2129" xr:uid="{00000000-0005-0000-0000-000002070000}"/>
    <cellStyle name="Normal 28 5 2 3" xfId="2604" xr:uid="{00000000-0005-0000-0000-000003070000}"/>
    <cellStyle name="Normal 28 5 2 4" xfId="3307" xr:uid="{00000000-0005-0000-0000-000004070000}"/>
    <cellStyle name="Normal 28 5 3" xfId="1079" xr:uid="{00000000-0005-0000-0000-000005070000}"/>
    <cellStyle name="Normal 28 5 3 2" xfId="1878" xr:uid="{00000000-0005-0000-0000-000006070000}"/>
    <cellStyle name="Normal 28 5 3 3" xfId="3056" xr:uid="{00000000-0005-0000-0000-000007070000}"/>
    <cellStyle name="Normal 28 5 4" xfId="1658" xr:uid="{00000000-0005-0000-0000-000008070000}"/>
    <cellStyle name="Normal 28 5 5" xfId="2353" xr:uid="{00000000-0005-0000-0000-000009070000}"/>
    <cellStyle name="Normal 28 5 6" xfId="2836" xr:uid="{00000000-0005-0000-0000-00000A070000}"/>
    <cellStyle name="Normal 28 6" xfId="1343" xr:uid="{00000000-0005-0000-0000-00000B070000}"/>
    <cellStyle name="Normal 28 6 2" xfId="2041" xr:uid="{00000000-0005-0000-0000-00000C070000}"/>
    <cellStyle name="Normal 28 6 3" xfId="2516" xr:uid="{00000000-0005-0000-0000-00000D070000}"/>
    <cellStyle name="Normal 28 6 4" xfId="3219" xr:uid="{00000000-0005-0000-0000-00000E070000}"/>
    <cellStyle name="Normal 28 7" xfId="991" xr:uid="{00000000-0005-0000-0000-00000F070000}"/>
    <cellStyle name="Normal 28 7 2" xfId="1790" xr:uid="{00000000-0005-0000-0000-000010070000}"/>
    <cellStyle name="Normal 28 7 3" xfId="2968" xr:uid="{00000000-0005-0000-0000-000011070000}"/>
    <cellStyle name="Normal 28 8" xfId="1570" xr:uid="{00000000-0005-0000-0000-000012070000}"/>
    <cellStyle name="Normal 28 9" xfId="2265" xr:uid="{00000000-0005-0000-0000-000013070000}"/>
    <cellStyle name="Normal 29" xfId="551" xr:uid="{00000000-0005-0000-0000-000014070000}"/>
    <cellStyle name="Normal 29 10" xfId="2749" xr:uid="{00000000-0005-0000-0000-000015070000}"/>
    <cellStyle name="Normal 29 2" xfId="708" xr:uid="{00000000-0005-0000-0000-000016070000}"/>
    <cellStyle name="Normal 29 2 2" xfId="814" xr:uid="{00000000-0005-0000-0000-000017070000}"/>
    <cellStyle name="Normal 29 2 2 2" xfId="902" xr:uid="{00000000-0005-0000-0000-000018070000}"/>
    <cellStyle name="Normal 29 2 2 2 2" xfId="1497" xr:uid="{00000000-0005-0000-0000-000019070000}"/>
    <cellStyle name="Normal 29 2 2 2 2 2" xfId="2195" xr:uid="{00000000-0005-0000-0000-00001A070000}"/>
    <cellStyle name="Normal 29 2 2 2 2 3" xfId="2670" xr:uid="{00000000-0005-0000-0000-00001B070000}"/>
    <cellStyle name="Normal 29 2 2 2 2 4" xfId="3373" xr:uid="{00000000-0005-0000-0000-00001C070000}"/>
    <cellStyle name="Normal 29 2 2 2 3" xfId="1145" xr:uid="{00000000-0005-0000-0000-00001D070000}"/>
    <cellStyle name="Normal 29 2 2 2 3 2" xfId="1944" xr:uid="{00000000-0005-0000-0000-00001E070000}"/>
    <cellStyle name="Normal 29 2 2 2 3 3" xfId="3122" xr:uid="{00000000-0005-0000-0000-00001F070000}"/>
    <cellStyle name="Normal 29 2 2 2 4" xfId="1724" xr:uid="{00000000-0005-0000-0000-000020070000}"/>
    <cellStyle name="Normal 29 2 2 2 5" xfId="2419" xr:uid="{00000000-0005-0000-0000-000021070000}"/>
    <cellStyle name="Normal 29 2 2 2 6" xfId="2902" xr:uid="{00000000-0005-0000-0000-000022070000}"/>
    <cellStyle name="Normal 29 2 2 3" xfId="1409" xr:uid="{00000000-0005-0000-0000-000023070000}"/>
    <cellStyle name="Normal 29 2 2 3 2" xfId="2107" xr:uid="{00000000-0005-0000-0000-000024070000}"/>
    <cellStyle name="Normal 29 2 2 3 3" xfId="2582" xr:uid="{00000000-0005-0000-0000-000025070000}"/>
    <cellStyle name="Normal 29 2 2 3 4" xfId="3285" xr:uid="{00000000-0005-0000-0000-000026070000}"/>
    <cellStyle name="Normal 29 2 2 4" xfId="1057" xr:uid="{00000000-0005-0000-0000-000027070000}"/>
    <cellStyle name="Normal 29 2 2 4 2" xfId="1856" xr:uid="{00000000-0005-0000-0000-000028070000}"/>
    <cellStyle name="Normal 29 2 2 4 3" xfId="3034" xr:uid="{00000000-0005-0000-0000-000029070000}"/>
    <cellStyle name="Normal 29 2 2 5" xfId="1636" xr:uid="{00000000-0005-0000-0000-00002A070000}"/>
    <cellStyle name="Normal 29 2 2 6" xfId="2331" xr:uid="{00000000-0005-0000-0000-00002B070000}"/>
    <cellStyle name="Normal 29 2 2 7" xfId="2814" xr:uid="{00000000-0005-0000-0000-00002C070000}"/>
    <cellStyle name="Normal 29 2 3" xfId="946" xr:uid="{00000000-0005-0000-0000-00002D070000}"/>
    <cellStyle name="Normal 29 2 3 2" xfId="1541" xr:uid="{00000000-0005-0000-0000-00002E070000}"/>
    <cellStyle name="Normal 29 2 3 2 2" xfId="2239" xr:uid="{00000000-0005-0000-0000-00002F070000}"/>
    <cellStyle name="Normal 29 2 3 2 3" xfId="2714" xr:uid="{00000000-0005-0000-0000-000030070000}"/>
    <cellStyle name="Normal 29 2 3 2 4" xfId="3417" xr:uid="{00000000-0005-0000-0000-000031070000}"/>
    <cellStyle name="Normal 29 2 3 3" xfId="1189" xr:uid="{00000000-0005-0000-0000-000032070000}"/>
    <cellStyle name="Normal 29 2 3 3 2" xfId="1988" xr:uid="{00000000-0005-0000-0000-000033070000}"/>
    <cellStyle name="Normal 29 2 3 3 3" xfId="3166" xr:uid="{00000000-0005-0000-0000-000034070000}"/>
    <cellStyle name="Normal 29 2 3 4" xfId="1768" xr:uid="{00000000-0005-0000-0000-000035070000}"/>
    <cellStyle name="Normal 29 2 3 5" xfId="2463" xr:uid="{00000000-0005-0000-0000-000036070000}"/>
    <cellStyle name="Normal 29 2 3 6" xfId="2946" xr:uid="{00000000-0005-0000-0000-000037070000}"/>
    <cellStyle name="Normal 29 2 4" xfId="858" xr:uid="{00000000-0005-0000-0000-000038070000}"/>
    <cellStyle name="Normal 29 2 4 2" xfId="1453" xr:uid="{00000000-0005-0000-0000-000039070000}"/>
    <cellStyle name="Normal 29 2 4 2 2" xfId="2151" xr:uid="{00000000-0005-0000-0000-00003A070000}"/>
    <cellStyle name="Normal 29 2 4 2 3" xfId="2626" xr:uid="{00000000-0005-0000-0000-00003B070000}"/>
    <cellStyle name="Normal 29 2 4 2 4" xfId="3329" xr:uid="{00000000-0005-0000-0000-00003C070000}"/>
    <cellStyle name="Normal 29 2 4 3" xfId="1101" xr:uid="{00000000-0005-0000-0000-00003D070000}"/>
    <cellStyle name="Normal 29 2 4 3 2" xfId="1900" xr:uid="{00000000-0005-0000-0000-00003E070000}"/>
    <cellStyle name="Normal 29 2 4 3 3" xfId="3078" xr:uid="{00000000-0005-0000-0000-00003F070000}"/>
    <cellStyle name="Normal 29 2 4 4" xfId="1680" xr:uid="{00000000-0005-0000-0000-000040070000}"/>
    <cellStyle name="Normal 29 2 4 5" xfId="2375" xr:uid="{00000000-0005-0000-0000-000041070000}"/>
    <cellStyle name="Normal 29 2 4 6" xfId="2858" xr:uid="{00000000-0005-0000-0000-000042070000}"/>
    <cellStyle name="Normal 29 2 5" xfId="1365" xr:uid="{00000000-0005-0000-0000-000043070000}"/>
    <cellStyle name="Normal 29 2 5 2" xfId="2063" xr:uid="{00000000-0005-0000-0000-000044070000}"/>
    <cellStyle name="Normal 29 2 5 3" xfId="2538" xr:uid="{00000000-0005-0000-0000-000045070000}"/>
    <cellStyle name="Normal 29 2 5 4" xfId="3241" xr:uid="{00000000-0005-0000-0000-000046070000}"/>
    <cellStyle name="Normal 29 2 6" xfId="1013" xr:uid="{00000000-0005-0000-0000-000047070000}"/>
    <cellStyle name="Normal 29 2 6 2" xfId="1812" xr:uid="{00000000-0005-0000-0000-000048070000}"/>
    <cellStyle name="Normal 29 2 6 3" xfId="2990" xr:uid="{00000000-0005-0000-0000-000049070000}"/>
    <cellStyle name="Normal 29 2 7" xfId="1592" xr:uid="{00000000-0005-0000-0000-00004A070000}"/>
    <cellStyle name="Normal 29 2 8" xfId="2287" xr:uid="{00000000-0005-0000-0000-00004B070000}"/>
    <cellStyle name="Normal 29 2 9" xfId="2770" xr:uid="{00000000-0005-0000-0000-00004C070000}"/>
    <cellStyle name="Normal 29 3" xfId="793" xr:uid="{00000000-0005-0000-0000-00004D070000}"/>
    <cellStyle name="Normal 29 3 2" xfId="881" xr:uid="{00000000-0005-0000-0000-00004E070000}"/>
    <cellStyle name="Normal 29 3 2 2" xfId="1476" xr:uid="{00000000-0005-0000-0000-00004F070000}"/>
    <cellStyle name="Normal 29 3 2 2 2" xfId="2174" xr:uid="{00000000-0005-0000-0000-000050070000}"/>
    <cellStyle name="Normal 29 3 2 2 3" xfId="2649" xr:uid="{00000000-0005-0000-0000-000051070000}"/>
    <cellStyle name="Normal 29 3 2 2 4" xfId="3352" xr:uid="{00000000-0005-0000-0000-000052070000}"/>
    <cellStyle name="Normal 29 3 2 3" xfId="1124" xr:uid="{00000000-0005-0000-0000-000053070000}"/>
    <cellStyle name="Normal 29 3 2 3 2" xfId="1923" xr:uid="{00000000-0005-0000-0000-000054070000}"/>
    <cellStyle name="Normal 29 3 2 3 3" xfId="3101" xr:uid="{00000000-0005-0000-0000-000055070000}"/>
    <cellStyle name="Normal 29 3 2 4" xfId="1703" xr:uid="{00000000-0005-0000-0000-000056070000}"/>
    <cellStyle name="Normal 29 3 2 5" xfId="2398" xr:uid="{00000000-0005-0000-0000-000057070000}"/>
    <cellStyle name="Normal 29 3 2 6" xfId="2881" xr:uid="{00000000-0005-0000-0000-000058070000}"/>
    <cellStyle name="Normal 29 3 3" xfId="1388" xr:uid="{00000000-0005-0000-0000-000059070000}"/>
    <cellStyle name="Normal 29 3 3 2" xfId="2086" xr:uid="{00000000-0005-0000-0000-00005A070000}"/>
    <cellStyle name="Normal 29 3 3 3" xfId="2561" xr:uid="{00000000-0005-0000-0000-00005B070000}"/>
    <cellStyle name="Normal 29 3 3 4" xfId="3264" xr:uid="{00000000-0005-0000-0000-00005C070000}"/>
    <cellStyle name="Normal 29 3 4" xfId="1036" xr:uid="{00000000-0005-0000-0000-00005D070000}"/>
    <cellStyle name="Normal 29 3 4 2" xfId="1835" xr:uid="{00000000-0005-0000-0000-00005E070000}"/>
    <cellStyle name="Normal 29 3 4 3" xfId="3013" xr:uid="{00000000-0005-0000-0000-00005F070000}"/>
    <cellStyle name="Normal 29 3 5" xfId="1615" xr:uid="{00000000-0005-0000-0000-000060070000}"/>
    <cellStyle name="Normal 29 3 6" xfId="2310" xr:uid="{00000000-0005-0000-0000-000061070000}"/>
    <cellStyle name="Normal 29 3 7" xfId="2793" xr:uid="{00000000-0005-0000-0000-000062070000}"/>
    <cellStyle name="Normal 29 4" xfId="925" xr:uid="{00000000-0005-0000-0000-000063070000}"/>
    <cellStyle name="Normal 29 4 2" xfId="1520" xr:uid="{00000000-0005-0000-0000-000064070000}"/>
    <cellStyle name="Normal 29 4 2 2" xfId="2218" xr:uid="{00000000-0005-0000-0000-000065070000}"/>
    <cellStyle name="Normal 29 4 2 3" xfId="2693" xr:uid="{00000000-0005-0000-0000-000066070000}"/>
    <cellStyle name="Normal 29 4 2 4" xfId="3396" xr:uid="{00000000-0005-0000-0000-000067070000}"/>
    <cellStyle name="Normal 29 4 3" xfId="1168" xr:uid="{00000000-0005-0000-0000-000068070000}"/>
    <cellStyle name="Normal 29 4 3 2" xfId="1967" xr:uid="{00000000-0005-0000-0000-000069070000}"/>
    <cellStyle name="Normal 29 4 3 3" xfId="3145" xr:uid="{00000000-0005-0000-0000-00006A070000}"/>
    <cellStyle name="Normal 29 4 4" xfId="1747" xr:uid="{00000000-0005-0000-0000-00006B070000}"/>
    <cellStyle name="Normal 29 4 5" xfId="2442" xr:uid="{00000000-0005-0000-0000-00006C070000}"/>
    <cellStyle name="Normal 29 4 6" xfId="2925" xr:uid="{00000000-0005-0000-0000-00006D070000}"/>
    <cellStyle name="Normal 29 5" xfId="837" xr:uid="{00000000-0005-0000-0000-00006E070000}"/>
    <cellStyle name="Normal 29 5 2" xfId="1432" xr:uid="{00000000-0005-0000-0000-00006F070000}"/>
    <cellStyle name="Normal 29 5 2 2" xfId="2130" xr:uid="{00000000-0005-0000-0000-000070070000}"/>
    <cellStyle name="Normal 29 5 2 3" xfId="2605" xr:uid="{00000000-0005-0000-0000-000071070000}"/>
    <cellStyle name="Normal 29 5 2 4" xfId="3308" xr:uid="{00000000-0005-0000-0000-000072070000}"/>
    <cellStyle name="Normal 29 5 3" xfId="1080" xr:uid="{00000000-0005-0000-0000-000073070000}"/>
    <cellStyle name="Normal 29 5 3 2" xfId="1879" xr:uid="{00000000-0005-0000-0000-000074070000}"/>
    <cellStyle name="Normal 29 5 3 3" xfId="3057" xr:uid="{00000000-0005-0000-0000-000075070000}"/>
    <cellStyle name="Normal 29 5 4" xfId="1659" xr:uid="{00000000-0005-0000-0000-000076070000}"/>
    <cellStyle name="Normal 29 5 5" xfId="2354" xr:uid="{00000000-0005-0000-0000-000077070000}"/>
    <cellStyle name="Normal 29 5 6" xfId="2837" xr:uid="{00000000-0005-0000-0000-000078070000}"/>
    <cellStyle name="Normal 29 6" xfId="1344" xr:uid="{00000000-0005-0000-0000-000079070000}"/>
    <cellStyle name="Normal 29 6 2" xfId="2042" xr:uid="{00000000-0005-0000-0000-00007A070000}"/>
    <cellStyle name="Normal 29 6 3" xfId="2517" xr:uid="{00000000-0005-0000-0000-00007B070000}"/>
    <cellStyle name="Normal 29 6 4" xfId="3220" xr:uid="{00000000-0005-0000-0000-00007C070000}"/>
    <cellStyle name="Normal 29 7" xfId="992" xr:uid="{00000000-0005-0000-0000-00007D070000}"/>
    <cellStyle name="Normal 29 7 2" xfId="1791" xr:uid="{00000000-0005-0000-0000-00007E070000}"/>
    <cellStyle name="Normal 29 7 3" xfId="2969" xr:uid="{00000000-0005-0000-0000-00007F070000}"/>
    <cellStyle name="Normal 29 8" xfId="1571" xr:uid="{00000000-0005-0000-0000-000080070000}"/>
    <cellStyle name="Normal 29 9" xfId="2266" xr:uid="{00000000-0005-0000-0000-000081070000}"/>
    <cellStyle name="Normal 3" xfId="4" xr:uid="{00000000-0005-0000-0000-000082070000}"/>
    <cellStyle name="Normal 3 10" xfId="156" xr:uid="{00000000-0005-0000-0000-000083070000}"/>
    <cellStyle name="Normal 3 10 2" xfId="157" xr:uid="{00000000-0005-0000-0000-000084070000}"/>
    <cellStyle name="Normal 3 10 2 2" xfId="313" xr:uid="{00000000-0005-0000-0000-000085070000}"/>
    <cellStyle name="Normal 3 10 2 2 2" xfId="651" xr:uid="{00000000-0005-0000-0000-000086070000}"/>
    <cellStyle name="Normal 3 10 2 3" xfId="580" xr:uid="{00000000-0005-0000-0000-000087070000}"/>
    <cellStyle name="Normal 3 10 3" xfId="312" xr:uid="{00000000-0005-0000-0000-000088070000}"/>
    <cellStyle name="Normal 3 10 3 2" xfId="650" xr:uid="{00000000-0005-0000-0000-000089070000}"/>
    <cellStyle name="Normal 3 10 4" xfId="579" xr:uid="{00000000-0005-0000-0000-00008A070000}"/>
    <cellStyle name="Normal 3 11" xfId="158" xr:uid="{00000000-0005-0000-0000-00008B070000}"/>
    <cellStyle name="Normal 3 11 2" xfId="159" xr:uid="{00000000-0005-0000-0000-00008C070000}"/>
    <cellStyle name="Normal 3 11 2 2" xfId="160" xr:uid="{00000000-0005-0000-0000-00008D070000}"/>
    <cellStyle name="Normal 3 11 2 2 2" xfId="316" xr:uid="{00000000-0005-0000-0000-00008E070000}"/>
    <cellStyle name="Normal 3 11 2 2 2 2" xfId="654" xr:uid="{00000000-0005-0000-0000-00008F070000}"/>
    <cellStyle name="Normal 3 11 2 2 3" xfId="583" xr:uid="{00000000-0005-0000-0000-000090070000}"/>
    <cellStyle name="Normal 3 11 2 3" xfId="315" xr:uid="{00000000-0005-0000-0000-000091070000}"/>
    <cellStyle name="Normal 3 11 2 3 2" xfId="653" xr:uid="{00000000-0005-0000-0000-000092070000}"/>
    <cellStyle name="Normal 3 11 2 4" xfId="582" xr:uid="{00000000-0005-0000-0000-000093070000}"/>
    <cellStyle name="Normal 3 11 3" xfId="314" xr:uid="{00000000-0005-0000-0000-000094070000}"/>
    <cellStyle name="Normal 3 11 3 2" xfId="652" xr:uid="{00000000-0005-0000-0000-000095070000}"/>
    <cellStyle name="Normal 3 11 4" xfId="581" xr:uid="{00000000-0005-0000-0000-000096070000}"/>
    <cellStyle name="Normal 3 12" xfId="64" xr:uid="{00000000-0005-0000-0000-000097070000}"/>
    <cellStyle name="Normal 3 12 10" xfId="2251" xr:uid="{00000000-0005-0000-0000-000098070000}"/>
    <cellStyle name="Normal 3 12 11" xfId="2734" xr:uid="{00000000-0005-0000-0000-000099070000}"/>
    <cellStyle name="Normal 3 12 2" xfId="624" xr:uid="{00000000-0005-0000-0000-00009A070000}"/>
    <cellStyle name="Normal 3 12 2 2" xfId="800" xr:uid="{00000000-0005-0000-0000-00009B070000}"/>
    <cellStyle name="Normal 3 12 2 2 2" xfId="888" xr:uid="{00000000-0005-0000-0000-00009C070000}"/>
    <cellStyle name="Normal 3 12 2 2 2 2" xfId="1483" xr:uid="{00000000-0005-0000-0000-00009D070000}"/>
    <cellStyle name="Normal 3 12 2 2 2 2 2" xfId="2181" xr:uid="{00000000-0005-0000-0000-00009E070000}"/>
    <cellStyle name="Normal 3 12 2 2 2 2 3" xfId="2656" xr:uid="{00000000-0005-0000-0000-00009F070000}"/>
    <cellStyle name="Normal 3 12 2 2 2 2 4" xfId="3359" xr:uid="{00000000-0005-0000-0000-0000A0070000}"/>
    <cellStyle name="Normal 3 12 2 2 2 3" xfId="1131" xr:uid="{00000000-0005-0000-0000-0000A1070000}"/>
    <cellStyle name="Normal 3 12 2 2 2 3 2" xfId="1930" xr:uid="{00000000-0005-0000-0000-0000A2070000}"/>
    <cellStyle name="Normal 3 12 2 2 2 3 3" xfId="3108" xr:uid="{00000000-0005-0000-0000-0000A3070000}"/>
    <cellStyle name="Normal 3 12 2 2 2 4" xfId="1710" xr:uid="{00000000-0005-0000-0000-0000A4070000}"/>
    <cellStyle name="Normal 3 12 2 2 2 5" xfId="2405" xr:uid="{00000000-0005-0000-0000-0000A5070000}"/>
    <cellStyle name="Normal 3 12 2 2 2 6" xfId="2888" xr:uid="{00000000-0005-0000-0000-0000A6070000}"/>
    <cellStyle name="Normal 3 12 2 2 3" xfId="1395" xr:uid="{00000000-0005-0000-0000-0000A7070000}"/>
    <cellStyle name="Normal 3 12 2 2 3 2" xfId="2093" xr:uid="{00000000-0005-0000-0000-0000A8070000}"/>
    <cellStyle name="Normal 3 12 2 2 3 3" xfId="2568" xr:uid="{00000000-0005-0000-0000-0000A9070000}"/>
    <cellStyle name="Normal 3 12 2 2 3 4" xfId="3271" xr:uid="{00000000-0005-0000-0000-0000AA070000}"/>
    <cellStyle name="Normal 3 12 2 2 4" xfId="1043" xr:uid="{00000000-0005-0000-0000-0000AB070000}"/>
    <cellStyle name="Normal 3 12 2 2 4 2" xfId="1842" xr:uid="{00000000-0005-0000-0000-0000AC070000}"/>
    <cellStyle name="Normal 3 12 2 2 4 3" xfId="3020" xr:uid="{00000000-0005-0000-0000-0000AD070000}"/>
    <cellStyle name="Normal 3 12 2 2 5" xfId="1622" xr:uid="{00000000-0005-0000-0000-0000AE070000}"/>
    <cellStyle name="Normal 3 12 2 2 6" xfId="2317" xr:uid="{00000000-0005-0000-0000-0000AF070000}"/>
    <cellStyle name="Normal 3 12 2 2 7" xfId="2800" xr:uid="{00000000-0005-0000-0000-0000B0070000}"/>
    <cellStyle name="Normal 3 12 2 3" xfId="932" xr:uid="{00000000-0005-0000-0000-0000B1070000}"/>
    <cellStyle name="Normal 3 12 2 3 2" xfId="1527" xr:uid="{00000000-0005-0000-0000-0000B2070000}"/>
    <cellStyle name="Normal 3 12 2 3 2 2" xfId="2225" xr:uid="{00000000-0005-0000-0000-0000B3070000}"/>
    <cellStyle name="Normal 3 12 2 3 2 3" xfId="2700" xr:uid="{00000000-0005-0000-0000-0000B4070000}"/>
    <cellStyle name="Normal 3 12 2 3 2 4" xfId="3403" xr:uid="{00000000-0005-0000-0000-0000B5070000}"/>
    <cellStyle name="Normal 3 12 2 3 3" xfId="1175" xr:uid="{00000000-0005-0000-0000-0000B6070000}"/>
    <cellStyle name="Normal 3 12 2 3 3 2" xfId="1974" xr:uid="{00000000-0005-0000-0000-0000B7070000}"/>
    <cellStyle name="Normal 3 12 2 3 3 3" xfId="3152" xr:uid="{00000000-0005-0000-0000-0000B8070000}"/>
    <cellStyle name="Normal 3 12 2 3 4" xfId="1754" xr:uid="{00000000-0005-0000-0000-0000B9070000}"/>
    <cellStyle name="Normal 3 12 2 3 5" xfId="2449" xr:uid="{00000000-0005-0000-0000-0000BA070000}"/>
    <cellStyle name="Normal 3 12 2 3 6" xfId="2932" xr:uid="{00000000-0005-0000-0000-0000BB070000}"/>
    <cellStyle name="Normal 3 12 2 4" xfId="844" xr:uid="{00000000-0005-0000-0000-0000BC070000}"/>
    <cellStyle name="Normal 3 12 2 4 2" xfId="1439" xr:uid="{00000000-0005-0000-0000-0000BD070000}"/>
    <cellStyle name="Normal 3 12 2 4 2 2" xfId="2137" xr:uid="{00000000-0005-0000-0000-0000BE070000}"/>
    <cellStyle name="Normal 3 12 2 4 2 3" xfId="2612" xr:uid="{00000000-0005-0000-0000-0000BF070000}"/>
    <cellStyle name="Normal 3 12 2 4 2 4" xfId="3315" xr:uid="{00000000-0005-0000-0000-0000C0070000}"/>
    <cellStyle name="Normal 3 12 2 4 3" xfId="1087" xr:uid="{00000000-0005-0000-0000-0000C1070000}"/>
    <cellStyle name="Normal 3 12 2 4 3 2" xfId="1886" xr:uid="{00000000-0005-0000-0000-0000C2070000}"/>
    <cellStyle name="Normal 3 12 2 4 3 3" xfId="3064" xr:uid="{00000000-0005-0000-0000-0000C3070000}"/>
    <cellStyle name="Normal 3 12 2 4 4" xfId="1666" xr:uid="{00000000-0005-0000-0000-0000C4070000}"/>
    <cellStyle name="Normal 3 12 2 4 5" xfId="2361" xr:uid="{00000000-0005-0000-0000-0000C5070000}"/>
    <cellStyle name="Normal 3 12 2 4 6" xfId="2844" xr:uid="{00000000-0005-0000-0000-0000C6070000}"/>
    <cellStyle name="Normal 3 12 2 5" xfId="1351" xr:uid="{00000000-0005-0000-0000-0000C7070000}"/>
    <cellStyle name="Normal 3 12 2 5 2" xfId="2049" xr:uid="{00000000-0005-0000-0000-0000C8070000}"/>
    <cellStyle name="Normal 3 12 2 5 3" xfId="2524" xr:uid="{00000000-0005-0000-0000-0000C9070000}"/>
    <cellStyle name="Normal 3 12 2 5 4" xfId="3227" xr:uid="{00000000-0005-0000-0000-0000CA070000}"/>
    <cellStyle name="Normal 3 12 2 6" xfId="999" xr:uid="{00000000-0005-0000-0000-0000CB070000}"/>
    <cellStyle name="Normal 3 12 2 6 2" xfId="1798" xr:uid="{00000000-0005-0000-0000-0000CC070000}"/>
    <cellStyle name="Normal 3 12 2 6 3" xfId="2976" xr:uid="{00000000-0005-0000-0000-0000CD070000}"/>
    <cellStyle name="Normal 3 12 2 7" xfId="1578" xr:uid="{00000000-0005-0000-0000-0000CE070000}"/>
    <cellStyle name="Normal 3 12 2 8" xfId="2273" xr:uid="{00000000-0005-0000-0000-0000CF070000}"/>
    <cellStyle name="Normal 3 12 2 9" xfId="2756" xr:uid="{00000000-0005-0000-0000-0000D0070000}"/>
    <cellStyle name="Normal 3 12 3" xfId="770" xr:uid="{00000000-0005-0000-0000-0000D1070000}"/>
    <cellStyle name="Normal 3 12 3 2" xfId="820" xr:uid="{00000000-0005-0000-0000-0000D2070000}"/>
    <cellStyle name="Normal 3 12 3 2 2" xfId="908" xr:uid="{00000000-0005-0000-0000-0000D3070000}"/>
    <cellStyle name="Normal 3 12 3 2 2 2" xfId="1503" xr:uid="{00000000-0005-0000-0000-0000D4070000}"/>
    <cellStyle name="Normal 3 12 3 2 2 2 2" xfId="2201" xr:uid="{00000000-0005-0000-0000-0000D5070000}"/>
    <cellStyle name="Normal 3 12 3 2 2 2 3" xfId="2676" xr:uid="{00000000-0005-0000-0000-0000D6070000}"/>
    <cellStyle name="Normal 3 12 3 2 2 2 4" xfId="3379" xr:uid="{00000000-0005-0000-0000-0000D7070000}"/>
    <cellStyle name="Normal 3 12 3 2 2 3" xfId="1151" xr:uid="{00000000-0005-0000-0000-0000D8070000}"/>
    <cellStyle name="Normal 3 12 3 2 2 3 2" xfId="1950" xr:uid="{00000000-0005-0000-0000-0000D9070000}"/>
    <cellStyle name="Normal 3 12 3 2 2 3 3" xfId="3128" xr:uid="{00000000-0005-0000-0000-0000DA070000}"/>
    <cellStyle name="Normal 3 12 3 2 2 4" xfId="1730" xr:uid="{00000000-0005-0000-0000-0000DB070000}"/>
    <cellStyle name="Normal 3 12 3 2 2 5" xfId="2425" xr:uid="{00000000-0005-0000-0000-0000DC070000}"/>
    <cellStyle name="Normal 3 12 3 2 2 6" xfId="2908" xr:uid="{00000000-0005-0000-0000-0000DD070000}"/>
    <cellStyle name="Normal 3 12 3 2 3" xfId="1415" xr:uid="{00000000-0005-0000-0000-0000DE070000}"/>
    <cellStyle name="Normal 3 12 3 2 3 2" xfId="2113" xr:uid="{00000000-0005-0000-0000-0000DF070000}"/>
    <cellStyle name="Normal 3 12 3 2 3 3" xfId="2588" xr:uid="{00000000-0005-0000-0000-0000E0070000}"/>
    <cellStyle name="Normal 3 12 3 2 3 4" xfId="3291" xr:uid="{00000000-0005-0000-0000-0000E1070000}"/>
    <cellStyle name="Normal 3 12 3 2 4" xfId="1063" xr:uid="{00000000-0005-0000-0000-0000E2070000}"/>
    <cellStyle name="Normal 3 12 3 2 4 2" xfId="1862" xr:uid="{00000000-0005-0000-0000-0000E3070000}"/>
    <cellStyle name="Normal 3 12 3 2 4 3" xfId="3040" xr:uid="{00000000-0005-0000-0000-0000E4070000}"/>
    <cellStyle name="Normal 3 12 3 2 5" xfId="1642" xr:uid="{00000000-0005-0000-0000-0000E5070000}"/>
    <cellStyle name="Normal 3 12 3 2 6" xfId="2337" xr:uid="{00000000-0005-0000-0000-0000E6070000}"/>
    <cellStyle name="Normal 3 12 3 2 7" xfId="2820" xr:uid="{00000000-0005-0000-0000-0000E7070000}"/>
    <cellStyle name="Normal 3 12 3 3" xfId="952" xr:uid="{00000000-0005-0000-0000-0000E8070000}"/>
    <cellStyle name="Normal 3 12 3 3 2" xfId="1547" xr:uid="{00000000-0005-0000-0000-0000E9070000}"/>
    <cellStyle name="Normal 3 12 3 3 2 2" xfId="2245" xr:uid="{00000000-0005-0000-0000-0000EA070000}"/>
    <cellStyle name="Normal 3 12 3 3 2 3" xfId="2720" xr:uid="{00000000-0005-0000-0000-0000EB070000}"/>
    <cellStyle name="Normal 3 12 3 3 2 4" xfId="3423" xr:uid="{00000000-0005-0000-0000-0000EC070000}"/>
    <cellStyle name="Normal 3 12 3 3 3" xfId="1195" xr:uid="{00000000-0005-0000-0000-0000ED070000}"/>
    <cellStyle name="Normal 3 12 3 3 3 2" xfId="1994" xr:uid="{00000000-0005-0000-0000-0000EE070000}"/>
    <cellStyle name="Normal 3 12 3 3 3 3" xfId="3172" xr:uid="{00000000-0005-0000-0000-0000EF070000}"/>
    <cellStyle name="Normal 3 12 3 3 4" xfId="1774" xr:uid="{00000000-0005-0000-0000-0000F0070000}"/>
    <cellStyle name="Normal 3 12 3 3 5" xfId="2469" xr:uid="{00000000-0005-0000-0000-0000F1070000}"/>
    <cellStyle name="Normal 3 12 3 3 6" xfId="2952" xr:uid="{00000000-0005-0000-0000-0000F2070000}"/>
    <cellStyle name="Normal 3 12 3 4" xfId="864" xr:uid="{00000000-0005-0000-0000-0000F3070000}"/>
    <cellStyle name="Normal 3 12 3 4 2" xfId="1459" xr:uid="{00000000-0005-0000-0000-0000F4070000}"/>
    <cellStyle name="Normal 3 12 3 4 2 2" xfId="2157" xr:uid="{00000000-0005-0000-0000-0000F5070000}"/>
    <cellStyle name="Normal 3 12 3 4 2 3" xfId="2632" xr:uid="{00000000-0005-0000-0000-0000F6070000}"/>
    <cellStyle name="Normal 3 12 3 4 2 4" xfId="3335" xr:uid="{00000000-0005-0000-0000-0000F7070000}"/>
    <cellStyle name="Normal 3 12 3 4 3" xfId="1107" xr:uid="{00000000-0005-0000-0000-0000F8070000}"/>
    <cellStyle name="Normal 3 12 3 4 3 2" xfId="1906" xr:uid="{00000000-0005-0000-0000-0000F9070000}"/>
    <cellStyle name="Normal 3 12 3 4 3 3" xfId="3084" xr:uid="{00000000-0005-0000-0000-0000FA070000}"/>
    <cellStyle name="Normal 3 12 3 4 4" xfId="1686" xr:uid="{00000000-0005-0000-0000-0000FB070000}"/>
    <cellStyle name="Normal 3 12 3 4 5" xfId="2381" xr:uid="{00000000-0005-0000-0000-0000FC070000}"/>
    <cellStyle name="Normal 3 12 3 4 6" xfId="2864" xr:uid="{00000000-0005-0000-0000-0000FD070000}"/>
    <cellStyle name="Normal 3 12 3 5" xfId="1371" xr:uid="{00000000-0005-0000-0000-0000FE070000}"/>
    <cellStyle name="Normal 3 12 3 5 2" xfId="2069" xr:uid="{00000000-0005-0000-0000-0000FF070000}"/>
    <cellStyle name="Normal 3 12 3 5 3" xfId="2544" xr:uid="{00000000-0005-0000-0000-000000080000}"/>
    <cellStyle name="Normal 3 12 3 5 4" xfId="3247" xr:uid="{00000000-0005-0000-0000-000001080000}"/>
    <cellStyle name="Normal 3 12 3 6" xfId="1019" xr:uid="{00000000-0005-0000-0000-000002080000}"/>
    <cellStyle name="Normal 3 12 3 6 2" xfId="1818" xr:uid="{00000000-0005-0000-0000-000003080000}"/>
    <cellStyle name="Normal 3 12 3 6 3" xfId="2996" xr:uid="{00000000-0005-0000-0000-000004080000}"/>
    <cellStyle name="Normal 3 12 3 7" xfId="1598" xr:uid="{00000000-0005-0000-0000-000005080000}"/>
    <cellStyle name="Normal 3 12 3 8" xfId="2293" xr:uid="{00000000-0005-0000-0000-000006080000}"/>
    <cellStyle name="Normal 3 12 3 9" xfId="2776" xr:uid="{00000000-0005-0000-0000-000007080000}"/>
    <cellStyle name="Normal 3 12 4" xfId="778" xr:uid="{00000000-0005-0000-0000-000008080000}"/>
    <cellStyle name="Normal 3 12 4 2" xfId="866" xr:uid="{00000000-0005-0000-0000-000009080000}"/>
    <cellStyle name="Normal 3 12 4 2 2" xfId="1461" xr:uid="{00000000-0005-0000-0000-00000A080000}"/>
    <cellStyle name="Normal 3 12 4 2 2 2" xfId="2159" xr:uid="{00000000-0005-0000-0000-00000B080000}"/>
    <cellStyle name="Normal 3 12 4 2 2 3" xfId="2634" xr:uid="{00000000-0005-0000-0000-00000C080000}"/>
    <cellStyle name="Normal 3 12 4 2 2 4" xfId="3337" xr:uid="{00000000-0005-0000-0000-00000D080000}"/>
    <cellStyle name="Normal 3 12 4 2 3" xfId="1109" xr:uid="{00000000-0005-0000-0000-00000E080000}"/>
    <cellStyle name="Normal 3 12 4 2 3 2" xfId="1908" xr:uid="{00000000-0005-0000-0000-00000F080000}"/>
    <cellStyle name="Normal 3 12 4 2 3 3" xfId="3086" xr:uid="{00000000-0005-0000-0000-000010080000}"/>
    <cellStyle name="Normal 3 12 4 2 4" xfId="1688" xr:uid="{00000000-0005-0000-0000-000011080000}"/>
    <cellStyle name="Normal 3 12 4 2 5" xfId="2383" xr:uid="{00000000-0005-0000-0000-000012080000}"/>
    <cellStyle name="Normal 3 12 4 2 6" xfId="2866" xr:uid="{00000000-0005-0000-0000-000013080000}"/>
    <cellStyle name="Normal 3 12 4 3" xfId="1373" xr:uid="{00000000-0005-0000-0000-000014080000}"/>
    <cellStyle name="Normal 3 12 4 3 2" xfId="2071" xr:uid="{00000000-0005-0000-0000-000015080000}"/>
    <cellStyle name="Normal 3 12 4 3 3" xfId="2546" xr:uid="{00000000-0005-0000-0000-000016080000}"/>
    <cellStyle name="Normal 3 12 4 3 4" xfId="3249" xr:uid="{00000000-0005-0000-0000-000017080000}"/>
    <cellStyle name="Normal 3 12 4 4" xfId="1021" xr:uid="{00000000-0005-0000-0000-000018080000}"/>
    <cellStyle name="Normal 3 12 4 4 2" xfId="1820" xr:uid="{00000000-0005-0000-0000-000019080000}"/>
    <cellStyle name="Normal 3 12 4 4 3" xfId="2998" xr:uid="{00000000-0005-0000-0000-00001A080000}"/>
    <cellStyle name="Normal 3 12 4 5" xfId="1600" xr:uid="{00000000-0005-0000-0000-00001B080000}"/>
    <cellStyle name="Normal 3 12 4 6" xfId="2295" xr:uid="{00000000-0005-0000-0000-00001C080000}"/>
    <cellStyle name="Normal 3 12 4 7" xfId="2778" xr:uid="{00000000-0005-0000-0000-00001D080000}"/>
    <cellStyle name="Normal 3 12 5" xfId="910" xr:uid="{00000000-0005-0000-0000-00001E080000}"/>
    <cellStyle name="Normal 3 12 5 2" xfId="1505" xr:uid="{00000000-0005-0000-0000-00001F080000}"/>
    <cellStyle name="Normal 3 12 5 2 2" xfId="2203" xr:uid="{00000000-0005-0000-0000-000020080000}"/>
    <cellStyle name="Normal 3 12 5 2 3" xfId="2678" xr:uid="{00000000-0005-0000-0000-000021080000}"/>
    <cellStyle name="Normal 3 12 5 2 4" xfId="3381" xr:uid="{00000000-0005-0000-0000-000022080000}"/>
    <cellStyle name="Normal 3 12 5 3" xfId="1153" xr:uid="{00000000-0005-0000-0000-000023080000}"/>
    <cellStyle name="Normal 3 12 5 3 2" xfId="1952" xr:uid="{00000000-0005-0000-0000-000024080000}"/>
    <cellStyle name="Normal 3 12 5 3 3" xfId="3130" xr:uid="{00000000-0005-0000-0000-000025080000}"/>
    <cellStyle name="Normal 3 12 5 4" xfId="1732" xr:uid="{00000000-0005-0000-0000-000026080000}"/>
    <cellStyle name="Normal 3 12 5 5" xfId="2427" xr:uid="{00000000-0005-0000-0000-000027080000}"/>
    <cellStyle name="Normal 3 12 5 6" xfId="2910" xr:uid="{00000000-0005-0000-0000-000028080000}"/>
    <cellStyle name="Normal 3 12 6" xfId="822" xr:uid="{00000000-0005-0000-0000-000029080000}"/>
    <cellStyle name="Normal 3 12 6 2" xfId="1417" xr:uid="{00000000-0005-0000-0000-00002A080000}"/>
    <cellStyle name="Normal 3 12 6 2 2" xfId="2115" xr:uid="{00000000-0005-0000-0000-00002B080000}"/>
    <cellStyle name="Normal 3 12 6 2 3" xfId="2590" xr:uid="{00000000-0005-0000-0000-00002C080000}"/>
    <cellStyle name="Normal 3 12 6 2 4" xfId="3293" xr:uid="{00000000-0005-0000-0000-00002D080000}"/>
    <cellStyle name="Normal 3 12 6 3" xfId="1065" xr:uid="{00000000-0005-0000-0000-00002E080000}"/>
    <cellStyle name="Normal 3 12 6 3 2" xfId="1864" xr:uid="{00000000-0005-0000-0000-00002F080000}"/>
    <cellStyle name="Normal 3 12 6 3 3" xfId="3042" xr:uid="{00000000-0005-0000-0000-000030080000}"/>
    <cellStyle name="Normal 3 12 6 4" xfId="1644" xr:uid="{00000000-0005-0000-0000-000031080000}"/>
    <cellStyle name="Normal 3 12 6 5" xfId="2339" xr:uid="{00000000-0005-0000-0000-000032080000}"/>
    <cellStyle name="Normal 3 12 6 6" xfId="2822" xr:uid="{00000000-0005-0000-0000-000033080000}"/>
    <cellStyle name="Normal 3 12 7" xfId="1321" xr:uid="{00000000-0005-0000-0000-000034080000}"/>
    <cellStyle name="Normal 3 12 7 2" xfId="2027" xr:uid="{00000000-0005-0000-0000-000035080000}"/>
    <cellStyle name="Normal 3 12 7 3" xfId="2502" xr:uid="{00000000-0005-0000-0000-000036080000}"/>
    <cellStyle name="Normal 3 12 7 4" xfId="3205" xr:uid="{00000000-0005-0000-0000-000037080000}"/>
    <cellStyle name="Normal 3 12 8" xfId="977" xr:uid="{00000000-0005-0000-0000-000038080000}"/>
    <cellStyle name="Normal 3 12 8 2" xfId="1776" xr:uid="{00000000-0005-0000-0000-000039080000}"/>
    <cellStyle name="Normal 3 12 8 3" xfId="2954" xr:uid="{00000000-0005-0000-0000-00003A080000}"/>
    <cellStyle name="Normal 3 12 9" xfId="1556" xr:uid="{00000000-0005-0000-0000-00003B080000}"/>
    <cellStyle name="Normal 3 13" xfId="311" xr:uid="{00000000-0005-0000-0000-00003C080000}"/>
    <cellStyle name="Normal 3 13 2" xfId="649" xr:uid="{00000000-0005-0000-0000-00003D080000}"/>
    <cellStyle name="Normal 3 14" xfId="444" xr:uid="{00000000-0005-0000-0000-00003E080000}"/>
    <cellStyle name="Normal 3 15" xfId="578" xr:uid="{00000000-0005-0000-0000-00003F080000}"/>
    <cellStyle name="Normal 3 16" xfId="155" xr:uid="{00000000-0005-0000-0000-000040080000}"/>
    <cellStyle name="Normal 3 17" xfId="50" xr:uid="{00000000-0005-0000-0000-000041080000}"/>
    <cellStyle name="Normal 3 17 2" xfId="1317" xr:uid="{00000000-0005-0000-0000-000042080000}"/>
    <cellStyle name="Normal 3 17 3" xfId="1196" xr:uid="{00000000-0005-0000-0000-000043080000}"/>
    <cellStyle name="Normal 3 17 3 2" xfId="1995" xr:uid="{00000000-0005-0000-0000-000044080000}"/>
    <cellStyle name="Normal 3 17 3 3" xfId="3173" xr:uid="{00000000-0005-0000-0000-000045080000}"/>
    <cellStyle name="Normal 3 17 4" xfId="2470" xr:uid="{00000000-0005-0000-0000-000046080000}"/>
    <cellStyle name="Normal 3 18" xfId="45" xr:uid="{00000000-0005-0000-0000-000047080000}"/>
    <cellStyle name="Normal 3 18 2" xfId="1313" xr:uid="{00000000-0005-0000-0000-000048080000}"/>
    <cellStyle name="Normal 3 18 3" xfId="2023" xr:uid="{00000000-0005-0000-0000-000049080000}"/>
    <cellStyle name="Normal 3 18 4" xfId="2498" xr:uid="{00000000-0005-0000-0000-00004A080000}"/>
    <cellStyle name="Normal 3 18 5" xfId="3201" xr:uid="{00000000-0005-0000-0000-00004B080000}"/>
    <cellStyle name="Normal 3 19" xfId="1287" xr:uid="{00000000-0005-0000-0000-00004C080000}"/>
    <cellStyle name="Normal 3 2" xfId="9" xr:uid="{00000000-0005-0000-0000-00004D080000}"/>
    <cellStyle name="Normal 3 2 10" xfId="445" xr:uid="{00000000-0005-0000-0000-00004E080000}"/>
    <cellStyle name="Normal 3 2 11" xfId="584" xr:uid="{00000000-0005-0000-0000-00004F080000}"/>
    <cellStyle name="Normal 3 2 12" xfId="161" xr:uid="{00000000-0005-0000-0000-000050080000}"/>
    <cellStyle name="Normal 3 2 12 2" xfId="1325" xr:uid="{00000000-0005-0000-0000-000051080000}"/>
    <cellStyle name="Normal 3 2 12 3" xfId="1253" xr:uid="{00000000-0005-0000-0000-000052080000}"/>
    <cellStyle name="Normal 3 2 13" xfId="49" xr:uid="{00000000-0005-0000-0000-000053080000}"/>
    <cellStyle name="Normal 3 2 14" xfId="1289" xr:uid="{00000000-0005-0000-0000-000054080000}"/>
    <cellStyle name="Normal 3 2 15" xfId="2728" xr:uid="{00000000-0005-0000-0000-000055080000}"/>
    <cellStyle name="Normal 3 2 2" xfId="34" xr:uid="{00000000-0005-0000-0000-000056080000}"/>
    <cellStyle name="Normal 3 2 2 10" xfId="1304" xr:uid="{00000000-0005-0000-0000-000057080000}"/>
    <cellStyle name="Normal 3 2 2 11" xfId="971" xr:uid="{00000000-0005-0000-0000-000058080000}"/>
    <cellStyle name="Normal 3 2 2 2" xfId="163" xr:uid="{00000000-0005-0000-0000-000059080000}"/>
    <cellStyle name="Normal 3 2 2 2 2" xfId="319" xr:uid="{00000000-0005-0000-0000-00005A080000}"/>
    <cellStyle name="Normal 3 2 2 2 2 2" xfId="657" xr:uid="{00000000-0005-0000-0000-00005B080000}"/>
    <cellStyle name="Normal 3 2 2 2 3" xfId="586" xr:uid="{00000000-0005-0000-0000-00005C080000}"/>
    <cellStyle name="Normal 3 2 2 3" xfId="164" xr:uid="{00000000-0005-0000-0000-00005D080000}"/>
    <cellStyle name="Normal 3 2 2 3 2" xfId="165" xr:uid="{00000000-0005-0000-0000-00005E080000}"/>
    <cellStyle name="Normal 3 2 2 3 2 2" xfId="321" xr:uid="{00000000-0005-0000-0000-00005F080000}"/>
    <cellStyle name="Normal 3 2 2 3 2 2 2" xfId="659" xr:uid="{00000000-0005-0000-0000-000060080000}"/>
    <cellStyle name="Normal 3 2 2 3 2 3" xfId="588" xr:uid="{00000000-0005-0000-0000-000061080000}"/>
    <cellStyle name="Normal 3 2 2 3 3" xfId="320" xr:uid="{00000000-0005-0000-0000-000062080000}"/>
    <cellStyle name="Normal 3 2 2 3 3 2" xfId="658" xr:uid="{00000000-0005-0000-0000-000063080000}"/>
    <cellStyle name="Normal 3 2 2 3 4" xfId="587" xr:uid="{00000000-0005-0000-0000-000064080000}"/>
    <cellStyle name="Normal 3 2 2 4" xfId="166" xr:uid="{00000000-0005-0000-0000-000065080000}"/>
    <cellStyle name="Normal 3 2 2 4 2" xfId="322" xr:uid="{00000000-0005-0000-0000-000066080000}"/>
    <cellStyle name="Normal 3 2 2 4 2 2" xfId="660" xr:uid="{00000000-0005-0000-0000-000067080000}"/>
    <cellStyle name="Normal 3 2 2 4 3" xfId="589" xr:uid="{00000000-0005-0000-0000-000068080000}"/>
    <cellStyle name="Normal 3 2 2 5" xfId="167" xr:uid="{00000000-0005-0000-0000-000069080000}"/>
    <cellStyle name="Normal 3 2 2 5 2" xfId="323" xr:uid="{00000000-0005-0000-0000-00006A080000}"/>
    <cellStyle name="Normal 3 2 2 5 2 2" xfId="661" xr:uid="{00000000-0005-0000-0000-00006B080000}"/>
    <cellStyle name="Normal 3 2 2 5 3" xfId="590" xr:uid="{00000000-0005-0000-0000-00006C080000}"/>
    <cellStyle name="Normal 3 2 2 6" xfId="318" xr:uid="{00000000-0005-0000-0000-00006D080000}"/>
    <cellStyle name="Normal 3 2 2 6 2" xfId="656" xr:uid="{00000000-0005-0000-0000-00006E080000}"/>
    <cellStyle name="Normal 3 2 2 7" xfId="446" xr:uid="{00000000-0005-0000-0000-00006F080000}"/>
    <cellStyle name="Normal 3 2 2 8" xfId="585" xr:uid="{00000000-0005-0000-0000-000070080000}"/>
    <cellStyle name="Normal 3 2 2 9" xfId="162" xr:uid="{00000000-0005-0000-0000-000071080000}"/>
    <cellStyle name="Normal 3 2 2 9 2" xfId="1326" xr:uid="{00000000-0005-0000-0000-000072080000}"/>
    <cellStyle name="Normal 3 2 2 9 3" xfId="1280" xr:uid="{00000000-0005-0000-0000-000073080000}"/>
    <cellStyle name="Normal 3 2 2 9 4" xfId="2008" xr:uid="{00000000-0005-0000-0000-000074080000}"/>
    <cellStyle name="Normal 3 2 2 9 5" xfId="2483" xr:uid="{00000000-0005-0000-0000-000075080000}"/>
    <cellStyle name="Normal 3 2 2 9 6" xfId="3186" xr:uid="{00000000-0005-0000-0000-000076080000}"/>
    <cellStyle name="Normal 3 2 3" xfId="168" xr:uid="{00000000-0005-0000-0000-000077080000}"/>
    <cellStyle name="Normal 3 2 3 2" xfId="169" xr:uid="{00000000-0005-0000-0000-000078080000}"/>
    <cellStyle name="Normal 3 2 3 2 2" xfId="325" xr:uid="{00000000-0005-0000-0000-000079080000}"/>
    <cellStyle name="Normal 3 2 3 2 2 2" xfId="663" xr:uid="{00000000-0005-0000-0000-00007A080000}"/>
    <cellStyle name="Normal 3 2 3 2 3" xfId="592" xr:uid="{00000000-0005-0000-0000-00007B080000}"/>
    <cellStyle name="Normal 3 2 3 3" xfId="324" xr:uid="{00000000-0005-0000-0000-00007C080000}"/>
    <cellStyle name="Normal 3 2 3 3 2" xfId="662" xr:uid="{00000000-0005-0000-0000-00007D080000}"/>
    <cellStyle name="Normal 3 2 3 4" xfId="591" xr:uid="{00000000-0005-0000-0000-00007E080000}"/>
    <cellStyle name="Normal 3 2 3 5" xfId="1275" xr:uid="{00000000-0005-0000-0000-00007F080000}"/>
    <cellStyle name="Normal 3 2 3 5 2" xfId="2005" xr:uid="{00000000-0005-0000-0000-000080080000}"/>
    <cellStyle name="Normal 3 2 3 5 3" xfId="2480" xr:uid="{00000000-0005-0000-0000-000081080000}"/>
    <cellStyle name="Normal 3 2 3 5 4" xfId="3183" xr:uid="{00000000-0005-0000-0000-000082080000}"/>
    <cellStyle name="Normal 3 2 4" xfId="170" xr:uid="{00000000-0005-0000-0000-000083080000}"/>
    <cellStyle name="Normal 3 2 4 2" xfId="326" xr:uid="{00000000-0005-0000-0000-000084080000}"/>
    <cellStyle name="Normal 3 2 4 2 2" xfId="664" xr:uid="{00000000-0005-0000-0000-000085080000}"/>
    <cellStyle name="Normal 3 2 4 3" xfId="593" xr:uid="{00000000-0005-0000-0000-000086080000}"/>
    <cellStyle name="Normal 3 2 5" xfId="171" xr:uid="{00000000-0005-0000-0000-000087080000}"/>
    <cellStyle name="Normal 3 2 5 2" xfId="327" xr:uid="{00000000-0005-0000-0000-000088080000}"/>
    <cellStyle name="Normal 3 2 5 2 2" xfId="665" xr:uid="{00000000-0005-0000-0000-000089080000}"/>
    <cellStyle name="Normal 3 2 5 3" xfId="594" xr:uid="{00000000-0005-0000-0000-00008A080000}"/>
    <cellStyle name="Normal 3 2 6" xfId="172" xr:uid="{00000000-0005-0000-0000-00008B080000}"/>
    <cellStyle name="Normal 3 2 6 2" xfId="328" xr:uid="{00000000-0005-0000-0000-00008C080000}"/>
    <cellStyle name="Normal 3 2 6 2 2" xfId="666" xr:uid="{00000000-0005-0000-0000-00008D080000}"/>
    <cellStyle name="Normal 3 2 6 3" xfId="595" xr:uid="{00000000-0005-0000-0000-00008E080000}"/>
    <cellStyle name="Normal 3 2 7" xfId="173" xr:uid="{00000000-0005-0000-0000-00008F080000}"/>
    <cellStyle name="Normal 3 2 7 2" xfId="329" xr:uid="{00000000-0005-0000-0000-000090080000}"/>
    <cellStyle name="Normal 3 2 7 2 2" xfId="667" xr:uid="{00000000-0005-0000-0000-000091080000}"/>
    <cellStyle name="Normal 3 2 7 3" xfId="596" xr:uid="{00000000-0005-0000-0000-000092080000}"/>
    <cellStyle name="Normal 3 2 8" xfId="174" xr:uid="{00000000-0005-0000-0000-000093080000}"/>
    <cellStyle name="Normal 3 2 8 2" xfId="330" xr:uid="{00000000-0005-0000-0000-000094080000}"/>
    <cellStyle name="Normal 3 2 8 2 2" xfId="668" xr:uid="{00000000-0005-0000-0000-000095080000}"/>
    <cellStyle name="Normal 3 2 8 3" xfId="597" xr:uid="{00000000-0005-0000-0000-000096080000}"/>
    <cellStyle name="Normal 3 2 9" xfId="317" xr:uid="{00000000-0005-0000-0000-000097080000}"/>
    <cellStyle name="Normal 3 2 9 2" xfId="655" xr:uid="{00000000-0005-0000-0000-000098080000}"/>
    <cellStyle name="Normal 3 20" xfId="1551" xr:uid="{00000000-0005-0000-0000-000099080000}"/>
    <cellStyle name="Normal 3 21" xfId="2729" xr:uid="{00000000-0005-0000-0000-00009A080000}"/>
    <cellStyle name="Normal 3 3" xfId="16" xr:uid="{00000000-0005-0000-0000-00009B080000}"/>
    <cellStyle name="Normal 3 3 2" xfId="176" xr:uid="{00000000-0005-0000-0000-00009C080000}"/>
    <cellStyle name="Normal 3 3 2 2" xfId="332" xr:uid="{00000000-0005-0000-0000-00009D080000}"/>
    <cellStyle name="Normal 3 3 3" xfId="331" xr:uid="{00000000-0005-0000-0000-00009E080000}"/>
    <cellStyle name="Normal 3 3 4" xfId="447" xr:uid="{00000000-0005-0000-0000-00009F080000}"/>
    <cellStyle name="Normal 3 3 5" xfId="175" xr:uid="{00000000-0005-0000-0000-0000A0080000}"/>
    <cellStyle name="Normal 3 3 5 2" xfId="1327" xr:uid="{00000000-0005-0000-0000-0000A1080000}"/>
    <cellStyle name="Normal 3 3 5 3" xfId="1277" xr:uid="{00000000-0005-0000-0000-0000A2080000}"/>
    <cellStyle name="Normal 3 3 6" xfId="1295" xr:uid="{00000000-0005-0000-0000-0000A3080000}"/>
    <cellStyle name="Normal 3 3 7" xfId="969" xr:uid="{00000000-0005-0000-0000-0000A4080000}"/>
    <cellStyle name="Normal 3 4" xfId="7" xr:uid="{00000000-0005-0000-0000-0000A5080000}"/>
    <cellStyle name="Normal 3 4 2" xfId="178" xr:uid="{00000000-0005-0000-0000-0000A6080000}"/>
    <cellStyle name="Normal 3 4 2 2" xfId="334" xr:uid="{00000000-0005-0000-0000-0000A7080000}"/>
    <cellStyle name="Normal 3 4 2 2 2" xfId="670" xr:uid="{00000000-0005-0000-0000-0000A8080000}"/>
    <cellStyle name="Normal 3 4 2 3" xfId="599" xr:uid="{00000000-0005-0000-0000-0000A9080000}"/>
    <cellStyle name="Normal 3 4 3" xfId="333" xr:uid="{00000000-0005-0000-0000-0000AA080000}"/>
    <cellStyle name="Normal 3 4 3 2" xfId="669" xr:uid="{00000000-0005-0000-0000-0000AB080000}"/>
    <cellStyle name="Normal 3 4 4" xfId="598" xr:uid="{00000000-0005-0000-0000-0000AC080000}"/>
    <cellStyle name="Normal 3 4 5" xfId="177" xr:uid="{00000000-0005-0000-0000-0000AD080000}"/>
    <cellStyle name="Normal 3 4 5 2" xfId="1328" xr:uid="{00000000-0005-0000-0000-0000AE080000}"/>
    <cellStyle name="Normal 3 4 5 3" xfId="1273" xr:uid="{00000000-0005-0000-0000-0000AF080000}"/>
    <cellStyle name="Normal 3 4 5 4" xfId="2004" xr:uid="{00000000-0005-0000-0000-0000B0080000}"/>
    <cellStyle name="Normal 3 4 5 5" xfId="2479" xr:uid="{00000000-0005-0000-0000-0000B1080000}"/>
    <cellStyle name="Normal 3 4 5 6" xfId="3182" xr:uid="{00000000-0005-0000-0000-0000B2080000}"/>
    <cellStyle name="Normal 3 4 6" xfId="1288" xr:uid="{00000000-0005-0000-0000-0000B3080000}"/>
    <cellStyle name="Normal 3 5" xfId="41" xr:uid="{00000000-0005-0000-0000-0000B4080000}"/>
    <cellStyle name="Normal 3 5 2" xfId="180" xr:uid="{00000000-0005-0000-0000-0000B5080000}"/>
    <cellStyle name="Normal 3 5 2 2" xfId="336" xr:uid="{00000000-0005-0000-0000-0000B6080000}"/>
    <cellStyle name="Normal 3 5 2 2 2" xfId="672" xr:uid="{00000000-0005-0000-0000-0000B7080000}"/>
    <cellStyle name="Normal 3 5 2 3" xfId="601" xr:uid="{00000000-0005-0000-0000-0000B8080000}"/>
    <cellStyle name="Normal 3 5 3" xfId="335" xr:uid="{00000000-0005-0000-0000-0000B9080000}"/>
    <cellStyle name="Normal 3 5 3 2" xfId="671" xr:uid="{00000000-0005-0000-0000-0000BA080000}"/>
    <cellStyle name="Normal 3 5 4" xfId="600" xr:uid="{00000000-0005-0000-0000-0000BB080000}"/>
    <cellStyle name="Normal 3 5 5" xfId="179" xr:uid="{00000000-0005-0000-0000-0000BC080000}"/>
    <cellStyle name="Normal 3 5 5 2" xfId="1329" xr:uid="{00000000-0005-0000-0000-0000BD080000}"/>
    <cellStyle name="Normal 3 5 5 3" xfId="1279" xr:uid="{00000000-0005-0000-0000-0000BE080000}"/>
    <cellStyle name="Normal 3 5 5 4" xfId="2007" xr:uid="{00000000-0005-0000-0000-0000BF080000}"/>
    <cellStyle name="Normal 3 5 5 5" xfId="2482" xr:uid="{00000000-0005-0000-0000-0000C0080000}"/>
    <cellStyle name="Normal 3 5 5 6" xfId="3185" xr:uid="{00000000-0005-0000-0000-0000C1080000}"/>
    <cellStyle name="Normal 3 5 6" xfId="1310" xr:uid="{00000000-0005-0000-0000-0000C2080000}"/>
    <cellStyle name="Normal 3 6" xfId="181" xr:uid="{00000000-0005-0000-0000-0000C3080000}"/>
    <cellStyle name="Normal 3 6 2" xfId="182" xr:uid="{00000000-0005-0000-0000-0000C4080000}"/>
    <cellStyle name="Normal 3 6 2 2" xfId="338" xr:uid="{00000000-0005-0000-0000-0000C5080000}"/>
    <cellStyle name="Normal 3 6 2 2 2" xfId="674" xr:uid="{00000000-0005-0000-0000-0000C6080000}"/>
    <cellStyle name="Normal 3 6 2 3" xfId="603" xr:uid="{00000000-0005-0000-0000-0000C7080000}"/>
    <cellStyle name="Normal 3 6 3" xfId="337" xr:uid="{00000000-0005-0000-0000-0000C8080000}"/>
    <cellStyle name="Normal 3 6 3 2" xfId="673" xr:uid="{00000000-0005-0000-0000-0000C9080000}"/>
    <cellStyle name="Normal 3 6 4" xfId="602" xr:uid="{00000000-0005-0000-0000-0000CA080000}"/>
    <cellStyle name="Normal 3 6 5" xfId="1264" xr:uid="{00000000-0005-0000-0000-0000CB080000}"/>
    <cellStyle name="Normal 3 7" xfId="183" xr:uid="{00000000-0005-0000-0000-0000CC080000}"/>
    <cellStyle name="Normal 3 7 2" xfId="339" xr:uid="{00000000-0005-0000-0000-0000CD080000}"/>
    <cellStyle name="Normal 3 7 2 2" xfId="675" xr:uid="{00000000-0005-0000-0000-0000CE080000}"/>
    <cellStyle name="Normal 3 7 3" xfId="604" xr:uid="{00000000-0005-0000-0000-0000CF080000}"/>
    <cellStyle name="Normal 3 8" xfId="184" xr:uid="{00000000-0005-0000-0000-0000D0080000}"/>
    <cellStyle name="Normal 3 8 2" xfId="340" xr:uid="{00000000-0005-0000-0000-0000D1080000}"/>
    <cellStyle name="Normal 3 8 2 2" xfId="676" xr:uid="{00000000-0005-0000-0000-0000D2080000}"/>
    <cellStyle name="Normal 3 8 3" xfId="605" xr:uid="{00000000-0005-0000-0000-0000D3080000}"/>
    <cellStyle name="Normal 3 9" xfId="185" xr:uid="{00000000-0005-0000-0000-0000D4080000}"/>
    <cellStyle name="Normal 3 9 2" xfId="341" xr:uid="{00000000-0005-0000-0000-0000D5080000}"/>
    <cellStyle name="Normal 3 9 2 2" xfId="677" xr:uid="{00000000-0005-0000-0000-0000D6080000}"/>
    <cellStyle name="Normal 3 9 3" xfId="606" xr:uid="{00000000-0005-0000-0000-0000D7080000}"/>
    <cellStyle name="Normal 30" xfId="552" xr:uid="{00000000-0005-0000-0000-0000D8080000}"/>
    <cellStyle name="Normal 30 10" xfId="2750" xr:uid="{00000000-0005-0000-0000-0000D9080000}"/>
    <cellStyle name="Normal 30 2" xfId="709" xr:uid="{00000000-0005-0000-0000-0000DA080000}"/>
    <cellStyle name="Normal 30 2 2" xfId="815" xr:uid="{00000000-0005-0000-0000-0000DB080000}"/>
    <cellStyle name="Normal 30 2 2 2" xfId="903" xr:uid="{00000000-0005-0000-0000-0000DC080000}"/>
    <cellStyle name="Normal 30 2 2 2 2" xfId="1498" xr:uid="{00000000-0005-0000-0000-0000DD080000}"/>
    <cellStyle name="Normal 30 2 2 2 2 2" xfId="2196" xr:uid="{00000000-0005-0000-0000-0000DE080000}"/>
    <cellStyle name="Normal 30 2 2 2 2 3" xfId="2671" xr:uid="{00000000-0005-0000-0000-0000DF080000}"/>
    <cellStyle name="Normal 30 2 2 2 2 4" xfId="3374" xr:uid="{00000000-0005-0000-0000-0000E0080000}"/>
    <cellStyle name="Normal 30 2 2 2 3" xfId="1146" xr:uid="{00000000-0005-0000-0000-0000E1080000}"/>
    <cellStyle name="Normal 30 2 2 2 3 2" xfId="1945" xr:uid="{00000000-0005-0000-0000-0000E2080000}"/>
    <cellStyle name="Normal 30 2 2 2 3 3" xfId="3123" xr:uid="{00000000-0005-0000-0000-0000E3080000}"/>
    <cellStyle name="Normal 30 2 2 2 4" xfId="1725" xr:uid="{00000000-0005-0000-0000-0000E4080000}"/>
    <cellStyle name="Normal 30 2 2 2 5" xfId="2420" xr:uid="{00000000-0005-0000-0000-0000E5080000}"/>
    <cellStyle name="Normal 30 2 2 2 6" xfId="2903" xr:uid="{00000000-0005-0000-0000-0000E6080000}"/>
    <cellStyle name="Normal 30 2 2 3" xfId="1410" xr:uid="{00000000-0005-0000-0000-0000E7080000}"/>
    <cellStyle name="Normal 30 2 2 3 2" xfId="2108" xr:uid="{00000000-0005-0000-0000-0000E8080000}"/>
    <cellStyle name="Normal 30 2 2 3 3" xfId="2583" xr:uid="{00000000-0005-0000-0000-0000E9080000}"/>
    <cellStyle name="Normal 30 2 2 3 4" xfId="3286" xr:uid="{00000000-0005-0000-0000-0000EA080000}"/>
    <cellStyle name="Normal 30 2 2 4" xfId="1058" xr:uid="{00000000-0005-0000-0000-0000EB080000}"/>
    <cellStyle name="Normal 30 2 2 4 2" xfId="1857" xr:uid="{00000000-0005-0000-0000-0000EC080000}"/>
    <cellStyle name="Normal 30 2 2 4 3" xfId="3035" xr:uid="{00000000-0005-0000-0000-0000ED080000}"/>
    <cellStyle name="Normal 30 2 2 5" xfId="1637" xr:uid="{00000000-0005-0000-0000-0000EE080000}"/>
    <cellStyle name="Normal 30 2 2 6" xfId="2332" xr:uid="{00000000-0005-0000-0000-0000EF080000}"/>
    <cellStyle name="Normal 30 2 2 7" xfId="2815" xr:uid="{00000000-0005-0000-0000-0000F0080000}"/>
    <cellStyle name="Normal 30 2 3" xfId="947" xr:uid="{00000000-0005-0000-0000-0000F1080000}"/>
    <cellStyle name="Normal 30 2 3 2" xfId="1542" xr:uid="{00000000-0005-0000-0000-0000F2080000}"/>
    <cellStyle name="Normal 30 2 3 2 2" xfId="2240" xr:uid="{00000000-0005-0000-0000-0000F3080000}"/>
    <cellStyle name="Normal 30 2 3 2 3" xfId="2715" xr:uid="{00000000-0005-0000-0000-0000F4080000}"/>
    <cellStyle name="Normal 30 2 3 2 4" xfId="3418" xr:uid="{00000000-0005-0000-0000-0000F5080000}"/>
    <cellStyle name="Normal 30 2 3 3" xfId="1190" xr:uid="{00000000-0005-0000-0000-0000F6080000}"/>
    <cellStyle name="Normal 30 2 3 3 2" xfId="1989" xr:uid="{00000000-0005-0000-0000-0000F7080000}"/>
    <cellStyle name="Normal 30 2 3 3 3" xfId="3167" xr:uid="{00000000-0005-0000-0000-0000F8080000}"/>
    <cellStyle name="Normal 30 2 3 4" xfId="1769" xr:uid="{00000000-0005-0000-0000-0000F9080000}"/>
    <cellStyle name="Normal 30 2 3 5" xfId="2464" xr:uid="{00000000-0005-0000-0000-0000FA080000}"/>
    <cellStyle name="Normal 30 2 3 6" xfId="2947" xr:uid="{00000000-0005-0000-0000-0000FB080000}"/>
    <cellStyle name="Normal 30 2 4" xfId="859" xr:uid="{00000000-0005-0000-0000-0000FC080000}"/>
    <cellStyle name="Normal 30 2 4 2" xfId="1454" xr:uid="{00000000-0005-0000-0000-0000FD080000}"/>
    <cellStyle name="Normal 30 2 4 2 2" xfId="2152" xr:uid="{00000000-0005-0000-0000-0000FE080000}"/>
    <cellStyle name="Normal 30 2 4 2 3" xfId="2627" xr:uid="{00000000-0005-0000-0000-0000FF080000}"/>
    <cellStyle name="Normal 30 2 4 2 4" xfId="3330" xr:uid="{00000000-0005-0000-0000-000000090000}"/>
    <cellStyle name="Normal 30 2 4 3" xfId="1102" xr:uid="{00000000-0005-0000-0000-000001090000}"/>
    <cellStyle name="Normal 30 2 4 3 2" xfId="1901" xr:uid="{00000000-0005-0000-0000-000002090000}"/>
    <cellStyle name="Normal 30 2 4 3 3" xfId="3079" xr:uid="{00000000-0005-0000-0000-000003090000}"/>
    <cellStyle name="Normal 30 2 4 4" xfId="1681" xr:uid="{00000000-0005-0000-0000-000004090000}"/>
    <cellStyle name="Normal 30 2 4 5" xfId="2376" xr:uid="{00000000-0005-0000-0000-000005090000}"/>
    <cellStyle name="Normal 30 2 4 6" xfId="2859" xr:uid="{00000000-0005-0000-0000-000006090000}"/>
    <cellStyle name="Normal 30 2 5" xfId="1366" xr:uid="{00000000-0005-0000-0000-000007090000}"/>
    <cellStyle name="Normal 30 2 5 2" xfId="2064" xr:uid="{00000000-0005-0000-0000-000008090000}"/>
    <cellStyle name="Normal 30 2 5 3" xfId="2539" xr:uid="{00000000-0005-0000-0000-000009090000}"/>
    <cellStyle name="Normal 30 2 5 4" xfId="3242" xr:uid="{00000000-0005-0000-0000-00000A090000}"/>
    <cellStyle name="Normal 30 2 6" xfId="1014" xr:uid="{00000000-0005-0000-0000-00000B090000}"/>
    <cellStyle name="Normal 30 2 6 2" xfId="1813" xr:uid="{00000000-0005-0000-0000-00000C090000}"/>
    <cellStyle name="Normal 30 2 6 3" xfId="2991" xr:uid="{00000000-0005-0000-0000-00000D090000}"/>
    <cellStyle name="Normal 30 2 7" xfId="1593" xr:uid="{00000000-0005-0000-0000-00000E090000}"/>
    <cellStyle name="Normal 30 2 8" xfId="2288" xr:uid="{00000000-0005-0000-0000-00000F090000}"/>
    <cellStyle name="Normal 30 2 9" xfId="2771" xr:uid="{00000000-0005-0000-0000-000010090000}"/>
    <cellStyle name="Normal 30 3" xfId="794" xr:uid="{00000000-0005-0000-0000-000011090000}"/>
    <cellStyle name="Normal 30 3 2" xfId="882" xr:uid="{00000000-0005-0000-0000-000012090000}"/>
    <cellStyle name="Normal 30 3 2 2" xfId="1477" xr:uid="{00000000-0005-0000-0000-000013090000}"/>
    <cellStyle name="Normal 30 3 2 2 2" xfId="2175" xr:uid="{00000000-0005-0000-0000-000014090000}"/>
    <cellStyle name="Normal 30 3 2 2 3" xfId="2650" xr:uid="{00000000-0005-0000-0000-000015090000}"/>
    <cellStyle name="Normal 30 3 2 2 4" xfId="3353" xr:uid="{00000000-0005-0000-0000-000016090000}"/>
    <cellStyle name="Normal 30 3 2 3" xfId="1125" xr:uid="{00000000-0005-0000-0000-000017090000}"/>
    <cellStyle name="Normal 30 3 2 3 2" xfId="1924" xr:uid="{00000000-0005-0000-0000-000018090000}"/>
    <cellStyle name="Normal 30 3 2 3 3" xfId="3102" xr:uid="{00000000-0005-0000-0000-000019090000}"/>
    <cellStyle name="Normal 30 3 2 4" xfId="1704" xr:uid="{00000000-0005-0000-0000-00001A090000}"/>
    <cellStyle name="Normal 30 3 2 5" xfId="2399" xr:uid="{00000000-0005-0000-0000-00001B090000}"/>
    <cellStyle name="Normal 30 3 2 6" xfId="2882" xr:uid="{00000000-0005-0000-0000-00001C090000}"/>
    <cellStyle name="Normal 30 3 3" xfId="1389" xr:uid="{00000000-0005-0000-0000-00001D090000}"/>
    <cellStyle name="Normal 30 3 3 2" xfId="2087" xr:uid="{00000000-0005-0000-0000-00001E090000}"/>
    <cellStyle name="Normal 30 3 3 3" xfId="2562" xr:uid="{00000000-0005-0000-0000-00001F090000}"/>
    <cellStyle name="Normal 30 3 3 4" xfId="3265" xr:uid="{00000000-0005-0000-0000-000020090000}"/>
    <cellStyle name="Normal 30 3 4" xfId="1037" xr:uid="{00000000-0005-0000-0000-000021090000}"/>
    <cellStyle name="Normal 30 3 4 2" xfId="1836" xr:uid="{00000000-0005-0000-0000-000022090000}"/>
    <cellStyle name="Normal 30 3 4 3" xfId="3014" xr:uid="{00000000-0005-0000-0000-000023090000}"/>
    <cellStyle name="Normal 30 3 5" xfId="1616" xr:uid="{00000000-0005-0000-0000-000024090000}"/>
    <cellStyle name="Normal 30 3 6" xfId="2311" xr:uid="{00000000-0005-0000-0000-000025090000}"/>
    <cellStyle name="Normal 30 3 7" xfId="2794" xr:uid="{00000000-0005-0000-0000-000026090000}"/>
    <cellStyle name="Normal 30 4" xfId="926" xr:uid="{00000000-0005-0000-0000-000027090000}"/>
    <cellStyle name="Normal 30 4 2" xfId="1521" xr:uid="{00000000-0005-0000-0000-000028090000}"/>
    <cellStyle name="Normal 30 4 2 2" xfId="2219" xr:uid="{00000000-0005-0000-0000-000029090000}"/>
    <cellStyle name="Normal 30 4 2 3" xfId="2694" xr:uid="{00000000-0005-0000-0000-00002A090000}"/>
    <cellStyle name="Normal 30 4 2 4" xfId="3397" xr:uid="{00000000-0005-0000-0000-00002B090000}"/>
    <cellStyle name="Normal 30 4 3" xfId="1169" xr:uid="{00000000-0005-0000-0000-00002C090000}"/>
    <cellStyle name="Normal 30 4 3 2" xfId="1968" xr:uid="{00000000-0005-0000-0000-00002D090000}"/>
    <cellStyle name="Normal 30 4 3 3" xfId="3146" xr:uid="{00000000-0005-0000-0000-00002E090000}"/>
    <cellStyle name="Normal 30 4 4" xfId="1748" xr:uid="{00000000-0005-0000-0000-00002F090000}"/>
    <cellStyle name="Normal 30 4 5" xfId="2443" xr:uid="{00000000-0005-0000-0000-000030090000}"/>
    <cellStyle name="Normal 30 4 6" xfId="2926" xr:uid="{00000000-0005-0000-0000-000031090000}"/>
    <cellStyle name="Normal 30 5" xfId="838" xr:uid="{00000000-0005-0000-0000-000032090000}"/>
    <cellStyle name="Normal 30 5 2" xfId="1433" xr:uid="{00000000-0005-0000-0000-000033090000}"/>
    <cellStyle name="Normal 30 5 2 2" xfId="2131" xr:uid="{00000000-0005-0000-0000-000034090000}"/>
    <cellStyle name="Normal 30 5 2 3" xfId="2606" xr:uid="{00000000-0005-0000-0000-000035090000}"/>
    <cellStyle name="Normal 30 5 2 4" xfId="3309" xr:uid="{00000000-0005-0000-0000-000036090000}"/>
    <cellStyle name="Normal 30 5 3" xfId="1081" xr:uid="{00000000-0005-0000-0000-000037090000}"/>
    <cellStyle name="Normal 30 5 3 2" xfId="1880" xr:uid="{00000000-0005-0000-0000-000038090000}"/>
    <cellStyle name="Normal 30 5 3 3" xfId="3058" xr:uid="{00000000-0005-0000-0000-000039090000}"/>
    <cellStyle name="Normal 30 5 4" xfId="1660" xr:uid="{00000000-0005-0000-0000-00003A090000}"/>
    <cellStyle name="Normal 30 5 5" xfId="2355" xr:uid="{00000000-0005-0000-0000-00003B090000}"/>
    <cellStyle name="Normal 30 5 6" xfId="2838" xr:uid="{00000000-0005-0000-0000-00003C090000}"/>
    <cellStyle name="Normal 30 6" xfId="1345" xr:uid="{00000000-0005-0000-0000-00003D090000}"/>
    <cellStyle name="Normal 30 6 2" xfId="2043" xr:uid="{00000000-0005-0000-0000-00003E090000}"/>
    <cellStyle name="Normal 30 6 3" xfId="2518" xr:uid="{00000000-0005-0000-0000-00003F090000}"/>
    <cellStyle name="Normal 30 6 4" xfId="3221" xr:uid="{00000000-0005-0000-0000-000040090000}"/>
    <cellStyle name="Normal 30 7" xfId="993" xr:uid="{00000000-0005-0000-0000-000041090000}"/>
    <cellStyle name="Normal 30 7 2" xfId="1792" xr:uid="{00000000-0005-0000-0000-000042090000}"/>
    <cellStyle name="Normal 30 7 3" xfId="2970" xr:uid="{00000000-0005-0000-0000-000043090000}"/>
    <cellStyle name="Normal 30 8" xfId="1572" xr:uid="{00000000-0005-0000-0000-000044090000}"/>
    <cellStyle name="Normal 30 9" xfId="2267" xr:uid="{00000000-0005-0000-0000-000045090000}"/>
    <cellStyle name="Normal 31" xfId="553" xr:uid="{00000000-0005-0000-0000-000046090000}"/>
    <cellStyle name="Normal 31 10" xfId="2751" xr:uid="{00000000-0005-0000-0000-000047090000}"/>
    <cellStyle name="Normal 31 2" xfId="710" xr:uid="{00000000-0005-0000-0000-000048090000}"/>
    <cellStyle name="Normal 31 2 2" xfId="816" xr:uid="{00000000-0005-0000-0000-000049090000}"/>
    <cellStyle name="Normal 31 2 2 2" xfId="904" xr:uid="{00000000-0005-0000-0000-00004A090000}"/>
    <cellStyle name="Normal 31 2 2 2 2" xfId="1499" xr:uid="{00000000-0005-0000-0000-00004B090000}"/>
    <cellStyle name="Normal 31 2 2 2 2 2" xfId="2197" xr:uid="{00000000-0005-0000-0000-00004C090000}"/>
    <cellStyle name="Normal 31 2 2 2 2 3" xfId="2672" xr:uid="{00000000-0005-0000-0000-00004D090000}"/>
    <cellStyle name="Normal 31 2 2 2 2 4" xfId="3375" xr:uid="{00000000-0005-0000-0000-00004E090000}"/>
    <cellStyle name="Normal 31 2 2 2 3" xfId="1147" xr:uid="{00000000-0005-0000-0000-00004F090000}"/>
    <cellStyle name="Normal 31 2 2 2 3 2" xfId="1946" xr:uid="{00000000-0005-0000-0000-000050090000}"/>
    <cellStyle name="Normal 31 2 2 2 3 3" xfId="3124" xr:uid="{00000000-0005-0000-0000-000051090000}"/>
    <cellStyle name="Normal 31 2 2 2 4" xfId="1726" xr:uid="{00000000-0005-0000-0000-000052090000}"/>
    <cellStyle name="Normal 31 2 2 2 5" xfId="2421" xr:uid="{00000000-0005-0000-0000-000053090000}"/>
    <cellStyle name="Normal 31 2 2 2 6" xfId="2904" xr:uid="{00000000-0005-0000-0000-000054090000}"/>
    <cellStyle name="Normal 31 2 2 3" xfId="1411" xr:uid="{00000000-0005-0000-0000-000055090000}"/>
    <cellStyle name="Normal 31 2 2 3 2" xfId="2109" xr:uid="{00000000-0005-0000-0000-000056090000}"/>
    <cellStyle name="Normal 31 2 2 3 3" xfId="2584" xr:uid="{00000000-0005-0000-0000-000057090000}"/>
    <cellStyle name="Normal 31 2 2 3 4" xfId="3287" xr:uid="{00000000-0005-0000-0000-000058090000}"/>
    <cellStyle name="Normal 31 2 2 4" xfId="1059" xr:uid="{00000000-0005-0000-0000-000059090000}"/>
    <cellStyle name="Normal 31 2 2 4 2" xfId="1858" xr:uid="{00000000-0005-0000-0000-00005A090000}"/>
    <cellStyle name="Normal 31 2 2 4 3" xfId="3036" xr:uid="{00000000-0005-0000-0000-00005B090000}"/>
    <cellStyle name="Normal 31 2 2 5" xfId="1638" xr:uid="{00000000-0005-0000-0000-00005C090000}"/>
    <cellStyle name="Normal 31 2 2 6" xfId="2333" xr:uid="{00000000-0005-0000-0000-00005D090000}"/>
    <cellStyle name="Normal 31 2 2 7" xfId="2816" xr:uid="{00000000-0005-0000-0000-00005E090000}"/>
    <cellStyle name="Normal 31 2 3" xfId="948" xr:uid="{00000000-0005-0000-0000-00005F090000}"/>
    <cellStyle name="Normal 31 2 3 2" xfId="1543" xr:uid="{00000000-0005-0000-0000-000060090000}"/>
    <cellStyle name="Normal 31 2 3 2 2" xfId="2241" xr:uid="{00000000-0005-0000-0000-000061090000}"/>
    <cellStyle name="Normal 31 2 3 2 3" xfId="2716" xr:uid="{00000000-0005-0000-0000-000062090000}"/>
    <cellStyle name="Normal 31 2 3 2 4" xfId="3419" xr:uid="{00000000-0005-0000-0000-000063090000}"/>
    <cellStyle name="Normal 31 2 3 3" xfId="1191" xr:uid="{00000000-0005-0000-0000-000064090000}"/>
    <cellStyle name="Normal 31 2 3 3 2" xfId="1990" xr:uid="{00000000-0005-0000-0000-000065090000}"/>
    <cellStyle name="Normal 31 2 3 3 3" xfId="3168" xr:uid="{00000000-0005-0000-0000-000066090000}"/>
    <cellStyle name="Normal 31 2 3 4" xfId="1770" xr:uid="{00000000-0005-0000-0000-000067090000}"/>
    <cellStyle name="Normal 31 2 3 5" xfId="2465" xr:uid="{00000000-0005-0000-0000-000068090000}"/>
    <cellStyle name="Normal 31 2 3 6" xfId="2948" xr:uid="{00000000-0005-0000-0000-000069090000}"/>
    <cellStyle name="Normal 31 2 4" xfId="860" xr:uid="{00000000-0005-0000-0000-00006A090000}"/>
    <cellStyle name="Normal 31 2 4 2" xfId="1455" xr:uid="{00000000-0005-0000-0000-00006B090000}"/>
    <cellStyle name="Normal 31 2 4 2 2" xfId="2153" xr:uid="{00000000-0005-0000-0000-00006C090000}"/>
    <cellStyle name="Normal 31 2 4 2 3" xfId="2628" xr:uid="{00000000-0005-0000-0000-00006D090000}"/>
    <cellStyle name="Normal 31 2 4 2 4" xfId="3331" xr:uid="{00000000-0005-0000-0000-00006E090000}"/>
    <cellStyle name="Normal 31 2 4 3" xfId="1103" xr:uid="{00000000-0005-0000-0000-00006F090000}"/>
    <cellStyle name="Normal 31 2 4 3 2" xfId="1902" xr:uid="{00000000-0005-0000-0000-000070090000}"/>
    <cellStyle name="Normal 31 2 4 3 3" xfId="3080" xr:uid="{00000000-0005-0000-0000-000071090000}"/>
    <cellStyle name="Normal 31 2 4 4" xfId="1682" xr:uid="{00000000-0005-0000-0000-000072090000}"/>
    <cellStyle name="Normal 31 2 4 5" xfId="2377" xr:uid="{00000000-0005-0000-0000-000073090000}"/>
    <cellStyle name="Normal 31 2 4 6" xfId="2860" xr:uid="{00000000-0005-0000-0000-000074090000}"/>
    <cellStyle name="Normal 31 2 5" xfId="1367" xr:uid="{00000000-0005-0000-0000-000075090000}"/>
    <cellStyle name="Normal 31 2 5 2" xfId="2065" xr:uid="{00000000-0005-0000-0000-000076090000}"/>
    <cellStyle name="Normal 31 2 5 3" xfId="2540" xr:uid="{00000000-0005-0000-0000-000077090000}"/>
    <cellStyle name="Normal 31 2 5 4" xfId="3243" xr:uid="{00000000-0005-0000-0000-000078090000}"/>
    <cellStyle name="Normal 31 2 6" xfId="1015" xr:uid="{00000000-0005-0000-0000-000079090000}"/>
    <cellStyle name="Normal 31 2 6 2" xfId="1814" xr:uid="{00000000-0005-0000-0000-00007A090000}"/>
    <cellStyle name="Normal 31 2 6 3" xfId="2992" xr:uid="{00000000-0005-0000-0000-00007B090000}"/>
    <cellStyle name="Normal 31 2 7" xfId="1594" xr:uid="{00000000-0005-0000-0000-00007C090000}"/>
    <cellStyle name="Normal 31 2 8" xfId="2289" xr:uid="{00000000-0005-0000-0000-00007D090000}"/>
    <cellStyle name="Normal 31 2 9" xfId="2772" xr:uid="{00000000-0005-0000-0000-00007E090000}"/>
    <cellStyle name="Normal 31 3" xfId="795" xr:uid="{00000000-0005-0000-0000-00007F090000}"/>
    <cellStyle name="Normal 31 3 2" xfId="883" xr:uid="{00000000-0005-0000-0000-000080090000}"/>
    <cellStyle name="Normal 31 3 2 2" xfId="1478" xr:uid="{00000000-0005-0000-0000-000081090000}"/>
    <cellStyle name="Normal 31 3 2 2 2" xfId="2176" xr:uid="{00000000-0005-0000-0000-000082090000}"/>
    <cellStyle name="Normal 31 3 2 2 3" xfId="2651" xr:uid="{00000000-0005-0000-0000-000083090000}"/>
    <cellStyle name="Normal 31 3 2 2 4" xfId="3354" xr:uid="{00000000-0005-0000-0000-000084090000}"/>
    <cellStyle name="Normal 31 3 2 3" xfId="1126" xr:uid="{00000000-0005-0000-0000-000085090000}"/>
    <cellStyle name="Normal 31 3 2 3 2" xfId="1925" xr:uid="{00000000-0005-0000-0000-000086090000}"/>
    <cellStyle name="Normal 31 3 2 3 3" xfId="3103" xr:uid="{00000000-0005-0000-0000-000087090000}"/>
    <cellStyle name="Normal 31 3 2 4" xfId="1705" xr:uid="{00000000-0005-0000-0000-000088090000}"/>
    <cellStyle name="Normal 31 3 2 5" xfId="2400" xr:uid="{00000000-0005-0000-0000-000089090000}"/>
    <cellStyle name="Normal 31 3 2 6" xfId="2883" xr:uid="{00000000-0005-0000-0000-00008A090000}"/>
    <cellStyle name="Normal 31 3 3" xfId="1390" xr:uid="{00000000-0005-0000-0000-00008B090000}"/>
    <cellStyle name="Normal 31 3 3 2" xfId="2088" xr:uid="{00000000-0005-0000-0000-00008C090000}"/>
    <cellStyle name="Normal 31 3 3 3" xfId="2563" xr:uid="{00000000-0005-0000-0000-00008D090000}"/>
    <cellStyle name="Normal 31 3 3 4" xfId="3266" xr:uid="{00000000-0005-0000-0000-00008E090000}"/>
    <cellStyle name="Normal 31 3 4" xfId="1038" xr:uid="{00000000-0005-0000-0000-00008F090000}"/>
    <cellStyle name="Normal 31 3 4 2" xfId="1837" xr:uid="{00000000-0005-0000-0000-000090090000}"/>
    <cellStyle name="Normal 31 3 4 3" xfId="3015" xr:uid="{00000000-0005-0000-0000-000091090000}"/>
    <cellStyle name="Normal 31 3 5" xfId="1617" xr:uid="{00000000-0005-0000-0000-000092090000}"/>
    <cellStyle name="Normal 31 3 6" xfId="2312" xr:uid="{00000000-0005-0000-0000-000093090000}"/>
    <cellStyle name="Normal 31 3 7" xfId="2795" xr:uid="{00000000-0005-0000-0000-000094090000}"/>
    <cellStyle name="Normal 31 4" xfId="927" xr:uid="{00000000-0005-0000-0000-000095090000}"/>
    <cellStyle name="Normal 31 4 2" xfId="1522" xr:uid="{00000000-0005-0000-0000-000096090000}"/>
    <cellStyle name="Normal 31 4 2 2" xfId="2220" xr:uid="{00000000-0005-0000-0000-000097090000}"/>
    <cellStyle name="Normal 31 4 2 3" xfId="2695" xr:uid="{00000000-0005-0000-0000-000098090000}"/>
    <cellStyle name="Normal 31 4 2 4" xfId="3398" xr:uid="{00000000-0005-0000-0000-000099090000}"/>
    <cellStyle name="Normal 31 4 3" xfId="1170" xr:uid="{00000000-0005-0000-0000-00009A090000}"/>
    <cellStyle name="Normal 31 4 3 2" xfId="1969" xr:uid="{00000000-0005-0000-0000-00009B090000}"/>
    <cellStyle name="Normal 31 4 3 3" xfId="3147" xr:uid="{00000000-0005-0000-0000-00009C090000}"/>
    <cellStyle name="Normal 31 4 4" xfId="1749" xr:uid="{00000000-0005-0000-0000-00009D090000}"/>
    <cellStyle name="Normal 31 4 5" xfId="2444" xr:uid="{00000000-0005-0000-0000-00009E090000}"/>
    <cellStyle name="Normal 31 4 6" xfId="2927" xr:uid="{00000000-0005-0000-0000-00009F090000}"/>
    <cellStyle name="Normal 31 5" xfId="839" xr:uid="{00000000-0005-0000-0000-0000A0090000}"/>
    <cellStyle name="Normal 31 5 2" xfId="1434" xr:uid="{00000000-0005-0000-0000-0000A1090000}"/>
    <cellStyle name="Normal 31 5 2 2" xfId="2132" xr:uid="{00000000-0005-0000-0000-0000A2090000}"/>
    <cellStyle name="Normal 31 5 2 3" xfId="2607" xr:uid="{00000000-0005-0000-0000-0000A3090000}"/>
    <cellStyle name="Normal 31 5 2 4" xfId="3310" xr:uid="{00000000-0005-0000-0000-0000A4090000}"/>
    <cellStyle name="Normal 31 5 3" xfId="1082" xr:uid="{00000000-0005-0000-0000-0000A5090000}"/>
    <cellStyle name="Normal 31 5 3 2" xfId="1881" xr:uid="{00000000-0005-0000-0000-0000A6090000}"/>
    <cellStyle name="Normal 31 5 3 3" xfId="3059" xr:uid="{00000000-0005-0000-0000-0000A7090000}"/>
    <cellStyle name="Normal 31 5 4" xfId="1661" xr:uid="{00000000-0005-0000-0000-0000A8090000}"/>
    <cellStyle name="Normal 31 5 5" xfId="2356" xr:uid="{00000000-0005-0000-0000-0000A9090000}"/>
    <cellStyle name="Normal 31 5 6" xfId="2839" xr:uid="{00000000-0005-0000-0000-0000AA090000}"/>
    <cellStyle name="Normal 31 6" xfId="1346" xr:uid="{00000000-0005-0000-0000-0000AB090000}"/>
    <cellStyle name="Normal 31 6 2" xfId="2044" xr:uid="{00000000-0005-0000-0000-0000AC090000}"/>
    <cellStyle name="Normal 31 6 3" xfId="2519" xr:uid="{00000000-0005-0000-0000-0000AD090000}"/>
    <cellStyle name="Normal 31 6 4" xfId="3222" xr:uid="{00000000-0005-0000-0000-0000AE090000}"/>
    <cellStyle name="Normal 31 7" xfId="994" xr:uid="{00000000-0005-0000-0000-0000AF090000}"/>
    <cellStyle name="Normal 31 7 2" xfId="1793" xr:uid="{00000000-0005-0000-0000-0000B0090000}"/>
    <cellStyle name="Normal 31 7 3" xfId="2971" xr:uid="{00000000-0005-0000-0000-0000B1090000}"/>
    <cellStyle name="Normal 31 8" xfId="1573" xr:uid="{00000000-0005-0000-0000-0000B2090000}"/>
    <cellStyle name="Normal 31 9" xfId="2268" xr:uid="{00000000-0005-0000-0000-0000B3090000}"/>
    <cellStyle name="Normal 32" xfId="554" xr:uid="{00000000-0005-0000-0000-0000B4090000}"/>
    <cellStyle name="Normal 32 10" xfId="2752" xr:uid="{00000000-0005-0000-0000-0000B5090000}"/>
    <cellStyle name="Normal 32 2" xfId="711" xr:uid="{00000000-0005-0000-0000-0000B6090000}"/>
    <cellStyle name="Normal 32 2 2" xfId="817" xr:uid="{00000000-0005-0000-0000-0000B7090000}"/>
    <cellStyle name="Normal 32 2 2 2" xfId="905" xr:uid="{00000000-0005-0000-0000-0000B8090000}"/>
    <cellStyle name="Normal 32 2 2 2 2" xfId="1500" xr:uid="{00000000-0005-0000-0000-0000B9090000}"/>
    <cellStyle name="Normal 32 2 2 2 2 2" xfId="2198" xr:uid="{00000000-0005-0000-0000-0000BA090000}"/>
    <cellStyle name="Normal 32 2 2 2 2 3" xfId="2673" xr:uid="{00000000-0005-0000-0000-0000BB090000}"/>
    <cellStyle name="Normal 32 2 2 2 2 4" xfId="3376" xr:uid="{00000000-0005-0000-0000-0000BC090000}"/>
    <cellStyle name="Normal 32 2 2 2 3" xfId="1148" xr:uid="{00000000-0005-0000-0000-0000BD090000}"/>
    <cellStyle name="Normal 32 2 2 2 3 2" xfId="1947" xr:uid="{00000000-0005-0000-0000-0000BE090000}"/>
    <cellStyle name="Normal 32 2 2 2 3 3" xfId="3125" xr:uid="{00000000-0005-0000-0000-0000BF090000}"/>
    <cellStyle name="Normal 32 2 2 2 4" xfId="1727" xr:uid="{00000000-0005-0000-0000-0000C0090000}"/>
    <cellStyle name="Normal 32 2 2 2 5" xfId="2422" xr:uid="{00000000-0005-0000-0000-0000C1090000}"/>
    <cellStyle name="Normal 32 2 2 2 6" xfId="2905" xr:uid="{00000000-0005-0000-0000-0000C2090000}"/>
    <cellStyle name="Normal 32 2 2 3" xfId="1412" xr:uid="{00000000-0005-0000-0000-0000C3090000}"/>
    <cellStyle name="Normal 32 2 2 3 2" xfId="2110" xr:uid="{00000000-0005-0000-0000-0000C4090000}"/>
    <cellStyle name="Normal 32 2 2 3 3" xfId="2585" xr:uid="{00000000-0005-0000-0000-0000C5090000}"/>
    <cellStyle name="Normal 32 2 2 3 4" xfId="3288" xr:uid="{00000000-0005-0000-0000-0000C6090000}"/>
    <cellStyle name="Normal 32 2 2 4" xfId="1060" xr:uid="{00000000-0005-0000-0000-0000C7090000}"/>
    <cellStyle name="Normal 32 2 2 4 2" xfId="1859" xr:uid="{00000000-0005-0000-0000-0000C8090000}"/>
    <cellStyle name="Normal 32 2 2 4 3" xfId="3037" xr:uid="{00000000-0005-0000-0000-0000C9090000}"/>
    <cellStyle name="Normal 32 2 2 5" xfId="1639" xr:uid="{00000000-0005-0000-0000-0000CA090000}"/>
    <cellStyle name="Normal 32 2 2 6" xfId="2334" xr:uid="{00000000-0005-0000-0000-0000CB090000}"/>
    <cellStyle name="Normal 32 2 2 7" xfId="2817" xr:uid="{00000000-0005-0000-0000-0000CC090000}"/>
    <cellStyle name="Normal 32 2 3" xfId="949" xr:uid="{00000000-0005-0000-0000-0000CD090000}"/>
    <cellStyle name="Normal 32 2 3 2" xfId="1544" xr:uid="{00000000-0005-0000-0000-0000CE090000}"/>
    <cellStyle name="Normal 32 2 3 2 2" xfId="2242" xr:uid="{00000000-0005-0000-0000-0000CF090000}"/>
    <cellStyle name="Normal 32 2 3 2 3" xfId="2717" xr:uid="{00000000-0005-0000-0000-0000D0090000}"/>
    <cellStyle name="Normal 32 2 3 2 4" xfId="3420" xr:uid="{00000000-0005-0000-0000-0000D1090000}"/>
    <cellStyle name="Normal 32 2 3 3" xfId="1192" xr:uid="{00000000-0005-0000-0000-0000D2090000}"/>
    <cellStyle name="Normal 32 2 3 3 2" xfId="1991" xr:uid="{00000000-0005-0000-0000-0000D3090000}"/>
    <cellStyle name="Normal 32 2 3 3 3" xfId="3169" xr:uid="{00000000-0005-0000-0000-0000D4090000}"/>
    <cellStyle name="Normal 32 2 3 4" xfId="1771" xr:uid="{00000000-0005-0000-0000-0000D5090000}"/>
    <cellStyle name="Normal 32 2 3 5" xfId="2466" xr:uid="{00000000-0005-0000-0000-0000D6090000}"/>
    <cellStyle name="Normal 32 2 3 6" xfId="2949" xr:uid="{00000000-0005-0000-0000-0000D7090000}"/>
    <cellStyle name="Normal 32 2 4" xfId="861" xr:uid="{00000000-0005-0000-0000-0000D8090000}"/>
    <cellStyle name="Normal 32 2 4 2" xfId="1456" xr:uid="{00000000-0005-0000-0000-0000D9090000}"/>
    <cellStyle name="Normal 32 2 4 2 2" xfId="2154" xr:uid="{00000000-0005-0000-0000-0000DA090000}"/>
    <cellStyle name="Normal 32 2 4 2 3" xfId="2629" xr:uid="{00000000-0005-0000-0000-0000DB090000}"/>
    <cellStyle name="Normal 32 2 4 2 4" xfId="3332" xr:uid="{00000000-0005-0000-0000-0000DC090000}"/>
    <cellStyle name="Normal 32 2 4 3" xfId="1104" xr:uid="{00000000-0005-0000-0000-0000DD090000}"/>
    <cellStyle name="Normal 32 2 4 3 2" xfId="1903" xr:uid="{00000000-0005-0000-0000-0000DE090000}"/>
    <cellStyle name="Normal 32 2 4 3 3" xfId="3081" xr:uid="{00000000-0005-0000-0000-0000DF090000}"/>
    <cellStyle name="Normal 32 2 4 4" xfId="1683" xr:uid="{00000000-0005-0000-0000-0000E0090000}"/>
    <cellStyle name="Normal 32 2 4 5" xfId="2378" xr:uid="{00000000-0005-0000-0000-0000E1090000}"/>
    <cellStyle name="Normal 32 2 4 6" xfId="2861" xr:uid="{00000000-0005-0000-0000-0000E2090000}"/>
    <cellStyle name="Normal 32 2 5" xfId="1368" xr:uid="{00000000-0005-0000-0000-0000E3090000}"/>
    <cellStyle name="Normal 32 2 5 2" xfId="2066" xr:uid="{00000000-0005-0000-0000-0000E4090000}"/>
    <cellStyle name="Normal 32 2 5 3" xfId="2541" xr:uid="{00000000-0005-0000-0000-0000E5090000}"/>
    <cellStyle name="Normal 32 2 5 4" xfId="3244" xr:uid="{00000000-0005-0000-0000-0000E6090000}"/>
    <cellStyle name="Normal 32 2 6" xfId="1016" xr:uid="{00000000-0005-0000-0000-0000E7090000}"/>
    <cellStyle name="Normal 32 2 6 2" xfId="1815" xr:uid="{00000000-0005-0000-0000-0000E8090000}"/>
    <cellStyle name="Normal 32 2 6 3" xfId="2993" xr:uid="{00000000-0005-0000-0000-0000E9090000}"/>
    <cellStyle name="Normal 32 2 7" xfId="1595" xr:uid="{00000000-0005-0000-0000-0000EA090000}"/>
    <cellStyle name="Normal 32 2 8" xfId="2290" xr:uid="{00000000-0005-0000-0000-0000EB090000}"/>
    <cellStyle name="Normal 32 2 9" xfId="2773" xr:uid="{00000000-0005-0000-0000-0000EC090000}"/>
    <cellStyle name="Normal 32 3" xfId="796" xr:uid="{00000000-0005-0000-0000-0000ED090000}"/>
    <cellStyle name="Normal 32 3 2" xfId="884" xr:uid="{00000000-0005-0000-0000-0000EE090000}"/>
    <cellStyle name="Normal 32 3 2 2" xfId="1479" xr:uid="{00000000-0005-0000-0000-0000EF090000}"/>
    <cellStyle name="Normal 32 3 2 2 2" xfId="2177" xr:uid="{00000000-0005-0000-0000-0000F0090000}"/>
    <cellStyle name="Normal 32 3 2 2 3" xfId="2652" xr:uid="{00000000-0005-0000-0000-0000F1090000}"/>
    <cellStyle name="Normal 32 3 2 2 4" xfId="3355" xr:uid="{00000000-0005-0000-0000-0000F2090000}"/>
    <cellStyle name="Normal 32 3 2 3" xfId="1127" xr:uid="{00000000-0005-0000-0000-0000F3090000}"/>
    <cellStyle name="Normal 32 3 2 3 2" xfId="1926" xr:uid="{00000000-0005-0000-0000-0000F4090000}"/>
    <cellStyle name="Normal 32 3 2 3 3" xfId="3104" xr:uid="{00000000-0005-0000-0000-0000F5090000}"/>
    <cellStyle name="Normal 32 3 2 4" xfId="1706" xr:uid="{00000000-0005-0000-0000-0000F6090000}"/>
    <cellStyle name="Normal 32 3 2 5" xfId="2401" xr:uid="{00000000-0005-0000-0000-0000F7090000}"/>
    <cellStyle name="Normal 32 3 2 6" xfId="2884" xr:uid="{00000000-0005-0000-0000-0000F8090000}"/>
    <cellStyle name="Normal 32 3 3" xfId="1391" xr:uid="{00000000-0005-0000-0000-0000F9090000}"/>
    <cellStyle name="Normal 32 3 3 2" xfId="2089" xr:uid="{00000000-0005-0000-0000-0000FA090000}"/>
    <cellStyle name="Normal 32 3 3 3" xfId="2564" xr:uid="{00000000-0005-0000-0000-0000FB090000}"/>
    <cellStyle name="Normal 32 3 3 4" xfId="3267" xr:uid="{00000000-0005-0000-0000-0000FC090000}"/>
    <cellStyle name="Normal 32 3 4" xfId="1039" xr:uid="{00000000-0005-0000-0000-0000FD090000}"/>
    <cellStyle name="Normal 32 3 4 2" xfId="1838" xr:uid="{00000000-0005-0000-0000-0000FE090000}"/>
    <cellStyle name="Normal 32 3 4 3" xfId="3016" xr:uid="{00000000-0005-0000-0000-0000FF090000}"/>
    <cellStyle name="Normal 32 3 5" xfId="1618" xr:uid="{00000000-0005-0000-0000-0000000A0000}"/>
    <cellStyle name="Normal 32 3 6" xfId="2313" xr:uid="{00000000-0005-0000-0000-0000010A0000}"/>
    <cellStyle name="Normal 32 3 7" xfId="2796" xr:uid="{00000000-0005-0000-0000-0000020A0000}"/>
    <cellStyle name="Normal 32 4" xfId="928" xr:uid="{00000000-0005-0000-0000-0000030A0000}"/>
    <cellStyle name="Normal 32 4 2" xfId="1523" xr:uid="{00000000-0005-0000-0000-0000040A0000}"/>
    <cellStyle name="Normal 32 4 2 2" xfId="2221" xr:uid="{00000000-0005-0000-0000-0000050A0000}"/>
    <cellStyle name="Normal 32 4 2 3" xfId="2696" xr:uid="{00000000-0005-0000-0000-0000060A0000}"/>
    <cellStyle name="Normal 32 4 2 4" xfId="3399" xr:uid="{00000000-0005-0000-0000-0000070A0000}"/>
    <cellStyle name="Normal 32 4 3" xfId="1171" xr:uid="{00000000-0005-0000-0000-0000080A0000}"/>
    <cellStyle name="Normal 32 4 3 2" xfId="1970" xr:uid="{00000000-0005-0000-0000-0000090A0000}"/>
    <cellStyle name="Normal 32 4 3 3" xfId="3148" xr:uid="{00000000-0005-0000-0000-00000A0A0000}"/>
    <cellStyle name="Normal 32 4 4" xfId="1750" xr:uid="{00000000-0005-0000-0000-00000B0A0000}"/>
    <cellStyle name="Normal 32 4 5" xfId="2445" xr:uid="{00000000-0005-0000-0000-00000C0A0000}"/>
    <cellStyle name="Normal 32 4 6" xfId="2928" xr:uid="{00000000-0005-0000-0000-00000D0A0000}"/>
    <cellStyle name="Normal 32 5" xfId="840" xr:uid="{00000000-0005-0000-0000-00000E0A0000}"/>
    <cellStyle name="Normal 32 5 2" xfId="1435" xr:uid="{00000000-0005-0000-0000-00000F0A0000}"/>
    <cellStyle name="Normal 32 5 2 2" xfId="2133" xr:uid="{00000000-0005-0000-0000-0000100A0000}"/>
    <cellStyle name="Normal 32 5 2 3" xfId="2608" xr:uid="{00000000-0005-0000-0000-0000110A0000}"/>
    <cellStyle name="Normal 32 5 2 4" xfId="3311" xr:uid="{00000000-0005-0000-0000-0000120A0000}"/>
    <cellStyle name="Normal 32 5 3" xfId="1083" xr:uid="{00000000-0005-0000-0000-0000130A0000}"/>
    <cellStyle name="Normal 32 5 3 2" xfId="1882" xr:uid="{00000000-0005-0000-0000-0000140A0000}"/>
    <cellStyle name="Normal 32 5 3 3" xfId="3060" xr:uid="{00000000-0005-0000-0000-0000150A0000}"/>
    <cellStyle name="Normal 32 5 4" xfId="1662" xr:uid="{00000000-0005-0000-0000-0000160A0000}"/>
    <cellStyle name="Normal 32 5 5" xfId="2357" xr:uid="{00000000-0005-0000-0000-0000170A0000}"/>
    <cellStyle name="Normal 32 5 6" xfId="2840" xr:uid="{00000000-0005-0000-0000-0000180A0000}"/>
    <cellStyle name="Normal 32 6" xfId="1347" xr:uid="{00000000-0005-0000-0000-0000190A0000}"/>
    <cellStyle name="Normal 32 6 2" xfId="2045" xr:uid="{00000000-0005-0000-0000-00001A0A0000}"/>
    <cellStyle name="Normal 32 6 3" xfId="2520" xr:uid="{00000000-0005-0000-0000-00001B0A0000}"/>
    <cellStyle name="Normal 32 6 4" xfId="3223" xr:uid="{00000000-0005-0000-0000-00001C0A0000}"/>
    <cellStyle name="Normal 32 7" xfId="995" xr:uid="{00000000-0005-0000-0000-00001D0A0000}"/>
    <cellStyle name="Normal 32 7 2" xfId="1794" xr:uid="{00000000-0005-0000-0000-00001E0A0000}"/>
    <cellStyle name="Normal 32 7 3" xfId="2972" xr:uid="{00000000-0005-0000-0000-00001F0A0000}"/>
    <cellStyle name="Normal 32 8" xfId="1574" xr:uid="{00000000-0005-0000-0000-0000200A0000}"/>
    <cellStyle name="Normal 32 9" xfId="2269" xr:uid="{00000000-0005-0000-0000-0000210A0000}"/>
    <cellStyle name="Normal 33" xfId="555" xr:uid="{00000000-0005-0000-0000-0000220A0000}"/>
    <cellStyle name="Normal 33 10" xfId="2753" xr:uid="{00000000-0005-0000-0000-0000230A0000}"/>
    <cellStyle name="Normal 33 2" xfId="712" xr:uid="{00000000-0005-0000-0000-0000240A0000}"/>
    <cellStyle name="Normal 33 2 2" xfId="818" xr:uid="{00000000-0005-0000-0000-0000250A0000}"/>
    <cellStyle name="Normal 33 2 2 2" xfId="906" xr:uid="{00000000-0005-0000-0000-0000260A0000}"/>
    <cellStyle name="Normal 33 2 2 2 2" xfId="1501" xr:uid="{00000000-0005-0000-0000-0000270A0000}"/>
    <cellStyle name="Normal 33 2 2 2 2 2" xfId="2199" xr:uid="{00000000-0005-0000-0000-0000280A0000}"/>
    <cellStyle name="Normal 33 2 2 2 2 3" xfId="2674" xr:uid="{00000000-0005-0000-0000-0000290A0000}"/>
    <cellStyle name="Normal 33 2 2 2 2 4" xfId="3377" xr:uid="{00000000-0005-0000-0000-00002A0A0000}"/>
    <cellStyle name="Normal 33 2 2 2 3" xfId="1149" xr:uid="{00000000-0005-0000-0000-00002B0A0000}"/>
    <cellStyle name="Normal 33 2 2 2 3 2" xfId="1948" xr:uid="{00000000-0005-0000-0000-00002C0A0000}"/>
    <cellStyle name="Normal 33 2 2 2 3 3" xfId="3126" xr:uid="{00000000-0005-0000-0000-00002D0A0000}"/>
    <cellStyle name="Normal 33 2 2 2 4" xfId="1728" xr:uid="{00000000-0005-0000-0000-00002E0A0000}"/>
    <cellStyle name="Normal 33 2 2 2 5" xfId="2423" xr:uid="{00000000-0005-0000-0000-00002F0A0000}"/>
    <cellStyle name="Normal 33 2 2 2 6" xfId="2906" xr:uid="{00000000-0005-0000-0000-0000300A0000}"/>
    <cellStyle name="Normal 33 2 2 3" xfId="1413" xr:uid="{00000000-0005-0000-0000-0000310A0000}"/>
    <cellStyle name="Normal 33 2 2 3 2" xfId="2111" xr:uid="{00000000-0005-0000-0000-0000320A0000}"/>
    <cellStyle name="Normal 33 2 2 3 3" xfId="2586" xr:uid="{00000000-0005-0000-0000-0000330A0000}"/>
    <cellStyle name="Normal 33 2 2 3 4" xfId="3289" xr:uid="{00000000-0005-0000-0000-0000340A0000}"/>
    <cellStyle name="Normal 33 2 2 4" xfId="1061" xr:uid="{00000000-0005-0000-0000-0000350A0000}"/>
    <cellStyle name="Normal 33 2 2 4 2" xfId="1860" xr:uid="{00000000-0005-0000-0000-0000360A0000}"/>
    <cellStyle name="Normal 33 2 2 4 3" xfId="3038" xr:uid="{00000000-0005-0000-0000-0000370A0000}"/>
    <cellStyle name="Normal 33 2 2 5" xfId="1640" xr:uid="{00000000-0005-0000-0000-0000380A0000}"/>
    <cellStyle name="Normal 33 2 2 6" xfId="2335" xr:uid="{00000000-0005-0000-0000-0000390A0000}"/>
    <cellStyle name="Normal 33 2 2 7" xfId="2818" xr:uid="{00000000-0005-0000-0000-00003A0A0000}"/>
    <cellStyle name="Normal 33 2 3" xfId="950" xr:uid="{00000000-0005-0000-0000-00003B0A0000}"/>
    <cellStyle name="Normal 33 2 3 2" xfId="1545" xr:uid="{00000000-0005-0000-0000-00003C0A0000}"/>
    <cellStyle name="Normal 33 2 3 2 2" xfId="2243" xr:uid="{00000000-0005-0000-0000-00003D0A0000}"/>
    <cellStyle name="Normal 33 2 3 2 3" xfId="2718" xr:uid="{00000000-0005-0000-0000-00003E0A0000}"/>
    <cellStyle name="Normal 33 2 3 2 4" xfId="3421" xr:uid="{00000000-0005-0000-0000-00003F0A0000}"/>
    <cellStyle name="Normal 33 2 3 3" xfId="1193" xr:uid="{00000000-0005-0000-0000-0000400A0000}"/>
    <cellStyle name="Normal 33 2 3 3 2" xfId="1992" xr:uid="{00000000-0005-0000-0000-0000410A0000}"/>
    <cellStyle name="Normal 33 2 3 3 3" xfId="3170" xr:uid="{00000000-0005-0000-0000-0000420A0000}"/>
    <cellStyle name="Normal 33 2 3 4" xfId="1772" xr:uid="{00000000-0005-0000-0000-0000430A0000}"/>
    <cellStyle name="Normal 33 2 3 5" xfId="2467" xr:uid="{00000000-0005-0000-0000-0000440A0000}"/>
    <cellStyle name="Normal 33 2 3 6" xfId="2950" xr:uid="{00000000-0005-0000-0000-0000450A0000}"/>
    <cellStyle name="Normal 33 2 4" xfId="862" xr:uid="{00000000-0005-0000-0000-0000460A0000}"/>
    <cellStyle name="Normal 33 2 4 2" xfId="1457" xr:uid="{00000000-0005-0000-0000-0000470A0000}"/>
    <cellStyle name="Normal 33 2 4 2 2" xfId="2155" xr:uid="{00000000-0005-0000-0000-0000480A0000}"/>
    <cellStyle name="Normal 33 2 4 2 3" xfId="2630" xr:uid="{00000000-0005-0000-0000-0000490A0000}"/>
    <cellStyle name="Normal 33 2 4 2 4" xfId="3333" xr:uid="{00000000-0005-0000-0000-00004A0A0000}"/>
    <cellStyle name="Normal 33 2 4 3" xfId="1105" xr:uid="{00000000-0005-0000-0000-00004B0A0000}"/>
    <cellStyle name="Normal 33 2 4 3 2" xfId="1904" xr:uid="{00000000-0005-0000-0000-00004C0A0000}"/>
    <cellStyle name="Normal 33 2 4 3 3" xfId="3082" xr:uid="{00000000-0005-0000-0000-00004D0A0000}"/>
    <cellStyle name="Normal 33 2 4 4" xfId="1684" xr:uid="{00000000-0005-0000-0000-00004E0A0000}"/>
    <cellStyle name="Normal 33 2 4 5" xfId="2379" xr:uid="{00000000-0005-0000-0000-00004F0A0000}"/>
    <cellStyle name="Normal 33 2 4 6" xfId="2862" xr:uid="{00000000-0005-0000-0000-0000500A0000}"/>
    <cellStyle name="Normal 33 2 5" xfId="1369" xr:uid="{00000000-0005-0000-0000-0000510A0000}"/>
    <cellStyle name="Normal 33 2 5 2" xfId="2067" xr:uid="{00000000-0005-0000-0000-0000520A0000}"/>
    <cellStyle name="Normal 33 2 5 3" xfId="2542" xr:uid="{00000000-0005-0000-0000-0000530A0000}"/>
    <cellStyle name="Normal 33 2 5 4" xfId="3245" xr:uid="{00000000-0005-0000-0000-0000540A0000}"/>
    <cellStyle name="Normal 33 2 6" xfId="1017" xr:uid="{00000000-0005-0000-0000-0000550A0000}"/>
    <cellStyle name="Normal 33 2 6 2" xfId="1816" xr:uid="{00000000-0005-0000-0000-0000560A0000}"/>
    <cellStyle name="Normal 33 2 6 3" xfId="2994" xr:uid="{00000000-0005-0000-0000-0000570A0000}"/>
    <cellStyle name="Normal 33 2 7" xfId="1596" xr:uid="{00000000-0005-0000-0000-0000580A0000}"/>
    <cellStyle name="Normal 33 2 8" xfId="2291" xr:uid="{00000000-0005-0000-0000-0000590A0000}"/>
    <cellStyle name="Normal 33 2 9" xfId="2774" xr:uid="{00000000-0005-0000-0000-00005A0A0000}"/>
    <cellStyle name="Normal 33 3" xfId="797" xr:uid="{00000000-0005-0000-0000-00005B0A0000}"/>
    <cellStyle name="Normal 33 3 2" xfId="885" xr:uid="{00000000-0005-0000-0000-00005C0A0000}"/>
    <cellStyle name="Normal 33 3 2 2" xfId="1480" xr:uid="{00000000-0005-0000-0000-00005D0A0000}"/>
    <cellStyle name="Normal 33 3 2 2 2" xfId="2178" xr:uid="{00000000-0005-0000-0000-00005E0A0000}"/>
    <cellStyle name="Normal 33 3 2 2 3" xfId="2653" xr:uid="{00000000-0005-0000-0000-00005F0A0000}"/>
    <cellStyle name="Normal 33 3 2 2 4" xfId="3356" xr:uid="{00000000-0005-0000-0000-0000600A0000}"/>
    <cellStyle name="Normal 33 3 2 3" xfId="1128" xr:uid="{00000000-0005-0000-0000-0000610A0000}"/>
    <cellStyle name="Normal 33 3 2 3 2" xfId="1927" xr:uid="{00000000-0005-0000-0000-0000620A0000}"/>
    <cellStyle name="Normal 33 3 2 3 3" xfId="3105" xr:uid="{00000000-0005-0000-0000-0000630A0000}"/>
    <cellStyle name="Normal 33 3 2 4" xfId="1707" xr:uid="{00000000-0005-0000-0000-0000640A0000}"/>
    <cellStyle name="Normal 33 3 2 5" xfId="2402" xr:uid="{00000000-0005-0000-0000-0000650A0000}"/>
    <cellStyle name="Normal 33 3 2 6" xfId="2885" xr:uid="{00000000-0005-0000-0000-0000660A0000}"/>
    <cellStyle name="Normal 33 3 3" xfId="1392" xr:uid="{00000000-0005-0000-0000-0000670A0000}"/>
    <cellStyle name="Normal 33 3 3 2" xfId="2090" xr:uid="{00000000-0005-0000-0000-0000680A0000}"/>
    <cellStyle name="Normal 33 3 3 3" xfId="2565" xr:uid="{00000000-0005-0000-0000-0000690A0000}"/>
    <cellStyle name="Normal 33 3 3 4" xfId="3268" xr:uid="{00000000-0005-0000-0000-00006A0A0000}"/>
    <cellStyle name="Normal 33 3 4" xfId="1040" xr:uid="{00000000-0005-0000-0000-00006B0A0000}"/>
    <cellStyle name="Normal 33 3 4 2" xfId="1839" xr:uid="{00000000-0005-0000-0000-00006C0A0000}"/>
    <cellStyle name="Normal 33 3 4 3" xfId="3017" xr:uid="{00000000-0005-0000-0000-00006D0A0000}"/>
    <cellStyle name="Normal 33 3 5" xfId="1619" xr:uid="{00000000-0005-0000-0000-00006E0A0000}"/>
    <cellStyle name="Normal 33 3 6" xfId="2314" xr:uid="{00000000-0005-0000-0000-00006F0A0000}"/>
    <cellStyle name="Normal 33 3 7" xfId="2797" xr:uid="{00000000-0005-0000-0000-0000700A0000}"/>
    <cellStyle name="Normal 33 4" xfId="929" xr:uid="{00000000-0005-0000-0000-0000710A0000}"/>
    <cellStyle name="Normal 33 4 2" xfId="1524" xr:uid="{00000000-0005-0000-0000-0000720A0000}"/>
    <cellStyle name="Normal 33 4 2 2" xfId="2222" xr:uid="{00000000-0005-0000-0000-0000730A0000}"/>
    <cellStyle name="Normal 33 4 2 3" xfId="2697" xr:uid="{00000000-0005-0000-0000-0000740A0000}"/>
    <cellStyle name="Normal 33 4 2 4" xfId="3400" xr:uid="{00000000-0005-0000-0000-0000750A0000}"/>
    <cellStyle name="Normal 33 4 3" xfId="1172" xr:uid="{00000000-0005-0000-0000-0000760A0000}"/>
    <cellStyle name="Normal 33 4 3 2" xfId="1971" xr:uid="{00000000-0005-0000-0000-0000770A0000}"/>
    <cellStyle name="Normal 33 4 3 3" xfId="3149" xr:uid="{00000000-0005-0000-0000-0000780A0000}"/>
    <cellStyle name="Normal 33 4 4" xfId="1751" xr:uid="{00000000-0005-0000-0000-0000790A0000}"/>
    <cellStyle name="Normal 33 4 5" xfId="2446" xr:uid="{00000000-0005-0000-0000-00007A0A0000}"/>
    <cellStyle name="Normal 33 4 6" xfId="2929" xr:uid="{00000000-0005-0000-0000-00007B0A0000}"/>
    <cellStyle name="Normal 33 5" xfId="841" xr:uid="{00000000-0005-0000-0000-00007C0A0000}"/>
    <cellStyle name="Normal 33 5 2" xfId="1436" xr:uid="{00000000-0005-0000-0000-00007D0A0000}"/>
    <cellStyle name="Normal 33 5 2 2" xfId="2134" xr:uid="{00000000-0005-0000-0000-00007E0A0000}"/>
    <cellStyle name="Normal 33 5 2 3" xfId="2609" xr:uid="{00000000-0005-0000-0000-00007F0A0000}"/>
    <cellStyle name="Normal 33 5 2 4" xfId="3312" xr:uid="{00000000-0005-0000-0000-0000800A0000}"/>
    <cellStyle name="Normal 33 5 3" xfId="1084" xr:uid="{00000000-0005-0000-0000-0000810A0000}"/>
    <cellStyle name="Normal 33 5 3 2" xfId="1883" xr:uid="{00000000-0005-0000-0000-0000820A0000}"/>
    <cellStyle name="Normal 33 5 3 3" xfId="3061" xr:uid="{00000000-0005-0000-0000-0000830A0000}"/>
    <cellStyle name="Normal 33 5 4" xfId="1663" xr:uid="{00000000-0005-0000-0000-0000840A0000}"/>
    <cellStyle name="Normal 33 5 5" xfId="2358" xr:uid="{00000000-0005-0000-0000-0000850A0000}"/>
    <cellStyle name="Normal 33 5 6" xfId="2841" xr:uid="{00000000-0005-0000-0000-0000860A0000}"/>
    <cellStyle name="Normal 33 6" xfId="1348" xr:uid="{00000000-0005-0000-0000-0000870A0000}"/>
    <cellStyle name="Normal 33 6 2" xfId="2046" xr:uid="{00000000-0005-0000-0000-0000880A0000}"/>
    <cellStyle name="Normal 33 6 3" xfId="2521" xr:uid="{00000000-0005-0000-0000-0000890A0000}"/>
    <cellStyle name="Normal 33 6 4" xfId="3224" xr:uid="{00000000-0005-0000-0000-00008A0A0000}"/>
    <cellStyle name="Normal 33 7" xfId="996" xr:uid="{00000000-0005-0000-0000-00008B0A0000}"/>
    <cellStyle name="Normal 33 7 2" xfId="1795" xr:uid="{00000000-0005-0000-0000-00008C0A0000}"/>
    <cellStyle name="Normal 33 7 3" xfId="2973" xr:uid="{00000000-0005-0000-0000-00008D0A0000}"/>
    <cellStyle name="Normal 33 8" xfId="1575" xr:uid="{00000000-0005-0000-0000-00008E0A0000}"/>
    <cellStyle name="Normal 33 9" xfId="2270" xr:uid="{00000000-0005-0000-0000-00008F0A0000}"/>
    <cellStyle name="Normal 34" xfId="557" xr:uid="{00000000-0005-0000-0000-0000900A0000}"/>
    <cellStyle name="Normal 34 2" xfId="719" xr:uid="{00000000-0005-0000-0000-0000910A0000}"/>
    <cellStyle name="Normal 35" xfId="556" xr:uid="{00000000-0005-0000-0000-0000920A0000}"/>
    <cellStyle name="Normal 35 2" xfId="798" xr:uid="{00000000-0005-0000-0000-0000930A0000}"/>
    <cellStyle name="Normal 35 2 2" xfId="886" xr:uid="{00000000-0005-0000-0000-0000940A0000}"/>
    <cellStyle name="Normal 35 2 2 2" xfId="1481" xr:uid="{00000000-0005-0000-0000-0000950A0000}"/>
    <cellStyle name="Normal 35 2 2 2 2" xfId="2179" xr:uid="{00000000-0005-0000-0000-0000960A0000}"/>
    <cellStyle name="Normal 35 2 2 2 3" xfId="2654" xr:uid="{00000000-0005-0000-0000-0000970A0000}"/>
    <cellStyle name="Normal 35 2 2 2 4" xfId="3357" xr:uid="{00000000-0005-0000-0000-0000980A0000}"/>
    <cellStyle name="Normal 35 2 2 3" xfId="1129" xr:uid="{00000000-0005-0000-0000-0000990A0000}"/>
    <cellStyle name="Normal 35 2 2 3 2" xfId="1928" xr:uid="{00000000-0005-0000-0000-00009A0A0000}"/>
    <cellStyle name="Normal 35 2 2 3 3" xfId="3106" xr:uid="{00000000-0005-0000-0000-00009B0A0000}"/>
    <cellStyle name="Normal 35 2 2 4" xfId="1708" xr:uid="{00000000-0005-0000-0000-00009C0A0000}"/>
    <cellStyle name="Normal 35 2 2 5" xfId="2403" xr:uid="{00000000-0005-0000-0000-00009D0A0000}"/>
    <cellStyle name="Normal 35 2 2 6" xfId="2886" xr:uid="{00000000-0005-0000-0000-00009E0A0000}"/>
    <cellStyle name="Normal 35 2 3" xfId="1393" xr:uid="{00000000-0005-0000-0000-00009F0A0000}"/>
    <cellStyle name="Normal 35 2 3 2" xfId="2091" xr:uid="{00000000-0005-0000-0000-0000A00A0000}"/>
    <cellStyle name="Normal 35 2 3 3" xfId="2566" xr:uid="{00000000-0005-0000-0000-0000A10A0000}"/>
    <cellStyle name="Normal 35 2 3 4" xfId="3269" xr:uid="{00000000-0005-0000-0000-0000A20A0000}"/>
    <cellStyle name="Normal 35 2 4" xfId="1041" xr:uid="{00000000-0005-0000-0000-0000A30A0000}"/>
    <cellStyle name="Normal 35 2 4 2" xfId="1840" xr:uid="{00000000-0005-0000-0000-0000A40A0000}"/>
    <cellStyle name="Normal 35 2 4 3" xfId="3018" xr:uid="{00000000-0005-0000-0000-0000A50A0000}"/>
    <cellStyle name="Normal 35 2 5" xfId="1620" xr:uid="{00000000-0005-0000-0000-0000A60A0000}"/>
    <cellStyle name="Normal 35 2 6" xfId="2315" xr:uid="{00000000-0005-0000-0000-0000A70A0000}"/>
    <cellStyle name="Normal 35 2 7" xfId="2798" xr:uid="{00000000-0005-0000-0000-0000A80A0000}"/>
    <cellStyle name="Normal 35 3" xfId="930" xr:uid="{00000000-0005-0000-0000-0000A90A0000}"/>
    <cellStyle name="Normal 35 3 2" xfId="1525" xr:uid="{00000000-0005-0000-0000-0000AA0A0000}"/>
    <cellStyle name="Normal 35 3 2 2" xfId="2223" xr:uid="{00000000-0005-0000-0000-0000AB0A0000}"/>
    <cellStyle name="Normal 35 3 2 3" xfId="2698" xr:uid="{00000000-0005-0000-0000-0000AC0A0000}"/>
    <cellStyle name="Normal 35 3 2 4" xfId="3401" xr:uid="{00000000-0005-0000-0000-0000AD0A0000}"/>
    <cellStyle name="Normal 35 3 3" xfId="1173" xr:uid="{00000000-0005-0000-0000-0000AE0A0000}"/>
    <cellStyle name="Normal 35 3 3 2" xfId="1972" xr:uid="{00000000-0005-0000-0000-0000AF0A0000}"/>
    <cellStyle name="Normal 35 3 3 3" xfId="3150" xr:uid="{00000000-0005-0000-0000-0000B00A0000}"/>
    <cellStyle name="Normal 35 3 4" xfId="1752" xr:uid="{00000000-0005-0000-0000-0000B10A0000}"/>
    <cellStyle name="Normal 35 3 5" xfId="2447" xr:uid="{00000000-0005-0000-0000-0000B20A0000}"/>
    <cellStyle name="Normal 35 3 6" xfId="2930" xr:uid="{00000000-0005-0000-0000-0000B30A0000}"/>
    <cellStyle name="Normal 35 4" xfId="842" xr:uid="{00000000-0005-0000-0000-0000B40A0000}"/>
    <cellStyle name="Normal 35 4 2" xfId="1437" xr:uid="{00000000-0005-0000-0000-0000B50A0000}"/>
    <cellStyle name="Normal 35 4 2 2" xfId="2135" xr:uid="{00000000-0005-0000-0000-0000B60A0000}"/>
    <cellStyle name="Normal 35 4 2 3" xfId="2610" xr:uid="{00000000-0005-0000-0000-0000B70A0000}"/>
    <cellStyle name="Normal 35 4 2 4" xfId="3313" xr:uid="{00000000-0005-0000-0000-0000B80A0000}"/>
    <cellStyle name="Normal 35 4 3" xfId="1085" xr:uid="{00000000-0005-0000-0000-0000B90A0000}"/>
    <cellStyle name="Normal 35 4 3 2" xfId="1884" xr:uid="{00000000-0005-0000-0000-0000BA0A0000}"/>
    <cellStyle name="Normal 35 4 3 3" xfId="3062" xr:uid="{00000000-0005-0000-0000-0000BB0A0000}"/>
    <cellStyle name="Normal 35 4 4" xfId="1664" xr:uid="{00000000-0005-0000-0000-0000BC0A0000}"/>
    <cellStyle name="Normal 35 4 5" xfId="2359" xr:uid="{00000000-0005-0000-0000-0000BD0A0000}"/>
    <cellStyle name="Normal 35 4 6" xfId="2842" xr:uid="{00000000-0005-0000-0000-0000BE0A0000}"/>
    <cellStyle name="Normal 35 5" xfId="1349" xr:uid="{00000000-0005-0000-0000-0000BF0A0000}"/>
    <cellStyle name="Normal 35 5 2" xfId="2047" xr:uid="{00000000-0005-0000-0000-0000C00A0000}"/>
    <cellStyle name="Normal 35 5 3" xfId="2522" xr:uid="{00000000-0005-0000-0000-0000C10A0000}"/>
    <cellStyle name="Normal 35 5 4" xfId="3225" xr:uid="{00000000-0005-0000-0000-0000C20A0000}"/>
    <cellStyle name="Normal 35 6" xfId="997" xr:uid="{00000000-0005-0000-0000-0000C30A0000}"/>
    <cellStyle name="Normal 35 6 2" xfId="1796" xr:uid="{00000000-0005-0000-0000-0000C40A0000}"/>
    <cellStyle name="Normal 35 6 3" xfId="2974" xr:uid="{00000000-0005-0000-0000-0000C50A0000}"/>
    <cellStyle name="Normal 35 7" xfId="1576" xr:uid="{00000000-0005-0000-0000-0000C60A0000}"/>
    <cellStyle name="Normal 35 8" xfId="2271" xr:uid="{00000000-0005-0000-0000-0000C70A0000}"/>
    <cellStyle name="Normal 35 9" xfId="2754" xr:uid="{00000000-0005-0000-0000-0000C80A0000}"/>
    <cellStyle name="Normal 36" xfId="714" xr:uid="{00000000-0005-0000-0000-0000C90A0000}"/>
    <cellStyle name="Normal 36 2" xfId="699" xr:uid="{00000000-0005-0000-0000-0000CA0A0000}"/>
    <cellStyle name="Normal 37" xfId="720" xr:uid="{00000000-0005-0000-0000-0000CB0A0000}"/>
    <cellStyle name="Normal 37 2" xfId="713" xr:uid="{00000000-0005-0000-0000-0000CC0A0000}"/>
    <cellStyle name="Normal 38" xfId="715" xr:uid="{00000000-0005-0000-0000-0000CD0A0000}"/>
    <cellStyle name="Normal 39" xfId="717" xr:uid="{00000000-0005-0000-0000-0000CE0A0000}"/>
    <cellStyle name="Normal 4" xfId="26" xr:uid="{00000000-0005-0000-0000-0000CF0A0000}"/>
    <cellStyle name="Normal 4 2" xfId="342" xr:uid="{00000000-0005-0000-0000-0000D00A0000}"/>
    <cellStyle name="Normal 4 2 2" xfId="450" xr:uid="{00000000-0005-0000-0000-0000D10A0000}"/>
    <cellStyle name="Normal 4 2 3" xfId="449" xr:uid="{00000000-0005-0000-0000-0000D20A0000}"/>
    <cellStyle name="Normal 4 2 4" xfId="1272" xr:uid="{00000000-0005-0000-0000-0000D30A0000}"/>
    <cellStyle name="Normal 4 3" xfId="451" xr:uid="{00000000-0005-0000-0000-0000D40A0000}"/>
    <cellStyle name="Normal 4 4" xfId="448" xr:uid="{00000000-0005-0000-0000-0000D50A0000}"/>
    <cellStyle name="Normal 4 5" xfId="186" xr:uid="{00000000-0005-0000-0000-0000D60A0000}"/>
    <cellStyle name="Normal 4 6" xfId="1249" xr:uid="{00000000-0005-0000-0000-0000D70A0000}"/>
    <cellStyle name="Normal 4 6 2" xfId="2000" xr:uid="{00000000-0005-0000-0000-0000D80A0000}"/>
    <cellStyle name="Normal 4 6 3" xfId="2475" xr:uid="{00000000-0005-0000-0000-0000D90A0000}"/>
    <cellStyle name="Normal 4 6 4" xfId="3178" xr:uid="{00000000-0005-0000-0000-0000DA0A0000}"/>
    <cellStyle name="Normal 40" xfId="722" xr:uid="{00000000-0005-0000-0000-0000DB0A0000}"/>
    <cellStyle name="Normal 41" xfId="716" xr:uid="{00000000-0005-0000-0000-0000DC0A0000}"/>
    <cellStyle name="Normal 42" xfId="721" xr:uid="{00000000-0005-0000-0000-0000DD0A0000}"/>
    <cellStyle name="Normal 43" xfId="723" xr:uid="{00000000-0005-0000-0000-0000DE0A0000}"/>
    <cellStyle name="Normal 44" xfId="725" xr:uid="{00000000-0005-0000-0000-0000DF0A0000}"/>
    <cellStyle name="Normal 45" xfId="726" xr:uid="{00000000-0005-0000-0000-0000E00A0000}"/>
    <cellStyle name="Normal 46" xfId="727" xr:uid="{00000000-0005-0000-0000-0000E10A0000}"/>
    <cellStyle name="Normal 47" xfId="728" xr:uid="{00000000-0005-0000-0000-0000E20A0000}"/>
    <cellStyle name="Normal 48" xfId="729" xr:uid="{00000000-0005-0000-0000-0000E30A0000}"/>
    <cellStyle name="Normal 49" xfId="730" xr:uid="{00000000-0005-0000-0000-0000E40A0000}"/>
    <cellStyle name="Normal 5" xfId="30" xr:uid="{00000000-0005-0000-0000-0000E50A0000}"/>
    <cellStyle name="Normal 5 2" xfId="188" xr:uid="{00000000-0005-0000-0000-0000E60A0000}"/>
    <cellStyle name="Normal 5 2 2" xfId="344" xr:uid="{00000000-0005-0000-0000-0000E70A0000}"/>
    <cellStyle name="Normal 5 2 2 2" xfId="678" xr:uid="{00000000-0005-0000-0000-0000E80A0000}"/>
    <cellStyle name="Normal 5 2 3" xfId="607" xr:uid="{00000000-0005-0000-0000-0000E90A0000}"/>
    <cellStyle name="Normal 5 3" xfId="189" xr:uid="{00000000-0005-0000-0000-0000EA0A0000}"/>
    <cellStyle name="Normal 5 3 2" xfId="345" xr:uid="{00000000-0005-0000-0000-0000EB0A0000}"/>
    <cellStyle name="Normal 5 4" xfId="343" xr:uid="{00000000-0005-0000-0000-0000EC0A0000}"/>
    <cellStyle name="Normal 5 5" xfId="452" xr:uid="{00000000-0005-0000-0000-0000ED0A0000}"/>
    <cellStyle name="Normal 5 6" xfId="187" xr:uid="{00000000-0005-0000-0000-0000EE0A0000}"/>
    <cellStyle name="Normal 5 7" xfId="63" xr:uid="{00000000-0005-0000-0000-0000EF0A0000}"/>
    <cellStyle name="Normal 5 7 2" xfId="1320" xr:uid="{00000000-0005-0000-0000-0000F00A0000}"/>
    <cellStyle name="Normal 5 7 3" xfId="1255" xr:uid="{00000000-0005-0000-0000-0000F10A0000}"/>
    <cellStyle name="Normal 5 7 4" xfId="2003" xr:uid="{00000000-0005-0000-0000-0000F20A0000}"/>
    <cellStyle name="Normal 5 7 5" xfId="2478" xr:uid="{00000000-0005-0000-0000-0000F30A0000}"/>
    <cellStyle name="Normal 5 7 6" xfId="3181" xr:uid="{00000000-0005-0000-0000-0000F40A0000}"/>
    <cellStyle name="Normal 5 8" xfId="1300" xr:uid="{00000000-0005-0000-0000-0000F50A0000}"/>
    <cellStyle name="Normal 5 8 2" xfId="2017" xr:uid="{00000000-0005-0000-0000-0000F60A0000}"/>
    <cellStyle name="Normal 5 8 3" xfId="2492" xr:uid="{00000000-0005-0000-0000-0000F70A0000}"/>
    <cellStyle name="Normal 5 8 4" xfId="3195" xr:uid="{00000000-0005-0000-0000-0000F80A0000}"/>
    <cellStyle name="Normal 50" xfId="733" xr:uid="{00000000-0005-0000-0000-0000F90A0000}"/>
    <cellStyle name="Normal 51" xfId="731" xr:uid="{00000000-0005-0000-0000-0000FA0A0000}"/>
    <cellStyle name="Normal 52" xfId="734" xr:uid="{00000000-0005-0000-0000-0000FB0A0000}"/>
    <cellStyle name="Normal 53" xfId="735" xr:uid="{00000000-0005-0000-0000-0000FC0A0000}"/>
    <cellStyle name="Normal 54" xfId="736" xr:uid="{00000000-0005-0000-0000-0000FD0A0000}"/>
    <cellStyle name="Normal 55" xfId="732" xr:uid="{00000000-0005-0000-0000-0000FE0A0000}"/>
    <cellStyle name="Normal 56" xfId="737" xr:uid="{00000000-0005-0000-0000-0000FF0A0000}"/>
    <cellStyle name="Normal 57" xfId="738" xr:uid="{00000000-0005-0000-0000-0000000B0000}"/>
    <cellStyle name="Normal 58" xfId="739" xr:uid="{00000000-0005-0000-0000-0000010B0000}"/>
    <cellStyle name="Normal 59" xfId="740" xr:uid="{00000000-0005-0000-0000-0000020B0000}"/>
    <cellStyle name="Normal 6" xfId="37" xr:uid="{00000000-0005-0000-0000-0000030B0000}"/>
    <cellStyle name="Normal 6 10" xfId="1306" xr:uid="{00000000-0005-0000-0000-0000040B0000}"/>
    <cellStyle name="Normal 6 10 2" xfId="2019" xr:uid="{00000000-0005-0000-0000-0000050B0000}"/>
    <cellStyle name="Normal 6 10 3" xfId="2494" xr:uid="{00000000-0005-0000-0000-0000060B0000}"/>
    <cellStyle name="Normal 6 10 4" xfId="3197" xr:uid="{00000000-0005-0000-0000-0000070B0000}"/>
    <cellStyle name="Normal 6 11" xfId="976" xr:uid="{00000000-0005-0000-0000-0000080B0000}"/>
    <cellStyle name="Normal 6 11 2" xfId="1775" xr:uid="{00000000-0005-0000-0000-0000090B0000}"/>
    <cellStyle name="Normal 6 11 3" xfId="2953" xr:uid="{00000000-0005-0000-0000-00000A0B0000}"/>
    <cellStyle name="Normal 6 12" xfId="1555" xr:uid="{00000000-0005-0000-0000-00000B0B0000}"/>
    <cellStyle name="Normal 6 13" xfId="2250" xr:uid="{00000000-0005-0000-0000-00000C0B0000}"/>
    <cellStyle name="Normal 6 14" xfId="2733" xr:uid="{00000000-0005-0000-0000-00000D0B0000}"/>
    <cellStyle name="Normal 6 2" xfId="191" xr:uid="{00000000-0005-0000-0000-00000E0B0000}"/>
    <cellStyle name="Normal 6 2 2" xfId="346" xr:uid="{00000000-0005-0000-0000-00000F0B0000}"/>
    <cellStyle name="Normal 6 2 2 2" xfId="455" xr:uid="{00000000-0005-0000-0000-0000100B0000}"/>
    <cellStyle name="Normal 6 2 2 3" xfId="679" xr:uid="{00000000-0005-0000-0000-0000110B0000}"/>
    <cellStyle name="Normal 6 2 3" xfId="454" xr:uid="{00000000-0005-0000-0000-0000120B0000}"/>
    <cellStyle name="Normal 6 2 4" xfId="608" xr:uid="{00000000-0005-0000-0000-0000130B0000}"/>
    <cellStyle name="Normal 6 3" xfId="456" xr:uid="{00000000-0005-0000-0000-0000140B0000}"/>
    <cellStyle name="Normal 6 4" xfId="453" xr:uid="{00000000-0005-0000-0000-0000150B0000}"/>
    <cellStyle name="Normal 6 5" xfId="190" xr:uid="{00000000-0005-0000-0000-0000160B0000}"/>
    <cellStyle name="Normal 6 6" xfId="769" xr:uid="{00000000-0005-0000-0000-0000170B0000}"/>
    <cellStyle name="Normal 6 6 2" xfId="819" xr:uid="{00000000-0005-0000-0000-0000180B0000}"/>
    <cellStyle name="Normal 6 6 2 2" xfId="907" xr:uid="{00000000-0005-0000-0000-0000190B0000}"/>
    <cellStyle name="Normal 6 6 2 2 2" xfId="1502" xr:uid="{00000000-0005-0000-0000-00001A0B0000}"/>
    <cellStyle name="Normal 6 6 2 2 2 2" xfId="2200" xr:uid="{00000000-0005-0000-0000-00001B0B0000}"/>
    <cellStyle name="Normal 6 6 2 2 2 3" xfId="2675" xr:uid="{00000000-0005-0000-0000-00001C0B0000}"/>
    <cellStyle name="Normal 6 6 2 2 2 4" xfId="3378" xr:uid="{00000000-0005-0000-0000-00001D0B0000}"/>
    <cellStyle name="Normal 6 6 2 2 3" xfId="1150" xr:uid="{00000000-0005-0000-0000-00001E0B0000}"/>
    <cellStyle name="Normal 6 6 2 2 3 2" xfId="1949" xr:uid="{00000000-0005-0000-0000-00001F0B0000}"/>
    <cellStyle name="Normal 6 6 2 2 3 3" xfId="3127" xr:uid="{00000000-0005-0000-0000-0000200B0000}"/>
    <cellStyle name="Normal 6 6 2 2 4" xfId="1729" xr:uid="{00000000-0005-0000-0000-0000210B0000}"/>
    <cellStyle name="Normal 6 6 2 2 5" xfId="2424" xr:uid="{00000000-0005-0000-0000-0000220B0000}"/>
    <cellStyle name="Normal 6 6 2 2 6" xfId="2907" xr:uid="{00000000-0005-0000-0000-0000230B0000}"/>
    <cellStyle name="Normal 6 6 2 3" xfId="1414" xr:uid="{00000000-0005-0000-0000-0000240B0000}"/>
    <cellStyle name="Normal 6 6 2 3 2" xfId="2112" xr:uid="{00000000-0005-0000-0000-0000250B0000}"/>
    <cellStyle name="Normal 6 6 2 3 3" xfId="2587" xr:uid="{00000000-0005-0000-0000-0000260B0000}"/>
    <cellStyle name="Normal 6 6 2 3 4" xfId="3290" xr:uid="{00000000-0005-0000-0000-0000270B0000}"/>
    <cellStyle name="Normal 6 6 2 4" xfId="1062" xr:uid="{00000000-0005-0000-0000-0000280B0000}"/>
    <cellStyle name="Normal 6 6 2 4 2" xfId="1861" xr:uid="{00000000-0005-0000-0000-0000290B0000}"/>
    <cellStyle name="Normal 6 6 2 4 3" xfId="3039" xr:uid="{00000000-0005-0000-0000-00002A0B0000}"/>
    <cellStyle name="Normal 6 6 2 5" xfId="1641" xr:uid="{00000000-0005-0000-0000-00002B0B0000}"/>
    <cellStyle name="Normal 6 6 2 6" xfId="2336" xr:uid="{00000000-0005-0000-0000-00002C0B0000}"/>
    <cellStyle name="Normal 6 6 2 7" xfId="2819" xr:uid="{00000000-0005-0000-0000-00002D0B0000}"/>
    <cellStyle name="Normal 6 6 3" xfId="951" xr:uid="{00000000-0005-0000-0000-00002E0B0000}"/>
    <cellStyle name="Normal 6 6 3 2" xfId="1546" xr:uid="{00000000-0005-0000-0000-00002F0B0000}"/>
    <cellStyle name="Normal 6 6 3 2 2" xfId="2244" xr:uid="{00000000-0005-0000-0000-0000300B0000}"/>
    <cellStyle name="Normal 6 6 3 2 3" xfId="2719" xr:uid="{00000000-0005-0000-0000-0000310B0000}"/>
    <cellStyle name="Normal 6 6 3 2 4" xfId="3422" xr:uid="{00000000-0005-0000-0000-0000320B0000}"/>
    <cellStyle name="Normal 6 6 3 3" xfId="1194" xr:uid="{00000000-0005-0000-0000-0000330B0000}"/>
    <cellStyle name="Normal 6 6 3 3 2" xfId="1993" xr:uid="{00000000-0005-0000-0000-0000340B0000}"/>
    <cellStyle name="Normal 6 6 3 3 3" xfId="3171" xr:uid="{00000000-0005-0000-0000-0000350B0000}"/>
    <cellStyle name="Normal 6 6 3 4" xfId="1773" xr:uid="{00000000-0005-0000-0000-0000360B0000}"/>
    <cellStyle name="Normal 6 6 3 5" xfId="2468" xr:uid="{00000000-0005-0000-0000-0000370B0000}"/>
    <cellStyle name="Normal 6 6 3 6" xfId="2951" xr:uid="{00000000-0005-0000-0000-0000380B0000}"/>
    <cellStyle name="Normal 6 6 4" xfId="863" xr:uid="{00000000-0005-0000-0000-0000390B0000}"/>
    <cellStyle name="Normal 6 6 4 2" xfId="1458" xr:uid="{00000000-0005-0000-0000-00003A0B0000}"/>
    <cellStyle name="Normal 6 6 4 2 2" xfId="2156" xr:uid="{00000000-0005-0000-0000-00003B0B0000}"/>
    <cellStyle name="Normal 6 6 4 2 3" xfId="2631" xr:uid="{00000000-0005-0000-0000-00003C0B0000}"/>
    <cellStyle name="Normal 6 6 4 2 4" xfId="3334" xr:uid="{00000000-0005-0000-0000-00003D0B0000}"/>
    <cellStyle name="Normal 6 6 4 3" xfId="1106" xr:uid="{00000000-0005-0000-0000-00003E0B0000}"/>
    <cellStyle name="Normal 6 6 4 3 2" xfId="1905" xr:uid="{00000000-0005-0000-0000-00003F0B0000}"/>
    <cellStyle name="Normal 6 6 4 3 3" xfId="3083" xr:uid="{00000000-0005-0000-0000-0000400B0000}"/>
    <cellStyle name="Normal 6 6 4 4" xfId="1685" xr:uid="{00000000-0005-0000-0000-0000410B0000}"/>
    <cellStyle name="Normal 6 6 4 5" xfId="2380" xr:uid="{00000000-0005-0000-0000-0000420B0000}"/>
    <cellStyle name="Normal 6 6 4 6" xfId="2863" xr:uid="{00000000-0005-0000-0000-0000430B0000}"/>
    <cellStyle name="Normal 6 6 5" xfId="1370" xr:uid="{00000000-0005-0000-0000-0000440B0000}"/>
    <cellStyle name="Normal 6 6 5 2" xfId="2068" xr:uid="{00000000-0005-0000-0000-0000450B0000}"/>
    <cellStyle name="Normal 6 6 5 3" xfId="2543" xr:uid="{00000000-0005-0000-0000-0000460B0000}"/>
    <cellStyle name="Normal 6 6 5 4" xfId="3246" xr:uid="{00000000-0005-0000-0000-0000470B0000}"/>
    <cellStyle name="Normal 6 6 6" xfId="1018" xr:uid="{00000000-0005-0000-0000-0000480B0000}"/>
    <cellStyle name="Normal 6 6 6 2" xfId="1817" xr:uid="{00000000-0005-0000-0000-0000490B0000}"/>
    <cellStyle name="Normal 6 6 6 3" xfId="2995" xr:uid="{00000000-0005-0000-0000-00004A0B0000}"/>
    <cellStyle name="Normal 6 6 7" xfId="1597" xr:uid="{00000000-0005-0000-0000-00004B0B0000}"/>
    <cellStyle name="Normal 6 6 8" xfId="2292" xr:uid="{00000000-0005-0000-0000-00004C0B0000}"/>
    <cellStyle name="Normal 6 6 9" xfId="2775" xr:uid="{00000000-0005-0000-0000-00004D0B0000}"/>
    <cellStyle name="Normal 6 7" xfId="777" xr:uid="{00000000-0005-0000-0000-00004E0B0000}"/>
    <cellStyle name="Normal 6 7 2" xfId="865" xr:uid="{00000000-0005-0000-0000-00004F0B0000}"/>
    <cellStyle name="Normal 6 7 2 2" xfId="1460" xr:uid="{00000000-0005-0000-0000-0000500B0000}"/>
    <cellStyle name="Normal 6 7 2 2 2" xfId="2158" xr:uid="{00000000-0005-0000-0000-0000510B0000}"/>
    <cellStyle name="Normal 6 7 2 2 3" xfId="2633" xr:uid="{00000000-0005-0000-0000-0000520B0000}"/>
    <cellStyle name="Normal 6 7 2 2 4" xfId="3336" xr:uid="{00000000-0005-0000-0000-0000530B0000}"/>
    <cellStyle name="Normal 6 7 2 3" xfId="1108" xr:uid="{00000000-0005-0000-0000-0000540B0000}"/>
    <cellStyle name="Normal 6 7 2 3 2" xfId="1907" xr:uid="{00000000-0005-0000-0000-0000550B0000}"/>
    <cellStyle name="Normal 6 7 2 3 3" xfId="3085" xr:uid="{00000000-0005-0000-0000-0000560B0000}"/>
    <cellStyle name="Normal 6 7 2 4" xfId="1687" xr:uid="{00000000-0005-0000-0000-0000570B0000}"/>
    <cellStyle name="Normal 6 7 2 5" xfId="2382" xr:uid="{00000000-0005-0000-0000-0000580B0000}"/>
    <cellStyle name="Normal 6 7 2 6" xfId="2865" xr:uid="{00000000-0005-0000-0000-0000590B0000}"/>
    <cellStyle name="Normal 6 7 3" xfId="1372" xr:uid="{00000000-0005-0000-0000-00005A0B0000}"/>
    <cellStyle name="Normal 6 7 3 2" xfId="2070" xr:uid="{00000000-0005-0000-0000-00005B0B0000}"/>
    <cellStyle name="Normal 6 7 3 3" xfId="2545" xr:uid="{00000000-0005-0000-0000-00005C0B0000}"/>
    <cellStyle name="Normal 6 7 3 4" xfId="3248" xr:uid="{00000000-0005-0000-0000-00005D0B0000}"/>
    <cellStyle name="Normal 6 7 4" xfId="1020" xr:uid="{00000000-0005-0000-0000-00005E0B0000}"/>
    <cellStyle name="Normal 6 7 4 2" xfId="1819" xr:uid="{00000000-0005-0000-0000-00005F0B0000}"/>
    <cellStyle name="Normal 6 7 4 3" xfId="2997" xr:uid="{00000000-0005-0000-0000-0000600B0000}"/>
    <cellStyle name="Normal 6 7 5" xfId="1599" xr:uid="{00000000-0005-0000-0000-0000610B0000}"/>
    <cellStyle name="Normal 6 7 6" xfId="2294" xr:uid="{00000000-0005-0000-0000-0000620B0000}"/>
    <cellStyle name="Normal 6 7 7" xfId="2777" xr:uid="{00000000-0005-0000-0000-0000630B0000}"/>
    <cellStyle name="Normal 6 8" xfId="909" xr:uid="{00000000-0005-0000-0000-0000640B0000}"/>
    <cellStyle name="Normal 6 8 2" xfId="1504" xr:uid="{00000000-0005-0000-0000-0000650B0000}"/>
    <cellStyle name="Normal 6 8 2 2" xfId="2202" xr:uid="{00000000-0005-0000-0000-0000660B0000}"/>
    <cellStyle name="Normal 6 8 2 3" xfId="2677" xr:uid="{00000000-0005-0000-0000-0000670B0000}"/>
    <cellStyle name="Normal 6 8 2 4" xfId="3380" xr:uid="{00000000-0005-0000-0000-0000680B0000}"/>
    <cellStyle name="Normal 6 8 3" xfId="1152" xr:uid="{00000000-0005-0000-0000-0000690B0000}"/>
    <cellStyle name="Normal 6 8 3 2" xfId="1951" xr:uid="{00000000-0005-0000-0000-00006A0B0000}"/>
    <cellStyle name="Normal 6 8 3 3" xfId="3129" xr:uid="{00000000-0005-0000-0000-00006B0B0000}"/>
    <cellStyle name="Normal 6 8 4" xfId="1731" xr:uid="{00000000-0005-0000-0000-00006C0B0000}"/>
    <cellStyle name="Normal 6 8 5" xfId="2426" xr:uid="{00000000-0005-0000-0000-00006D0B0000}"/>
    <cellStyle name="Normal 6 8 6" xfId="2909" xr:uid="{00000000-0005-0000-0000-00006E0B0000}"/>
    <cellStyle name="Normal 6 9" xfId="821" xr:uid="{00000000-0005-0000-0000-00006F0B0000}"/>
    <cellStyle name="Normal 6 9 2" xfId="1416" xr:uid="{00000000-0005-0000-0000-0000700B0000}"/>
    <cellStyle name="Normal 6 9 2 2" xfId="2114" xr:uid="{00000000-0005-0000-0000-0000710B0000}"/>
    <cellStyle name="Normal 6 9 2 3" xfId="2589" xr:uid="{00000000-0005-0000-0000-0000720B0000}"/>
    <cellStyle name="Normal 6 9 2 4" xfId="3292" xr:uid="{00000000-0005-0000-0000-0000730B0000}"/>
    <cellStyle name="Normal 6 9 3" xfId="1064" xr:uid="{00000000-0005-0000-0000-0000740B0000}"/>
    <cellStyle name="Normal 6 9 3 2" xfId="1863" xr:uid="{00000000-0005-0000-0000-0000750B0000}"/>
    <cellStyle name="Normal 6 9 3 3" xfId="3041" xr:uid="{00000000-0005-0000-0000-0000760B0000}"/>
    <cellStyle name="Normal 6 9 4" xfId="1643" xr:uid="{00000000-0005-0000-0000-0000770B0000}"/>
    <cellStyle name="Normal 6 9 5" xfId="2338" xr:uid="{00000000-0005-0000-0000-0000780B0000}"/>
    <cellStyle name="Normal 6 9 6" xfId="2821" xr:uid="{00000000-0005-0000-0000-0000790B0000}"/>
    <cellStyle name="Normal 60" xfId="741" xr:uid="{00000000-0005-0000-0000-00007A0B0000}"/>
    <cellStyle name="Normal 61" xfId="751" xr:uid="{00000000-0005-0000-0000-00007B0B0000}"/>
    <cellStyle name="Normal 62" xfId="747" xr:uid="{00000000-0005-0000-0000-00007C0B0000}"/>
    <cellStyle name="Normal 63" xfId="750" xr:uid="{00000000-0005-0000-0000-00007D0B0000}"/>
    <cellStyle name="Normal 64" xfId="745" xr:uid="{00000000-0005-0000-0000-00007E0B0000}"/>
    <cellStyle name="Normal 65" xfId="749" xr:uid="{00000000-0005-0000-0000-00007F0B0000}"/>
    <cellStyle name="Normal 66" xfId="752" xr:uid="{00000000-0005-0000-0000-0000800B0000}"/>
    <cellStyle name="Normal 67" xfId="748" xr:uid="{00000000-0005-0000-0000-0000810B0000}"/>
    <cellStyle name="Normal 68" xfId="746" xr:uid="{00000000-0005-0000-0000-0000820B0000}"/>
    <cellStyle name="Normal 69" xfId="755" xr:uid="{00000000-0005-0000-0000-0000830B0000}"/>
    <cellStyle name="Normal 7" xfId="192" xr:uid="{00000000-0005-0000-0000-0000840B0000}"/>
    <cellStyle name="Normal 7 2" xfId="193" xr:uid="{00000000-0005-0000-0000-0000850B0000}"/>
    <cellStyle name="Normal 7 2 2" xfId="348" xr:uid="{00000000-0005-0000-0000-0000860B0000}"/>
    <cellStyle name="Normal 7 3" xfId="194" xr:uid="{00000000-0005-0000-0000-0000870B0000}"/>
    <cellStyle name="Normal 7 3 2" xfId="349" xr:uid="{00000000-0005-0000-0000-0000880B0000}"/>
    <cellStyle name="Normal 7 3 2 2" xfId="681" xr:uid="{00000000-0005-0000-0000-0000890B0000}"/>
    <cellStyle name="Normal 7 3 3" xfId="610" xr:uid="{00000000-0005-0000-0000-00008A0B0000}"/>
    <cellStyle name="Normal 7 4" xfId="195" xr:uid="{00000000-0005-0000-0000-00008B0B0000}"/>
    <cellStyle name="Normal 7 4 2" xfId="350" xr:uid="{00000000-0005-0000-0000-00008C0B0000}"/>
    <cellStyle name="Normal 7 4 2 2" xfId="682" xr:uid="{00000000-0005-0000-0000-00008D0B0000}"/>
    <cellStyle name="Normal 7 4 3" xfId="611" xr:uid="{00000000-0005-0000-0000-00008E0B0000}"/>
    <cellStyle name="Normal 7 5" xfId="347" xr:uid="{00000000-0005-0000-0000-00008F0B0000}"/>
    <cellStyle name="Normal 7 5 2" xfId="680" xr:uid="{00000000-0005-0000-0000-0000900B0000}"/>
    <cellStyle name="Normal 7 6" xfId="609" xr:uid="{00000000-0005-0000-0000-0000910B0000}"/>
    <cellStyle name="Normal 70" xfId="766" xr:uid="{00000000-0005-0000-0000-0000920B0000}"/>
    <cellStyle name="Normal 71" xfId="58" xr:uid="{00000000-0005-0000-0000-0000930B0000}"/>
    <cellStyle name="Normal 72" xfId="953" xr:uid="{00000000-0005-0000-0000-0000940B0000}"/>
    <cellStyle name="Normal 73" xfId="955" xr:uid="{00000000-0005-0000-0000-0000950B0000}"/>
    <cellStyle name="Normal 74" xfId="957" xr:uid="{00000000-0005-0000-0000-0000960B0000}"/>
    <cellStyle name="Normal 75" xfId="958" xr:uid="{00000000-0005-0000-0000-0000970B0000}"/>
    <cellStyle name="Normal 76" xfId="959" xr:uid="{00000000-0005-0000-0000-0000980B0000}"/>
    <cellStyle name="Normal 77" xfId="954" xr:uid="{00000000-0005-0000-0000-0000990B0000}"/>
    <cellStyle name="Normal 78" xfId="956" xr:uid="{00000000-0005-0000-0000-00009A0B0000}"/>
    <cellStyle name="Normal 79" xfId="961" xr:uid="{00000000-0005-0000-0000-00009B0B0000}"/>
    <cellStyle name="Normal 79 2" xfId="1283" xr:uid="{00000000-0005-0000-0000-00009C0B0000}"/>
    <cellStyle name="Normal 79 3" xfId="2011" xr:uid="{00000000-0005-0000-0000-00009D0B0000}"/>
    <cellStyle name="Normal 79 4" xfId="2486" xr:uid="{00000000-0005-0000-0000-00009E0B0000}"/>
    <cellStyle name="Normal 79 5" xfId="3189" xr:uid="{00000000-0005-0000-0000-00009F0B0000}"/>
    <cellStyle name="Normal 8" xfId="196" xr:uid="{00000000-0005-0000-0000-0000A00B0000}"/>
    <cellStyle name="Normal 8 2" xfId="197" xr:uid="{00000000-0005-0000-0000-0000A10B0000}"/>
    <cellStyle name="Normal 8 2 2" xfId="459" xr:uid="{00000000-0005-0000-0000-0000A20B0000}"/>
    <cellStyle name="Normal 8 2 3" xfId="458" xr:uid="{00000000-0005-0000-0000-0000A30B0000}"/>
    <cellStyle name="Normal 8 3" xfId="198" xr:uid="{00000000-0005-0000-0000-0000A40B0000}"/>
    <cellStyle name="Normal 8 3 2" xfId="460" xr:uid="{00000000-0005-0000-0000-0000A50B0000}"/>
    <cellStyle name="Normal 8 4" xfId="199" xr:uid="{00000000-0005-0000-0000-0000A60B0000}"/>
    <cellStyle name="Normal 8 4 10" xfId="2735" xr:uid="{00000000-0005-0000-0000-0000A70B0000}"/>
    <cellStyle name="Normal 8 4 2" xfId="612" xr:uid="{00000000-0005-0000-0000-0000A80B0000}"/>
    <cellStyle name="Normal 8 4 2 2" xfId="799" xr:uid="{00000000-0005-0000-0000-0000A90B0000}"/>
    <cellStyle name="Normal 8 4 2 2 2" xfId="887" xr:uid="{00000000-0005-0000-0000-0000AA0B0000}"/>
    <cellStyle name="Normal 8 4 2 2 2 2" xfId="1482" xr:uid="{00000000-0005-0000-0000-0000AB0B0000}"/>
    <cellStyle name="Normal 8 4 2 2 2 2 2" xfId="2180" xr:uid="{00000000-0005-0000-0000-0000AC0B0000}"/>
    <cellStyle name="Normal 8 4 2 2 2 2 3" xfId="2655" xr:uid="{00000000-0005-0000-0000-0000AD0B0000}"/>
    <cellStyle name="Normal 8 4 2 2 2 2 4" xfId="3358" xr:uid="{00000000-0005-0000-0000-0000AE0B0000}"/>
    <cellStyle name="Normal 8 4 2 2 2 3" xfId="1130" xr:uid="{00000000-0005-0000-0000-0000AF0B0000}"/>
    <cellStyle name="Normal 8 4 2 2 2 3 2" xfId="1929" xr:uid="{00000000-0005-0000-0000-0000B00B0000}"/>
    <cellStyle name="Normal 8 4 2 2 2 3 3" xfId="3107" xr:uid="{00000000-0005-0000-0000-0000B10B0000}"/>
    <cellStyle name="Normal 8 4 2 2 2 4" xfId="1709" xr:uid="{00000000-0005-0000-0000-0000B20B0000}"/>
    <cellStyle name="Normal 8 4 2 2 2 5" xfId="2404" xr:uid="{00000000-0005-0000-0000-0000B30B0000}"/>
    <cellStyle name="Normal 8 4 2 2 2 6" xfId="2887" xr:uid="{00000000-0005-0000-0000-0000B40B0000}"/>
    <cellStyle name="Normal 8 4 2 2 3" xfId="1394" xr:uid="{00000000-0005-0000-0000-0000B50B0000}"/>
    <cellStyle name="Normal 8 4 2 2 3 2" xfId="2092" xr:uid="{00000000-0005-0000-0000-0000B60B0000}"/>
    <cellStyle name="Normal 8 4 2 2 3 3" xfId="2567" xr:uid="{00000000-0005-0000-0000-0000B70B0000}"/>
    <cellStyle name="Normal 8 4 2 2 3 4" xfId="3270" xr:uid="{00000000-0005-0000-0000-0000B80B0000}"/>
    <cellStyle name="Normal 8 4 2 2 4" xfId="1042" xr:uid="{00000000-0005-0000-0000-0000B90B0000}"/>
    <cellStyle name="Normal 8 4 2 2 4 2" xfId="1841" xr:uid="{00000000-0005-0000-0000-0000BA0B0000}"/>
    <cellStyle name="Normal 8 4 2 2 4 3" xfId="3019" xr:uid="{00000000-0005-0000-0000-0000BB0B0000}"/>
    <cellStyle name="Normal 8 4 2 2 5" xfId="1621" xr:uid="{00000000-0005-0000-0000-0000BC0B0000}"/>
    <cellStyle name="Normal 8 4 2 2 6" xfId="2316" xr:uid="{00000000-0005-0000-0000-0000BD0B0000}"/>
    <cellStyle name="Normal 8 4 2 2 7" xfId="2799" xr:uid="{00000000-0005-0000-0000-0000BE0B0000}"/>
    <cellStyle name="Normal 8 4 2 3" xfId="931" xr:uid="{00000000-0005-0000-0000-0000BF0B0000}"/>
    <cellStyle name="Normal 8 4 2 3 2" xfId="1526" xr:uid="{00000000-0005-0000-0000-0000C00B0000}"/>
    <cellStyle name="Normal 8 4 2 3 2 2" xfId="2224" xr:uid="{00000000-0005-0000-0000-0000C10B0000}"/>
    <cellStyle name="Normal 8 4 2 3 2 3" xfId="2699" xr:uid="{00000000-0005-0000-0000-0000C20B0000}"/>
    <cellStyle name="Normal 8 4 2 3 2 4" xfId="3402" xr:uid="{00000000-0005-0000-0000-0000C30B0000}"/>
    <cellStyle name="Normal 8 4 2 3 3" xfId="1174" xr:uid="{00000000-0005-0000-0000-0000C40B0000}"/>
    <cellStyle name="Normal 8 4 2 3 3 2" xfId="1973" xr:uid="{00000000-0005-0000-0000-0000C50B0000}"/>
    <cellStyle name="Normal 8 4 2 3 3 3" xfId="3151" xr:uid="{00000000-0005-0000-0000-0000C60B0000}"/>
    <cellStyle name="Normal 8 4 2 3 4" xfId="1753" xr:uid="{00000000-0005-0000-0000-0000C70B0000}"/>
    <cellStyle name="Normal 8 4 2 3 5" xfId="2448" xr:uid="{00000000-0005-0000-0000-0000C80B0000}"/>
    <cellStyle name="Normal 8 4 2 3 6" xfId="2931" xr:uid="{00000000-0005-0000-0000-0000C90B0000}"/>
    <cellStyle name="Normal 8 4 2 4" xfId="843" xr:uid="{00000000-0005-0000-0000-0000CA0B0000}"/>
    <cellStyle name="Normal 8 4 2 4 2" xfId="1438" xr:uid="{00000000-0005-0000-0000-0000CB0B0000}"/>
    <cellStyle name="Normal 8 4 2 4 2 2" xfId="2136" xr:uid="{00000000-0005-0000-0000-0000CC0B0000}"/>
    <cellStyle name="Normal 8 4 2 4 2 3" xfId="2611" xr:uid="{00000000-0005-0000-0000-0000CD0B0000}"/>
    <cellStyle name="Normal 8 4 2 4 2 4" xfId="3314" xr:uid="{00000000-0005-0000-0000-0000CE0B0000}"/>
    <cellStyle name="Normal 8 4 2 4 3" xfId="1086" xr:uid="{00000000-0005-0000-0000-0000CF0B0000}"/>
    <cellStyle name="Normal 8 4 2 4 3 2" xfId="1885" xr:uid="{00000000-0005-0000-0000-0000D00B0000}"/>
    <cellStyle name="Normal 8 4 2 4 3 3" xfId="3063" xr:uid="{00000000-0005-0000-0000-0000D10B0000}"/>
    <cellStyle name="Normal 8 4 2 4 4" xfId="1665" xr:uid="{00000000-0005-0000-0000-0000D20B0000}"/>
    <cellStyle name="Normal 8 4 2 4 5" xfId="2360" xr:uid="{00000000-0005-0000-0000-0000D30B0000}"/>
    <cellStyle name="Normal 8 4 2 4 6" xfId="2843" xr:uid="{00000000-0005-0000-0000-0000D40B0000}"/>
    <cellStyle name="Normal 8 4 2 5" xfId="1350" xr:uid="{00000000-0005-0000-0000-0000D50B0000}"/>
    <cellStyle name="Normal 8 4 2 5 2" xfId="2048" xr:uid="{00000000-0005-0000-0000-0000D60B0000}"/>
    <cellStyle name="Normal 8 4 2 5 3" xfId="2523" xr:uid="{00000000-0005-0000-0000-0000D70B0000}"/>
    <cellStyle name="Normal 8 4 2 5 4" xfId="3226" xr:uid="{00000000-0005-0000-0000-0000D80B0000}"/>
    <cellStyle name="Normal 8 4 2 6" xfId="998" xr:uid="{00000000-0005-0000-0000-0000D90B0000}"/>
    <cellStyle name="Normal 8 4 2 6 2" xfId="1797" xr:uid="{00000000-0005-0000-0000-0000DA0B0000}"/>
    <cellStyle name="Normal 8 4 2 6 3" xfId="2975" xr:uid="{00000000-0005-0000-0000-0000DB0B0000}"/>
    <cellStyle name="Normal 8 4 2 7" xfId="1577" xr:uid="{00000000-0005-0000-0000-0000DC0B0000}"/>
    <cellStyle name="Normal 8 4 2 8" xfId="2272" xr:uid="{00000000-0005-0000-0000-0000DD0B0000}"/>
    <cellStyle name="Normal 8 4 2 9" xfId="2755" xr:uid="{00000000-0005-0000-0000-0000DE0B0000}"/>
    <cellStyle name="Normal 8 4 3" xfId="779" xr:uid="{00000000-0005-0000-0000-0000DF0B0000}"/>
    <cellStyle name="Normal 8 4 3 2" xfId="867" xr:uid="{00000000-0005-0000-0000-0000E00B0000}"/>
    <cellStyle name="Normal 8 4 3 2 2" xfId="1462" xr:uid="{00000000-0005-0000-0000-0000E10B0000}"/>
    <cellStyle name="Normal 8 4 3 2 2 2" xfId="2160" xr:uid="{00000000-0005-0000-0000-0000E20B0000}"/>
    <cellStyle name="Normal 8 4 3 2 2 3" xfId="2635" xr:uid="{00000000-0005-0000-0000-0000E30B0000}"/>
    <cellStyle name="Normal 8 4 3 2 2 4" xfId="3338" xr:uid="{00000000-0005-0000-0000-0000E40B0000}"/>
    <cellStyle name="Normal 8 4 3 2 3" xfId="1110" xr:uid="{00000000-0005-0000-0000-0000E50B0000}"/>
    <cellStyle name="Normal 8 4 3 2 3 2" xfId="1909" xr:uid="{00000000-0005-0000-0000-0000E60B0000}"/>
    <cellStyle name="Normal 8 4 3 2 3 3" xfId="3087" xr:uid="{00000000-0005-0000-0000-0000E70B0000}"/>
    <cellStyle name="Normal 8 4 3 2 4" xfId="1689" xr:uid="{00000000-0005-0000-0000-0000E80B0000}"/>
    <cellStyle name="Normal 8 4 3 2 5" xfId="2384" xr:uid="{00000000-0005-0000-0000-0000E90B0000}"/>
    <cellStyle name="Normal 8 4 3 2 6" xfId="2867" xr:uid="{00000000-0005-0000-0000-0000EA0B0000}"/>
    <cellStyle name="Normal 8 4 3 3" xfId="1374" xr:uid="{00000000-0005-0000-0000-0000EB0B0000}"/>
    <cellStyle name="Normal 8 4 3 3 2" xfId="2072" xr:uid="{00000000-0005-0000-0000-0000EC0B0000}"/>
    <cellStyle name="Normal 8 4 3 3 3" xfId="2547" xr:uid="{00000000-0005-0000-0000-0000ED0B0000}"/>
    <cellStyle name="Normal 8 4 3 3 4" xfId="3250" xr:uid="{00000000-0005-0000-0000-0000EE0B0000}"/>
    <cellStyle name="Normal 8 4 3 4" xfId="1022" xr:uid="{00000000-0005-0000-0000-0000EF0B0000}"/>
    <cellStyle name="Normal 8 4 3 4 2" xfId="1821" xr:uid="{00000000-0005-0000-0000-0000F00B0000}"/>
    <cellStyle name="Normal 8 4 3 4 3" xfId="2999" xr:uid="{00000000-0005-0000-0000-0000F10B0000}"/>
    <cellStyle name="Normal 8 4 3 5" xfId="1601" xr:uid="{00000000-0005-0000-0000-0000F20B0000}"/>
    <cellStyle name="Normal 8 4 3 6" xfId="2296" xr:uid="{00000000-0005-0000-0000-0000F30B0000}"/>
    <cellStyle name="Normal 8 4 3 7" xfId="2779" xr:uid="{00000000-0005-0000-0000-0000F40B0000}"/>
    <cellStyle name="Normal 8 4 4" xfId="911" xr:uid="{00000000-0005-0000-0000-0000F50B0000}"/>
    <cellStyle name="Normal 8 4 4 2" xfId="1506" xr:uid="{00000000-0005-0000-0000-0000F60B0000}"/>
    <cellStyle name="Normal 8 4 4 2 2" xfId="2204" xr:uid="{00000000-0005-0000-0000-0000F70B0000}"/>
    <cellStyle name="Normal 8 4 4 2 3" xfId="2679" xr:uid="{00000000-0005-0000-0000-0000F80B0000}"/>
    <cellStyle name="Normal 8 4 4 2 4" xfId="3382" xr:uid="{00000000-0005-0000-0000-0000F90B0000}"/>
    <cellStyle name="Normal 8 4 4 3" xfId="1154" xr:uid="{00000000-0005-0000-0000-0000FA0B0000}"/>
    <cellStyle name="Normal 8 4 4 3 2" xfId="1953" xr:uid="{00000000-0005-0000-0000-0000FB0B0000}"/>
    <cellStyle name="Normal 8 4 4 3 3" xfId="3131" xr:uid="{00000000-0005-0000-0000-0000FC0B0000}"/>
    <cellStyle name="Normal 8 4 4 4" xfId="1733" xr:uid="{00000000-0005-0000-0000-0000FD0B0000}"/>
    <cellStyle name="Normal 8 4 4 5" xfId="2428" xr:uid="{00000000-0005-0000-0000-0000FE0B0000}"/>
    <cellStyle name="Normal 8 4 4 6" xfId="2911" xr:uid="{00000000-0005-0000-0000-0000FF0B0000}"/>
    <cellStyle name="Normal 8 4 5" xfId="823" xr:uid="{00000000-0005-0000-0000-0000000C0000}"/>
    <cellStyle name="Normal 8 4 5 2" xfId="1418" xr:uid="{00000000-0005-0000-0000-0000010C0000}"/>
    <cellStyle name="Normal 8 4 5 2 2" xfId="2116" xr:uid="{00000000-0005-0000-0000-0000020C0000}"/>
    <cellStyle name="Normal 8 4 5 2 3" xfId="2591" xr:uid="{00000000-0005-0000-0000-0000030C0000}"/>
    <cellStyle name="Normal 8 4 5 2 4" xfId="3294" xr:uid="{00000000-0005-0000-0000-0000040C0000}"/>
    <cellStyle name="Normal 8 4 5 3" xfId="1066" xr:uid="{00000000-0005-0000-0000-0000050C0000}"/>
    <cellStyle name="Normal 8 4 5 3 2" xfId="1865" xr:uid="{00000000-0005-0000-0000-0000060C0000}"/>
    <cellStyle name="Normal 8 4 5 3 3" xfId="3043" xr:uid="{00000000-0005-0000-0000-0000070C0000}"/>
    <cellStyle name="Normal 8 4 5 4" xfId="1645" xr:uid="{00000000-0005-0000-0000-0000080C0000}"/>
    <cellStyle name="Normal 8 4 5 5" xfId="2340" xr:uid="{00000000-0005-0000-0000-0000090C0000}"/>
    <cellStyle name="Normal 8 4 5 6" xfId="2823" xr:uid="{00000000-0005-0000-0000-00000A0C0000}"/>
    <cellStyle name="Normal 8 4 6" xfId="1330" xr:uid="{00000000-0005-0000-0000-00000B0C0000}"/>
    <cellStyle name="Normal 8 4 6 2" xfId="2028" xr:uid="{00000000-0005-0000-0000-00000C0C0000}"/>
    <cellStyle name="Normal 8 4 6 3" xfId="2503" xr:uid="{00000000-0005-0000-0000-00000D0C0000}"/>
    <cellStyle name="Normal 8 4 6 4" xfId="3206" xr:uid="{00000000-0005-0000-0000-00000E0C0000}"/>
    <cellStyle name="Normal 8 4 7" xfId="978" xr:uid="{00000000-0005-0000-0000-00000F0C0000}"/>
    <cellStyle name="Normal 8 4 7 2" xfId="1777" xr:uid="{00000000-0005-0000-0000-0000100C0000}"/>
    <cellStyle name="Normal 8 4 7 3" xfId="2955" xr:uid="{00000000-0005-0000-0000-0000110C0000}"/>
    <cellStyle name="Normal 8 4 8" xfId="1557" xr:uid="{00000000-0005-0000-0000-0000120C0000}"/>
    <cellStyle name="Normal 8 4 9" xfId="2252" xr:uid="{00000000-0005-0000-0000-0000130C0000}"/>
    <cellStyle name="Normal 8 5" xfId="200" xr:uid="{00000000-0005-0000-0000-0000140C0000}"/>
    <cellStyle name="Normal 8 6" xfId="457" xr:uid="{00000000-0005-0000-0000-0000150C0000}"/>
    <cellStyle name="Normal 80" xfId="960" xr:uid="{00000000-0005-0000-0000-0000160C0000}"/>
    <cellStyle name="Normal 80 2" xfId="2721" xr:uid="{00000000-0005-0000-0000-0000170C0000}"/>
    <cellStyle name="Normal 81" xfId="974" xr:uid="{00000000-0005-0000-0000-0000180C0000}"/>
    <cellStyle name="Normal 82" xfId="975" xr:uid="{00000000-0005-0000-0000-0000190C0000}"/>
    <cellStyle name="Normal 83" xfId="1548" xr:uid="{00000000-0005-0000-0000-00001A0C0000}"/>
    <cellStyle name="Normal 84" xfId="1549" xr:uid="{00000000-0005-0000-0000-00001B0C0000}"/>
    <cellStyle name="Normal 85" xfId="1550" xr:uid="{00000000-0005-0000-0000-00001C0C0000}"/>
    <cellStyle name="Normal 86" xfId="2246" xr:uid="{00000000-0005-0000-0000-00001D0C0000}"/>
    <cellStyle name="Normal 87" xfId="2247" xr:uid="{00000000-0005-0000-0000-00001E0C0000}"/>
    <cellStyle name="Normal 88" xfId="2248" xr:uid="{00000000-0005-0000-0000-00001F0C0000}"/>
    <cellStyle name="Normal 89" xfId="2249" xr:uid="{00000000-0005-0000-0000-0000200C0000}"/>
    <cellStyle name="Normal 9" xfId="201" xr:uid="{00000000-0005-0000-0000-0000210C0000}"/>
    <cellStyle name="Normal 9 10" xfId="202" xr:uid="{00000000-0005-0000-0000-0000220C0000}"/>
    <cellStyle name="Normal 9 11" xfId="203" xr:uid="{00000000-0005-0000-0000-0000230C0000}"/>
    <cellStyle name="Normal 9 12" xfId="204" xr:uid="{00000000-0005-0000-0000-0000240C0000}"/>
    <cellStyle name="Normal 9 13" xfId="461" xr:uid="{00000000-0005-0000-0000-0000250C0000}"/>
    <cellStyle name="Normal 9 2" xfId="205" xr:uid="{00000000-0005-0000-0000-0000260C0000}"/>
    <cellStyle name="Normal 9 2 2" xfId="206" xr:uid="{00000000-0005-0000-0000-0000270C0000}"/>
    <cellStyle name="Normal 9 2 3" xfId="207" xr:uid="{00000000-0005-0000-0000-0000280C0000}"/>
    <cellStyle name="Normal 9 2 4" xfId="208" xr:uid="{00000000-0005-0000-0000-0000290C0000}"/>
    <cellStyle name="Normal 9 3" xfId="209" xr:uid="{00000000-0005-0000-0000-00002A0C0000}"/>
    <cellStyle name="Normal 9 3 2" xfId="210" xr:uid="{00000000-0005-0000-0000-00002B0C0000}"/>
    <cellStyle name="Normal 9 3 3" xfId="211" xr:uid="{00000000-0005-0000-0000-00002C0C0000}"/>
    <cellStyle name="Normal 9 3 3 2" xfId="212" xr:uid="{00000000-0005-0000-0000-00002D0C0000}"/>
    <cellStyle name="Normal 9 4" xfId="213" xr:uid="{00000000-0005-0000-0000-00002E0C0000}"/>
    <cellStyle name="Normal 9 5" xfId="214" xr:uid="{00000000-0005-0000-0000-00002F0C0000}"/>
    <cellStyle name="Normal 9 6" xfId="215" xr:uid="{00000000-0005-0000-0000-0000300C0000}"/>
    <cellStyle name="Normal 9 7" xfId="216" xr:uid="{00000000-0005-0000-0000-0000310C0000}"/>
    <cellStyle name="Normal 9 8" xfId="217" xr:uid="{00000000-0005-0000-0000-0000320C0000}"/>
    <cellStyle name="Normal 9 9" xfId="218" xr:uid="{00000000-0005-0000-0000-0000330C0000}"/>
    <cellStyle name="Note 2" xfId="462" xr:uid="{00000000-0005-0000-0000-0000340C0000}"/>
    <cellStyle name="Note 3" xfId="463" xr:uid="{00000000-0005-0000-0000-0000350C0000}"/>
    <cellStyle name="Notes - Amount" xfId="506" xr:uid="{00000000-0005-0000-0000-0000360C0000}"/>
    <cellStyle name="Notes - Amount - $ Double Underline" xfId="507" xr:uid="{00000000-0005-0000-0000-0000370C0000}"/>
    <cellStyle name="Notes - Amount - $ Single Underline" xfId="508" xr:uid="{00000000-0005-0000-0000-0000380C0000}"/>
    <cellStyle name="Notes - Amount - %" xfId="509" xr:uid="{00000000-0005-0000-0000-0000390C0000}"/>
    <cellStyle name="Notes - Amount - % Double Underline" xfId="510" xr:uid="{00000000-0005-0000-0000-00003A0C0000}"/>
    <cellStyle name="Notes - Amount - % Single Underline" xfId="511" xr:uid="{00000000-0005-0000-0000-00003B0C0000}"/>
    <cellStyle name="Notes - Amount - Single Underline" xfId="512" xr:uid="{00000000-0005-0000-0000-00003C0C0000}"/>
    <cellStyle name="Notes - Amount $" xfId="513" xr:uid="{00000000-0005-0000-0000-00003D0C0000}"/>
    <cellStyle name="Notes - Column Header" xfId="514" xr:uid="{00000000-0005-0000-0000-00003E0C0000}"/>
    <cellStyle name="Notes - Column Header (10)" xfId="515" xr:uid="{00000000-0005-0000-0000-00003F0C0000}"/>
    <cellStyle name="Notes - Line Item 1" xfId="516" xr:uid="{00000000-0005-0000-0000-0000400C0000}"/>
    <cellStyle name="Notes - Line Item 1 (10)" xfId="517" xr:uid="{00000000-0005-0000-0000-0000410C0000}"/>
    <cellStyle name="Notes - Line Item 2" xfId="518" xr:uid="{00000000-0005-0000-0000-0000420C0000}"/>
    <cellStyle name="Notes - Line Item 2 (10)" xfId="519" xr:uid="{00000000-0005-0000-0000-0000430C0000}"/>
    <cellStyle name="Notes - Line Item 3" xfId="520" xr:uid="{00000000-0005-0000-0000-0000440C0000}"/>
    <cellStyle name="Notes - Line Item 3 (10)" xfId="521" xr:uid="{00000000-0005-0000-0000-0000450C0000}"/>
    <cellStyle name="Notes - Line Item 3_Sheet1" xfId="522" xr:uid="{00000000-0005-0000-0000-0000460C0000}"/>
    <cellStyle name="Notes - Line Item 4" xfId="523" xr:uid="{00000000-0005-0000-0000-0000470C0000}"/>
    <cellStyle name="Notes - Line Item 4 (10)" xfId="524" xr:uid="{00000000-0005-0000-0000-0000480C0000}"/>
    <cellStyle name="Notes - Line Item 4_Sheet1" xfId="525" xr:uid="{00000000-0005-0000-0000-0000490C0000}"/>
    <cellStyle name="Output 2" xfId="464" xr:uid="{00000000-0005-0000-0000-00004A0C0000}"/>
    <cellStyle name="Percent" xfId="3" builtinId="5"/>
    <cellStyle name="Percent 10" xfId="375" xr:uid="{00000000-0005-0000-0000-00004C0C0000}"/>
    <cellStyle name="Percent 10 2" xfId="377" xr:uid="{00000000-0005-0000-0000-00004D0C0000}"/>
    <cellStyle name="Percent 10 3" xfId="526" xr:uid="{00000000-0005-0000-0000-00004E0C0000}"/>
    <cellStyle name="Percent 11" xfId="527" xr:uid="{00000000-0005-0000-0000-00004F0C0000}"/>
    <cellStyle name="Percent 12" xfId="528" xr:uid="{00000000-0005-0000-0000-0000500C0000}"/>
    <cellStyle name="Percent 13" xfId="546" xr:uid="{00000000-0005-0000-0000-0000510C0000}"/>
    <cellStyle name="Percent 13 10" xfId="2745" xr:uid="{00000000-0005-0000-0000-0000520C0000}"/>
    <cellStyle name="Percent 13 2" xfId="703" xr:uid="{00000000-0005-0000-0000-0000530C0000}"/>
    <cellStyle name="Percent 13 2 2" xfId="810" xr:uid="{00000000-0005-0000-0000-0000540C0000}"/>
    <cellStyle name="Percent 13 2 2 2" xfId="898" xr:uid="{00000000-0005-0000-0000-0000550C0000}"/>
    <cellStyle name="Percent 13 2 2 2 2" xfId="1493" xr:uid="{00000000-0005-0000-0000-0000560C0000}"/>
    <cellStyle name="Percent 13 2 2 2 2 2" xfId="2191" xr:uid="{00000000-0005-0000-0000-0000570C0000}"/>
    <cellStyle name="Percent 13 2 2 2 2 3" xfId="2666" xr:uid="{00000000-0005-0000-0000-0000580C0000}"/>
    <cellStyle name="Percent 13 2 2 2 2 4" xfId="3369" xr:uid="{00000000-0005-0000-0000-0000590C0000}"/>
    <cellStyle name="Percent 13 2 2 2 3" xfId="1141" xr:uid="{00000000-0005-0000-0000-00005A0C0000}"/>
    <cellStyle name="Percent 13 2 2 2 3 2" xfId="1940" xr:uid="{00000000-0005-0000-0000-00005B0C0000}"/>
    <cellStyle name="Percent 13 2 2 2 3 3" xfId="3118" xr:uid="{00000000-0005-0000-0000-00005C0C0000}"/>
    <cellStyle name="Percent 13 2 2 2 4" xfId="1720" xr:uid="{00000000-0005-0000-0000-00005D0C0000}"/>
    <cellStyle name="Percent 13 2 2 2 5" xfId="2415" xr:uid="{00000000-0005-0000-0000-00005E0C0000}"/>
    <cellStyle name="Percent 13 2 2 2 6" xfId="2898" xr:uid="{00000000-0005-0000-0000-00005F0C0000}"/>
    <cellStyle name="Percent 13 2 2 3" xfId="1405" xr:uid="{00000000-0005-0000-0000-0000600C0000}"/>
    <cellStyle name="Percent 13 2 2 3 2" xfId="2103" xr:uid="{00000000-0005-0000-0000-0000610C0000}"/>
    <cellStyle name="Percent 13 2 2 3 3" xfId="2578" xr:uid="{00000000-0005-0000-0000-0000620C0000}"/>
    <cellStyle name="Percent 13 2 2 3 4" xfId="3281" xr:uid="{00000000-0005-0000-0000-0000630C0000}"/>
    <cellStyle name="Percent 13 2 2 4" xfId="1053" xr:uid="{00000000-0005-0000-0000-0000640C0000}"/>
    <cellStyle name="Percent 13 2 2 4 2" xfId="1852" xr:uid="{00000000-0005-0000-0000-0000650C0000}"/>
    <cellStyle name="Percent 13 2 2 4 3" xfId="3030" xr:uid="{00000000-0005-0000-0000-0000660C0000}"/>
    <cellStyle name="Percent 13 2 2 5" xfId="1632" xr:uid="{00000000-0005-0000-0000-0000670C0000}"/>
    <cellStyle name="Percent 13 2 2 6" xfId="2327" xr:uid="{00000000-0005-0000-0000-0000680C0000}"/>
    <cellStyle name="Percent 13 2 2 7" xfId="2810" xr:uid="{00000000-0005-0000-0000-0000690C0000}"/>
    <cellStyle name="Percent 13 2 3" xfId="942" xr:uid="{00000000-0005-0000-0000-00006A0C0000}"/>
    <cellStyle name="Percent 13 2 3 2" xfId="1537" xr:uid="{00000000-0005-0000-0000-00006B0C0000}"/>
    <cellStyle name="Percent 13 2 3 2 2" xfId="2235" xr:uid="{00000000-0005-0000-0000-00006C0C0000}"/>
    <cellStyle name="Percent 13 2 3 2 3" xfId="2710" xr:uid="{00000000-0005-0000-0000-00006D0C0000}"/>
    <cellStyle name="Percent 13 2 3 2 4" xfId="3413" xr:uid="{00000000-0005-0000-0000-00006E0C0000}"/>
    <cellStyle name="Percent 13 2 3 3" xfId="1185" xr:uid="{00000000-0005-0000-0000-00006F0C0000}"/>
    <cellStyle name="Percent 13 2 3 3 2" xfId="1984" xr:uid="{00000000-0005-0000-0000-0000700C0000}"/>
    <cellStyle name="Percent 13 2 3 3 3" xfId="3162" xr:uid="{00000000-0005-0000-0000-0000710C0000}"/>
    <cellStyle name="Percent 13 2 3 4" xfId="1764" xr:uid="{00000000-0005-0000-0000-0000720C0000}"/>
    <cellStyle name="Percent 13 2 3 5" xfId="2459" xr:uid="{00000000-0005-0000-0000-0000730C0000}"/>
    <cellStyle name="Percent 13 2 3 6" xfId="2942" xr:uid="{00000000-0005-0000-0000-0000740C0000}"/>
    <cellStyle name="Percent 13 2 4" xfId="854" xr:uid="{00000000-0005-0000-0000-0000750C0000}"/>
    <cellStyle name="Percent 13 2 4 2" xfId="1449" xr:uid="{00000000-0005-0000-0000-0000760C0000}"/>
    <cellStyle name="Percent 13 2 4 2 2" xfId="2147" xr:uid="{00000000-0005-0000-0000-0000770C0000}"/>
    <cellStyle name="Percent 13 2 4 2 3" xfId="2622" xr:uid="{00000000-0005-0000-0000-0000780C0000}"/>
    <cellStyle name="Percent 13 2 4 2 4" xfId="3325" xr:uid="{00000000-0005-0000-0000-0000790C0000}"/>
    <cellStyle name="Percent 13 2 4 3" xfId="1097" xr:uid="{00000000-0005-0000-0000-00007A0C0000}"/>
    <cellStyle name="Percent 13 2 4 3 2" xfId="1896" xr:uid="{00000000-0005-0000-0000-00007B0C0000}"/>
    <cellStyle name="Percent 13 2 4 3 3" xfId="3074" xr:uid="{00000000-0005-0000-0000-00007C0C0000}"/>
    <cellStyle name="Percent 13 2 4 4" xfId="1676" xr:uid="{00000000-0005-0000-0000-00007D0C0000}"/>
    <cellStyle name="Percent 13 2 4 5" xfId="2371" xr:uid="{00000000-0005-0000-0000-00007E0C0000}"/>
    <cellStyle name="Percent 13 2 4 6" xfId="2854" xr:uid="{00000000-0005-0000-0000-00007F0C0000}"/>
    <cellStyle name="Percent 13 2 5" xfId="1361" xr:uid="{00000000-0005-0000-0000-0000800C0000}"/>
    <cellStyle name="Percent 13 2 5 2" xfId="2059" xr:uid="{00000000-0005-0000-0000-0000810C0000}"/>
    <cellStyle name="Percent 13 2 5 3" xfId="2534" xr:uid="{00000000-0005-0000-0000-0000820C0000}"/>
    <cellStyle name="Percent 13 2 5 4" xfId="3237" xr:uid="{00000000-0005-0000-0000-0000830C0000}"/>
    <cellStyle name="Percent 13 2 6" xfId="1009" xr:uid="{00000000-0005-0000-0000-0000840C0000}"/>
    <cellStyle name="Percent 13 2 6 2" xfId="1808" xr:uid="{00000000-0005-0000-0000-0000850C0000}"/>
    <cellStyle name="Percent 13 2 6 3" xfId="2986" xr:uid="{00000000-0005-0000-0000-0000860C0000}"/>
    <cellStyle name="Percent 13 2 7" xfId="1588" xr:uid="{00000000-0005-0000-0000-0000870C0000}"/>
    <cellStyle name="Percent 13 2 8" xfId="2283" xr:uid="{00000000-0005-0000-0000-0000880C0000}"/>
    <cellStyle name="Percent 13 2 9" xfId="2766" xr:uid="{00000000-0005-0000-0000-0000890C0000}"/>
    <cellStyle name="Percent 13 3" xfId="789" xr:uid="{00000000-0005-0000-0000-00008A0C0000}"/>
    <cellStyle name="Percent 13 3 2" xfId="877" xr:uid="{00000000-0005-0000-0000-00008B0C0000}"/>
    <cellStyle name="Percent 13 3 2 2" xfId="1472" xr:uid="{00000000-0005-0000-0000-00008C0C0000}"/>
    <cellStyle name="Percent 13 3 2 2 2" xfId="2170" xr:uid="{00000000-0005-0000-0000-00008D0C0000}"/>
    <cellStyle name="Percent 13 3 2 2 3" xfId="2645" xr:uid="{00000000-0005-0000-0000-00008E0C0000}"/>
    <cellStyle name="Percent 13 3 2 2 4" xfId="3348" xr:uid="{00000000-0005-0000-0000-00008F0C0000}"/>
    <cellStyle name="Percent 13 3 2 3" xfId="1120" xr:uid="{00000000-0005-0000-0000-0000900C0000}"/>
    <cellStyle name="Percent 13 3 2 3 2" xfId="1919" xr:uid="{00000000-0005-0000-0000-0000910C0000}"/>
    <cellStyle name="Percent 13 3 2 3 3" xfId="3097" xr:uid="{00000000-0005-0000-0000-0000920C0000}"/>
    <cellStyle name="Percent 13 3 2 4" xfId="1699" xr:uid="{00000000-0005-0000-0000-0000930C0000}"/>
    <cellStyle name="Percent 13 3 2 5" xfId="2394" xr:uid="{00000000-0005-0000-0000-0000940C0000}"/>
    <cellStyle name="Percent 13 3 2 6" xfId="2877" xr:uid="{00000000-0005-0000-0000-0000950C0000}"/>
    <cellStyle name="Percent 13 3 3" xfId="1384" xr:uid="{00000000-0005-0000-0000-0000960C0000}"/>
    <cellStyle name="Percent 13 3 3 2" xfId="2082" xr:uid="{00000000-0005-0000-0000-0000970C0000}"/>
    <cellStyle name="Percent 13 3 3 3" xfId="2557" xr:uid="{00000000-0005-0000-0000-0000980C0000}"/>
    <cellStyle name="Percent 13 3 3 4" xfId="3260" xr:uid="{00000000-0005-0000-0000-0000990C0000}"/>
    <cellStyle name="Percent 13 3 4" xfId="1032" xr:uid="{00000000-0005-0000-0000-00009A0C0000}"/>
    <cellStyle name="Percent 13 3 4 2" xfId="1831" xr:uid="{00000000-0005-0000-0000-00009B0C0000}"/>
    <cellStyle name="Percent 13 3 4 3" xfId="3009" xr:uid="{00000000-0005-0000-0000-00009C0C0000}"/>
    <cellStyle name="Percent 13 3 5" xfId="1611" xr:uid="{00000000-0005-0000-0000-00009D0C0000}"/>
    <cellStyle name="Percent 13 3 6" xfId="2306" xr:uid="{00000000-0005-0000-0000-00009E0C0000}"/>
    <cellStyle name="Percent 13 3 7" xfId="2789" xr:uid="{00000000-0005-0000-0000-00009F0C0000}"/>
    <cellStyle name="Percent 13 4" xfId="921" xr:uid="{00000000-0005-0000-0000-0000A00C0000}"/>
    <cellStyle name="Percent 13 4 2" xfId="1516" xr:uid="{00000000-0005-0000-0000-0000A10C0000}"/>
    <cellStyle name="Percent 13 4 2 2" xfId="2214" xr:uid="{00000000-0005-0000-0000-0000A20C0000}"/>
    <cellStyle name="Percent 13 4 2 3" xfId="2689" xr:uid="{00000000-0005-0000-0000-0000A30C0000}"/>
    <cellStyle name="Percent 13 4 2 4" xfId="3392" xr:uid="{00000000-0005-0000-0000-0000A40C0000}"/>
    <cellStyle name="Percent 13 4 3" xfId="1164" xr:uid="{00000000-0005-0000-0000-0000A50C0000}"/>
    <cellStyle name="Percent 13 4 3 2" xfId="1963" xr:uid="{00000000-0005-0000-0000-0000A60C0000}"/>
    <cellStyle name="Percent 13 4 3 3" xfId="3141" xr:uid="{00000000-0005-0000-0000-0000A70C0000}"/>
    <cellStyle name="Percent 13 4 4" xfId="1743" xr:uid="{00000000-0005-0000-0000-0000A80C0000}"/>
    <cellStyle name="Percent 13 4 5" xfId="2438" xr:uid="{00000000-0005-0000-0000-0000A90C0000}"/>
    <cellStyle name="Percent 13 4 6" xfId="2921" xr:uid="{00000000-0005-0000-0000-0000AA0C0000}"/>
    <cellStyle name="Percent 13 5" xfId="833" xr:uid="{00000000-0005-0000-0000-0000AB0C0000}"/>
    <cellStyle name="Percent 13 5 2" xfId="1428" xr:uid="{00000000-0005-0000-0000-0000AC0C0000}"/>
    <cellStyle name="Percent 13 5 2 2" xfId="2126" xr:uid="{00000000-0005-0000-0000-0000AD0C0000}"/>
    <cellStyle name="Percent 13 5 2 3" xfId="2601" xr:uid="{00000000-0005-0000-0000-0000AE0C0000}"/>
    <cellStyle name="Percent 13 5 2 4" xfId="3304" xr:uid="{00000000-0005-0000-0000-0000AF0C0000}"/>
    <cellStyle name="Percent 13 5 3" xfId="1076" xr:uid="{00000000-0005-0000-0000-0000B00C0000}"/>
    <cellStyle name="Percent 13 5 3 2" xfId="1875" xr:uid="{00000000-0005-0000-0000-0000B10C0000}"/>
    <cellStyle name="Percent 13 5 3 3" xfId="3053" xr:uid="{00000000-0005-0000-0000-0000B20C0000}"/>
    <cellStyle name="Percent 13 5 4" xfId="1655" xr:uid="{00000000-0005-0000-0000-0000B30C0000}"/>
    <cellStyle name="Percent 13 5 5" xfId="2350" xr:uid="{00000000-0005-0000-0000-0000B40C0000}"/>
    <cellStyle name="Percent 13 5 6" xfId="2833" xr:uid="{00000000-0005-0000-0000-0000B50C0000}"/>
    <cellStyle name="Percent 13 6" xfId="1340" xr:uid="{00000000-0005-0000-0000-0000B60C0000}"/>
    <cellStyle name="Percent 13 6 2" xfId="2038" xr:uid="{00000000-0005-0000-0000-0000B70C0000}"/>
    <cellStyle name="Percent 13 6 3" xfId="2513" xr:uid="{00000000-0005-0000-0000-0000B80C0000}"/>
    <cellStyle name="Percent 13 6 4" xfId="3216" xr:uid="{00000000-0005-0000-0000-0000B90C0000}"/>
    <cellStyle name="Percent 13 7" xfId="988" xr:uid="{00000000-0005-0000-0000-0000BA0C0000}"/>
    <cellStyle name="Percent 13 7 2" xfId="1787" xr:uid="{00000000-0005-0000-0000-0000BB0C0000}"/>
    <cellStyle name="Percent 13 7 3" xfId="2965" xr:uid="{00000000-0005-0000-0000-0000BC0C0000}"/>
    <cellStyle name="Percent 13 8" xfId="1567" xr:uid="{00000000-0005-0000-0000-0000BD0C0000}"/>
    <cellStyle name="Percent 13 9" xfId="2262" xr:uid="{00000000-0005-0000-0000-0000BE0C0000}"/>
    <cellStyle name="Percent 14" xfId="627" xr:uid="{00000000-0005-0000-0000-0000BF0C0000}"/>
    <cellStyle name="Percent 15" xfId="767" xr:uid="{00000000-0005-0000-0000-0000C00C0000}"/>
    <cellStyle name="Percent 16" xfId="252" xr:uid="{00000000-0005-0000-0000-0000C10C0000}"/>
    <cellStyle name="Percent 17" xfId="964" xr:uid="{00000000-0005-0000-0000-0000C20C0000}"/>
    <cellStyle name="Percent 17 2" xfId="1286" xr:uid="{00000000-0005-0000-0000-0000C30C0000}"/>
    <cellStyle name="Percent 17 3" xfId="2014" xr:uid="{00000000-0005-0000-0000-0000C40C0000}"/>
    <cellStyle name="Percent 17 4" xfId="2489" xr:uid="{00000000-0005-0000-0000-0000C50C0000}"/>
    <cellStyle name="Percent 17 5" xfId="3192" xr:uid="{00000000-0005-0000-0000-0000C60C0000}"/>
    <cellStyle name="Percent 18" xfId="2724" xr:uid="{00000000-0005-0000-0000-0000C70C0000}"/>
    <cellStyle name="Percent 2" xfId="6" xr:uid="{00000000-0005-0000-0000-0000C80C0000}"/>
    <cellStyle name="Percent 2 2" xfId="17" xr:uid="{00000000-0005-0000-0000-0000C90C0000}"/>
    <cellStyle name="Percent 2 2 2" xfId="219" xr:uid="{00000000-0005-0000-0000-0000CA0C0000}"/>
    <cellStyle name="Percent 2 2 2 2" xfId="353" xr:uid="{00000000-0005-0000-0000-0000CB0C0000}"/>
    <cellStyle name="Percent 2 2 3" xfId="352" xr:uid="{00000000-0005-0000-0000-0000CC0C0000}"/>
    <cellStyle name="Percent 2 2 4" xfId="1278" xr:uid="{00000000-0005-0000-0000-0000CD0C0000}"/>
    <cellStyle name="Percent 2 2 4 2" xfId="2006" xr:uid="{00000000-0005-0000-0000-0000CE0C0000}"/>
    <cellStyle name="Percent 2 2 4 3" xfId="2481" xr:uid="{00000000-0005-0000-0000-0000CF0C0000}"/>
    <cellStyle name="Percent 2 2 4 4" xfId="3184" xr:uid="{00000000-0005-0000-0000-0000D00C0000}"/>
    <cellStyle name="Percent 2 3" xfId="220" xr:uid="{00000000-0005-0000-0000-0000D10C0000}"/>
    <cellStyle name="Percent 2 3 2" xfId="354" xr:uid="{00000000-0005-0000-0000-0000D20C0000}"/>
    <cellStyle name="Percent 2 3 3" xfId="1282" xr:uid="{00000000-0005-0000-0000-0000D30C0000}"/>
    <cellStyle name="Percent 2 3 3 2" xfId="2010" xr:uid="{00000000-0005-0000-0000-0000D40C0000}"/>
    <cellStyle name="Percent 2 3 3 3" xfId="2485" xr:uid="{00000000-0005-0000-0000-0000D50C0000}"/>
    <cellStyle name="Percent 2 3 3 4" xfId="3188" xr:uid="{00000000-0005-0000-0000-0000D60C0000}"/>
    <cellStyle name="Percent 2 4" xfId="351" xr:uid="{00000000-0005-0000-0000-0000D70C0000}"/>
    <cellStyle name="Percent 2 5" xfId="1250" xr:uid="{00000000-0005-0000-0000-0000D80C0000}"/>
    <cellStyle name="Percent 2 5 2" xfId="2001" xr:uid="{00000000-0005-0000-0000-0000D90C0000}"/>
    <cellStyle name="Percent 2 5 3" xfId="2476" xr:uid="{00000000-0005-0000-0000-0000DA0C0000}"/>
    <cellStyle name="Percent 2 5 4" xfId="3179" xr:uid="{00000000-0005-0000-0000-0000DB0C0000}"/>
    <cellStyle name="Percent 3" xfId="12" xr:uid="{00000000-0005-0000-0000-0000DC0C0000}"/>
    <cellStyle name="Percent 3 10" xfId="51" xr:uid="{00000000-0005-0000-0000-0000DD0C0000}"/>
    <cellStyle name="Percent 3 11" xfId="48" xr:uid="{00000000-0005-0000-0000-0000DE0C0000}"/>
    <cellStyle name="Percent 3 11 2" xfId="1316" xr:uid="{00000000-0005-0000-0000-0000DF0C0000}"/>
    <cellStyle name="Percent 3 11 3" xfId="2026" xr:uid="{00000000-0005-0000-0000-0000E00C0000}"/>
    <cellStyle name="Percent 3 11 4" xfId="2501" xr:uid="{00000000-0005-0000-0000-0000E10C0000}"/>
    <cellStyle name="Percent 3 11 5" xfId="3204" xr:uid="{00000000-0005-0000-0000-0000E20C0000}"/>
    <cellStyle name="Percent 3 12" xfId="1291" xr:uid="{00000000-0005-0000-0000-0000E30C0000}"/>
    <cellStyle name="Percent 3 13" xfId="967" xr:uid="{00000000-0005-0000-0000-0000E40C0000}"/>
    <cellStyle name="Percent 3 13 2" xfId="1554" xr:uid="{00000000-0005-0000-0000-0000E50C0000}"/>
    <cellStyle name="Percent 3 14" xfId="2732" xr:uid="{00000000-0005-0000-0000-0000E60C0000}"/>
    <cellStyle name="Percent 3 2" xfId="25" xr:uid="{00000000-0005-0000-0000-0000E70C0000}"/>
    <cellStyle name="Percent 3 2 2" xfId="223" xr:uid="{00000000-0005-0000-0000-0000E80C0000}"/>
    <cellStyle name="Percent 3 2 2 2" xfId="224" xr:uid="{00000000-0005-0000-0000-0000E90C0000}"/>
    <cellStyle name="Percent 3 2 2 2 2" xfId="358" xr:uid="{00000000-0005-0000-0000-0000EA0C0000}"/>
    <cellStyle name="Percent 3 2 2 2 2 2" xfId="686" xr:uid="{00000000-0005-0000-0000-0000EB0C0000}"/>
    <cellStyle name="Percent 3 2 2 2 3" xfId="616" xr:uid="{00000000-0005-0000-0000-0000EC0C0000}"/>
    <cellStyle name="Percent 3 2 2 3" xfId="357" xr:uid="{00000000-0005-0000-0000-0000ED0C0000}"/>
    <cellStyle name="Percent 3 2 2 3 2" xfId="685" xr:uid="{00000000-0005-0000-0000-0000EE0C0000}"/>
    <cellStyle name="Percent 3 2 2 4" xfId="467" xr:uid="{00000000-0005-0000-0000-0000EF0C0000}"/>
    <cellStyle name="Percent 3 2 2 5" xfId="615" xr:uid="{00000000-0005-0000-0000-0000F00C0000}"/>
    <cellStyle name="Percent 3 2 3" xfId="356" xr:uid="{00000000-0005-0000-0000-0000F10C0000}"/>
    <cellStyle name="Percent 3 2 3 2" xfId="684" xr:uid="{00000000-0005-0000-0000-0000F20C0000}"/>
    <cellStyle name="Percent 3 2 4" xfId="466" xr:uid="{00000000-0005-0000-0000-0000F30C0000}"/>
    <cellStyle name="Percent 3 2 5" xfId="614" xr:uid="{00000000-0005-0000-0000-0000F40C0000}"/>
    <cellStyle name="Percent 3 2 6" xfId="775" xr:uid="{00000000-0005-0000-0000-0000F50C0000}"/>
    <cellStyle name="Percent 3 2 7" xfId="222" xr:uid="{00000000-0005-0000-0000-0000F60C0000}"/>
    <cellStyle name="Percent 3 3" xfId="15" xr:uid="{00000000-0005-0000-0000-0000F70C0000}"/>
    <cellStyle name="Percent 3 3 2" xfId="359" xr:uid="{00000000-0005-0000-0000-0000F80C0000}"/>
    <cellStyle name="Percent 3 3 2 2" xfId="687" xr:uid="{00000000-0005-0000-0000-0000F90C0000}"/>
    <cellStyle name="Percent 3 3 3" xfId="468" xr:uid="{00000000-0005-0000-0000-0000FA0C0000}"/>
    <cellStyle name="Percent 3 3 4" xfId="617" xr:uid="{00000000-0005-0000-0000-0000FB0C0000}"/>
    <cellStyle name="Percent 3 3 5" xfId="225" xr:uid="{00000000-0005-0000-0000-0000FC0C0000}"/>
    <cellStyle name="Percent 3 3 6" xfId="1294" xr:uid="{00000000-0005-0000-0000-0000FD0C0000}"/>
    <cellStyle name="Percent 3 4" xfId="43" xr:uid="{00000000-0005-0000-0000-0000FE0C0000}"/>
    <cellStyle name="Percent 3 4 2" xfId="227" xr:uid="{00000000-0005-0000-0000-0000FF0C0000}"/>
    <cellStyle name="Percent 3 4 2 2" xfId="361" xr:uid="{00000000-0005-0000-0000-0000000D0000}"/>
    <cellStyle name="Percent 3 4 2 2 2" xfId="689" xr:uid="{00000000-0005-0000-0000-0000010D0000}"/>
    <cellStyle name="Percent 3 4 2 3" xfId="619" xr:uid="{00000000-0005-0000-0000-0000020D0000}"/>
    <cellStyle name="Percent 3 4 3" xfId="360" xr:uid="{00000000-0005-0000-0000-0000030D0000}"/>
    <cellStyle name="Percent 3 4 3 2" xfId="688" xr:uid="{00000000-0005-0000-0000-0000040D0000}"/>
    <cellStyle name="Percent 3 4 4" xfId="618" xr:uid="{00000000-0005-0000-0000-0000050D0000}"/>
    <cellStyle name="Percent 3 4 5" xfId="226" xr:uid="{00000000-0005-0000-0000-0000060D0000}"/>
    <cellStyle name="Percent 3 4 6" xfId="1312" xr:uid="{00000000-0005-0000-0000-0000070D0000}"/>
    <cellStyle name="Percent 3 4 7" xfId="973" xr:uid="{00000000-0005-0000-0000-0000080D0000}"/>
    <cellStyle name="Percent 3 5" xfId="355" xr:uid="{00000000-0005-0000-0000-0000090D0000}"/>
    <cellStyle name="Percent 3 5 2" xfId="683" xr:uid="{00000000-0005-0000-0000-00000A0D0000}"/>
    <cellStyle name="Percent 3 6" xfId="465" xr:uid="{00000000-0005-0000-0000-00000B0D0000}"/>
    <cellStyle name="Percent 3 7" xfId="613" xr:uid="{00000000-0005-0000-0000-00000C0D0000}"/>
    <cellStyle name="Percent 3 8" xfId="221" xr:uid="{00000000-0005-0000-0000-00000D0D0000}"/>
    <cellStyle name="Percent 3 9" xfId="771" xr:uid="{00000000-0005-0000-0000-00000E0D0000}"/>
    <cellStyle name="Percent 4" xfId="19" xr:uid="{00000000-0005-0000-0000-00000F0D0000}"/>
    <cellStyle name="Percent 4 2" xfId="229" xr:uid="{00000000-0005-0000-0000-0000100D0000}"/>
    <cellStyle name="Percent 4 2 2" xfId="363" xr:uid="{00000000-0005-0000-0000-0000110D0000}"/>
    <cellStyle name="Percent 4 3" xfId="362" xr:uid="{00000000-0005-0000-0000-0000120D0000}"/>
    <cellStyle name="Percent 4 4" xfId="469" xr:uid="{00000000-0005-0000-0000-0000130D0000}"/>
    <cellStyle name="Percent 4 5" xfId="228" xr:uid="{00000000-0005-0000-0000-0000140D0000}"/>
    <cellStyle name="Percent 4 6" xfId="1296" xr:uid="{00000000-0005-0000-0000-0000150D0000}"/>
    <cellStyle name="Percent 5" xfId="20" xr:uid="{00000000-0005-0000-0000-0000160D0000}"/>
    <cellStyle name="Percent 5 2" xfId="364" xr:uid="{00000000-0005-0000-0000-0000170D0000}"/>
    <cellStyle name="Percent 5 3" xfId="230" xr:uid="{00000000-0005-0000-0000-0000180D0000}"/>
    <cellStyle name="Percent 5 4" xfId="1297" xr:uid="{00000000-0005-0000-0000-0000190D0000}"/>
    <cellStyle name="Percent 5 4 2" xfId="2015" xr:uid="{00000000-0005-0000-0000-00001A0D0000}"/>
    <cellStyle name="Percent 5 4 3" xfId="2490" xr:uid="{00000000-0005-0000-0000-00001B0D0000}"/>
    <cellStyle name="Percent 5 4 4" xfId="3193" xr:uid="{00000000-0005-0000-0000-00001C0D0000}"/>
    <cellStyle name="Percent 6" xfId="40" xr:uid="{00000000-0005-0000-0000-00001D0D0000}"/>
    <cellStyle name="Percent 6 2" xfId="232" xr:uid="{00000000-0005-0000-0000-00001E0D0000}"/>
    <cellStyle name="Percent 6 3" xfId="529" xr:uid="{00000000-0005-0000-0000-00001F0D0000}"/>
    <cellStyle name="Percent 6 4" xfId="231" xr:uid="{00000000-0005-0000-0000-0000200D0000}"/>
    <cellStyle name="Percent 6 5" xfId="1309" xr:uid="{00000000-0005-0000-0000-0000210D0000}"/>
    <cellStyle name="Percent 6 5 2" xfId="2022" xr:uid="{00000000-0005-0000-0000-0000220D0000}"/>
    <cellStyle name="Percent 6 5 3" xfId="2497" xr:uid="{00000000-0005-0000-0000-0000230D0000}"/>
    <cellStyle name="Percent 6 5 4" xfId="3200" xr:uid="{00000000-0005-0000-0000-0000240D0000}"/>
    <cellStyle name="Percent 7" xfId="233" xr:uid="{00000000-0005-0000-0000-0000250D0000}"/>
    <cellStyle name="Percent 7 2" xfId="234" xr:uid="{00000000-0005-0000-0000-0000260D0000}"/>
    <cellStyle name="Percent 7 3" xfId="235" xr:uid="{00000000-0005-0000-0000-0000270D0000}"/>
    <cellStyle name="Percent 7 4" xfId="530" xr:uid="{00000000-0005-0000-0000-0000280D0000}"/>
    <cellStyle name="Percent 8" xfId="236" xr:uid="{00000000-0005-0000-0000-0000290D0000}"/>
    <cellStyle name="Percent 8 2" xfId="531" xr:uid="{00000000-0005-0000-0000-00002A0D0000}"/>
    <cellStyle name="Percent 9" xfId="237" xr:uid="{00000000-0005-0000-0000-00002B0D0000}"/>
    <cellStyle name="Percent 9 2" xfId="365" xr:uid="{00000000-0005-0000-0000-00002C0D0000}"/>
    <cellStyle name="Percent 9 2 2" xfId="690" xr:uid="{00000000-0005-0000-0000-00002D0D0000}"/>
    <cellStyle name="Percent 9 3" xfId="532" xr:uid="{00000000-0005-0000-0000-00002E0D0000}"/>
    <cellStyle name="Percent 9 4" xfId="620" xr:uid="{00000000-0005-0000-0000-00002F0D0000}"/>
    <cellStyle name="ReportHeaderRowCol.*" xfId="1203" xr:uid="{00000000-0005-0000-0000-0000300D0000}"/>
    <cellStyle name="ReportHeaderRowCol.1" xfId="1201" xr:uid="{00000000-0005-0000-0000-0000310D0000}"/>
    <cellStyle name="ReportHeaderRowCol.2" xfId="1202" xr:uid="{00000000-0005-0000-0000-0000320D0000}"/>
    <cellStyle name="ReportHeaderRowCol.Date" xfId="1204" xr:uid="{00000000-0005-0000-0000-0000330D0000}"/>
    <cellStyle name="Statements - Column Header" xfId="533" xr:uid="{00000000-0005-0000-0000-0000340D0000}"/>
    <cellStyle name="Statements - Line Item 1" xfId="534" xr:uid="{00000000-0005-0000-0000-0000350D0000}"/>
    <cellStyle name="Statements - Line Item 2" xfId="535" xr:uid="{00000000-0005-0000-0000-0000360D0000}"/>
    <cellStyle name="Statements - Line Item 3" xfId="536" xr:uid="{00000000-0005-0000-0000-0000370D0000}"/>
    <cellStyle name="Statements - Major Caption" xfId="537" xr:uid="{00000000-0005-0000-0000-0000380D0000}"/>
    <cellStyle name="Statements - Subhead One" xfId="538" xr:uid="{00000000-0005-0000-0000-0000390D0000}"/>
    <cellStyle name="STYLE1" xfId="8" xr:uid="{00000000-0005-0000-0000-00003A0D0000}"/>
    <cellStyle name="STYLE1 2" xfId="470" xr:uid="{00000000-0005-0000-0000-00003B0D0000}"/>
    <cellStyle name="STYLE1_cbhc3rdQtr2011Composite" xfId="471" xr:uid="{00000000-0005-0000-0000-00003C0D0000}"/>
    <cellStyle name="STYLE2" xfId="472" xr:uid="{00000000-0005-0000-0000-00003D0D0000}"/>
    <cellStyle name="STYLE2 2" xfId="473" xr:uid="{00000000-0005-0000-0000-00003E0D0000}"/>
    <cellStyle name="STYLE2 2 2" xfId="1268" xr:uid="{00000000-0005-0000-0000-00003F0D0000}"/>
    <cellStyle name="STYLE2 3" xfId="1260" xr:uid="{00000000-0005-0000-0000-0000400D0000}"/>
    <cellStyle name="STYLE2_cbhc3rdQtr2011Composite" xfId="474" xr:uid="{00000000-0005-0000-0000-0000410D0000}"/>
    <cellStyle name="STYLE3" xfId="475" xr:uid="{00000000-0005-0000-0000-0000420D0000}"/>
    <cellStyle name="STYLE3 2" xfId="476" xr:uid="{00000000-0005-0000-0000-0000430D0000}"/>
    <cellStyle name="STYLE3 2 2" xfId="1269" xr:uid="{00000000-0005-0000-0000-0000440D0000}"/>
    <cellStyle name="STYLE3 3" xfId="1261" xr:uid="{00000000-0005-0000-0000-0000450D0000}"/>
    <cellStyle name="STYLE4" xfId="477" xr:uid="{00000000-0005-0000-0000-0000460D0000}"/>
    <cellStyle name="STYLE4 2" xfId="1270" xr:uid="{00000000-0005-0000-0000-0000470D0000}"/>
    <cellStyle name="STYLE4 3" xfId="1271" xr:uid="{00000000-0005-0000-0000-0000480D0000}"/>
    <cellStyle name="STYLE4 4" xfId="1262" xr:uid="{00000000-0005-0000-0000-0000490D0000}"/>
    <cellStyle name="STYLE5" xfId="478" xr:uid="{00000000-0005-0000-0000-00004A0D0000}"/>
    <cellStyle name="STYLE5 2" xfId="1263" xr:uid="{00000000-0005-0000-0000-00004B0D0000}"/>
    <cellStyle name="SubgroupSectionHeaderRowDescCol" xfId="1215" xr:uid="{00000000-0005-0000-0000-00004C0D0000}"/>
    <cellStyle name="SubgroupSectionHeaderRowNameCol" xfId="1214" xr:uid="{00000000-0005-0000-0000-00004D0D0000}"/>
    <cellStyle name="SubgroupSubtotalRowBalanceCol" xfId="1218" xr:uid="{00000000-0005-0000-0000-00004E0D0000}"/>
    <cellStyle name="SubgroupSubtotalRowDescCol" xfId="1217" xr:uid="{00000000-0005-0000-0000-00004F0D0000}"/>
    <cellStyle name="SubgroupSubtotalRowJERefCol" xfId="1220" xr:uid="{00000000-0005-0000-0000-0000500D0000}"/>
    <cellStyle name="SubgroupSubtotalRowNameCol" xfId="1216" xr:uid="{00000000-0005-0000-0000-0000510D0000}"/>
    <cellStyle name="SubgroupSubtotalRowSpacerCol" xfId="1219" xr:uid="{00000000-0005-0000-0000-0000520D0000}"/>
    <cellStyle name="SumAccountGroupsRowBalanceCol" xfId="1243" xr:uid="{00000000-0005-0000-0000-0000530D0000}"/>
    <cellStyle name="SumAccountGroupsRowDescCol" xfId="1242" xr:uid="{00000000-0005-0000-0000-0000540D0000}"/>
    <cellStyle name="SumAccountGroupsRowJERefCol" xfId="1245" xr:uid="{00000000-0005-0000-0000-0000550D0000}"/>
    <cellStyle name="SumAccountGroupsRowNameCol" xfId="1241" xr:uid="{00000000-0005-0000-0000-0000560D0000}"/>
    <cellStyle name="SumAccountGroupsRowSpacerCol" xfId="1244" xr:uid="{00000000-0005-0000-0000-0000570D0000}"/>
    <cellStyle name="Title 2" xfId="479" xr:uid="{00000000-0005-0000-0000-0000580D0000}"/>
    <cellStyle name="Total 2" xfId="480" xr:uid="{00000000-0005-0000-0000-0000590D0000}"/>
    <cellStyle name="UnclassifiedTotalRowBalanceCol" xfId="1223" xr:uid="{00000000-0005-0000-0000-00005A0D0000}"/>
    <cellStyle name="UnclassifiedTotalRowDescCol" xfId="1222" xr:uid="{00000000-0005-0000-0000-00005B0D0000}"/>
    <cellStyle name="UnclassifiedTotalRowJERefCol" xfId="1225" xr:uid="{00000000-0005-0000-0000-00005C0D0000}"/>
    <cellStyle name="UnclassifiedTotalRowNameCol" xfId="1221" xr:uid="{00000000-0005-0000-0000-00005D0D0000}"/>
    <cellStyle name="UnclassifiedTotalRowSpacerCol" xfId="1224" xr:uid="{00000000-0005-0000-0000-00005E0D0000}"/>
    <cellStyle name="Warning Text 2" xfId="481" xr:uid="{00000000-0005-0000-0000-00005F0D0000}"/>
  </cellStyles>
  <dxfs count="0"/>
  <tableStyles count="0" defaultTableStyle="TableStyleMedium2" defaultPivotStyle="PivotStyleLight16"/>
  <colors>
    <mruColors>
      <color rgb="FFF8971D"/>
      <color rgb="FFFF0000"/>
      <color rgb="FF9CC5CA"/>
      <color rgb="FF0000FF"/>
      <color rgb="FF7AC142"/>
      <color rgb="FF0033CC"/>
      <color rgb="FF6666FF"/>
      <color rgb="FF38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85725</xdr:colOff>
      <xdr:row>1</xdr:row>
      <xdr:rowOff>38100</xdr:rowOff>
    </xdr:from>
    <xdr:to>
      <xdr:col>7</xdr:col>
      <xdr:colOff>1123950</xdr:colOff>
      <xdr:row>1</xdr:row>
      <xdr:rowOff>238125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twoCellAnchor>
    <xdr:from>
      <xdr:col>7</xdr:col>
      <xdr:colOff>85725</xdr:colOff>
      <xdr:row>1</xdr:row>
      <xdr:rowOff>38100</xdr:rowOff>
    </xdr:from>
    <xdr:to>
      <xdr:col>7</xdr:col>
      <xdr:colOff>1123950</xdr:colOff>
      <xdr:row>1</xdr:row>
      <xdr:rowOff>238125</xdr:rowOff>
    </xdr:to>
    <xdr:sp macro="[0]!ProtectAllSheets" textlink="">
      <xdr:nvSpPr>
        <xdr:cNvPr id="3" name="TextBox 2">
          <a:extLst>
            <a:ext uri="{FF2B5EF4-FFF2-40B4-BE49-F238E27FC236}">
              <a16:creationId xmlns:a16="http://schemas.microsoft.com/office/drawing/2014/main" id="{00000000-0008-0000-0100-000003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oneCellAnchor>
    <xdr:from>
      <xdr:col>7</xdr:col>
      <xdr:colOff>200025</xdr:colOff>
      <xdr:row>3</xdr:row>
      <xdr:rowOff>38100</xdr:rowOff>
    </xdr:from>
    <xdr:ext cx="866775" cy="219075"/>
    <xdr:sp macro="[0]!ShowTabs" textlink="">
      <xdr:nvSpPr>
        <xdr:cNvPr id="4" name="TextBox 3">
          <a:extLst>
            <a:ext uri="{FF2B5EF4-FFF2-40B4-BE49-F238E27FC236}">
              <a16:creationId xmlns:a16="http://schemas.microsoft.com/office/drawing/2014/main" id="{00000000-0008-0000-0100-000004000000}"/>
            </a:ext>
          </a:extLst>
        </xdr:cNvPr>
        <xdr:cNvSpPr txBox="1"/>
      </xdr:nvSpPr>
      <xdr:spPr>
        <a:xfrm>
          <a:off x="9972675" y="904875"/>
          <a:ext cx="866775" cy="21907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1"/>
            <a:t>Show All Tabs</a:t>
          </a:r>
        </a:p>
      </xdr:txBody>
    </xdr:sp>
    <xdr:clientData/>
  </xdr:oneCellAnchor>
  <xdr:oneCellAnchor>
    <xdr:from>
      <xdr:col>7</xdr:col>
      <xdr:colOff>57150</xdr:colOff>
      <xdr:row>5</xdr:row>
      <xdr:rowOff>19049</xdr:rowOff>
    </xdr:from>
    <xdr:ext cx="2800350" cy="371476"/>
    <xdr:sp macro="[0]!HideTabs" textlink="">
      <xdr:nvSpPr>
        <xdr:cNvPr id="5" name="TextBox 4">
          <a:extLst>
            <a:ext uri="{FF2B5EF4-FFF2-40B4-BE49-F238E27FC236}">
              <a16:creationId xmlns:a16="http://schemas.microsoft.com/office/drawing/2014/main" id="{00000000-0008-0000-0100-000005000000}"/>
            </a:ext>
          </a:extLst>
        </xdr:cNvPr>
        <xdr:cNvSpPr txBox="1"/>
      </xdr:nvSpPr>
      <xdr:spPr>
        <a:xfrm>
          <a:off x="9829800" y="1343024"/>
          <a:ext cx="2800350" cy="371476"/>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900" b="1"/>
            <a:t>Hide Schedules 2E/F/G/H/I/J/K/L/M</a:t>
          </a:r>
        </a:p>
        <a:p>
          <a:pPr algn="ctr"/>
          <a:r>
            <a:rPr lang="en-US" sz="900" b="1"/>
            <a:t>(Use</a:t>
          </a:r>
          <a:r>
            <a:rPr lang="en-US" sz="900" b="1" baseline="0"/>
            <a:t> if not a New Comprehensive Safety Net Provider)</a:t>
          </a:r>
          <a:endParaRPr lang="en-US" sz="900" b="1"/>
        </a:p>
      </xdr:txBody>
    </xdr:sp>
    <xdr:clientData/>
  </xdr:oneCellAnchor>
  <xdr:twoCellAnchor>
    <xdr:from>
      <xdr:col>6</xdr:col>
      <xdr:colOff>12700</xdr:colOff>
      <xdr:row>11</xdr:row>
      <xdr:rowOff>12700</xdr:rowOff>
    </xdr:from>
    <xdr:to>
      <xdr:col>6</xdr:col>
      <xdr:colOff>165100</xdr:colOff>
      <xdr:row>11</xdr:row>
      <xdr:rowOff>165100</xdr:rowOff>
    </xdr:to>
    <xdr:pic>
      <xdr:nvPicPr>
        <xdr:cNvPr id="6" name="Picture 5">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24320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12</xdr:row>
      <xdr:rowOff>12700</xdr:rowOff>
    </xdr:from>
    <xdr:to>
      <xdr:col>6</xdr:col>
      <xdr:colOff>165100</xdr:colOff>
      <xdr:row>12</xdr:row>
      <xdr:rowOff>165100</xdr:rowOff>
    </xdr:to>
    <xdr:pic>
      <xdr:nvPicPr>
        <xdr:cNvPr id="7" name="Picture 6">
          <a:extLst>
            <a:ext uri="{FF2B5EF4-FFF2-40B4-BE49-F238E27FC236}">
              <a16:creationId xmlns:a16="http://schemas.microsoft.com/office/drawing/2014/main" id="{00000000-0008-0000-0100-000007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26162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13</xdr:row>
      <xdr:rowOff>12700</xdr:rowOff>
    </xdr:from>
    <xdr:to>
      <xdr:col>6</xdr:col>
      <xdr:colOff>165100</xdr:colOff>
      <xdr:row>13</xdr:row>
      <xdr:rowOff>165100</xdr:rowOff>
    </xdr:to>
    <xdr:pic>
      <xdr:nvPicPr>
        <xdr:cNvPr id="8" name="Picture 7">
          <a:extLst>
            <a:ext uri="{FF2B5EF4-FFF2-40B4-BE49-F238E27FC236}">
              <a16:creationId xmlns:a16="http://schemas.microsoft.com/office/drawing/2014/main" id="{00000000-0008-0000-0100-000008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28003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14</xdr:row>
      <xdr:rowOff>12700</xdr:rowOff>
    </xdr:from>
    <xdr:to>
      <xdr:col>6</xdr:col>
      <xdr:colOff>165100</xdr:colOff>
      <xdr:row>14</xdr:row>
      <xdr:rowOff>165100</xdr:rowOff>
    </xdr:to>
    <xdr:pic>
      <xdr:nvPicPr>
        <xdr:cNvPr id="9" name="Picture 8">
          <a:extLst>
            <a:ext uri="{FF2B5EF4-FFF2-40B4-BE49-F238E27FC236}">
              <a16:creationId xmlns:a16="http://schemas.microsoft.com/office/drawing/2014/main" id="{00000000-0008-0000-0100-000009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29845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15</xdr:row>
      <xdr:rowOff>12700</xdr:rowOff>
    </xdr:from>
    <xdr:to>
      <xdr:col>6</xdr:col>
      <xdr:colOff>165100</xdr:colOff>
      <xdr:row>15</xdr:row>
      <xdr:rowOff>165100</xdr:rowOff>
    </xdr:to>
    <xdr:pic>
      <xdr:nvPicPr>
        <xdr:cNvPr id="10" name="Picture 9">
          <a:extLst>
            <a:ext uri="{FF2B5EF4-FFF2-40B4-BE49-F238E27FC236}">
              <a16:creationId xmlns:a16="http://schemas.microsoft.com/office/drawing/2014/main" id="{00000000-0008-0000-0100-00000A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1686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16</xdr:row>
      <xdr:rowOff>12700</xdr:rowOff>
    </xdr:from>
    <xdr:to>
      <xdr:col>6</xdr:col>
      <xdr:colOff>165100</xdr:colOff>
      <xdr:row>16</xdr:row>
      <xdr:rowOff>165100</xdr:rowOff>
    </xdr:to>
    <xdr:pic>
      <xdr:nvPicPr>
        <xdr:cNvPr id="11" name="Picture 10">
          <a:extLst>
            <a:ext uri="{FF2B5EF4-FFF2-40B4-BE49-F238E27FC236}">
              <a16:creationId xmlns:a16="http://schemas.microsoft.com/office/drawing/2014/main" id="{00000000-0008-0000-0100-00000B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3528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17</xdr:row>
      <xdr:rowOff>12700</xdr:rowOff>
    </xdr:from>
    <xdr:to>
      <xdr:col>6</xdr:col>
      <xdr:colOff>165100</xdr:colOff>
      <xdr:row>17</xdr:row>
      <xdr:rowOff>165100</xdr:rowOff>
    </xdr:to>
    <xdr:pic>
      <xdr:nvPicPr>
        <xdr:cNvPr id="12" name="Picture 11">
          <a:extLst>
            <a:ext uri="{FF2B5EF4-FFF2-40B4-BE49-F238E27FC236}">
              <a16:creationId xmlns:a16="http://schemas.microsoft.com/office/drawing/2014/main" id="{00000000-0008-0000-0100-00000C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5369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27</xdr:row>
      <xdr:rowOff>12700</xdr:rowOff>
    </xdr:from>
    <xdr:to>
      <xdr:col>6</xdr:col>
      <xdr:colOff>165100</xdr:colOff>
      <xdr:row>27</xdr:row>
      <xdr:rowOff>165100</xdr:rowOff>
    </xdr:to>
    <xdr:pic>
      <xdr:nvPicPr>
        <xdr:cNvPr id="13" name="Picture 12">
          <a:extLst>
            <a:ext uri="{FF2B5EF4-FFF2-40B4-BE49-F238E27FC236}">
              <a16:creationId xmlns:a16="http://schemas.microsoft.com/office/drawing/2014/main" id="{00000000-0008-0000-0100-00000D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7211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28</xdr:row>
      <xdr:rowOff>12700</xdr:rowOff>
    </xdr:from>
    <xdr:to>
      <xdr:col>6</xdr:col>
      <xdr:colOff>165100</xdr:colOff>
      <xdr:row>28</xdr:row>
      <xdr:rowOff>165100</xdr:rowOff>
    </xdr:to>
    <xdr:pic>
      <xdr:nvPicPr>
        <xdr:cNvPr id="14" name="Picture 13">
          <a:extLst>
            <a:ext uri="{FF2B5EF4-FFF2-40B4-BE49-F238E27FC236}">
              <a16:creationId xmlns:a16="http://schemas.microsoft.com/office/drawing/2014/main" id="{00000000-0008-0000-0100-00000E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9052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29</xdr:row>
      <xdr:rowOff>12700</xdr:rowOff>
    </xdr:from>
    <xdr:to>
      <xdr:col>6</xdr:col>
      <xdr:colOff>165100</xdr:colOff>
      <xdr:row>29</xdr:row>
      <xdr:rowOff>165100</xdr:rowOff>
    </xdr:to>
    <xdr:pic>
      <xdr:nvPicPr>
        <xdr:cNvPr id="15" name="Picture 14">
          <a:extLst>
            <a:ext uri="{FF2B5EF4-FFF2-40B4-BE49-F238E27FC236}">
              <a16:creationId xmlns:a16="http://schemas.microsoft.com/office/drawing/2014/main" id="{00000000-0008-0000-0100-00000F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40894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30</xdr:row>
      <xdr:rowOff>12700</xdr:rowOff>
    </xdr:from>
    <xdr:to>
      <xdr:col>6</xdr:col>
      <xdr:colOff>165100</xdr:colOff>
      <xdr:row>30</xdr:row>
      <xdr:rowOff>165100</xdr:rowOff>
    </xdr:to>
    <xdr:pic>
      <xdr:nvPicPr>
        <xdr:cNvPr id="16" name="Picture 15">
          <a:extLst>
            <a:ext uri="{FF2B5EF4-FFF2-40B4-BE49-F238E27FC236}">
              <a16:creationId xmlns:a16="http://schemas.microsoft.com/office/drawing/2014/main" id="{00000000-0008-0000-0100-000010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42735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33</xdr:row>
      <xdr:rowOff>12700</xdr:rowOff>
    </xdr:from>
    <xdr:to>
      <xdr:col>6</xdr:col>
      <xdr:colOff>165100</xdr:colOff>
      <xdr:row>33</xdr:row>
      <xdr:rowOff>165100</xdr:rowOff>
    </xdr:to>
    <xdr:pic>
      <xdr:nvPicPr>
        <xdr:cNvPr id="17" name="Picture 16">
          <a:extLst>
            <a:ext uri="{FF2B5EF4-FFF2-40B4-BE49-F238E27FC236}">
              <a16:creationId xmlns:a16="http://schemas.microsoft.com/office/drawing/2014/main" id="{00000000-0008-0000-0100-000011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48260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34</xdr:row>
      <xdr:rowOff>12700</xdr:rowOff>
    </xdr:from>
    <xdr:to>
      <xdr:col>6</xdr:col>
      <xdr:colOff>165100</xdr:colOff>
      <xdr:row>34</xdr:row>
      <xdr:rowOff>165100</xdr:rowOff>
    </xdr:to>
    <xdr:pic>
      <xdr:nvPicPr>
        <xdr:cNvPr id="18" name="Picture 17">
          <a:extLst>
            <a:ext uri="{FF2B5EF4-FFF2-40B4-BE49-F238E27FC236}">
              <a16:creationId xmlns:a16="http://schemas.microsoft.com/office/drawing/2014/main" id="{00000000-0008-0000-0100-000012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50101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35</xdr:row>
      <xdr:rowOff>12700</xdr:rowOff>
    </xdr:from>
    <xdr:to>
      <xdr:col>6</xdr:col>
      <xdr:colOff>165100</xdr:colOff>
      <xdr:row>35</xdr:row>
      <xdr:rowOff>165100</xdr:rowOff>
    </xdr:to>
    <xdr:pic>
      <xdr:nvPicPr>
        <xdr:cNvPr id="19" name="Picture 18">
          <a:extLst>
            <a:ext uri="{FF2B5EF4-FFF2-40B4-BE49-F238E27FC236}">
              <a16:creationId xmlns:a16="http://schemas.microsoft.com/office/drawing/2014/main" id="{00000000-0008-0000-0100-000013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51943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36</xdr:row>
      <xdr:rowOff>12700</xdr:rowOff>
    </xdr:from>
    <xdr:to>
      <xdr:col>6</xdr:col>
      <xdr:colOff>165100</xdr:colOff>
      <xdr:row>36</xdr:row>
      <xdr:rowOff>165100</xdr:rowOff>
    </xdr:to>
    <xdr:pic>
      <xdr:nvPicPr>
        <xdr:cNvPr id="20" name="Picture 19">
          <a:extLst>
            <a:ext uri="{FF2B5EF4-FFF2-40B4-BE49-F238E27FC236}">
              <a16:creationId xmlns:a16="http://schemas.microsoft.com/office/drawing/2014/main" id="{00000000-0008-0000-0100-000014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53784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37</xdr:row>
      <xdr:rowOff>12700</xdr:rowOff>
    </xdr:from>
    <xdr:to>
      <xdr:col>6</xdr:col>
      <xdr:colOff>165100</xdr:colOff>
      <xdr:row>37</xdr:row>
      <xdr:rowOff>165100</xdr:rowOff>
    </xdr:to>
    <xdr:pic>
      <xdr:nvPicPr>
        <xdr:cNvPr id="21" name="Picture 20">
          <a:extLst>
            <a:ext uri="{FF2B5EF4-FFF2-40B4-BE49-F238E27FC236}">
              <a16:creationId xmlns:a16="http://schemas.microsoft.com/office/drawing/2014/main" id="{00000000-0008-0000-0100-000015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55626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40</xdr:row>
      <xdr:rowOff>12700</xdr:rowOff>
    </xdr:from>
    <xdr:to>
      <xdr:col>6</xdr:col>
      <xdr:colOff>165100</xdr:colOff>
      <xdr:row>40</xdr:row>
      <xdr:rowOff>165100</xdr:rowOff>
    </xdr:to>
    <xdr:pic>
      <xdr:nvPicPr>
        <xdr:cNvPr id="22" name="Picture 21">
          <a:extLst>
            <a:ext uri="{FF2B5EF4-FFF2-40B4-BE49-F238E27FC236}">
              <a16:creationId xmlns:a16="http://schemas.microsoft.com/office/drawing/2014/main" id="{00000000-0008-0000-0100-000016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61150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41</xdr:row>
      <xdr:rowOff>12700</xdr:rowOff>
    </xdr:from>
    <xdr:to>
      <xdr:col>6</xdr:col>
      <xdr:colOff>165100</xdr:colOff>
      <xdr:row>41</xdr:row>
      <xdr:rowOff>165100</xdr:rowOff>
    </xdr:to>
    <xdr:pic>
      <xdr:nvPicPr>
        <xdr:cNvPr id="23" name="Picture 22">
          <a:extLst>
            <a:ext uri="{FF2B5EF4-FFF2-40B4-BE49-F238E27FC236}">
              <a16:creationId xmlns:a16="http://schemas.microsoft.com/office/drawing/2014/main" id="{00000000-0008-0000-0100-000017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62992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42</xdr:row>
      <xdr:rowOff>12700</xdr:rowOff>
    </xdr:from>
    <xdr:to>
      <xdr:col>6</xdr:col>
      <xdr:colOff>165100</xdr:colOff>
      <xdr:row>42</xdr:row>
      <xdr:rowOff>165100</xdr:rowOff>
    </xdr:to>
    <xdr:pic>
      <xdr:nvPicPr>
        <xdr:cNvPr id="24" name="Picture 23">
          <a:extLst>
            <a:ext uri="{FF2B5EF4-FFF2-40B4-BE49-F238E27FC236}">
              <a16:creationId xmlns:a16="http://schemas.microsoft.com/office/drawing/2014/main" id="{00000000-0008-0000-0100-000018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64833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43</xdr:row>
      <xdr:rowOff>12700</xdr:rowOff>
    </xdr:from>
    <xdr:to>
      <xdr:col>6</xdr:col>
      <xdr:colOff>165100</xdr:colOff>
      <xdr:row>43</xdr:row>
      <xdr:rowOff>165100</xdr:rowOff>
    </xdr:to>
    <xdr:pic>
      <xdr:nvPicPr>
        <xdr:cNvPr id="25" name="Picture 24">
          <a:extLst>
            <a:ext uri="{FF2B5EF4-FFF2-40B4-BE49-F238E27FC236}">
              <a16:creationId xmlns:a16="http://schemas.microsoft.com/office/drawing/2014/main" id="{00000000-0008-0000-0100-000019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66675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1:N89"/>
  <sheetViews>
    <sheetView showGridLines="0" topLeftCell="A70" workbookViewId="0">
      <selection activeCell="Q3" sqref="Q3"/>
    </sheetView>
  </sheetViews>
  <sheetFormatPr defaultColWidth="9.1796875" defaultRowHeight="14.5" x14ac:dyDescent="0.35"/>
  <cols>
    <col min="1" max="1" width="3.7265625" style="78" customWidth="1"/>
    <col min="2" max="3" width="3.7265625" customWidth="1"/>
  </cols>
  <sheetData>
    <row r="1" spans="1:14" ht="18.5" x14ac:dyDescent="0.45">
      <c r="A1" s="387" t="s">
        <v>718</v>
      </c>
    </row>
    <row r="3" spans="1:14" x14ac:dyDescent="0.35">
      <c r="A3" s="78">
        <v>0</v>
      </c>
      <c r="B3" t="s">
        <v>719</v>
      </c>
    </row>
    <row r="5" spans="1:14" x14ac:dyDescent="0.35">
      <c r="B5" s="78" t="s">
        <v>447</v>
      </c>
      <c r="C5" t="s">
        <v>720</v>
      </c>
    </row>
    <row r="6" spans="1:14" x14ac:dyDescent="0.35">
      <c r="B6" s="78" t="s">
        <v>448</v>
      </c>
      <c r="C6" t="s">
        <v>721</v>
      </c>
    </row>
    <row r="8" spans="1:14" x14ac:dyDescent="0.35">
      <c r="A8" s="78">
        <v>1</v>
      </c>
      <c r="B8" s="526" t="s">
        <v>722</v>
      </c>
      <c r="C8" s="526"/>
      <c r="D8" s="526"/>
      <c r="E8" s="526"/>
      <c r="F8" s="526"/>
      <c r="G8" s="526"/>
      <c r="H8" s="526"/>
      <c r="I8" s="526"/>
      <c r="J8" s="526"/>
      <c r="K8" s="526"/>
      <c r="L8" s="526"/>
      <c r="M8" s="526"/>
      <c r="N8" s="526"/>
    </row>
    <row r="9" spans="1:14" x14ac:dyDescent="0.35">
      <c r="B9" s="526"/>
      <c r="C9" s="526"/>
      <c r="D9" s="526"/>
      <c r="E9" s="526"/>
      <c r="F9" s="526"/>
      <c r="G9" s="526"/>
      <c r="H9" s="526"/>
      <c r="I9" s="526"/>
      <c r="J9" s="526"/>
      <c r="K9" s="526"/>
      <c r="L9" s="526"/>
      <c r="M9" s="526"/>
      <c r="N9" s="526"/>
    </row>
    <row r="10" spans="1:14" x14ac:dyDescent="0.35">
      <c r="B10" s="386"/>
      <c r="C10" s="386"/>
      <c r="D10" s="386"/>
      <c r="E10" s="386"/>
      <c r="F10" s="386"/>
      <c r="G10" s="386"/>
      <c r="H10" s="386"/>
      <c r="I10" s="386"/>
      <c r="J10" s="386"/>
      <c r="K10" s="386"/>
      <c r="L10" s="386"/>
      <c r="M10" s="386"/>
      <c r="N10" s="386"/>
    </row>
    <row r="11" spans="1:14" x14ac:dyDescent="0.35">
      <c r="A11" s="78">
        <v>2</v>
      </c>
      <c r="B11" t="s">
        <v>723</v>
      </c>
    </row>
    <row r="13" spans="1:14" x14ac:dyDescent="0.35">
      <c r="B13" s="78" t="s">
        <v>447</v>
      </c>
      <c r="C13" t="s">
        <v>724</v>
      </c>
    </row>
    <row r="14" spans="1:14" x14ac:dyDescent="0.35">
      <c r="B14" s="78" t="s">
        <v>448</v>
      </c>
      <c r="C14" t="s">
        <v>725</v>
      </c>
    </row>
    <row r="15" spans="1:14" x14ac:dyDescent="0.35">
      <c r="B15" s="78" t="s">
        <v>449</v>
      </c>
      <c r="C15" t="s">
        <v>726</v>
      </c>
    </row>
    <row r="16" spans="1:14" x14ac:dyDescent="0.35">
      <c r="B16" s="78" t="s">
        <v>727</v>
      </c>
      <c r="C16" s="526" t="s">
        <v>728</v>
      </c>
      <c r="D16" s="526"/>
      <c r="E16" s="526"/>
      <c r="F16" s="526"/>
      <c r="G16" s="526"/>
      <c r="H16" s="526"/>
      <c r="I16" s="526"/>
      <c r="J16" s="526"/>
      <c r="K16" s="526"/>
      <c r="L16" s="526"/>
      <c r="M16" s="526"/>
      <c r="N16" s="526"/>
    </row>
    <row r="17" spans="1:14" x14ac:dyDescent="0.35">
      <c r="B17" s="78"/>
      <c r="C17" s="526"/>
      <c r="D17" s="526"/>
      <c r="E17" s="526"/>
      <c r="F17" s="526"/>
      <c r="G17" s="526"/>
      <c r="H17" s="526"/>
      <c r="I17" s="526"/>
      <c r="J17" s="526"/>
      <c r="K17" s="526"/>
      <c r="L17" s="526"/>
      <c r="M17" s="526"/>
      <c r="N17" s="526"/>
    </row>
    <row r="18" spans="1:14" x14ac:dyDescent="0.35">
      <c r="B18" s="78"/>
      <c r="C18" s="386"/>
      <c r="D18" s="386"/>
      <c r="E18" s="386"/>
      <c r="F18" s="386"/>
      <c r="G18" s="386"/>
      <c r="H18" s="386"/>
      <c r="I18" s="386"/>
      <c r="J18" s="386"/>
      <c r="K18" s="386"/>
      <c r="L18" s="386"/>
      <c r="M18" s="386"/>
      <c r="N18" s="386"/>
    </row>
    <row r="19" spans="1:14" x14ac:dyDescent="0.35">
      <c r="A19" s="78">
        <v>3</v>
      </c>
      <c r="B19" t="s">
        <v>729</v>
      </c>
    </row>
    <row r="20" spans="1:14" x14ac:dyDescent="0.35">
      <c r="B20" s="78"/>
    </row>
    <row r="21" spans="1:14" ht="15" customHeight="1" x14ac:dyDescent="0.35">
      <c r="B21" s="78" t="s">
        <v>447</v>
      </c>
      <c r="C21" s="526" t="s">
        <v>745</v>
      </c>
      <c r="D21" s="526"/>
      <c r="E21" s="526"/>
      <c r="F21" s="526"/>
      <c r="G21" s="526"/>
      <c r="H21" s="526"/>
      <c r="I21" s="526"/>
      <c r="J21" s="526"/>
      <c r="K21" s="526"/>
      <c r="L21" s="526"/>
      <c r="M21" s="526"/>
      <c r="N21" s="526"/>
    </row>
    <row r="22" spans="1:14" ht="15" customHeight="1" x14ac:dyDescent="0.35">
      <c r="B22" s="78"/>
      <c r="C22" s="526"/>
      <c r="D22" s="526"/>
      <c r="E22" s="526"/>
      <c r="F22" s="526"/>
      <c r="G22" s="526"/>
      <c r="H22" s="526"/>
      <c r="I22" s="526"/>
      <c r="J22" s="526"/>
      <c r="K22" s="526"/>
      <c r="L22" s="526"/>
      <c r="M22" s="526"/>
      <c r="N22" s="526"/>
    </row>
    <row r="23" spans="1:14" x14ac:dyDescent="0.35">
      <c r="C23" s="526"/>
      <c r="D23" s="526"/>
      <c r="E23" s="526"/>
      <c r="F23" s="526"/>
      <c r="G23" s="526"/>
      <c r="H23" s="526"/>
      <c r="I23" s="526"/>
      <c r="J23" s="526"/>
      <c r="K23" s="526"/>
      <c r="L23" s="526"/>
      <c r="M23" s="526"/>
      <c r="N23" s="526"/>
    </row>
    <row r="24" spans="1:14" ht="15" customHeight="1" x14ac:dyDescent="0.35">
      <c r="B24" s="78" t="s">
        <v>448</v>
      </c>
      <c r="C24" s="526" t="s">
        <v>908</v>
      </c>
      <c r="D24" s="526"/>
      <c r="E24" s="526"/>
      <c r="F24" s="526"/>
      <c r="G24" s="526"/>
      <c r="H24" s="526"/>
      <c r="I24" s="526"/>
      <c r="J24" s="526"/>
      <c r="K24" s="526"/>
      <c r="L24" s="526"/>
      <c r="M24" s="526"/>
      <c r="N24" s="526"/>
    </row>
    <row r="25" spans="1:14" x14ac:dyDescent="0.35">
      <c r="C25" s="526"/>
      <c r="D25" s="526"/>
      <c r="E25" s="526"/>
      <c r="F25" s="526"/>
      <c r="G25" s="526"/>
      <c r="H25" s="526"/>
      <c r="I25" s="526"/>
      <c r="J25" s="526"/>
      <c r="K25" s="526"/>
      <c r="L25" s="526"/>
      <c r="M25" s="526"/>
      <c r="N25" s="526"/>
    </row>
    <row r="26" spans="1:14" x14ac:dyDescent="0.35">
      <c r="D26" s="386"/>
      <c r="E26" s="386"/>
      <c r="F26" s="386"/>
      <c r="G26" s="386"/>
      <c r="H26" s="386"/>
      <c r="I26" s="386"/>
      <c r="J26" s="386"/>
      <c r="K26" s="386"/>
      <c r="L26" s="386"/>
      <c r="M26" s="386"/>
      <c r="N26" s="386"/>
    </row>
    <row r="27" spans="1:14" x14ac:dyDescent="0.35">
      <c r="A27" s="78">
        <v>4</v>
      </c>
      <c r="B27" t="s">
        <v>730</v>
      </c>
    </row>
    <row r="28" spans="1:14" x14ac:dyDescent="0.35">
      <c r="B28" s="78"/>
    </row>
    <row r="29" spans="1:14" x14ac:dyDescent="0.35">
      <c r="B29" s="78" t="s">
        <v>447</v>
      </c>
      <c r="C29" t="s">
        <v>731</v>
      </c>
    </row>
    <row r="30" spans="1:14" ht="15" customHeight="1" x14ac:dyDescent="0.35">
      <c r="B30" s="78" t="s">
        <v>448</v>
      </c>
      <c r="C30" s="526" t="s">
        <v>732</v>
      </c>
      <c r="D30" s="526"/>
      <c r="E30" s="526"/>
      <c r="F30" s="526"/>
      <c r="G30" s="526"/>
      <c r="H30" s="526"/>
      <c r="I30" s="526"/>
      <c r="J30" s="526"/>
      <c r="K30" s="526"/>
      <c r="L30" s="526"/>
      <c r="M30" s="526"/>
      <c r="N30" s="526"/>
    </row>
    <row r="31" spans="1:14" x14ac:dyDescent="0.35">
      <c r="C31" s="526"/>
      <c r="D31" s="526"/>
      <c r="E31" s="526"/>
      <c r="F31" s="526"/>
      <c r="G31" s="526"/>
      <c r="H31" s="526"/>
      <c r="I31" s="526"/>
      <c r="J31" s="526"/>
      <c r="K31" s="526"/>
      <c r="L31" s="526"/>
      <c r="M31" s="526"/>
      <c r="N31" s="526"/>
    </row>
    <row r="32" spans="1:14" x14ac:dyDescent="0.35">
      <c r="C32" s="526"/>
      <c r="D32" s="526"/>
      <c r="E32" s="526"/>
      <c r="F32" s="526"/>
      <c r="G32" s="526"/>
      <c r="H32" s="526"/>
      <c r="I32" s="526"/>
      <c r="J32" s="526"/>
      <c r="K32" s="526"/>
      <c r="L32" s="526"/>
      <c r="M32" s="526"/>
      <c r="N32" s="526"/>
    </row>
    <row r="33" spans="1:14" x14ac:dyDescent="0.35">
      <c r="D33" s="233"/>
      <c r="E33" s="233"/>
      <c r="F33" s="233"/>
      <c r="G33" s="233"/>
      <c r="H33" s="233"/>
      <c r="I33" s="233"/>
      <c r="J33" s="233"/>
      <c r="K33" s="233"/>
      <c r="L33" s="233"/>
      <c r="M33" s="233"/>
      <c r="N33" s="233"/>
    </row>
    <row r="34" spans="1:14" x14ac:dyDescent="0.35">
      <c r="A34" s="78">
        <v>5</v>
      </c>
      <c r="B34" t="s">
        <v>733</v>
      </c>
    </row>
    <row r="35" spans="1:14" x14ac:dyDescent="0.35">
      <c r="B35" s="78"/>
    </row>
    <row r="36" spans="1:14" x14ac:dyDescent="0.35">
      <c r="B36" s="78" t="s">
        <v>447</v>
      </c>
      <c r="C36" s="526" t="s">
        <v>734</v>
      </c>
      <c r="D36" s="526"/>
      <c r="E36" s="526"/>
      <c r="F36" s="526"/>
      <c r="G36" s="526"/>
      <c r="H36" s="526"/>
      <c r="I36" s="526"/>
      <c r="J36" s="526"/>
      <c r="K36" s="526"/>
      <c r="L36" s="526"/>
      <c r="M36" s="526"/>
      <c r="N36" s="526"/>
    </row>
    <row r="37" spans="1:14" x14ac:dyDescent="0.35">
      <c r="B37" s="78"/>
      <c r="C37" s="526"/>
      <c r="D37" s="526"/>
      <c r="E37" s="526"/>
      <c r="F37" s="526"/>
      <c r="G37" s="526"/>
      <c r="H37" s="526"/>
      <c r="I37" s="526"/>
      <c r="J37" s="526"/>
      <c r="K37" s="526"/>
      <c r="L37" s="526"/>
      <c r="M37" s="526"/>
      <c r="N37" s="526"/>
    </row>
    <row r="38" spans="1:14" x14ac:dyDescent="0.35">
      <c r="B38" s="78"/>
      <c r="C38" s="526"/>
      <c r="D38" s="526"/>
      <c r="E38" s="526"/>
      <c r="F38" s="526"/>
      <c r="G38" s="526"/>
      <c r="H38" s="526"/>
      <c r="I38" s="526"/>
      <c r="J38" s="526"/>
      <c r="K38" s="526"/>
      <c r="L38" s="526"/>
      <c r="M38" s="526"/>
      <c r="N38" s="526"/>
    </row>
    <row r="39" spans="1:14" x14ac:dyDescent="0.35">
      <c r="D39" s="233"/>
      <c r="E39" s="233"/>
      <c r="F39" s="233"/>
      <c r="G39" s="233"/>
      <c r="H39" s="233"/>
      <c r="I39" s="233"/>
      <c r="J39" s="233"/>
      <c r="K39" s="233"/>
      <c r="L39" s="233"/>
      <c r="M39" s="233"/>
      <c r="N39" s="233"/>
    </row>
    <row r="40" spans="1:14" x14ac:dyDescent="0.35">
      <c r="A40" s="78">
        <v>6</v>
      </c>
      <c r="B40" t="s">
        <v>735</v>
      </c>
    </row>
    <row r="41" spans="1:14" x14ac:dyDescent="0.35">
      <c r="B41" s="78"/>
    </row>
    <row r="42" spans="1:14" x14ac:dyDescent="0.35">
      <c r="B42" s="78" t="s">
        <v>447</v>
      </c>
      <c r="C42" t="s">
        <v>736</v>
      </c>
    </row>
    <row r="43" spans="1:14" x14ac:dyDescent="0.35">
      <c r="C43" s="78"/>
      <c r="D43" s="233"/>
      <c r="E43" s="233"/>
      <c r="F43" s="233"/>
      <c r="G43" s="233"/>
      <c r="H43" s="233"/>
      <c r="I43" s="233"/>
      <c r="J43" s="233"/>
      <c r="K43" s="233"/>
      <c r="L43" s="233"/>
      <c r="M43" s="233"/>
      <c r="N43" s="233"/>
    </row>
    <row r="44" spans="1:14" x14ac:dyDescent="0.35">
      <c r="A44" s="78">
        <v>7</v>
      </c>
      <c r="B44" t="s">
        <v>737</v>
      </c>
      <c r="C44" s="78"/>
      <c r="D44" s="233"/>
      <c r="E44" s="233"/>
      <c r="F44" s="233"/>
      <c r="G44" s="233"/>
      <c r="H44" s="233"/>
      <c r="I44" s="233"/>
      <c r="J44" s="233"/>
      <c r="K44" s="233"/>
      <c r="L44" s="233"/>
      <c r="M44" s="233"/>
      <c r="N44" s="233"/>
    </row>
    <row r="45" spans="1:14" x14ac:dyDescent="0.35">
      <c r="C45" s="78"/>
      <c r="D45" s="233"/>
      <c r="E45" s="233"/>
      <c r="F45" s="233"/>
      <c r="G45" s="233"/>
      <c r="H45" s="233"/>
      <c r="I45" s="233"/>
      <c r="J45" s="233"/>
      <c r="K45" s="233"/>
      <c r="L45" s="233"/>
      <c r="M45" s="233"/>
      <c r="N45" s="233"/>
    </row>
    <row r="46" spans="1:14" x14ac:dyDescent="0.35">
      <c r="B46" s="78" t="s">
        <v>447</v>
      </c>
      <c r="C46" s="526" t="s">
        <v>918</v>
      </c>
      <c r="D46" s="526"/>
      <c r="E46" s="526"/>
      <c r="F46" s="526"/>
      <c r="G46" s="526"/>
      <c r="H46" s="526"/>
      <c r="I46" s="526"/>
      <c r="J46" s="526"/>
      <c r="K46" s="526"/>
      <c r="L46" s="526"/>
      <c r="M46" s="526"/>
      <c r="N46" s="526"/>
    </row>
    <row r="47" spans="1:14" x14ac:dyDescent="0.35">
      <c r="C47" s="526"/>
      <c r="D47" s="526"/>
      <c r="E47" s="526"/>
      <c r="F47" s="526"/>
      <c r="G47" s="526"/>
      <c r="H47" s="526"/>
      <c r="I47" s="526"/>
      <c r="J47" s="526"/>
      <c r="K47" s="526"/>
      <c r="L47" s="526"/>
      <c r="M47" s="526"/>
      <c r="N47" s="526"/>
    </row>
    <row r="48" spans="1:14" x14ac:dyDescent="0.35">
      <c r="C48" s="526"/>
      <c r="D48" s="526"/>
      <c r="E48" s="526"/>
      <c r="F48" s="526"/>
      <c r="G48" s="526"/>
      <c r="H48" s="526"/>
      <c r="I48" s="526"/>
      <c r="J48" s="526"/>
      <c r="K48" s="526"/>
      <c r="L48" s="526"/>
      <c r="M48" s="526"/>
      <c r="N48" s="526"/>
    </row>
    <row r="49" spans="1:14" x14ac:dyDescent="0.35">
      <c r="B49" s="78" t="s">
        <v>448</v>
      </c>
      <c r="C49" s="526" t="s">
        <v>919</v>
      </c>
      <c r="D49" s="526"/>
      <c r="E49" s="526"/>
      <c r="F49" s="526"/>
      <c r="G49" s="526"/>
      <c r="H49" s="526"/>
      <c r="I49" s="526"/>
      <c r="J49" s="526"/>
      <c r="K49" s="526"/>
      <c r="L49" s="526"/>
      <c r="M49" s="526"/>
      <c r="N49" s="526"/>
    </row>
    <row r="50" spans="1:14" x14ac:dyDescent="0.35">
      <c r="B50" s="78"/>
      <c r="C50" s="526"/>
      <c r="D50" s="526"/>
      <c r="E50" s="526"/>
      <c r="F50" s="526"/>
      <c r="G50" s="526"/>
      <c r="H50" s="526"/>
      <c r="I50" s="526"/>
      <c r="J50" s="526"/>
      <c r="K50" s="526"/>
      <c r="L50" s="526"/>
      <c r="M50" s="526"/>
      <c r="N50" s="526"/>
    </row>
    <row r="51" spans="1:14" x14ac:dyDescent="0.35">
      <c r="C51" s="526"/>
      <c r="D51" s="526"/>
      <c r="E51" s="526"/>
      <c r="F51" s="526"/>
      <c r="G51" s="526"/>
      <c r="H51" s="526"/>
      <c r="I51" s="526"/>
      <c r="J51" s="526"/>
      <c r="K51" s="526"/>
      <c r="L51" s="526"/>
      <c r="M51" s="526"/>
      <c r="N51" s="526"/>
    </row>
    <row r="52" spans="1:14" x14ac:dyDescent="0.35">
      <c r="B52" s="78" t="s">
        <v>449</v>
      </c>
      <c r="C52" s="526" t="s">
        <v>738</v>
      </c>
      <c r="D52" s="526"/>
      <c r="E52" s="526"/>
      <c r="F52" s="526"/>
      <c r="G52" s="526"/>
      <c r="H52" s="526"/>
      <c r="I52" s="526"/>
      <c r="J52" s="526"/>
      <c r="K52" s="526"/>
      <c r="L52" s="526"/>
      <c r="M52" s="526"/>
      <c r="N52" s="526"/>
    </row>
    <row r="53" spans="1:14" x14ac:dyDescent="0.35">
      <c r="C53" s="526"/>
      <c r="D53" s="526"/>
      <c r="E53" s="526"/>
      <c r="F53" s="526"/>
      <c r="G53" s="526"/>
      <c r="H53" s="526"/>
      <c r="I53" s="526"/>
      <c r="J53" s="526"/>
      <c r="K53" s="526"/>
      <c r="L53" s="526"/>
      <c r="M53" s="526"/>
      <c r="N53" s="526"/>
    </row>
    <row r="54" spans="1:14" x14ac:dyDescent="0.35">
      <c r="C54" s="78"/>
      <c r="D54" s="233"/>
      <c r="E54" s="233"/>
      <c r="F54" s="233"/>
      <c r="G54" s="233"/>
      <c r="H54" s="233"/>
      <c r="I54" s="233"/>
      <c r="J54" s="233"/>
      <c r="K54" s="233"/>
      <c r="L54" s="233"/>
      <c r="M54" s="233"/>
      <c r="N54" s="233"/>
    </row>
    <row r="55" spans="1:14" x14ac:dyDescent="0.35">
      <c r="A55" s="78">
        <v>8</v>
      </c>
      <c r="B55" t="s">
        <v>739</v>
      </c>
      <c r="C55" s="78"/>
      <c r="D55" s="233"/>
      <c r="E55" s="233"/>
      <c r="F55" s="233"/>
      <c r="G55" s="233"/>
      <c r="H55" s="233"/>
      <c r="I55" s="233"/>
      <c r="J55" s="233"/>
      <c r="K55" s="233"/>
      <c r="L55" s="233"/>
      <c r="M55" s="233"/>
      <c r="N55" s="233"/>
    </row>
    <row r="56" spans="1:14" x14ac:dyDescent="0.35">
      <c r="C56" s="78"/>
      <c r="D56" s="233"/>
      <c r="E56" s="233"/>
      <c r="F56" s="233"/>
      <c r="G56" s="233"/>
      <c r="H56" s="233"/>
      <c r="I56" s="233"/>
      <c r="J56" s="233"/>
      <c r="K56" s="233"/>
      <c r="L56" s="233"/>
      <c r="M56" s="233"/>
      <c r="N56" s="233"/>
    </row>
    <row r="57" spans="1:14" x14ac:dyDescent="0.35">
      <c r="B57" s="78" t="s">
        <v>447</v>
      </c>
      <c r="C57" s="526" t="s">
        <v>746</v>
      </c>
      <c r="D57" s="526"/>
      <c r="E57" s="526"/>
      <c r="F57" s="526"/>
      <c r="G57" s="526"/>
      <c r="H57" s="526"/>
      <c r="I57" s="526"/>
      <c r="J57" s="526"/>
      <c r="K57" s="526"/>
      <c r="L57" s="526"/>
      <c r="M57" s="526"/>
      <c r="N57" s="526"/>
    </row>
    <row r="58" spans="1:14" x14ac:dyDescent="0.35">
      <c r="B58" s="78"/>
      <c r="C58" s="526"/>
      <c r="D58" s="526"/>
      <c r="E58" s="526"/>
      <c r="F58" s="526"/>
      <c r="G58" s="526"/>
      <c r="H58" s="526"/>
      <c r="I58" s="526"/>
      <c r="J58" s="526"/>
      <c r="K58" s="526"/>
      <c r="L58" s="526"/>
      <c r="M58" s="526"/>
      <c r="N58" s="526"/>
    </row>
    <row r="59" spans="1:14" x14ac:dyDescent="0.35">
      <c r="C59" s="526"/>
      <c r="D59" s="526"/>
      <c r="E59" s="526"/>
      <c r="F59" s="526"/>
      <c r="G59" s="526"/>
      <c r="H59" s="526"/>
      <c r="I59" s="526"/>
      <c r="J59" s="526"/>
      <c r="K59" s="526"/>
      <c r="L59" s="526"/>
      <c r="M59" s="526"/>
      <c r="N59" s="526"/>
    </row>
    <row r="60" spans="1:14" x14ac:dyDescent="0.35">
      <c r="B60" s="78" t="s">
        <v>448</v>
      </c>
      <c r="C60" s="526" t="s">
        <v>740</v>
      </c>
      <c r="D60" s="526"/>
      <c r="E60" s="526"/>
      <c r="F60" s="526"/>
      <c r="G60" s="526"/>
      <c r="H60" s="526"/>
      <c r="I60" s="526"/>
      <c r="J60" s="526"/>
      <c r="K60" s="526"/>
      <c r="L60" s="526"/>
      <c r="M60" s="526"/>
      <c r="N60" s="526"/>
    </row>
    <row r="61" spans="1:14" x14ac:dyDescent="0.35">
      <c r="B61" s="78"/>
      <c r="C61" s="526"/>
      <c r="D61" s="526"/>
      <c r="E61" s="526"/>
      <c r="F61" s="526"/>
      <c r="G61" s="526"/>
      <c r="H61" s="526"/>
      <c r="I61" s="526"/>
      <c r="J61" s="526"/>
      <c r="K61" s="526"/>
      <c r="L61" s="526"/>
      <c r="M61" s="526"/>
      <c r="N61" s="526"/>
    </row>
    <row r="62" spans="1:14" x14ac:dyDescent="0.35">
      <c r="B62" s="78"/>
      <c r="C62" s="526"/>
      <c r="D62" s="526"/>
      <c r="E62" s="526"/>
      <c r="F62" s="526"/>
      <c r="G62" s="526"/>
      <c r="H62" s="526"/>
      <c r="I62" s="526"/>
      <c r="J62" s="526"/>
      <c r="K62" s="526"/>
      <c r="L62" s="526"/>
      <c r="M62" s="526"/>
      <c r="N62" s="526"/>
    </row>
    <row r="63" spans="1:14" x14ac:dyDescent="0.35">
      <c r="C63" s="526"/>
      <c r="D63" s="526"/>
      <c r="E63" s="526"/>
      <c r="F63" s="526"/>
      <c r="G63" s="526"/>
      <c r="H63" s="526"/>
      <c r="I63" s="526"/>
      <c r="J63" s="526"/>
      <c r="K63" s="526"/>
      <c r="L63" s="526"/>
      <c r="M63" s="526"/>
      <c r="N63" s="526"/>
    </row>
    <row r="64" spans="1:14" x14ac:dyDescent="0.35">
      <c r="C64" s="78"/>
      <c r="D64" s="233"/>
      <c r="E64" s="233"/>
      <c r="F64" s="233"/>
      <c r="G64" s="233"/>
      <c r="H64" s="233"/>
      <c r="I64" s="233"/>
      <c r="J64" s="233"/>
      <c r="K64" s="233"/>
      <c r="L64" s="233"/>
      <c r="M64" s="233"/>
      <c r="N64" s="233"/>
    </row>
    <row r="65" spans="1:14" x14ac:dyDescent="0.35">
      <c r="A65" s="78">
        <v>9</v>
      </c>
      <c r="B65" t="s">
        <v>772</v>
      </c>
      <c r="C65" s="386"/>
      <c r="D65" s="386"/>
      <c r="E65" s="386"/>
      <c r="F65" s="386"/>
      <c r="G65" s="386"/>
      <c r="H65" s="386"/>
      <c r="I65" s="386"/>
      <c r="J65" s="386"/>
      <c r="K65" s="386"/>
      <c r="L65" s="386"/>
      <c r="M65" s="386"/>
      <c r="N65" s="386"/>
    </row>
    <row r="66" spans="1:14" x14ac:dyDescent="0.35">
      <c r="C66" s="386"/>
      <c r="D66" s="386"/>
      <c r="E66" s="386"/>
      <c r="F66" s="386"/>
      <c r="G66" s="386"/>
      <c r="H66" s="386"/>
      <c r="I66" s="386"/>
      <c r="J66" s="386"/>
      <c r="K66" s="386"/>
      <c r="L66" s="386"/>
      <c r="M66" s="386"/>
      <c r="N66" s="386"/>
    </row>
    <row r="67" spans="1:14" x14ac:dyDescent="0.35">
      <c r="B67" s="78" t="s">
        <v>447</v>
      </c>
      <c r="C67" s="526" t="s">
        <v>773</v>
      </c>
      <c r="D67" s="526"/>
      <c r="E67" s="526"/>
      <c r="F67" s="526"/>
      <c r="G67" s="526"/>
      <c r="H67" s="526"/>
      <c r="I67" s="526"/>
      <c r="J67" s="526"/>
      <c r="K67" s="526"/>
      <c r="L67" s="526"/>
      <c r="M67" s="526"/>
      <c r="N67" s="526"/>
    </row>
    <row r="68" spans="1:14" x14ac:dyDescent="0.35">
      <c r="B68" s="78"/>
      <c r="C68" s="526"/>
      <c r="D68" s="526"/>
      <c r="E68" s="526"/>
      <c r="F68" s="526"/>
      <c r="G68" s="526"/>
      <c r="H68" s="526"/>
      <c r="I68" s="526"/>
      <c r="J68" s="526"/>
      <c r="K68" s="526"/>
      <c r="L68" s="526"/>
      <c r="M68" s="526"/>
      <c r="N68" s="526"/>
    </row>
    <row r="69" spans="1:14" x14ac:dyDescent="0.35">
      <c r="B69" s="78"/>
      <c r="C69" s="526"/>
      <c r="D69" s="526"/>
      <c r="E69" s="526"/>
      <c r="F69" s="526"/>
      <c r="G69" s="526"/>
      <c r="H69" s="526"/>
      <c r="I69" s="526"/>
      <c r="J69" s="526"/>
      <c r="K69" s="526"/>
      <c r="L69" s="526"/>
      <c r="M69" s="526"/>
      <c r="N69" s="526"/>
    </row>
    <row r="70" spans="1:14" x14ac:dyDescent="0.35">
      <c r="C70" s="78"/>
      <c r="D70" s="233"/>
      <c r="E70" s="233"/>
      <c r="F70" s="233"/>
      <c r="G70" s="233"/>
      <c r="H70" s="233"/>
      <c r="I70" s="233"/>
      <c r="J70" s="233"/>
      <c r="K70" s="233"/>
      <c r="L70" s="233"/>
      <c r="M70" s="233"/>
      <c r="N70" s="233"/>
    </row>
    <row r="71" spans="1:14" x14ac:dyDescent="0.35">
      <c r="A71" s="78">
        <v>10</v>
      </c>
      <c r="B71" t="s">
        <v>741</v>
      </c>
    </row>
    <row r="73" spans="1:14" x14ac:dyDescent="0.35">
      <c r="A73" s="78">
        <v>11</v>
      </c>
      <c r="B73" s="527" t="s">
        <v>742</v>
      </c>
      <c r="C73" s="527"/>
      <c r="D73" s="527"/>
      <c r="E73" s="527"/>
      <c r="F73" s="527"/>
      <c r="G73" s="527"/>
      <c r="H73" s="527"/>
      <c r="I73" s="527"/>
      <c r="J73" s="527"/>
      <c r="K73" s="527"/>
      <c r="L73" s="527"/>
      <c r="M73" s="527"/>
      <c r="N73" s="527"/>
    </row>
    <row r="74" spans="1:14" x14ac:dyDescent="0.35">
      <c r="B74" s="527"/>
      <c r="C74" s="527"/>
      <c r="D74" s="527"/>
      <c r="E74" s="527"/>
      <c r="F74" s="527"/>
      <c r="G74" s="527"/>
      <c r="H74" s="527"/>
      <c r="I74" s="527"/>
      <c r="J74" s="527"/>
      <c r="K74" s="527"/>
      <c r="L74" s="527"/>
      <c r="M74" s="527"/>
      <c r="N74" s="527"/>
    </row>
    <row r="75" spans="1:14" x14ac:dyDescent="0.35">
      <c r="B75" s="527"/>
      <c r="C75" s="527"/>
      <c r="D75" s="527"/>
      <c r="E75" s="527"/>
      <c r="F75" s="527"/>
      <c r="G75" s="527"/>
      <c r="H75" s="527"/>
      <c r="I75" s="527"/>
      <c r="J75" s="527"/>
      <c r="K75" s="527"/>
      <c r="L75" s="527"/>
      <c r="M75" s="527"/>
      <c r="N75" s="527"/>
    </row>
    <row r="76" spans="1:14" x14ac:dyDescent="0.35">
      <c r="B76" s="527"/>
      <c r="C76" s="527"/>
      <c r="D76" s="527"/>
      <c r="E76" s="527"/>
      <c r="F76" s="527"/>
      <c r="G76" s="527"/>
      <c r="H76" s="527"/>
      <c r="I76" s="527"/>
      <c r="J76" s="527"/>
      <c r="K76" s="527"/>
      <c r="L76" s="527"/>
      <c r="M76" s="527"/>
      <c r="N76" s="527"/>
    </row>
    <row r="77" spans="1:14" x14ac:dyDescent="0.35">
      <c r="B77" s="404"/>
      <c r="C77" s="404"/>
      <c r="D77" s="404"/>
      <c r="E77" s="404"/>
      <c r="F77" s="404"/>
      <c r="G77" s="404"/>
      <c r="H77" s="404"/>
      <c r="I77" s="404"/>
      <c r="J77" s="404"/>
      <c r="K77" s="404"/>
      <c r="L77" s="404"/>
      <c r="M77" s="404"/>
      <c r="N77" s="404"/>
    </row>
    <row r="78" spans="1:14" x14ac:dyDescent="0.35">
      <c r="A78" s="78">
        <v>12</v>
      </c>
      <c r="B78" t="s">
        <v>743</v>
      </c>
    </row>
    <row r="80" spans="1:14" x14ac:dyDescent="0.35">
      <c r="A80" s="78">
        <v>13</v>
      </c>
      <c r="B80" s="526" t="s">
        <v>744</v>
      </c>
      <c r="C80" s="526"/>
      <c r="D80" s="526"/>
      <c r="E80" s="526"/>
      <c r="F80" s="526"/>
      <c r="G80" s="526"/>
      <c r="H80" s="526"/>
      <c r="I80" s="526"/>
      <c r="J80" s="526"/>
      <c r="K80" s="526"/>
      <c r="L80" s="526"/>
      <c r="M80" s="526"/>
      <c r="N80" s="526"/>
    </row>
    <row r="81" spans="2:14" x14ac:dyDescent="0.35">
      <c r="B81" s="526"/>
      <c r="C81" s="526"/>
      <c r="D81" s="526"/>
      <c r="E81" s="526"/>
      <c r="F81" s="526"/>
      <c r="G81" s="526"/>
      <c r="H81" s="526"/>
      <c r="I81" s="526"/>
      <c r="J81" s="526"/>
      <c r="K81" s="526"/>
      <c r="L81" s="526"/>
      <c r="M81" s="526"/>
      <c r="N81" s="526"/>
    </row>
    <row r="82" spans="2:14" x14ac:dyDescent="0.35">
      <c r="B82" s="526"/>
      <c r="C82" s="526"/>
      <c r="D82" s="526"/>
      <c r="E82" s="526"/>
      <c r="F82" s="526"/>
      <c r="G82" s="526"/>
      <c r="H82" s="526"/>
      <c r="I82" s="526"/>
      <c r="J82" s="526"/>
      <c r="K82" s="526"/>
      <c r="L82" s="526"/>
      <c r="M82" s="526"/>
      <c r="N82" s="526"/>
    </row>
    <row r="84" spans="2:14" x14ac:dyDescent="0.35">
      <c r="B84" s="78" t="s">
        <v>447</v>
      </c>
      <c r="D84" s="527" t="s">
        <v>920</v>
      </c>
      <c r="E84" s="527"/>
      <c r="F84" s="527"/>
      <c r="G84" s="527"/>
      <c r="H84" s="527"/>
      <c r="I84" s="527"/>
      <c r="J84" s="527"/>
      <c r="K84" s="527"/>
      <c r="L84" s="527"/>
      <c r="M84" s="527"/>
      <c r="N84" s="527"/>
    </row>
    <row r="85" spans="2:14" x14ac:dyDescent="0.35">
      <c r="D85" s="527"/>
      <c r="E85" s="527"/>
      <c r="F85" s="527"/>
      <c r="G85" s="527"/>
      <c r="H85" s="527"/>
      <c r="I85" s="527"/>
      <c r="J85" s="527"/>
      <c r="K85" s="527"/>
      <c r="L85" s="527"/>
      <c r="M85" s="527"/>
      <c r="N85" s="527"/>
    </row>
    <row r="87" spans="2:14" x14ac:dyDescent="0.35">
      <c r="B87" s="78" t="s">
        <v>448</v>
      </c>
      <c r="D87" s="527" t="s">
        <v>921</v>
      </c>
      <c r="E87" s="527"/>
      <c r="F87" s="527"/>
      <c r="G87" s="527"/>
      <c r="H87" s="527"/>
      <c r="I87" s="527"/>
      <c r="J87" s="527"/>
      <c r="K87" s="527"/>
      <c r="L87" s="527"/>
      <c r="M87" s="527"/>
      <c r="N87" s="527"/>
    </row>
    <row r="88" spans="2:14" x14ac:dyDescent="0.35">
      <c r="B88" s="78"/>
      <c r="D88" s="527"/>
      <c r="E88" s="527"/>
      <c r="F88" s="527"/>
      <c r="G88" s="527"/>
      <c r="H88" s="527"/>
      <c r="I88" s="527"/>
      <c r="J88" s="527"/>
      <c r="K88" s="527"/>
      <c r="L88" s="527"/>
      <c r="M88" s="527"/>
      <c r="N88" s="527"/>
    </row>
    <row r="89" spans="2:14" x14ac:dyDescent="0.35">
      <c r="D89" s="527"/>
      <c r="E89" s="527"/>
      <c r="F89" s="527"/>
      <c r="G89" s="527"/>
      <c r="H89" s="527"/>
      <c r="I89" s="527"/>
      <c r="J89" s="527"/>
      <c r="K89" s="527"/>
      <c r="L89" s="527"/>
      <c r="M89" s="527"/>
      <c r="N89" s="527"/>
    </row>
  </sheetData>
  <sheetProtection sheet="1" objects="1" scenarios="1"/>
  <customSheetViews>
    <customSheetView guid="{17302493-42B1-4877-869E-E424A97AE78B}" showGridLines="0" state="hidden" topLeftCell="A70">
      <selection activeCell="Q3" sqref="Q3"/>
      <pageMargins left="0.7" right="0.7" top="0.75" bottom="0.75" header="0.3" footer="0.3"/>
      <pageSetup orientation="portrait" horizontalDpi="1200" verticalDpi="1200" r:id="rId1"/>
    </customSheetView>
    <customSheetView guid="{5C0BA3A5-859C-46C2-B685-44D9A90065E4}" showGridLines="0" state="hidden" topLeftCell="A70">
      <selection activeCell="Q3" sqref="Q3"/>
      <pageMargins left="0.7" right="0.7" top="0.75" bottom="0.75" header="0.3" footer="0.3"/>
      <pageSetup orientation="portrait" horizontalDpi="1200" verticalDpi="1200" r:id="rId2"/>
    </customSheetView>
  </customSheetViews>
  <mergeCells count="16">
    <mergeCell ref="D84:N85"/>
    <mergeCell ref="D87:N89"/>
    <mergeCell ref="B80:N82"/>
    <mergeCell ref="C46:N48"/>
    <mergeCell ref="C49:N51"/>
    <mergeCell ref="C52:N53"/>
    <mergeCell ref="C57:N59"/>
    <mergeCell ref="C60:N63"/>
    <mergeCell ref="C67:N69"/>
    <mergeCell ref="B73:N76"/>
    <mergeCell ref="C36:N38"/>
    <mergeCell ref="B8:N9"/>
    <mergeCell ref="C16:N17"/>
    <mergeCell ref="C21:N23"/>
    <mergeCell ref="C24:N25"/>
    <mergeCell ref="C30:N32"/>
  </mergeCell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AA245"/>
  <sheetViews>
    <sheetView tabSelected="1" workbookViewId="0">
      <selection activeCell="C12" sqref="C12"/>
    </sheetView>
  </sheetViews>
  <sheetFormatPr defaultColWidth="9.1796875" defaultRowHeight="14.5" x14ac:dyDescent="0.35"/>
  <cols>
    <col min="1" max="1" width="16.1796875" customWidth="1"/>
    <col min="2" max="2" width="9.81640625" customWidth="1"/>
    <col min="3" max="3" width="61" customWidth="1"/>
    <col min="4" max="6" width="18.1796875" customWidth="1"/>
    <col min="7" max="7" width="5.1796875" customWidth="1"/>
    <col min="8" max="8" width="18.453125" customWidth="1"/>
    <col min="27" max="27" width="9.1796875" customWidth="1"/>
  </cols>
  <sheetData>
    <row r="1" spans="1:27" ht="26" x14ac:dyDescent="0.6">
      <c r="A1" s="3" t="s">
        <v>774</v>
      </c>
      <c r="B1" s="3"/>
    </row>
    <row r="2" spans="1:27" ht="21" x14ac:dyDescent="0.5">
      <c r="A2" s="2" t="s">
        <v>775</v>
      </c>
      <c r="B2" s="2"/>
    </row>
    <row r="3" spans="1:27" ht="21" x14ac:dyDescent="0.5">
      <c r="A3" s="234" t="s">
        <v>497</v>
      </c>
      <c r="B3" s="2"/>
    </row>
    <row r="4" spans="1:27" ht="21" x14ac:dyDescent="0.5">
      <c r="A4" s="235" t="s">
        <v>499</v>
      </c>
    </row>
    <row r="5" spans="1:27" x14ac:dyDescent="0.35">
      <c r="AA5" s="236" t="s">
        <v>498</v>
      </c>
    </row>
    <row r="6" spans="1:27" x14ac:dyDescent="0.35">
      <c r="A6" s="1" t="s">
        <v>776</v>
      </c>
      <c r="B6" s="1"/>
      <c r="C6" s="237" t="s">
        <v>926</v>
      </c>
      <c r="AA6" s="236" t="s">
        <v>499</v>
      </c>
    </row>
    <row r="7" spans="1:27" x14ac:dyDescent="0.35">
      <c r="A7" s="1" t="s">
        <v>0</v>
      </c>
      <c r="B7" s="1"/>
      <c r="C7" s="35">
        <v>45473</v>
      </c>
    </row>
    <row r="10" spans="1:27" x14ac:dyDescent="0.35">
      <c r="C10" t="s">
        <v>500</v>
      </c>
      <c r="D10" s="238" t="s">
        <v>501</v>
      </c>
      <c r="E10" s="238" t="s">
        <v>502</v>
      </c>
      <c r="F10" s="238" t="s">
        <v>503</v>
      </c>
    </row>
    <row r="11" spans="1:27" x14ac:dyDescent="0.35">
      <c r="A11" s="239" t="s">
        <v>504</v>
      </c>
      <c r="D11" s="78"/>
      <c r="E11" s="78"/>
      <c r="F11" s="78"/>
    </row>
    <row r="12" spans="1:27" x14ac:dyDescent="0.35">
      <c r="A12" t="s">
        <v>505</v>
      </c>
      <c r="D12" s="240">
        <f>'Adjusted Schedule 1'!J96</f>
        <v>151386659.56999999</v>
      </c>
      <c r="E12" s="240">
        <f>'As-Filed Schedule 1'!J95</f>
        <v>151386659.56999999</v>
      </c>
      <c r="F12" s="240">
        <f t="shared" ref="F12:F31" si="0">D12-E12</f>
        <v>0</v>
      </c>
    </row>
    <row r="13" spans="1:27" x14ac:dyDescent="0.35">
      <c r="A13" t="s">
        <v>506</v>
      </c>
      <c r="D13" s="240">
        <f>'Adjusted Schedule 1A'!H26</f>
        <v>463874.84874999989</v>
      </c>
      <c r="E13" s="240">
        <f>'As-Filed Schedule 1A'!H25</f>
        <v>463874.84874999989</v>
      </c>
      <c r="F13" s="240">
        <f t="shared" si="0"/>
        <v>0</v>
      </c>
    </row>
    <row r="14" spans="1:27" x14ac:dyDescent="0.35">
      <c r="A14" t="s">
        <v>507</v>
      </c>
      <c r="D14" s="240">
        <f>'Adjusted Schedule 1C'!F26</f>
        <v>0</v>
      </c>
      <c r="E14" s="240">
        <f>'As-Filed Schedule 1C'!F25</f>
        <v>0</v>
      </c>
      <c r="F14" s="240">
        <f t="shared" si="0"/>
        <v>0</v>
      </c>
    </row>
    <row r="15" spans="1:27" x14ac:dyDescent="0.35">
      <c r="A15" t="s">
        <v>508</v>
      </c>
      <c r="D15" s="240">
        <f>'Adjusted Schedule 2A'!F76</f>
        <v>12324136.023208858</v>
      </c>
      <c r="E15" s="240">
        <f>'As-Filed Schedule 2A'!F75</f>
        <v>12324136.023208858</v>
      </c>
      <c r="F15" s="240">
        <f t="shared" si="0"/>
        <v>0</v>
      </c>
    </row>
    <row r="16" spans="1:27" x14ac:dyDescent="0.35">
      <c r="A16" t="s">
        <v>509</v>
      </c>
      <c r="D16" s="240">
        <f>'Adjusted Schedule 2B'!F76</f>
        <v>4245562.3975753346</v>
      </c>
      <c r="E16" s="240">
        <f>'As-Filed Schedule 2B'!F75</f>
        <v>4245562.3975753337</v>
      </c>
      <c r="F16" s="240">
        <f t="shared" si="0"/>
        <v>0</v>
      </c>
    </row>
    <row r="17" spans="1:6" x14ac:dyDescent="0.35">
      <c r="A17" t="s">
        <v>510</v>
      </c>
      <c r="D17" s="240">
        <f>'Adjusted Schedule 2C'!F76</f>
        <v>77055633.815074444</v>
      </c>
      <c r="E17" s="240">
        <f>'As-Filed Schedule 2C'!F75</f>
        <v>75889029.432388887</v>
      </c>
      <c r="F17" s="240">
        <f t="shared" si="0"/>
        <v>1166604.382685557</v>
      </c>
    </row>
    <row r="18" spans="1:6" x14ac:dyDescent="0.35">
      <c r="A18" t="s">
        <v>511</v>
      </c>
      <c r="D18" s="240">
        <f>'Adjusted Schedule 2D'!$F$76</f>
        <v>30997521.077095944</v>
      </c>
      <c r="E18" s="240">
        <f>'As-Filed Schedule 2D'!$F$75</f>
        <v>30997521.077095941</v>
      </c>
      <c r="F18" s="240">
        <f>D18-E18</f>
        <v>0</v>
      </c>
    </row>
    <row r="19" spans="1:6" hidden="1" x14ac:dyDescent="0.35">
      <c r="A19" t="s">
        <v>917</v>
      </c>
      <c r="D19" s="240">
        <f>'Adjusted Schedule 2E'!$F$76</f>
        <v>0</v>
      </c>
      <c r="E19" s="240">
        <f>'As-Filed Schedule 2E'!$F$75</f>
        <v>0</v>
      </c>
      <c r="F19" s="240">
        <f t="shared" ref="F19:F27" si="1">D19-E19</f>
        <v>0</v>
      </c>
    </row>
    <row r="20" spans="1:6" hidden="1" x14ac:dyDescent="0.35">
      <c r="A20" t="s">
        <v>916</v>
      </c>
      <c r="D20" s="240">
        <f>'Adjusted Schedule 2F'!$F$76</f>
        <v>0</v>
      </c>
      <c r="E20" s="240">
        <f>'As-Filed Schedule 2F'!$F$75</f>
        <v>0</v>
      </c>
      <c r="F20" s="240">
        <f t="shared" si="1"/>
        <v>0</v>
      </c>
    </row>
    <row r="21" spans="1:6" hidden="1" x14ac:dyDescent="0.35">
      <c r="A21" t="s">
        <v>915</v>
      </c>
      <c r="D21" s="240">
        <f>'Adjusted Schedule 2G'!$F$76</f>
        <v>0</v>
      </c>
      <c r="E21" s="240">
        <f>'As-Filed Schedule 2G'!$F$75</f>
        <v>0</v>
      </c>
      <c r="F21" s="240">
        <f t="shared" si="1"/>
        <v>0</v>
      </c>
    </row>
    <row r="22" spans="1:6" hidden="1" x14ac:dyDescent="0.35">
      <c r="A22" t="s">
        <v>914</v>
      </c>
      <c r="D22" s="240">
        <f>'Adjusted Schedule 2H'!$F$76</f>
        <v>0</v>
      </c>
      <c r="E22" s="240">
        <f>'As-Filed Schedule 2H'!$F$75</f>
        <v>0</v>
      </c>
      <c r="F22" s="240">
        <f t="shared" si="1"/>
        <v>0</v>
      </c>
    </row>
    <row r="23" spans="1:6" hidden="1" x14ac:dyDescent="0.35">
      <c r="A23" t="s">
        <v>913</v>
      </c>
      <c r="D23" s="240">
        <f>'Adjusted Schedule 2I'!$F$76</f>
        <v>0</v>
      </c>
      <c r="E23" s="240">
        <f>'As-Filed Schedule 2I'!$F$75</f>
        <v>0</v>
      </c>
      <c r="F23" s="240">
        <f t="shared" si="1"/>
        <v>0</v>
      </c>
    </row>
    <row r="24" spans="1:6" hidden="1" x14ac:dyDescent="0.35">
      <c r="A24" t="s">
        <v>912</v>
      </c>
      <c r="D24" s="240">
        <f>'Adjusted Schedule 2J'!$F$76</f>
        <v>0</v>
      </c>
      <c r="E24" s="240">
        <f>'As-Filed Schedule 2J'!$F$75</f>
        <v>0</v>
      </c>
      <c r="F24" s="240">
        <f t="shared" si="1"/>
        <v>0</v>
      </c>
    </row>
    <row r="25" spans="1:6" hidden="1" x14ac:dyDescent="0.35">
      <c r="A25" t="s">
        <v>911</v>
      </c>
      <c r="D25" s="240">
        <f>'Adjusted Schedule 2K'!$F$76</f>
        <v>0</v>
      </c>
      <c r="E25" s="240">
        <f>'As-Filed Schedule 2K'!$F$75</f>
        <v>0</v>
      </c>
      <c r="F25" s="240">
        <f t="shared" si="1"/>
        <v>0</v>
      </c>
    </row>
    <row r="26" spans="1:6" hidden="1" x14ac:dyDescent="0.35">
      <c r="A26" t="s">
        <v>910</v>
      </c>
      <c r="D26" s="240">
        <f>'Adjusted Schedule 2L'!$F$76</f>
        <v>0</v>
      </c>
      <c r="E26" s="240">
        <f>'As-Filed Schedule 2L'!$F$75</f>
        <v>0</v>
      </c>
      <c r="F26" s="240">
        <f t="shared" si="1"/>
        <v>0</v>
      </c>
    </row>
    <row r="27" spans="1:6" ht="27.75" hidden="1" customHeight="1" x14ac:dyDescent="0.35">
      <c r="A27" s="529" t="s">
        <v>909</v>
      </c>
      <c r="B27" s="529"/>
      <c r="C27" s="529"/>
      <c r="D27" s="240">
        <f>'Adjusted Schedule 2M'!$F$76</f>
        <v>0</v>
      </c>
      <c r="E27" s="240">
        <f>'As-Filed Schedule 2M'!$F$75</f>
        <v>0</v>
      </c>
      <c r="F27" s="240">
        <f t="shared" si="1"/>
        <v>0</v>
      </c>
    </row>
    <row r="28" spans="1:6" x14ac:dyDescent="0.35">
      <c r="A28" s="99" t="s">
        <v>512</v>
      </c>
      <c r="D28" s="13">
        <f>'Adjusted Schedule 3'!K168</f>
        <v>36186</v>
      </c>
      <c r="E28" s="13">
        <f>'As-Filed Schedule 3'!K167</f>
        <v>36186</v>
      </c>
      <c r="F28" s="13">
        <f t="shared" si="0"/>
        <v>0</v>
      </c>
    </row>
    <row r="29" spans="1:6" x14ac:dyDescent="0.35">
      <c r="A29" s="99" t="s">
        <v>513</v>
      </c>
      <c r="D29" s="240">
        <f>'Adjusted Schedule 3'!M168</f>
        <v>24778961.236166928</v>
      </c>
      <c r="E29" s="240">
        <f>'As-Filed Schedule 3'!M167</f>
        <v>25704909.556166928</v>
      </c>
      <c r="F29" s="240">
        <f t="shared" si="0"/>
        <v>-925948.3200000003</v>
      </c>
    </row>
    <row r="30" spans="1:6" x14ac:dyDescent="0.35">
      <c r="A30" t="s">
        <v>514</v>
      </c>
      <c r="D30" s="13">
        <f>'Adjusted Schedule 4'!D198</f>
        <v>301381</v>
      </c>
      <c r="E30" s="13">
        <f>'As-Filed Schedule 4'!D197</f>
        <v>301381</v>
      </c>
      <c r="F30" s="13">
        <f t="shared" si="0"/>
        <v>0</v>
      </c>
    </row>
    <row r="31" spans="1:6" x14ac:dyDescent="0.35">
      <c r="A31" t="s">
        <v>515</v>
      </c>
      <c r="D31" s="13">
        <f>'Adjusted Schedule 4'!H198</f>
        <v>367332</v>
      </c>
      <c r="E31" s="13">
        <f>'As-Filed Schedule 4'!H197</f>
        <v>367332</v>
      </c>
      <c r="F31" s="13">
        <f t="shared" si="0"/>
        <v>0</v>
      </c>
    </row>
    <row r="32" spans="1:6" x14ac:dyDescent="0.35">
      <c r="D32" s="241"/>
      <c r="E32" s="241"/>
      <c r="F32" s="241"/>
    </row>
    <row r="33" spans="1:6" x14ac:dyDescent="0.35">
      <c r="A33" s="239" t="s">
        <v>516</v>
      </c>
      <c r="D33" s="241"/>
      <c r="E33" s="241"/>
      <c r="F33" s="241"/>
    </row>
    <row r="34" spans="1:6" x14ac:dyDescent="0.35">
      <c r="A34" t="s">
        <v>517</v>
      </c>
      <c r="D34" s="240">
        <f>'Adjusted Schedule 1'!F96</f>
        <v>97430173.330182582</v>
      </c>
      <c r="E34" s="240">
        <f>'As-Filed Schedule 1'!F95</f>
        <v>96346182.010182574</v>
      </c>
      <c r="F34" s="240">
        <f>D34-E34</f>
        <v>1083991.3200000077</v>
      </c>
    </row>
    <row r="35" spans="1:6" x14ac:dyDescent="0.35">
      <c r="A35" s="99" t="s">
        <v>518</v>
      </c>
      <c r="D35" s="240">
        <f>'Adjusted Schedule 4'!D10</f>
        <v>0</v>
      </c>
      <c r="E35" s="240">
        <f>'As-Filed Schedule 4'!D9</f>
        <v>0</v>
      </c>
      <c r="F35" s="240">
        <f>D35-E35</f>
        <v>0</v>
      </c>
    </row>
    <row r="36" spans="1:6" x14ac:dyDescent="0.35">
      <c r="A36" t="s">
        <v>519</v>
      </c>
      <c r="D36" s="13">
        <f>'Adjusted Schedule 4'!F198</f>
        <v>406327.73000000016</v>
      </c>
      <c r="E36" s="13">
        <f>'As-Filed Schedule 4'!F8</f>
        <v>406327.73000000016</v>
      </c>
      <c r="F36" s="13">
        <f>D36-E36</f>
        <v>0</v>
      </c>
    </row>
    <row r="37" spans="1:6" x14ac:dyDescent="0.35">
      <c r="A37" t="s">
        <v>520</v>
      </c>
      <c r="D37" s="242">
        <f>'Adjusted Schedule 4'!J198</f>
        <v>199367.74</v>
      </c>
      <c r="E37" s="242">
        <f>'As-Filed Schedule 4'!F9</f>
        <v>199367.74</v>
      </c>
      <c r="F37" s="242">
        <f>D37-E37</f>
        <v>0</v>
      </c>
    </row>
    <row r="38" spans="1:6" s="1" customFormat="1" x14ac:dyDescent="0.35">
      <c r="A38" s="1" t="s">
        <v>521</v>
      </c>
      <c r="D38" s="243">
        <f>'Adjusted Schedule 4'!F13</f>
        <v>160.85669805353265</v>
      </c>
      <c r="E38" s="243">
        <f>'As-Filed Schedule 4'!F12</f>
        <v>159.06703414866641</v>
      </c>
      <c r="F38" s="244">
        <f>D38-E38</f>
        <v>1.789663904866245</v>
      </c>
    </row>
    <row r="39" spans="1:6" s="1" customFormat="1" x14ac:dyDescent="0.35">
      <c r="D39" s="243"/>
      <c r="E39" s="243"/>
      <c r="F39" s="244"/>
    </row>
    <row r="40" spans="1:6" s="1" customFormat="1" x14ac:dyDescent="0.35">
      <c r="A40" s="239" t="s">
        <v>922</v>
      </c>
      <c r="D40" s="243"/>
      <c r="E40" s="243"/>
      <c r="F40" s="244"/>
    </row>
    <row r="41" spans="1:6" x14ac:dyDescent="0.35">
      <c r="A41" t="s">
        <v>517</v>
      </c>
      <c r="D41" s="240">
        <f>'Adjusted Schedule 1'!F96</f>
        <v>97430173.330182582</v>
      </c>
      <c r="E41" s="240">
        <f>'As-Filed Schedule 1'!F95</f>
        <v>96346182.010182574</v>
      </c>
      <c r="F41" s="240">
        <f>D41-E41</f>
        <v>1083991.3200000077</v>
      </c>
    </row>
    <row r="42" spans="1:6" x14ac:dyDescent="0.35">
      <c r="A42" s="99" t="s">
        <v>923</v>
      </c>
      <c r="D42" s="240">
        <f>'Adjusted Schedule 4'!I10</f>
        <v>0</v>
      </c>
      <c r="E42" s="240">
        <f>'As-Filed Schedule 4'!I9</f>
        <v>0</v>
      </c>
      <c r="F42" s="240">
        <f>D42-E42</f>
        <v>0</v>
      </c>
    </row>
    <row r="43" spans="1:6" x14ac:dyDescent="0.35">
      <c r="A43" t="s">
        <v>924</v>
      </c>
      <c r="D43" s="242">
        <f>'Adjusted Schedule 4'!K9</f>
        <v>217443</v>
      </c>
      <c r="E43" s="242">
        <f>'As-Filed Schedule 4'!K8</f>
        <v>217443</v>
      </c>
      <c r="F43" s="242">
        <f>D43-E43</f>
        <v>0</v>
      </c>
    </row>
    <row r="44" spans="1:6" s="1" customFormat="1" x14ac:dyDescent="0.35">
      <c r="A44" s="1" t="s">
        <v>925</v>
      </c>
      <c r="D44" s="243">
        <f>'Adjusted Schedule 4'!K13</f>
        <v>448.07224573880319</v>
      </c>
      <c r="E44" s="243">
        <f>'As-Filed Schedule 4'!K12</f>
        <v>443.08707114132244</v>
      </c>
      <c r="F44" s="244">
        <f>D44-E44</f>
        <v>4.98517459748075</v>
      </c>
    </row>
    <row r="45" spans="1:6" s="1" customFormat="1" x14ac:dyDescent="0.35">
      <c r="D45" s="243"/>
      <c r="E45" s="243"/>
      <c r="F45" s="244"/>
    </row>
    <row r="46" spans="1:6" x14ac:dyDescent="0.35">
      <c r="A46" s="239" t="s">
        <v>522</v>
      </c>
    </row>
    <row r="47" spans="1:6" x14ac:dyDescent="0.35">
      <c r="A47" s="239"/>
    </row>
    <row r="48" spans="1:6" x14ac:dyDescent="0.35">
      <c r="A48" s="246" t="s">
        <v>523</v>
      </c>
      <c r="B48" s="528" t="str">
        <f>'Adjusted Schedule 3'!B18:C18</f>
        <v>100-880-Behavioral Health Solutions Center</v>
      </c>
      <c r="C48" s="528"/>
    </row>
    <row r="49" spans="1:6" x14ac:dyDescent="0.35">
      <c r="A49" s="246"/>
      <c r="B49" t="str">
        <f>IF($B$48="N/A","","Census Days")</f>
        <v>Census Days</v>
      </c>
      <c r="D49" s="13">
        <f>'Adjusted Schedule 3'!K18</f>
        <v>2335</v>
      </c>
      <c r="E49" s="13">
        <f>'As-Filed Schedule 3'!K17</f>
        <v>2335</v>
      </c>
      <c r="F49" s="13">
        <f>D49-E49</f>
        <v>0</v>
      </c>
    </row>
    <row r="50" spans="1:6" x14ac:dyDescent="0.35">
      <c r="A50" s="246"/>
      <c r="B50" t="str">
        <f>IF($B$48="N/A","","Total Expense")</f>
        <v>Total Expense</v>
      </c>
      <c r="D50" s="240">
        <f>'Adjusted Schedule 3'!M18</f>
        <v>5859032.5698663527</v>
      </c>
      <c r="E50" s="240">
        <f>'As-Filed Schedule 3'!M17</f>
        <v>6708926.889866353</v>
      </c>
      <c r="F50" s="240">
        <f t="shared" ref="F50:F51" si="2">D50-E50</f>
        <v>-849894.3200000003</v>
      </c>
    </row>
    <row r="51" spans="1:6" x14ac:dyDescent="0.35">
      <c r="A51" s="246"/>
      <c r="B51" t="str">
        <f>IF($B$48="N/A","","Room and Board Expense")</f>
        <v>Room and Board Expense</v>
      </c>
      <c r="D51" s="240">
        <f>'Adjusted Schedule 3'!O18</f>
        <v>119836.27538423194</v>
      </c>
      <c r="E51" s="240">
        <f>'As-Filed Schedule 3'!O17</f>
        <v>119836.27538423194</v>
      </c>
      <c r="F51" s="240">
        <f t="shared" si="2"/>
        <v>0</v>
      </c>
    </row>
    <row r="52" spans="1:6" x14ac:dyDescent="0.35">
      <c r="A52" s="246"/>
      <c r="B52" t="str">
        <f>IF($B$48="N/A","","Services Expense")</f>
        <v>Services Expense</v>
      </c>
      <c r="D52" s="247">
        <f>'Adjusted Schedule 3'!Q18</f>
        <v>5739196.2944821212</v>
      </c>
      <c r="E52" s="247">
        <f>'As-Filed Schedule 3'!Q17</f>
        <v>6589090.6144821215</v>
      </c>
      <c r="F52" s="247">
        <f>IF(E52="","",D52-E52)</f>
        <v>-849894.3200000003</v>
      </c>
    </row>
    <row r="53" spans="1:6" s="1" customFormat="1" x14ac:dyDescent="0.35">
      <c r="A53" s="246"/>
      <c r="B53" s="1" t="str">
        <f>IF($B$48="N/A","","Facility Total Cost Per Day")</f>
        <v>Facility Total Cost Per Day</v>
      </c>
      <c r="D53" s="243">
        <f>'Adjusted Schedule 3'!N18</f>
        <v>2509.221657330344</v>
      </c>
      <c r="E53" s="243">
        <f>'As-Filed Schedule 3'!N17</f>
        <v>2873.202094161179</v>
      </c>
      <c r="F53" s="243">
        <f>IF(E53="","",D53-E53)</f>
        <v>-363.98043683083506</v>
      </c>
    </row>
    <row r="54" spans="1:6" x14ac:dyDescent="0.35">
      <c r="A54" s="246"/>
      <c r="B54" t="str">
        <f>IF($B$48="N/A","","Room and Board Cost Per Day")</f>
        <v>Room and Board Cost Per Day</v>
      </c>
      <c r="D54" s="245">
        <f>'Adjusted Schedule 3'!P18</f>
        <v>51.321745346566139</v>
      </c>
      <c r="E54" s="245">
        <f>'As-Filed Schedule 3'!P17</f>
        <v>51.321745346566139</v>
      </c>
      <c r="F54" s="245">
        <f>IF(E54="","",D54-E54)</f>
        <v>0</v>
      </c>
    </row>
    <row r="55" spans="1:6" x14ac:dyDescent="0.35">
      <c r="A55" s="246"/>
      <c r="B55" t="str">
        <f>IF($B$48="N/A","","Services Cost Per Day")</f>
        <v>Services Cost Per Day</v>
      </c>
      <c r="D55" s="245">
        <f>'Adjusted Schedule 3'!R18</f>
        <v>2457.8999119837777</v>
      </c>
      <c r="E55" s="245">
        <f>'As-Filed Schedule 3'!R17</f>
        <v>2821.8803488146132</v>
      </c>
      <c r="F55" s="245">
        <f>IF(E55="","",D55-E55)</f>
        <v>-363.98043683083552</v>
      </c>
    </row>
    <row r="56" spans="1:6" x14ac:dyDescent="0.35">
      <c r="A56" s="246"/>
    </row>
    <row r="57" spans="1:6" x14ac:dyDescent="0.35">
      <c r="A57" s="246" t="s">
        <v>524</v>
      </c>
      <c r="B57" s="528" t="str">
        <f>'Adjusted Schedule 3'!B23:C23</f>
        <v>400-612-Monaco House</v>
      </c>
      <c r="C57" s="528"/>
    </row>
    <row r="58" spans="1:6" x14ac:dyDescent="0.35">
      <c r="A58" s="246"/>
      <c r="B58" t="str">
        <f>IF($B$48="N/A","","Census Days")</f>
        <v>Census Days</v>
      </c>
      <c r="D58" s="13">
        <f>'Adjusted Schedule 3'!K23</f>
        <v>2321</v>
      </c>
      <c r="E58" s="13">
        <f>'As-Filed Schedule 3'!K22</f>
        <v>2321</v>
      </c>
      <c r="F58" s="13">
        <f>D58-E58</f>
        <v>0</v>
      </c>
    </row>
    <row r="59" spans="1:6" x14ac:dyDescent="0.35">
      <c r="A59" s="246"/>
      <c r="B59" t="str">
        <f>IF($B$48="N/A","","Total Expense")</f>
        <v>Total Expense</v>
      </c>
      <c r="D59" s="240">
        <f>'Adjusted Schedule 3'!M23</f>
        <v>860085.82522861415</v>
      </c>
      <c r="E59" s="240">
        <f>'As-Filed Schedule 3'!M22</f>
        <v>860085.82522861415</v>
      </c>
      <c r="F59" s="240">
        <f t="shared" ref="F59:F60" si="3">D59-E59</f>
        <v>0</v>
      </c>
    </row>
    <row r="60" spans="1:6" x14ac:dyDescent="0.35">
      <c r="A60" s="246"/>
      <c r="B60" t="str">
        <f>IF($B$48="N/A","","Room and Board Expense")</f>
        <v>Room and Board Expense</v>
      </c>
      <c r="D60" s="240">
        <f>'Adjusted Schedule 3'!O23</f>
        <v>90213.141881695235</v>
      </c>
      <c r="E60" s="240">
        <f>'As-Filed Schedule 3'!O22</f>
        <v>90213.141881695235</v>
      </c>
      <c r="F60" s="240">
        <f t="shared" si="3"/>
        <v>0</v>
      </c>
    </row>
    <row r="61" spans="1:6" x14ac:dyDescent="0.35">
      <c r="A61" s="246"/>
      <c r="B61" t="str">
        <f>IF($B$48="N/A","","Services Expense")</f>
        <v>Services Expense</v>
      </c>
      <c r="D61" s="247">
        <f>'Adjusted Schedule 3'!Q23</f>
        <v>769872.6833469189</v>
      </c>
      <c r="E61" s="247">
        <f>'As-Filed Schedule 3'!Q22</f>
        <v>769872.6833469189</v>
      </c>
      <c r="F61" s="247">
        <f>IF(E61="","",D61-E61)</f>
        <v>0</v>
      </c>
    </row>
    <row r="62" spans="1:6" s="1" customFormat="1" x14ac:dyDescent="0.35">
      <c r="A62" s="246"/>
      <c r="B62" s="1" t="str">
        <f>IF($B$48="N/A","","Facility Total Cost Per Day")</f>
        <v>Facility Total Cost Per Day</v>
      </c>
      <c r="D62" s="243">
        <f>'Adjusted Schedule 3'!N23</f>
        <v>370.56692168402162</v>
      </c>
      <c r="E62" s="243">
        <f>'As-Filed Schedule 3'!N22</f>
        <v>370.56692168402162</v>
      </c>
      <c r="F62" s="243">
        <f t="shared" ref="F62:F64" si="4">IF(E62="","",D62-E62)</f>
        <v>0</v>
      </c>
    </row>
    <row r="63" spans="1:6" x14ac:dyDescent="0.35">
      <c r="A63" s="246"/>
      <c r="B63" t="str">
        <f>IF($B$48="N/A","","Room and Board Cost Per Day")</f>
        <v>Room and Board Cost Per Day</v>
      </c>
      <c r="D63" s="245">
        <f>'Adjusted Schedule 3'!P23</f>
        <v>38.86822140529739</v>
      </c>
      <c r="E63" s="245">
        <f>'As-Filed Schedule 3'!P22</f>
        <v>38.86822140529739</v>
      </c>
      <c r="F63" s="245">
        <f t="shared" si="4"/>
        <v>0</v>
      </c>
    </row>
    <row r="64" spans="1:6" x14ac:dyDescent="0.35">
      <c r="A64" s="246"/>
      <c r="B64" t="str">
        <f>IF($B$48="N/A","","Services Cost Per Day")</f>
        <v>Services Cost Per Day</v>
      </c>
      <c r="D64" s="245">
        <f>'Adjusted Schedule 3'!R23</f>
        <v>331.69870027872423</v>
      </c>
      <c r="E64" s="245">
        <f>'As-Filed Schedule 3'!R22</f>
        <v>331.69870027872423</v>
      </c>
      <c r="F64" s="245">
        <f t="shared" si="4"/>
        <v>0</v>
      </c>
    </row>
    <row r="65" spans="1:6" x14ac:dyDescent="0.35">
      <c r="A65" s="246"/>
    </row>
    <row r="66" spans="1:6" x14ac:dyDescent="0.35">
      <c r="A66" s="246" t="s">
        <v>525</v>
      </c>
      <c r="B66" s="528" t="str">
        <f>'Adjusted Schedule 3'!B28:C28</f>
        <v>400-614-Monroe House</v>
      </c>
      <c r="C66" s="528"/>
    </row>
    <row r="67" spans="1:6" x14ac:dyDescent="0.35">
      <c r="A67" s="246"/>
      <c r="B67" t="str">
        <f>IF($B$48="N/A","","Census Days")</f>
        <v>Census Days</v>
      </c>
      <c r="D67" s="13">
        <f>'Adjusted Schedule 3'!K28</f>
        <v>3654</v>
      </c>
      <c r="E67" s="13">
        <f>'As-Filed Schedule 3'!K27</f>
        <v>3654</v>
      </c>
      <c r="F67" s="13">
        <f>D67-E67</f>
        <v>0</v>
      </c>
    </row>
    <row r="68" spans="1:6" x14ac:dyDescent="0.35">
      <c r="A68" s="246"/>
      <c r="B68" t="str">
        <f>IF($B$48="N/A","","Total Expense")</f>
        <v>Total Expense</v>
      </c>
      <c r="D68" s="240">
        <f>'Adjusted Schedule 3'!M28</f>
        <v>1448893.9400124617</v>
      </c>
      <c r="E68" s="240">
        <f>'As-Filed Schedule 3'!M27</f>
        <v>1448893.9400124617</v>
      </c>
      <c r="F68" s="240">
        <f t="shared" ref="F68:F69" si="5">D68-E68</f>
        <v>0</v>
      </c>
    </row>
    <row r="69" spans="1:6" x14ac:dyDescent="0.35">
      <c r="A69" s="246"/>
      <c r="B69" t="str">
        <f>IF($B$48="N/A","","Room and Board Expense")</f>
        <v>Room and Board Expense</v>
      </c>
      <c r="D69" s="240">
        <f>'Adjusted Schedule 3'!O28</f>
        <v>132954.37419592525</v>
      </c>
      <c r="E69" s="240">
        <f>'As-Filed Schedule 3'!O27</f>
        <v>132954.37419592525</v>
      </c>
      <c r="F69" s="240">
        <f t="shared" si="5"/>
        <v>0</v>
      </c>
    </row>
    <row r="70" spans="1:6" x14ac:dyDescent="0.35">
      <c r="A70" s="246"/>
      <c r="B70" t="str">
        <f>IF($B$48="N/A","","Services Expense")</f>
        <v>Services Expense</v>
      </c>
      <c r="D70" s="247">
        <f>'Adjusted Schedule 3'!Q28</f>
        <v>1315939.5658165365</v>
      </c>
      <c r="E70" s="247">
        <f>'As-Filed Schedule 3'!Q27</f>
        <v>1315939.5658165365</v>
      </c>
      <c r="F70" s="247">
        <f>IF(E70="","",D70-E70)</f>
        <v>0</v>
      </c>
    </row>
    <row r="71" spans="1:6" s="1" customFormat="1" x14ac:dyDescent="0.35">
      <c r="A71" s="246"/>
      <c r="B71" s="1" t="str">
        <f>IF($B$48="N/A","","Facility Total Cost Per Day")</f>
        <v>Facility Total Cost Per Day</v>
      </c>
      <c r="D71" s="243">
        <f>'Adjusted Schedule 3'!N28</f>
        <v>396.52269841610882</v>
      </c>
      <c r="E71" s="243">
        <f>'As-Filed Schedule 3'!N27</f>
        <v>396.52269841610882</v>
      </c>
      <c r="F71" s="243">
        <f t="shared" ref="F71:F73" si="6">IF(E71="","",D71-E71)</f>
        <v>0</v>
      </c>
    </row>
    <row r="72" spans="1:6" x14ac:dyDescent="0.35">
      <c r="A72" s="246"/>
      <c r="B72" t="str">
        <f>IF($B$48="N/A","","Room and Board Cost Per Day")</f>
        <v>Room and Board Cost Per Day</v>
      </c>
      <c r="D72" s="245">
        <f>'Adjusted Schedule 3'!P28</f>
        <v>36.385980896531265</v>
      </c>
      <c r="E72" s="245">
        <f>'As-Filed Schedule 3'!P27</f>
        <v>36.385980896531265</v>
      </c>
      <c r="F72" s="245">
        <f t="shared" si="6"/>
        <v>0</v>
      </c>
    </row>
    <row r="73" spans="1:6" x14ac:dyDescent="0.35">
      <c r="A73" s="246"/>
      <c r="B73" t="str">
        <f>IF($B$48="N/A","","Services Cost Per Day")</f>
        <v>Services Cost Per Day</v>
      </c>
      <c r="D73" s="245">
        <f>'Adjusted Schedule 3'!R28</f>
        <v>360.13671751957759</v>
      </c>
      <c r="E73" s="245">
        <f>'As-Filed Schedule 3'!R27</f>
        <v>360.13671751957759</v>
      </c>
      <c r="F73" s="245">
        <f t="shared" si="6"/>
        <v>0</v>
      </c>
    </row>
    <row r="74" spans="1:6" x14ac:dyDescent="0.35">
      <c r="A74" s="246"/>
    </row>
    <row r="75" spans="1:6" x14ac:dyDescent="0.35">
      <c r="A75" s="246" t="s">
        <v>526</v>
      </c>
      <c r="B75" s="528" t="str">
        <f>'Adjusted Schedule 3'!B33:C33</f>
        <v>400-626-New Visions</v>
      </c>
      <c r="C75" s="528"/>
    </row>
    <row r="76" spans="1:6" x14ac:dyDescent="0.35">
      <c r="A76" s="246"/>
      <c r="B76" t="str">
        <f>IF($B$48="N/A","","Census Days")</f>
        <v>Census Days</v>
      </c>
      <c r="D76" s="13">
        <f>'Adjusted Schedule 3'!K33</f>
        <v>2191</v>
      </c>
      <c r="E76" s="13">
        <f>'As-Filed Schedule 3'!K32</f>
        <v>2191</v>
      </c>
      <c r="F76" s="13">
        <f>D76-E76</f>
        <v>0</v>
      </c>
    </row>
    <row r="77" spans="1:6" x14ac:dyDescent="0.35">
      <c r="A77" s="246"/>
      <c r="B77" t="str">
        <f>IF($B$48="N/A","","Total Expense")</f>
        <v>Total Expense</v>
      </c>
      <c r="D77" s="240">
        <f>'Adjusted Schedule 3'!M33</f>
        <v>672333.08350408101</v>
      </c>
      <c r="E77" s="240">
        <f>'As-Filed Schedule 3'!M32</f>
        <v>672333.08350408101</v>
      </c>
      <c r="F77" s="240">
        <f t="shared" ref="F77:F78" si="7">D77-E77</f>
        <v>0</v>
      </c>
    </row>
    <row r="78" spans="1:6" x14ac:dyDescent="0.35">
      <c r="A78" s="246"/>
      <c r="B78" t="str">
        <f>IF($B$48="N/A","","Room and Board Expense")</f>
        <v>Room and Board Expense</v>
      </c>
      <c r="D78" s="240">
        <f>'Adjusted Schedule 3'!O33</f>
        <v>65359.143796033713</v>
      </c>
      <c r="E78" s="240">
        <f>'As-Filed Schedule 3'!O32</f>
        <v>65359.143796033713</v>
      </c>
      <c r="F78" s="240">
        <f t="shared" si="7"/>
        <v>0</v>
      </c>
    </row>
    <row r="79" spans="1:6" x14ac:dyDescent="0.35">
      <c r="A79" s="246"/>
      <c r="B79" t="str">
        <f>IF($B$48="N/A","","Services Expense")</f>
        <v>Services Expense</v>
      </c>
      <c r="D79" s="247">
        <f>'Adjusted Schedule 3'!Q33</f>
        <v>606973.93970804731</v>
      </c>
      <c r="E79" s="247">
        <f>'As-Filed Schedule 3'!Q32</f>
        <v>606973.93970804731</v>
      </c>
      <c r="F79" s="247">
        <f>IF(E79="","",D79-E79)</f>
        <v>0</v>
      </c>
    </row>
    <row r="80" spans="1:6" s="1" customFormat="1" x14ac:dyDescent="0.35">
      <c r="A80" s="246"/>
      <c r="B80" s="1" t="str">
        <f>IF($B$48="N/A","","Facility Total Cost Per Day")</f>
        <v>Facility Total Cost Per Day</v>
      </c>
      <c r="D80" s="243">
        <f>'Adjusted Schedule 3'!N33</f>
        <v>306.86128868283021</v>
      </c>
      <c r="E80" s="243">
        <f>'As-Filed Schedule 3'!N32</f>
        <v>306.86128868283021</v>
      </c>
      <c r="F80" s="243">
        <f t="shared" ref="F80:F82" si="8">IF(E80="","",D80-E80)</f>
        <v>0</v>
      </c>
    </row>
    <row r="81" spans="1:6" x14ac:dyDescent="0.35">
      <c r="A81" s="246"/>
      <c r="B81" t="str">
        <f>IF($B$48="N/A","","Room and Board Cost Per Day")</f>
        <v>Room and Board Cost Per Day</v>
      </c>
      <c r="D81" s="245">
        <f>'Adjusted Schedule 3'!P33</f>
        <v>29.830736556838755</v>
      </c>
      <c r="E81" s="245">
        <f>'As-Filed Schedule 3'!P32</f>
        <v>29.830736556838755</v>
      </c>
      <c r="F81" s="245">
        <f t="shared" si="8"/>
        <v>0</v>
      </c>
    </row>
    <row r="82" spans="1:6" x14ac:dyDescent="0.35">
      <c r="A82" s="246"/>
      <c r="B82" t="str">
        <f>IF($B$48="N/A","","Services Cost Per Day")</f>
        <v>Services Cost Per Day</v>
      </c>
      <c r="D82" s="245">
        <f>'Adjusted Schedule 3'!R33</f>
        <v>277.03055212599145</v>
      </c>
      <c r="E82" s="245">
        <f>'As-Filed Schedule 3'!R32</f>
        <v>277.03055212599145</v>
      </c>
      <c r="F82" s="245">
        <f t="shared" si="8"/>
        <v>0</v>
      </c>
    </row>
    <row r="83" spans="1:6" x14ac:dyDescent="0.35">
      <c r="A83" s="246"/>
      <c r="B83" s="385"/>
    </row>
    <row r="84" spans="1:6" x14ac:dyDescent="0.35">
      <c r="A84" s="246" t="s">
        <v>527</v>
      </c>
      <c r="B84" s="528" t="str">
        <f>'Adjusted Schedule 3'!B38:C38</f>
        <v>400-628-Ash House</v>
      </c>
      <c r="C84" s="528"/>
    </row>
    <row r="85" spans="1:6" x14ac:dyDescent="0.35">
      <c r="A85" s="246"/>
      <c r="B85" t="str">
        <f>IF($B$48="N/A","","Census Days")</f>
        <v>Census Days</v>
      </c>
      <c r="D85" s="13">
        <f>'Adjusted Schedule 3'!K38</f>
        <v>2291</v>
      </c>
      <c r="E85" s="13">
        <f>'As-Filed Schedule 3'!K37</f>
        <v>2291</v>
      </c>
      <c r="F85" s="13">
        <f>D85-E85</f>
        <v>0</v>
      </c>
    </row>
    <row r="86" spans="1:6" x14ac:dyDescent="0.35">
      <c r="A86" s="246"/>
      <c r="B86" t="str">
        <f>IF($B$48="N/A","","Total Expense")</f>
        <v>Total Expense</v>
      </c>
      <c r="D86" s="240">
        <f>'Adjusted Schedule 3'!M38</f>
        <v>852133.16824688774</v>
      </c>
      <c r="E86" s="240">
        <f>'As-Filed Schedule 3'!M37</f>
        <v>852133.16824688774</v>
      </c>
      <c r="F86" s="240">
        <f t="shared" ref="F86:F87" si="9">D86-E86</f>
        <v>0</v>
      </c>
    </row>
    <row r="87" spans="1:6" x14ac:dyDescent="0.35">
      <c r="A87" s="246"/>
      <c r="B87" t="str">
        <f>IF($B$48="N/A","","Room and Board Expense")</f>
        <v>Room and Board Expense</v>
      </c>
      <c r="D87" s="240">
        <f>'Adjusted Schedule 3'!O38</f>
        <v>99994.449243235897</v>
      </c>
      <c r="E87" s="240">
        <f>'As-Filed Schedule 3'!O37</f>
        <v>99994.449243235897</v>
      </c>
      <c r="F87" s="240">
        <f t="shared" si="9"/>
        <v>0</v>
      </c>
    </row>
    <row r="88" spans="1:6" x14ac:dyDescent="0.35">
      <c r="A88" s="246"/>
      <c r="B88" t="str">
        <f>IF($B$48="N/A","","Services Expense")</f>
        <v>Services Expense</v>
      </c>
      <c r="D88" s="247">
        <f>'Adjusted Schedule 3'!Q38</f>
        <v>752138.71900365187</v>
      </c>
      <c r="E88" s="247">
        <f>'As-Filed Schedule 3'!Q37</f>
        <v>752138.71900365187</v>
      </c>
      <c r="F88" s="247">
        <f>IF(E88="","",D88-E88)</f>
        <v>0</v>
      </c>
    </row>
    <row r="89" spans="1:6" s="1" customFormat="1" x14ac:dyDescent="0.35">
      <c r="A89" s="246"/>
      <c r="B89" s="1" t="str">
        <f>IF($B$48="N/A","","Facility Total Cost Per Day")</f>
        <v>Facility Total Cost Per Day</v>
      </c>
      <c r="D89" s="243">
        <f>'Adjusted Schedule 3'!N38</f>
        <v>371.94813105494882</v>
      </c>
      <c r="E89" s="243">
        <f>'As-Filed Schedule 3'!N37</f>
        <v>371.94813105494882</v>
      </c>
      <c r="F89" s="243">
        <f t="shared" ref="F89:F91" si="10">IF(E89="","",D89-E89)</f>
        <v>0</v>
      </c>
    </row>
    <row r="90" spans="1:6" x14ac:dyDescent="0.35">
      <c r="A90" s="246"/>
      <c r="B90" t="str">
        <f>IF($B$48="N/A","","Room and Board Cost Per Day")</f>
        <v>Room and Board Cost Per Day</v>
      </c>
      <c r="D90" s="245">
        <f>'Adjusted Schedule 3'!P38</f>
        <v>43.646638691940595</v>
      </c>
      <c r="E90" s="245">
        <f>'As-Filed Schedule 3'!P37</f>
        <v>43.646638691940595</v>
      </c>
      <c r="F90" s="245">
        <f t="shared" si="10"/>
        <v>0</v>
      </c>
    </row>
    <row r="91" spans="1:6" x14ac:dyDescent="0.35">
      <c r="A91" s="246"/>
      <c r="B91" t="str">
        <f>IF($B$48="N/A","","Services Cost Per Day")</f>
        <v>Services Cost Per Day</v>
      </c>
      <c r="D91" s="245">
        <f>'Adjusted Schedule 3'!R38</f>
        <v>328.30149236300826</v>
      </c>
      <c r="E91" s="245">
        <f>'As-Filed Schedule 3'!R37</f>
        <v>328.30149236300826</v>
      </c>
      <c r="F91" s="245">
        <f t="shared" si="10"/>
        <v>0</v>
      </c>
    </row>
    <row r="92" spans="1:6" x14ac:dyDescent="0.35">
      <c r="A92" s="246"/>
    </row>
    <row r="93" spans="1:6" x14ac:dyDescent="0.35">
      <c r="A93" s="246" t="s">
        <v>528</v>
      </c>
      <c r="B93" s="528" t="str">
        <f>'Adjusted Schedule 3'!B43:C43</f>
        <v>400-630-Franklin House</v>
      </c>
      <c r="C93" s="528"/>
    </row>
    <row r="94" spans="1:6" x14ac:dyDescent="0.35">
      <c r="A94" s="246"/>
      <c r="B94" t="str">
        <f>IF($B$48="N/A","","Census Days")</f>
        <v>Census Days</v>
      </c>
      <c r="D94" s="13">
        <f>'Adjusted Schedule 3'!K43</f>
        <v>3115</v>
      </c>
      <c r="E94" s="13">
        <f>'As-Filed Schedule 3'!K42</f>
        <v>3115</v>
      </c>
      <c r="F94" s="13">
        <f>D94-E94</f>
        <v>0</v>
      </c>
    </row>
    <row r="95" spans="1:6" x14ac:dyDescent="0.35">
      <c r="A95" s="246"/>
      <c r="B95" t="str">
        <f>IF($B$48="N/A","","Total Expense")</f>
        <v>Total Expense</v>
      </c>
      <c r="D95" s="240">
        <f>'Adjusted Schedule 3'!M43</f>
        <v>897484.74637888628</v>
      </c>
      <c r="E95" s="240">
        <f>'As-Filed Schedule 3'!M42</f>
        <v>897484.74637888628</v>
      </c>
      <c r="F95" s="240">
        <f t="shared" ref="F95:F96" si="11">D95-E95</f>
        <v>0</v>
      </c>
    </row>
    <row r="96" spans="1:6" x14ac:dyDescent="0.35">
      <c r="A96" s="246"/>
      <c r="B96" t="str">
        <f>IF($B$48="N/A","","Room and Board Expense")</f>
        <v>Room and Board Expense</v>
      </c>
      <c r="D96" s="240">
        <f>'Adjusted Schedule 3'!O43</f>
        <v>113982.9352477061</v>
      </c>
      <c r="E96" s="240">
        <f>'As-Filed Schedule 3'!O42</f>
        <v>113982.9352477061</v>
      </c>
      <c r="F96" s="240">
        <f t="shared" si="11"/>
        <v>0</v>
      </c>
    </row>
    <row r="97" spans="1:6" x14ac:dyDescent="0.35">
      <c r="A97" s="246"/>
      <c r="B97" t="str">
        <f>IF($B$48="N/A","","Services Expense")</f>
        <v>Services Expense</v>
      </c>
      <c r="D97" s="247">
        <f>'Adjusted Schedule 3'!Q43</f>
        <v>783501.81113118015</v>
      </c>
      <c r="E97" s="247">
        <f>'As-Filed Schedule 3'!Q42</f>
        <v>783501.81113118015</v>
      </c>
      <c r="F97" s="247">
        <f>IF(E97="","",D97-E97)</f>
        <v>0</v>
      </c>
    </row>
    <row r="98" spans="1:6" s="1" customFormat="1" x14ac:dyDescent="0.35">
      <c r="A98" s="246"/>
      <c r="B98" s="1" t="str">
        <f>IF($B$48="N/A","","Facility Total Cost Per Day")</f>
        <v>Facility Total Cost Per Day</v>
      </c>
      <c r="D98" s="243">
        <f>'Adjusted Schedule 3'!N43</f>
        <v>288.11709354057342</v>
      </c>
      <c r="E98" s="243">
        <f>'As-Filed Schedule 3'!N42</f>
        <v>288.11709354057342</v>
      </c>
      <c r="F98" s="243">
        <f t="shared" ref="F98:F100" si="12">IF(E98="","",D98-E98)</f>
        <v>0</v>
      </c>
    </row>
    <row r="99" spans="1:6" x14ac:dyDescent="0.35">
      <c r="A99" s="246"/>
      <c r="B99" t="str">
        <f>IF($B$48="N/A","","Room and Board Cost Per Day")</f>
        <v>Room and Board Cost Per Day</v>
      </c>
      <c r="D99" s="245">
        <f>'Adjusted Schedule 3'!P43</f>
        <v>36.591632503276436</v>
      </c>
      <c r="E99" s="245">
        <f>'As-Filed Schedule 3'!P42</f>
        <v>36.591632503276436</v>
      </c>
      <c r="F99" s="245">
        <f t="shared" si="12"/>
        <v>0</v>
      </c>
    </row>
    <row r="100" spans="1:6" x14ac:dyDescent="0.35">
      <c r="A100" s="246"/>
      <c r="B100" t="str">
        <f>IF($B$48="N/A","","Services Cost Per Day")</f>
        <v>Services Cost Per Day</v>
      </c>
      <c r="D100" s="245">
        <f>'Adjusted Schedule 3'!R43</f>
        <v>251.52546103729699</v>
      </c>
      <c r="E100" s="245">
        <f>'As-Filed Schedule 3'!R42</f>
        <v>251.52546103729699</v>
      </c>
      <c r="F100" s="245">
        <f t="shared" si="12"/>
        <v>0</v>
      </c>
    </row>
    <row r="101" spans="1:6" x14ac:dyDescent="0.35">
      <c r="A101" s="246"/>
    </row>
    <row r="102" spans="1:6" x14ac:dyDescent="0.35">
      <c r="A102" s="246" t="s">
        <v>529</v>
      </c>
      <c r="B102" s="528" t="str">
        <f>'Adjusted Schedule 3'!B48:C48</f>
        <v xml:space="preserve"> 400-634-Vallegos House</v>
      </c>
      <c r="C102" s="528"/>
    </row>
    <row r="103" spans="1:6" x14ac:dyDescent="0.35">
      <c r="A103" s="246"/>
      <c r="B103" t="str">
        <f>IF($B$48="N/A","","Census Days")</f>
        <v>Census Days</v>
      </c>
      <c r="D103" s="13">
        <f>'Adjusted Schedule 3'!K48</f>
        <v>1870</v>
      </c>
      <c r="E103" s="13">
        <f>'As-Filed Schedule 3'!K47</f>
        <v>1870</v>
      </c>
      <c r="F103" s="13">
        <f>D103-E103</f>
        <v>0</v>
      </c>
    </row>
    <row r="104" spans="1:6" x14ac:dyDescent="0.35">
      <c r="A104" s="246"/>
      <c r="B104" t="str">
        <f>IF($B$48="N/A","","Total Expense")</f>
        <v>Total Expense</v>
      </c>
      <c r="D104" s="240">
        <f>'Adjusted Schedule 3'!M48</f>
        <v>720819.88429848151</v>
      </c>
      <c r="E104" s="240">
        <f>'As-Filed Schedule 3'!M47</f>
        <v>720819.88429848151</v>
      </c>
      <c r="F104" s="240">
        <f t="shared" ref="F104:F105" si="13">D104-E104</f>
        <v>0</v>
      </c>
    </row>
    <row r="105" spans="1:6" x14ac:dyDescent="0.35">
      <c r="A105" s="246"/>
      <c r="B105" t="str">
        <f>IF($B$48="N/A","","Room and Board Expense")</f>
        <v>Room and Board Expense</v>
      </c>
      <c r="D105" s="240">
        <f>'Adjusted Schedule 3'!O48</f>
        <v>63032.212856927166</v>
      </c>
      <c r="E105" s="240">
        <f>'As-Filed Schedule 3'!O47</f>
        <v>63032.212856927166</v>
      </c>
      <c r="F105" s="240">
        <f t="shared" si="13"/>
        <v>0</v>
      </c>
    </row>
    <row r="106" spans="1:6" x14ac:dyDescent="0.35">
      <c r="A106" s="246"/>
      <c r="B106" t="str">
        <f>IF($B$48="N/A","","Services Expense")</f>
        <v>Services Expense</v>
      </c>
      <c r="D106" s="247">
        <f>'Adjusted Schedule 3'!Q48</f>
        <v>657787.67144155432</v>
      </c>
      <c r="E106" s="247">
        <f>'As-Filed Schedule 3'!Q47</f>
        <v>657787.67144155432</v>
      </c>
      <c r="F106" s="247">
        <f>IF(E106="","",D106-E106)</f>
        <v>0</v>
      </c>
    </row>
    <row r="107" spans="1:6" s="1" customFormat="1" x14ac:dyDescent="0.35">
      <c r="A107" s="246"/>
      <c r="B107" s="1" t="str">
        <f>IF($B$48="N/A","","Facility Total Cost Per Day")</f>
        <v>Facility Total Cost Per Day</v>
      </c>
      <c r="D107" s="243">
        <f>'Adjusted Schedule 3'!N48</f>
        <v>385.46517876924145</v>
      </c>
      <c r="E107" s="243">
        <f>'As-Filed Schedule 3'!N47</f>
        <v>385.46517876924145</v>
      </c>
      <c r="F107" s="243">
        <f t="shared" ref="F107:F109" si="14">IF(E107="","",D107-E107)</f>
        <v>0</v>
      </c>
    </row>
    <row r="108" spans="1:6" x14ac:dyDescent="0.35">
      <c r="A108" s="246"/>
      <c r="B108" t="str">
        <f>IF($B$48="N/A","","Room and Board Cost Per Day")</f>
        <v>Room and Board Cost Per Day</v>
      </c>
      <c r="D108" s="245">
        <f>'Adjusted Schedule 3'!P48</f>
        <v>33.707065698891533</v>
      </c>
      <c r="E108" s="245">
        <f>'As-Filed Schedule 3'!P47</f>
        <v>33.707065698891533</v>
      </c>
      <c r="F108" s="245">
        <f t="shared" si="14"/>
        <v>0</v>
      </c>
    </row>
    <row r="109" spans="1:6" x14ac:dyDescent="0.35">
      <c r="A109" s="246"/>
      <c r="B109" t="str">
        <f>IF($B$48="N/A","","Services Cost Per Day")</f>
        <v>Services Cost Per Day</v>
      </c>
      <c r="D109" s="245">
        <f>'Adjusted Schedule 3'!R48</f>
        <v>351.75811307034991</v>
      </c>
      <c r="E109" s="245">
        <f>'As-Filed Schedule 3'!R47</f>
        <v>351.75811307034991</v>
      </c>
      <c r="F109" s="245">
        <f t="shared" si="14"/>
        <v>0</v>
      </c>
    </row>
    <row r="110" spans="1:6" x14ac:dyDescent="0.35">
      <c r="A110" s="246"/>
      <c r="B110" s="385"/>
    </row>
    <row r="111" spans="1:6" x14ac:dyDescent="0.35">
      <c r="A111" s="246" t="s">
        <v>530</v>
      </c>
      <c r="B111" s="528" t="str">
        <f>'Adjusted Schedule 3'!B53:C53</f>
        <v>400-650-Beeler House</v>
      </c>
      <c r="C111" s="528"/>
    </row>
    <row r="112" spans="1:6" x14ac:dyDescent="0.35">
      <c r="A112" s="246"/>
      <c r="B112" t="str">
        <f>IF($B$48="N/A","","Census Days")</f>
        <v>Census Days</v>
      </c>
      <c r="D112" s="13">
        <f>'Adjusted Schedule 3'!K53</f>
        <v>4087</v>
      </c>
      <c r="E112" s="13">
        <f>'As-Filed Schedule 3'!K52</f>
        <v>4087</v>
      </c>
      <c r="F112" s="13">
        <f>D112-E112</f>
        <v>0</v>
      </c>
    </row>
    <row r="113" spans="1:6" x14ac:dyDescent="0.35">
      <c r="A113" s="246"/>
      <c r="B113" t="str">
        <f>IF($B$48="N/A","","Total Expense")</f>
        <v>Total Expense</v>
      </c>
      <c r="D113" s="240">
        <f>'Adjusted Schedule 3'!M53</f>
        <v>1448183.1465178435</v>
      </c>
      <c r="E113" s="240">
        <f>'As-Filed Schedule 3'!M52</f>
        <v>1448183.1465178435</v>
      </c>
      <c r="F113" s="240">
        <f t="shared" ref="F113:F114" si="15">D113-E113</f>
        <v>0</v>
      </c>
    </row>
    <row r="114" spans="1:6" x14ac:dyDescent="0.35">
      <c r="A114" s="246"/>
      <c r="B114" t="str">
        <f>IF($B$48="N/A","","Room and Board Expense")</f>
        <v>Room and Board Expense</v>
      </c>
      <c r="D114" s="240">
        <f>'Adjusted Schedule 3'!O53</f>
        <v>205072.48514038994</v>
      </c>
      <c r="E114" s="240">
        <f>'As-Filed Schedule 3'!O52</f>
        <v>205072.48514038994</v>
      </c>
      <c r="F114" s="240">
        <f t="shared" si="15"/>
        <v>0</v>
      </c>
    </row>
    <row r="115" spans="1:6" x14ac:dyDescent="0.35">
      <c r="A115" s="246"/>
      <c r="B115" t="str">
        <f>IF($B$48="N/A","","Services Expense")</f>
        <v>Services Expense</v>
      </c>
      <c r="D115" s="247">
        <f>'Adjusted Schedule 3'!Q53</f>
        <v>1243110.6613774535</v>
      </c>
      <c r="E115" s="247">
        <f>'As-Filed Schedule 3'!Q52</f>
        <v>1243110.6613774535</v>
      </c>
      <c r="F115" s="247">
        <f>IF(E115="","",D115-E115)</f>
        <v>0</v>
      </c>
    </row>
    <row r="116" spans="1:6" s="1" customFormat="1" x14ac:dyDescent="0.35">
      <c r="A116" s="246"/>
      <c r="B116" s="1" t="str">
        <f>IF($B$48="N/A","","Facility Total Cost Per Day")</f>
        <v>Facility Total Cost Per Day</v>
      </c>
      <c r="D116" s="243">
        <f>'Adjusted Schedule 3'!N53</f>
        <v>354.33891522335296</v>
      </c>
      <c r="E116" s="243">
        <f>'As-Filed Schedule 3'!N52</f>
        <v>354.33891522335296</v>
      </c>
      <c r="F116" s="243">
        <f t="shared" ref="F116:F118" si="16">IF(E116="","",D116-E116)</f>
        <v>0</v>
      </c>
    </row>
    <row r="117" spans="1:6" x14ac:dyDescent="0.35">
      <c r="A117" s="246"/>
      <c r="B117" t="str">
        <f>IF($B$48="N/A","","Room and Board Cost Per Day")</f>
        <v>Room and Board Cost Per Day</v>
      </c>
      <c r="D117" s="245">
        <f>'Adjusted Schedule 3'!P53</f>
        <v>50.176776398431599</v>
      </c>
      <c r="E117" s="245">
        <f>'As-Filed Schedule 3'!P52</f>
        <v>50.176776398431599</v>
      </c>
      <c r="F117" s="245">
        <f t="shared" si="16"/>
        <v>0</v>
      </c>
    </row>
    <row r="118" spans="1:6" x14ac:dyDescent="0.35">
      <c r="A118" s="246"/>
      <c r="B118" t="str">
        <f>IF($B$48="N/A","","Services Cost Per Day")</f>
        <v>Services Cost Per Day</v>
      </c>
      <c r="D118" s="245">
        <f>'Adjusted Schedule 3'!R53</f>
        <v>304.16213882492133</v>
      </c>
      <c r="E118" s="245">
        <f>'As-Filed Schedule 3'!R52</f>
        <v>304.16213882492133</v>
      </c>
      <c r="F118" s="245">
        <f t="shared" si="16"/>
        <v>0</v>
      </c>
    </row>
    <row r="119" spans="1:6" x14ac:dyDescent="0.35">
      <c r="A119" s="246"/>
    </row>
    <row r="120" spans="1:6" x14ac:dyDescent="0.35">
      <c r="A120" s="246" t="s">
        <v>531</v>
      </c>
      <c r="B120" s="528" t="str">
        <f>'Adjusted Schedule 3'!B58:C58</f>
        <v>400-652-Park Place</v>
      </c>
      <c r="C120" s="528"/>
    </row>
    <row r="121" spans="1:6" x14ac:dyDescent="0.35">
      <c r="A121" s="246"/>
      <c r="B121" t="str">
        <f>IF($B$48="N/A","","Census Days")</f>
        <v>Census Days</v>
      </c>
      <c r="D121" s="13">
        <f>'Adjusted Schedule 3'!K58</f>
        <v>4325</v>
      </c>
      <c r="E121" s="13">
        <f>'As-Filed Schedule 3'!K57</f>
        <v>4325</v>
      </c>
      <c r="F121" s="13">
        <f>D121-E121</f>
        <v>0</v>
      </c>
    </row>
    <row r="122" spans="1:6" x14ac:dyDescent="0.35">
      <c r="A122" s="246"/>
      <c r="B122" t="str">
        <f>IF($B$48="N/A","","Total Expense")</f>
        <v>Total Expense</v>
      </c>
      <c r="D122" s="240">
        <f>'Adjusted Schedule 3'!M58</f>
        <v>1748821.7820320721</v>
      </c>
      <c r="E122" s="240">
        <f>'As-Filed Schedule 3'!M57</f>
        <v>1748821.7820320721</v>
      </c>
      <c r="F122" s="240">
        <f t="shared" ref="F122:F123" si="17">D122-E122</f>
        <v>0</v>
      </c>
    </row>
    <row r="123" spans="1:6" x14ac:dyDescent="0.35">
      <c r="A123" s="246"/>
      <c r="B123" t="str">
        <f>IF($B$48="N/A","","Room and Board Expense")</f>
        <v>Room and Board Expense</v>
      </c>
      <c r="D123" s="240">
        <f>'Adjusted Schedule 3'!O58</f>
        <v>180574.38645861091</v>
      </c>
      <c r="E123" s="240">
        <f>'As-Filed Schedule 3'!O57</f>
        <v>180574.38645861091</v>
      </c>
      <c r="F123" s="240">
        <f t="shared" si="17"/>
        <v>0</v>
      </c>
    </row>
    <row r="124" spans="1:6" x14ac:dyDescent="0.35">
      <c r="A124" s="246"/>
      <c r="B124" t="str">
        <f>IF($B$48="N/A","","Services Expense")</f>
        <v>Services Expense</v>
      </c>
      <c r="D124" s="247">
        <f>'Adjusted Schedule 3'!Q58</f>
        <v>1568247.3955734612</v>
      </c>
      <c r="E124" s="247">
        <f>'As-Filed Schedule 3'!Q57</f>
        <v>1568247.3955734612</v>
      </c>
      <c r="F124" s="247">
        <f>IF(E124="","",D124-E124)</f>
        <v>0</v>
      </c>
    </row>
    <row r="125" spans="1:6" s="1" customFormat="1" x14ac:dyDescent="0.35">
      <c r="A125" s="246"/>
      <c r="B125" s="1" t="str">
        <f>IF($B$48="N/A","","Facility Total Cost Per Day")</f>
        <v>Facility Total Cost Per Day</v>
      </c>
      <c r="D125" s="243">
        <f>'Adjusted Schedule 3'!N58</f>
        <v>404.3518571172421</v>
      </c>
      <c r="E125" s="243">
        <f>'As-Filed Schedule 3'!N57</f>
        <v>404.3518571172421</v>
      </c>
      <c r="F125" s="243">
        <f t="shared" ref="F125:F127" si="18">IF(E125="","",D125-E125)</f>
        <v>0</v>
      </c>
    </row>
    <row r="126" spans="1:6" x14ac:dyDescent="0.35">
      <c r="A126" s="246"/>
      <c r="B126" t="str">
        <f>IF($B$48="N/A","","Room and Board Cost Per Day")</f>
        <v>Room and Board Cost Per Day</v>
      </c>
      <c r="D126" s="245">
        <f>'Adjusted Schedule 3'!P58</f>
        <v>41.751303227424486</v>
      </c>
      <c r="E126" s="245">
        <f>'As-Filed Schedule 3'!P57</f>
        <v>41.751303227424486</v>
      </c>
      <c r="F126" s="245">
        <f t="shared" si="18"/>
        <v>0</v>
      </c>
    </row>
    <row r="127" spans="1:6" x14ac:dyDescent="0.35">
      <c r="A127" s="246"/>
      <c r="B127" t="str">
        <f>IF($B$48="N/A","","Services Cost Per Day")</f>
        <v>Services Cost Per Day</v>
      </c>
      <c r="D127" s="245">
        <f>'Adjusted Schedule 3'!R58</f>
        <v>362.6005538898176</v>
      </c>
      <c r="E127" s="245">
        <f>'As-Filed Schedule 3'!R57</f>
        <v>362.6005538898176</v>
      </c>
      <c r="F127" s="245">
        <f t="shared" si="18"/>
        <v>0</v>
      </c>
    </row>
    <row r="128" spans="1:6" x14ac:dyDescent="0.35">
      <c r="A128" s="246"/>
    </row>
    <row r="129" spans="1:6" x14ac:dyDescent="0.35">
      <c r="A129" s="246" t="s">
        <v>532</v>
      </c>
      <c r="B129" s="528" t="str">
        <f>'Adjusted Schedule 3'!B63:C63</f>
        <v>400-660-Second Street</v>
      </c>
      <c r="C129" s="528"/>
    </row>
    <row r="130" spans="1:6" x14ac:dyDescent="0.35">
      <c r="A130" s="246"/>
      <c r="B130" t="str">
        <f>IF($B$48="N/A","","Census Days")</f>
        <v>Census Days</v>
      </c>
      <c r="D130" s="13">
        <f>'Adjusted Schedule 3'!K63</f>
        <v>2425</v>
      </c>
      <c r="E130" s="13">
        <f>'As-Filed Schedule 3'!K62</f>
        <v>2425</v>
      </c>
      <c r="F130" s="13">
        <f>D130-E130</f>
        <v>0</v>
      </c>
    </row>
    <row r="131" spans="1:6" x14ac:dyDescent="0.35">
      <c r="A131" s="246"/>
      <c r="B131" t="str">
        <f>IF($B$48="N/A","","Total Expense")</f>
        <v>Total Expense</v>
      </c>
      <c r="D131" s="240">
        <f>'Adjusted Schedule 3'!M63</f>
        <v>1114301.9126722368</v>
      </c>
      <c r="E131" s="240">
        <f>'As-Filed Schedule 3'!M62</f>
        <v>1114301.9126722368</v>
      </c>
      <c r="F131" s="240">
        <f t="shared" ref="F131:F132" si="19">D131-E131</f>
        <v>0</v>
      </c>
    </row>
    <row r="132" spans="1:6" x14ac:dyDescent="0.35">
      <c r="A132" s="246"/>
      <c r="B132" t="str">
        <f>IF($B$48="N/A","","Room and Board Expense")</f>
        <v>Room and Board Expense</v>
      </c>
      <c r="D132" s="240">
        <f>'Adjusted Schedule 3'!O63</f>
        <v>106694.97208810414</v>
      </c>
      <c r="E132" s="240">
        <f>'As-Filed Schedule 3'!O62</f>
        <v>106694.97208810414</v>
      </c>
      <c r="F132" s="240">
        <f t="shared" si="19"/>
        <v>0</v>
      </c>
    </row>
    <row r="133" spans="1:6" x14ac:dyDescent="0.35">
      <c r="A133" s="246"/>
      <c r="B133" t="str">
        <f>IF($B$48="N/A","","Services Expense")</f>
        <v>Services Expense</v>
      </c>
      <c r="D133" s="247">
        <f>'Adjusted Schedule 3'!Q63</f>
        <v>1007606.9405841327</v>
      </c>
      <c r="E133" s="247">
        <f>'As-Filed Schedule 3'!Q62</f>
        <v>1007606.9405841327</v>
      </c>
      <c r="F133" s="247">
        <f>IF(E133="","",D133-E133)</f>
        <v>0</v>
      </c>
    </row>
    <row r="134" spans="1:6" s="1" customFormat="1" x14ac:dyDescent="0.35">
      <c r="A134" s="246"/>
      <c r="B134" s="1" t="str">
        <f>IF($B$48="N/A","","Facility Total Cost Per Day")</f>
        <v>Facility Total Cost Per Day</v>
      </c>
      <c r="D134" s="243">
        <f>'Adjusted Schedule 3'!N63</f>
        <v>459.50594336999455</v>
      </c>
      <c r="E134" s="243">
        <f>'As-Filed Schedule 3'!N62</f>
        <v>459.50594336999455</v>
      </c>
      <c r="F134" s="243">
        <f t="shared" ref="F134:F136" si="20">IF(E134="","",D134-E134)</f>
        <v>0</v>
      </c>
    </row>
    <row r="135" spans="1:6" x14ac:dyDescent="0.35">
      <c r="A135" s="246"/>
      <c r="B135" t="str">
        <f>IF($B$48="N/A","","Room and Board Cost Per Day")</f>
        <v>Room and Board Cost Per Day</v>
      </c>
      <c r="D135" s="245">
        <f>'Adjusted Schedule 3'!P63</f>
        <v>43.997926634269753</v>
      </c>
      <c r="E135" s="245">
        <f>'As-Filed Schedule 3'!P62</f>
        <v>43.997926634269753</v>
      </c>
      <c r="F135" s="245">
        <f t="shared" si="20"/>
        <v>0</v>
      </c>
    </row>
    <row r="136" spans="1:6" x14ac:dyDescent="0.35">
      <c r="A136" s="246"/>
      <c r="B136" t="str">
        <f>IF($B$48="N/A","","Services Cost Per Day")</f>
        <v>Services Cost Per Day</v>
      </c>
      <c r="D136" s="245">
        <f>'Adjusted Schedule 3'!R63</f>
        <v>415.50801673572482</v>
      </c>
      <c r="E136" s="245">
        <f>'As-Filed Schedule 3'!R62</f>
        <v>415.50801673572482</v>
      </c>
      <c r="F136" s="245">
        <f t="shared" si="20"/>
        <v>0</v>
      </c>
    </row>
    <row r="137" spans="1:6" x14ac:dyDescent="0.35">
      <c r="A137" s="246"/>
    </row>
    <row r="138" spans="1:6" x14ac:dyDescent="0.35">
      <c r="A138" s="246" t="s">
        <v>533</v>
      </c>
      <c r="B138" s="528" t="str">
        <f>'Adjusted Schedule 3'!B68:C68</f>
        <v>400-670-Miller House</v>
      </c>
      <c r="C138" s="528"/>
    </row>
    <row r="139" spans="1:6" x14ac:dyDescent="0.35">
      <c r="A139" s="246"/>
      <c r="B139" t="str">
        <f>IF($B$48="N/A","","Census Days")</f>
        <v>Census Days</v>
      </c>
      <c r="D139" s="13">
        <f>'Adjusted Schedule 3'!K68</f>
        <v>2388</v>
      </c>
      <c r="E139" s="13">
        <f>'As-Filed Schedule 3'!K67</f>
        <v>2388</v>
      </c>
      <c r="F139" s="13">
        <f>D139-E139</f>
        <v>0</v>
      </c>
    </row>
    <row r="140" spans="1:6" x14ac:dyDescent="0.35">
      <c r="A140" s="246"/>
      <c r="B140" t="str">
        <f>IF($B$48="N/A","","Total Expense")</f>
        <v>Total Expense</v>
      </c>
      <c r="D140" s="240">
        <f>'Adjusted Schedule 3'!M68</f>
        <v>841932.28507519246</v>
      </c>
      <c r="E140" s="240">
        <f>'As-Filed Schedule 3'!M67</f>
        <v>841932.28507519246</v>
      </c>
      <c r="F140" s="240">
        <f t="shared" ref="F140:F141" si="21">D140-E140</f>
        <v>0</v>
      </c>
    </row>
    <row r="141" spans="1:6" x14ac:dyDescent="0.35">
      <c r="A141" s="246"/>
      <c r="B141" t="str">
        <f>IF($B$48="N/A","","Room and Board Expense")</f>
        <v>Room and Board Expense</v>
      </c>
      <c r="D141" s="240">
        <f>'Adjusted Schedule 3'!O68</f>
        <v>112513.63253184987</v>
      </c>
      <c r="E141" s="240">
        <f>'As-Filed Schedule 3'!O67</f>
        <v>112513.63253184987</v>
      </c>
      <c r="F141" s="240">
        <f t="shared" si="21"/>
        <v>0</v>
      </c>
    </row>
    <row r="142" spans="1:6" x14ac:dyDescent="0.35">
      <c r="A142" s="246"/>
      <c r="B142" t="str">
        <f>IF($B$48="N/A","","Services Expense")</f>
        <v>Services Expense</v>
      </c>
      <c r="D142" s="247">
        <f>'Adjusted Schedule 3'!Q68</f>
        <v>729418.65254334256</v>
      </c>
      <c r="E142" s="247">
        <f>'As-Filed Schedule 3'!Q67</f>
        <v>729418.65254334256</v>
      </c>
      <c r="F142" s="247">
        <f>IF(E142="","",D142-E142)</f>
        <v>0</v>
      </c>
    </row>
    <row r="143" spans="1:6" s="1" customFormat="1" x14ac:dyDescent="0.35">
      <c r="A143" s="246"/>
      <c r="B143" s="1" t="str">
        <f>IF($B$48="N/A","","Facility Total Cost Per Day")</f>
        <v>Facility Total Cost Per Day</v>
      </c>
      <c r="D143" s="243">
        <f>'Adjusted Schedule 3'!N68</f>
        <v>352.56795857420121</v>
      </c>
      <c r="E143" s="243">
        <f>'As-Filed Schedule 3'!N67</f>
        <v>352.56795857420121</v>
      </c>
      <c r="F143" s="243">
        <f t="shared" ref="F143:F145" si="22">IF(E143="","",D143-E143)</f>
        <v>0</v>
      </c>
    </row>
    <row r="144" spans="1:6" x14ac:dyDescent="0.35">
      <c r="A144" s="246"/>
      <c r="B144" t="str">
        <f>IF($B$48="N/A","","Room and Board Cost Per Day")</f>
        <v>Room and Board Cost Per Day</v>
      </c>
      <c r="D144" s="245">
        <f>'Adjusted Schedule 3'!P68</f>
        <v>47.116261529250366</v>
      </c>
      <c r="E144" s="245">
        <f>'As-Filed Schedule 3'!P67</f>
        <v>47.116261529250366</v>
      </c>
      <c r="F144" s="245">
        <f t="shared" si="22"/>
        <v>0</v>
      </c>
    </row>
    <row r="145" spans="1:6" x14ac:dyDescent="0.35">
      <c r="A145" s="246"/>
      <c r="B145" t="str">
        <f>IF($B$48="N/A","","Services Cost Per Day")</f>
        <v>Services Cost Per Day</v>
      </c>
      <c r="D145" s="245">
        <f>'Adjusted Schedule 3'!R68</f>
        <v>305.45169704495083</v>
      </c>
      <c r="E145" s="245">
        <f>'As-Filed Schedule 3'!R67</f>
        <v>305.45169704495083</v>
      </c>
      <c r="F145" s="245">
        <f t="shared" si="22"/>
        <v>0</v>
      </c>
    </row>
    <row r="146" spans="1:6" x14ac:dyDescent="0.35">
      <c r="A146" s="246"/>
    </row>
    <row r="147" spans="1:6" x14ac:dyDescent="0.35">
      <c r="A147" s="246" t="s">
        <v>534</v>
      </c>
      <c r="B147" s="528" t="str">
        <f>'Adjusted Schedule 3'!B73:C73</f>
        <v xml:space="preserve"> 400-672-Grant House</v>
      </c>
      <c r="C147" s="528"/>
    </row>
    <row r="148" spans="1:6" x14ac:dyDescent="0.35">
      <c r="A148" s="246"/>
      <c r="B148" t="str">
        <f>IF($B$48="N/A","","Census Days")</f>
        <v>Census Days</v>
      </c>
      <c r="D148" s="13">
        <f>'Adjusted Schedule 3'!K73</f>
        <v>3162</v>
      </c>
      <c r="E148" s="13">
        <f>'As-Filed Schedule 3'!K72</f>
        <v>3162</v>
      </c>
      <c r="F148" s="13">
        <f>D148-E148</f>
        <v>0</v>
      </c>
    </row>
    <row r="149" spans="1:6" x14ac:dyDescent="0.35">
      <c r="A149" s="246"/>
      <c r="B149" t="str">
        <f>IF($B$48="N/A","","Total Expense")</f>
        <v>Total Expense</v>
      </c>
      <c r="D149" s="240">
        <f>'Adjusted Schedule 3'!M73</f>
        <v>1042920.1595276883</v>
      </c>
      <c r="E149" s="240">
        <f>'As-Filed Schedule 3'!M72</f>
        <v>1042920.1595276883</v>
      </c>
      <c r="F149" s="240">
        <f t="shared" ref="F149:F150" si="23">D149-E149</f>
        <v>0</v>
      </c>
    </row>
    <row r="150" spans="1:6" x14ac:dyDescent="0.35">
      <c r="A150" s="246"/>
      <c r="B150" t="str">
        <f>IF($B$48="N/A","","Room and Board Expense")</f>
        <v>Room and Board Expense</v>
      </c>
      <c r="D150" s="240">
        <f>'Adjusted Schedule 3'!O73</f>
        <v>181963.3767863416</v>
      </c>
      <c r="E150" s="240">
        <f>'As-Filed Schedule 3'!O72</f>
        <v>181963.3767863416</v>
      </c>
      <c r="F150" s="240">
        <f t="shared" si="23"/>
        <v>0</v>
      </c>
    </row>
    <row r="151" spans="1:6" x14ac:dyDescent="0.35">
      <c r="A151" s="246"/>
      <c r="B151" t="str">
        <f>IF($B$48="N/A","","Services Expense")</f>
        <v>Services Expense</v>
      </c>
      <c r="D151" s="247">
        <f>'Adjusted Schedule 3'!Q73</f>
        <v>860956.78274134663</v>
      </c>
      <c r="E151" s="247">
        <f>'As-Filed Schedule 3'!Q72</f>
        <v>860956.78274134663</v>
      </c>
      <c r="F151" s="247">
        <f>IF(E151="","",D151-E151)</f>
        <v>0</v>
      </c>
    </row>
    <row r="152" spans="1:6" s="1" customFormat="1" x14ac:dyDescent="0.35">
      <c r="A152" s="246"/>
      <c r="B152" s="1" t="str">
        <f>IF($B$48="N/A","","Facility Total Cost Per Day")</f>
        <v>Facility Total Cost Per Day</v>
      </c>
      <c r="D152" s="243">
        <f>'Adjusted Schedule 3'!N73</f>
        <v>329.8292724628995</v>
      </c>
      <c r="E152" s="243">
        <f>'As-Filed Schedule 3'!N72</f>
        <v>329.8292724628995</v>
      </c>
      <c r="F152" s="243">
        <f t="shared" ref="F152:F154" si="24">IF(E152="","",D152-E152)</f>
        <v>0</v>
      </c>
    </row>
    <row r="153" spans="1:6" x14ac:dyDescent="0.35">
      <c r="A153" s="246"/>
      <c r="B153" t="str">
        <f>IF($B$48="N/A","","Room and Board Cost Per Day")</f>
        <v>Room and Board Cost Per Day</v>
      </c>
      <c r="D153" s="245">
        <f>'Adjusted Schedule 3'!P73</f>
        <v>57.546924979867676</v>
      </c>
      <c r="E153" s="245">
        <f>'As-Filed Schedule 3'!P72</f>
        <v>57.546924979867676</v>
      </c>
      <c r="F153" s="245">
        <f t="shared" si="24"/>
        <v>0</v>
      </c>
    </row>
    <row r="154" spans="1:6" x14ac:dyDescent="0.35">
      <c r="A154" s="246"/>
      <c r="B154" t="str">
        <f>IF($B$48="N/A","","Services Cost Per Day")</f>
        <v>Services Cost Per Day</v>
      </c>
      <c r="D154" s="245">
        <f>'Adjusted Schedule 3'!R73</f>
        <v>272.2823474830318</v>
      </c>
      <c r="E154" s="245">
        <f>'As-Filed Schedule 3'!R72</f>
        <v>272.2823474830318</v>
      </c>
      <c r="F154" s="245">
        <f t="shared" si="24"/>
        <v>0</v>
      </c>
    </row>
    <row r="155" spans="1:6" x14ac:dyDescent="0.35">
      <c r="A155" s="246"/>
    </row>
    <row r="156" spans="1:6" x14ac:dyDescent="0.35">
      <c r="A156" s="246" t="s">
        <v>535</v>
      </c>
      <c r="B156" s="528" t="str">
        <f>'Adjusted Schedule 3'!B78:C78</f>
        <v>400-673-Garfield Apartments</v>
      </c>
      <c r="C156" s="528"/>
    </row>
    <row r="157" spans="1:6" x14ac:dyDescent="0.35">
      <c r="A157" s="246"/>
      <c r="B157" t="str">
        <f>IF($B$48="N/A","","Census Days")</f>
        <v>Census Days</v>
      </c>
      <c r="D157" s="13">
        <f>'Adjusted Schedule 3'!K78</f>
        <v>0</v>
      </c>
      <c r="E157" s="13">
        <f>'As-Filed Schedule 3'!K77</f>
        <v>0</v>
      </c>
      <c r="F157" s="13">
        <f>D157-E157</f>
        <v>0</v>
      </c>
    </row>
    <row r="158" spans="1:6" x14ac:dyDescent="0.35">
      <c r="A158" s="246"/>
      <c r="B158" t="str">
        <f>IF($B$48="N/A","","Total Expense")</f>
        <v>Total Expense</v>
      </c>
      <c r="D158" s="240">
        <f>'Adjusted Schedule 3'!M78</f>
        <v>242820.01644591751</v>
      </c>
      <c r="E158" s="240">
        <f>'As-Filed Schedule 3'!M77</f>
        <v>242820.01644591751</v>
      </c>
      <c r="F158" s="240">
        <f t="shared" ref="F158:F159" si="25">D158-E158</f>
        <v>0</v>
      </c>
    </row>
    <row r="159" spans="1:6" x14ac:dyDescent="0.35">
      <c r="A159" s="246"/>
      <c r="B159" t="str">
        <f>IF($B$48="N/A","","Room and Board Expense")</f>
        <v>Room and Board Expense</v>
      </c>
      <c r="D159" s="240">
        <f>'Adjusted Schedule 3'!O78</f>
        <v>0</v>
      </c>
      <c r="E159" s="240">
        <f>'As-Filed Schedule 3'!O77</f>
        <v>0</v>
      </c>
      <c r="F159" s="240">
        <f t="shared" si="25"/>
        <v>0</v>
      </c>
    </row>
    <row r="160" spans="1:6" x14ac:dyDescent="0.35">
      <c r="A160" s="246"/>
      <c r="B160" t="str">
        <f>IF($B$48="N/A","","Services Expense")</f>
        <v>Services Expense</v>
      </c>
      <c r="D160" s="247">
        <f>'Adjusted Schedule 3'!Q78</f>
        <v>242820.01644591751</v>
      </c>
      <c r="E160" s="247">
        <f>'As-Filed Schedule 3'!Q77</f>
        <v>242820.01644591751</v>
      </c>
      <c r="F160" s="247">
        <f>IF(E160="","",D160-E160)</f>
        <v>0</v>
      </c>
    </row>
    <row r="161" spans="1:6" s="1" customFormat="1" x14ac:dyDescent="0.35">
      <c r="A161" s="246"/>
      <c r="B161" s="1" t="str">
        <f>IF($B$48="N/A","","Facility Total Cost Per Day")</f>
        <v>Facility Total Cost Per Day</v>
      </c>
      <c r="D161" s="243" t="str">
        <f>'Adjusted Schedule 3'!N78</f>
        <v/>
      </c>
      <c r="E161" s="243" t="str">
        <f>'As-Filed Schedule 3'!N77</f>
        <v/>
      </c>
      <c r="F161" s="243" t="str">
        <f t="shared" ref="F161:F163" si="26">IF(E161="","",D161-E161)</f>
        <v/>
      </c>
    </row>
    <row r="162" spans="1:6" x14ac:dyDescent="0.35">
      <c r="A162" s="246"/>
      <c r="B162" t="str">
        <f>IF($B$48="N/A","","Room and Board Cost Per Day")</f>
        <v>Room and Board Cost Per Day</v>
      </c>
      <c r="D162" s="245" t="str">
        <f>'Adjusted Schedule 3'!P78</f>
        <v/>
      </c>
      <c r="E162" s="245" t="str">
        <f>'As-Filed Schedule 3'!P77</f>
        <v/>
      </c>
      <c r="F162" s="245" t="str">
        <f t="shared" si="26"/>
        <v/>
      </c>
    </row>
    <row r="163" spans="1:6" x14ac:dyDescent="0.35">
      <c r="A163" s="246"/>
      <c r="B163" t="str">
        <f>IF($B$48="N/A","","Services Cost Per Day")</f>
        <v>Services Cost Per Day</v>
      </c>
      <c r="D163" s="245" t="str">
        <f>'Adjusted Schedule 3'!R78</f>
        <v/>
      </c>
      <c r="E163" s="245" t="str">
        <f>'As-Filed Schedule 3'!R77</f>
        <v/>
      </c>
      <c r="F163" s="245" t="str">
        <f t="shared" si="26"/>
        <v/>
      </c>
    </row>
    <row r="164" spans="1:6" x14ac:dyDescent="0.35">
      <c r="A164" s="246"/>
    </row>
    <row r="165" spans="1:6" x14ac:dyDescent="0.35">
      <c r="A165" s="246" t="s">
        <v>536</v>
      </c>
      <c r="B165" s="528" t="str">
        <f>'Adjusted Schedule 3'!B83:C83</f>
        <v xml:space="preserve"> 400-674-Vine Apartments</v>
      </c>
      <c r="C165" s="528"/>
    </row>
    <row r="166" spans="1:6" x14ac:dyDescent="0.35">
      <c r="A166" s="246"/>
      <c r="B166" t="str">
        <f>IF($B$48="N/A","","Census Days")</f>
        <v>Census Days</v>
      </c>
      <c r="D166" s="13">
        <f>'Adjusted Schedule 3'!K83</f>
        <v>0</v>
      </c>
      <c r="E166" s="13">
        <f>'As-Filed Schedule 3'!K82</f>
        <v>0</v>
      </c>
      <c r="F166" s="13">
        <f>D166-E166</f>
        <v>0</v>
      </c>
    </row>
    <row r="167" spans="1:6" x14ac:dyDescent="0.35">
      <c r="A167" s="246"/>
      <c r="B167" t="str">
        <f>IF($B$48="N/A","","Total Expense")</f>
        <v>Total Expense</v>
      </c>
      <c r="D167" s="240">
        <f>'Adjusted Schedule 3'!M83</f>
        <v>108935.4</v>
      </c>
      <c r="E167" s="240">
        <f>'As-Filed Schedule 3'!M82</f>
        <v>108935.4</v>
      </c>
      <c r="F167" s="240">
        <f t="shared" ref="F167:F168" si="27">D167-E167</f>
        <v>0</v>
      </c>
    </row>
    <row r="168" spans="1:6" x14ac:dyDescent="0.35">
      <c r="A168" s="246"/>
      <c r="B168" t="str">
        <f>IF($B$48="N/A","","Room and Board Expense")</f>
        <v>Room and Board Expense</v>
      </c>
      <c r="D168" s="240">
        <f>'Adjusted Schedule 3'!O83</f>
        <v>0</v>
      </c>
      <c r="E168" s="240">
        <f>'As-Filed Schedule 3'!O82</f>
        <v>0</v>
      </c>
      <c r="F168" s="240">
        <f t="shared" si="27"/>
        <v>0</v>
      </c>
    </row>
    <row r="169" spans="1:6" x14ac:dyDescent="0.35">
      <c r="A169" s="246"/>
      <c r="B169" t="str">
        <f>IF($B$48="N/A","","Services Expense")</f>
        <v>Services Expense</v>
      </c>
      <c r="D169" s="247">
        <f>'Adjusted Schedule 3'!Q83</f>
        <v>108935.4</v>
      </c>
      <c r="E169" s="247">
        <f>'As-Filed Schedule 3'!Q82</f>
        <v>108935.4</v>
      </c>
      <c r="F169" s="247">
        <f>IF(E169="","",D169-E169)</f>
        <v>0</v>
      </c>
    </row>
    <row r="170" spans="1:6" s="1" customFormat="1" x14ac:dyDescent="0.35">
      <c r="A170" s="246"/>
      <c r="B170" s="1" t="str">
        <f>IF($B$48="N/A","","Facility Total Cost Per Day")</f>
        <v>Facility Total Cost Per Day</v>
      </c>
      <c r="D170" s="243" t="str">
        <f>'Adjusted Schedule 3'!N83</f>
        <v/>
      </c>
      <c r="E170" s="243" t="str">
        <f>'As-Filed Schedule 3'!N82</f>
        <v/>
      </c>
      <c r="F170" s="243" t="str">
        <f t="shared" ref="F170:F172" si="28">IF(E170="","",D170-E170)</f>
        <v/>
      </c>
    </row>
    <row r="171" spans="1:6" x14ac:dyDescent="0.35">
      <c r="A171" s="246"/>
      <c r="B171" t="str">
        <f>IF($B$48="N/A","","Room and Board Cost Per Day")</f>
        <v>Room and Board Cost Per Day</v>
      </c>
      <c r="D171" s="245" t="str">
        <f>'Adjusted Schedule 3'!P83</f>
        <v/>
      </c>
      <c r="E171" s="245" t="str">
        <f>'As-Filed Schedule 3'!P82</f>
        <v/>
      </c>
      <c r="F171" s="245" t="str">
        <f t="shared" si="28"/>
        <v/>
      </c>
    </row>
    <row r="172" spans="1:6" x14ac:dyDescent="0.35">
      <c r="A172" s="246"/>
      <c r="B172" t="str">
        <f>IF($B$48="N/A","","Services Cost Per Day")</f>
        <v>Services Cost Per Day</v>
      </c>
      <c r="D172" s="245" t="str">
        <f>'Adjusted Schedule 3'!R83</f>
        <v/>
      </c>
      <c r="E172" s="245" t="str">
        <f>'As-Filed Schedule 3'!R82</f>
        <v/>
      </c>
      <c r="F172" s="245" t="str">
        <f t="shared" si="28"/>
        <v/>
      </c>
    </row>
    <row r="173" spans="1:6" x14ac:dyDescent="0.35">
      <c r="A173" s="246"/>
    </row>
    <row r="174" spans="1:6" x14ac:dyDescent="0.35">
      <c r="A174" s="246" t="s">
        <v>537</v>
      </c>
      <c r="B174" s="528" t="str">
        <f>'Adjusted Schedule 3'!B88:C88</f>
        <v xml:space="preserve"> 400-682-Narcissus House</v>
      </c>
      <c r="C174" s="528"/>
    </row>
    <row r="175" spans="1:6" x14ac:dyDescent="0.35">
      <c r="A175" s="246"/>
      <c r="B175" t="str">
        <f>IF($B$48="N/A","","Census Days")</f>
        <v>Census Days</v>
      </c>
      <c r="D175" s="13">
        <f>'Adjusted Schedule 3'!K88</f>
        <v>2022</v>
      </c>
      <c r="E175" s="13">
        <f>'As-Filed Schedule 3'!K87</f>
        <v>2022</v>
      </c>
      <c r="F175" s="13">
        <f>D175-E175</f>
        <v>0</v>
      </c>
    </row>
    <row r="176" spans="1:6" x14ac:dyDescent="0.35">
      <c r="A176" s="246"/>
      <c r="B176" t="str">
        <f>IF($B$48="N/A","","Total Expense")</f>
        <v>Total Expense</v>
      </c>
      <c r="D176" s="240">
        <f>'Adjusted Schedule 3'!M88</f>
        <v>695206.86879630492</v>
      </c>
      <c r="E176" s="240">
        <f>'As-Filed Schedule 3'!M87</f>
        <v>695206.86879630492</v>
      </c>
      <c r="F176" s="240">
        <f t="shared" ref="F176:F177" si="29">D176-E176</f>
        <v>0</v>
      </c>
    </row>
    <row r="177" spans="1:6" x14ac:dyDescent="0.35">
      <c r="A177" s="246"/>
      <c r="B177" t="str">
        <f>IF($B$48="N/A","","Room and Board Expense")</f>
        <v>Room and Board Expense</v>
      </c>
      <c r="D177" s="240">
        <f>'Adjusted Schedule 3'!O88</f>
        <v>98068.57660649193</v>
      </c>
      <c r="E177" s="240">
        <f>'As-Filed Schedule 3'!O87</f>
        <v>98068.57660649193</v>
      </c>
      <c r="F177" s="240">
        <f t="shared" si="29"/>
        <v>0</v>
      </c>
    </row>
    <row r="178" spans="1:6" x14ac:dyDescent="0.35">
      <c r="A178" s="246"/>
      <c r="B178" t="str">
        <f>IF($B$48="N/A","","Services Expense")</f>
        <v>Services Expense</v>
      </c>
      <c r="D178" s="247">
        <f>'Adjusted Schedule 3'!Q88</f>
        <v>597138.29218981299</v>
      </c>
      <c r="E178" s="247">
        <f>'As-Filed Schedule 3'!Q87</f>
        <v>597138.29218981299</v>
      </c>
      <c r="F178" s="247">
        <f>IF(E178="","",D178-E178)</f>
        <v>0</v>
      </c>
    </row>
    <row r="179" spans="1:6" s="1" customFormat="1" x14ac:dyDescent="0.35">
      <c r="A179" s="246"/>
      <c r="B179" s="1" t="str">
        <f>IF($B$48="N/A","","Facility Total Cost Per Day")</f>
        <v>Facility Total Cost Per Day</v>
      </c>
      <c r="D179" s="243">
        <f>'Adjusted Schedule 3'!N88</f>
        <v>343.82139900905287</v>
      </c>
      <c r="E179" s="243">
        <f>'As-Filed Schedule 3'!N87</f>
        <v>343.82139900905287</v>
      </c>
      <c r="F179" s="243">
        <f t="shared" ref="F179:F181" si="30">IF(E179="","",D179-E179)</f>
        <v>0</v>
      </c>
    </row>
    <row r="180" spans="1:6" x14ac:dyDescent="0.35">
      <c r="A180" s="246"/>
      <c r="B180" t="str">
        <f>IF($B$48="N/A","","Room and Board Cost Per Day")</f>
        <v>Room and Board Cost Per Day</v>
      </c>
      <c r="D180" s="245">
        <f>'Adjusted Schedule 3'!P88</f>
        <v>48.500779726257136</v>
      </c>
      <c r="E180" s="245">
        <f>'As-Filed Schedule 3'!P87</f>
        <v>48.500779726257136</v>
      </c>
      <c r="F180" s="245">
        <f t="shared" si="30"/>
        <v>0</v>
      </c>
    </row>
    <row r="181" spans="1:6" x14ac:dyDescent="0.35">
      <c r="A181" s="246"/>
      <c r="B181" t="str">
        <f>IF($B$48="N/A","","Services Cost Per Day")</f>
        <v>Services Cost Per Day</v>
      </c>
      <c r="D181" s="245">
        <f>'Adjusted Schedule 3'!R88</f>
        <v>295.32061928279575</v>
      </c>
      <c r="E181" s="245">
        <f>'As-Filed Schedule 3'!R87</f>
        <v>295.32061928279575</v>
      </c>
      <c r="F181" s="245">
        <f t="shared" si="30"/>
        <v>0</v>
      </c>
    </row>
    <row r="182" spans="1:6" x14ac:dyDescent="0.35">
      <c r="A182" s="246"/>
    </row>
    <row r="183" spans="1:6" x14ac:dyDescent="0.35">
      <c r="A183" s="246" t="s">
        <v>538</v>
      </c>
      <c r="B183" s="528" t="str">
        <f>'Adjusted Schedule 3'!B93:C93</f>
        <v>400-684-Roanoke Apartments</v>
      </c>
      <c r="C183" s="528"/>
    </row>
    <row r="184" spans="1:6" x14ac:dyDescent="0.35">
      <c r="A184" s="246"/>
      <c r="B184" t="str">
        <f>IF($B$48="N/A","","Census Days")</f>
        <v>Census Days</v>
      </c>
      <c r="D184" s="13">
        <f>'Adjusted Schedule 3'!K93</f>
        <v>0</v>
      </c>
      <c r="E184" s="13">
        <f>'As-Filed Schedule 3'!K92</f>
        <v>0</v>
      </c>
      <c r="F184" s="13">
        <f>D184-E184</f>
        <v>0</v>
      </c>
    </row>
    <row r="185" spans="1:6" x14ac:dyDescent="0.35">
      <c r="A185" s="246"/>
      <c r="B185" t="str">
        <f>IF($B$48="N/A","","Total Expense")</f>
        <v>Total Expense</v>
      </c>
      <c r="D185" s="240">
        <f>'Adjusted Schedule 3'!M93</f>
        <v>102551.39999999998</v>
      </c>
      <c r="E185" s="240">
        <f>'As-Filed Schedule 3'!M92</f>
        <v>102551.39999999998</v>
      </c>
      <c r="F185" s="240">
        <f t="shared" ref="F185:F186" si="31">D185-E185</f>
        <v>0</v>
      </c>
    </row>
    <row r="186" spans="1:6" x14ac:dyDescent="0.35">
      <c r="A186" s="246"/>
      <c r="B186" t="str">
        <f>IF($B$48="N/A","","Room and Board Expense")</f>
        <v>Room and Board Expense</v>
      </c>
      <c r="D186" s="240">
        <f>'Adjusted Schedule 3'!O93</f>
        <v>0</v>
      </c>
      <c r="E186" s="240">
        <f>'As-Filed Schedule 3'!O92</f>
        <v>0</v>
      </c>
      <c r="F186" s="240">
        <f t="shared" si="31"/>
        <v>0</v>
      </c>
    </row>
    <row r="187" spans="1:6" x14ac:dyDescent="0.35">
      <c r="A187" s="246"/>
      <c r="B187" t="str">
        <f>IF($B$48="N/A","","Services Expense")</f>
        <v>Services Expense</v>
      </c>
      <c r="D187" s="247">
        <f>'Adjusted Schedule 3'!Q93</f>
        <v>102551.39999999998</v>
      </c>
      <c r="E187" s="247">
        <f>'As-Filed Schedule 3'!Q92</f>
        <v>102551.39999999998</v>
      </c>
      <c r="F187" s="247">
        <f>IF(E187="","",D187-E187)</f>
        <v>0</v>
      </c>
    </row>
    <row r="188" spans="1:6" s="1" customFormat="1" x14ac:dyDescent="0.35">
      <c r="A188" s="246"/>
      <c r="B188" s="1" t="str">
        <f>IF($B$48="N/A","","Facility Total Cost Per Day")</f>
        <v>Facility Total Cost Per Day</v>
      </c>
      <c r="D188" s="243" t="str">
        <f>'Adjusted Schedule 3'!N93</f>
        <v/>
      </c>
      <c r="E188" s="243" t="str">
        <f>'As-Filed Schedule 3'!N92</f>
        <v/>
      </c>
      <c r="F188" s="243" t="str">
        <f t="shared" ref="F188:F190" si="32">IF(E188="","",D188-E188)</f>
        <v/>
      </c>
    </row>
    <row r="189" spans="1:6" x14ac:dyDescent="0.35">
      <c r="A189" s="246"/>
      <c r="B189" t="str">
        <f>IF($B$48="N/A","","Room and Board Cost Per Day")</f>
        <v>Room and Board Cost Per Day</v>
      </c>
      <c r="D189" s="245" t="str">
        <f>'Adjusted Schedule 3'!P93</f>
        <v/>
      </c>
      <c r="E189" s="245" t="str">
        <f>'As-Filed Schedule 3'!P92</f>
        <v/>
      </c>
      <c r="F189" s="245" t="str">
        <f t="shared" si="32"/>
        <v/>
      </c>
    </row>
    <row r="190" spans="1:6" x14ac:dyDescent="0.35">
      <c r="A190" s="246"/>
      <c r="B190" t="str">
        <f>IF($B$48="N/A","","Services Cost Per Day")</f>
        <v>Services Cost Per Day</v>
      </c>
      <c r="D190" s="245" t="str">
        <f>'Adjusted Schedule 3'!R93</f>
        <v/>
      </c>
      <c r="E190" s="245" t="str">
        <f>'As-Filed Schedule 3'!R92</f>
        <v/>
      </c>
      <c r="F190" s="245" t="str">
        <f t="shared" si="32"/>
        <v/>
      </c>
    </row>
    <row r="191" spans="1:6" x14ac:dyDescent="0.35">
      <c r="A191" s="246"/>
    </row>
    <row r="192" spans="1:6" x14ac:dyDescent="0.35">
      <c r="A192" s="246" t="s">
        <v>539</v>
      </c>
      <c r="B192" s="528" t="str">
        <f>'Adjusted Schedule 3'!B98:C98</f>
        <v>400-685-Anchor Apartments</v>
      </c>
      <c r="C192" s="528"/>
    </row>
    <row r="193" spans="1:6" x14ac:dyDescent="0.35">
      <c r="A193" s="246"/>
      <c r="B193" t="str">
        <f>IF($B$48="N/A","","Census Days")</f>
        <v>Census Days</v>
      </c>
      <c r="D193" s="13">
        <f>'Adjusted Schedule 3'!K98</f>
        <v>0</v>
      </c>
      <c r="E193" s="13">
        <f>'As-Filed Schedule 3'!K97</f>
        <v>0</v>
      </c>
      <c r="F193" s="13">
        <f>D193-E193</f>
        <v>0</v>
      </c>
    </row>
    <row r="194" spans="1:6" x14ac:dyDescent="0.35">
      <c r="A194" s="246"/>
      <c r="B194" t="str">
        <f>IF($B$48="N/A","","Total Expense")</f>
        <v>Total Expense</v>
      </c>
      <c r="D194" s="240">
        <f>'Adjusted Schedule 3'!M98</f>
        <v>95335.49000000002</v>
      </c>
      <c r="E194" s="240">
        <f>'As-Filed Schedule 3'!M97</f>
        <v>95335.49000000002</v>
      </c>
      <c r="F194" s="240">
        <f t="shared" ref="F194:F195" si="33">D194-E194</f>
        <v>0</v>
      </c>
    </row>
    <row r="195" spans="1:6" x14ac:dyDescent="0.35">
      <c r="A195" s="246"/>
      <c r="B195" t="str">
        <f>IF($B$48="N/A","","Room and Board Expense")</f>
        <v>Room and Board Expense</v>
      </c>
      <c r="D195" s="240">
        <f>'Adjusted Schedule 3'!O98</f>
        <v>0</v>
      </c>
      <c r="E195" s="240">
        <f>'As-Filed Schedule 3'!O97</f>
        <v>0</v>
      </c>
      <c r="F195" s="240">
        <f t="shared" si="33"/>
        <v>0</v>
      </c>
    </row>
    <row r="196" spans="1:6" x14ac:dyDescent="0.35">
      <c r="A196" s="246"/>
      <c r="B196" t="str">
        <f>IF($B$48="N/A","","Services Expense")</f>
        <v>Services Expense</v>
      </c>
      <c r="D196" s="247">
        <f>'Adjusted Schedule 3'!Q98</f>
        <v>95335.49000000002</v>
      </c>
      <c r="E196" s="247">
        <f>'As-Filed Schedule 3'!Q97</f>
        <v>95335.49000000002</v>
      </c>
      <c r="F196" s="247">
        <f>IF(E196="","",D196-E196)</f>
        <v>0</v>
      </c>
    </row>
    <row r="197" spans="1:6" s="1" customFormat="1" x14ac:dyDescent="0.35">
      <c r="A197" s="246"/>
      <c r="B197" s="1" t="str">
        <f>IF($B$48="N/A","","Facility Total Cost Per Day")</f>
        <v>Facility Total Cost Per Day</v>
      </c>
      <c r="D197" s="243" t="str">
        <f>'Adjusted Schedule 3'!N98</f>
        <v/>
      </c>
      <c r="E197" s="243" t="str">
        <f>'As-Filed Schedule 3'!N97</f>
        <v/>
      </c>
      <c r="F197" s="243" t="str">
        <f t="shared" ref="F197:F199" si="34">IF(E197="","",D197-E197)</f>
        <v/>
      </c>
    </row>
    <row r="198" spans="1:6" x14ac:dyDescent="0.35">
      <c r="A198" s="246"/>
      <c r="B198" t="str">
        <f>IF($B$48="N/A","","Room and Board Cost Per Day")</f>
        <v>Room and Board Cost Per Day</v>
      </c>
      <c r="D198" s="245" t="str">
        <f>'Adjusted Schedule 3'!P98</f>
        <v/>
      </c>
      <c r="E198" s="245" t="str">
        <f>'As-Filed Schedule 3'!P97</f>
        <v/>
      </c>
      <c r="F198" s="245" t="str">
        <f t="shared" si="34"/>
        <v/>
      </c>
    </row>
    <row r="199" spans="1:6" x14ac:dyDescent="0.35">
      <c r="A199" s="246"/>
      <c r="B199" t="str">
        <f>IF($B$48="N/A","","Services Cost Per Day")</f>
        <v>Services Cost Per Day</v>
      </c>
      <c r="D199" s="245" t="str">
        <f>'Adjusted Schedule 3'!R98</f>
        <v/>
      </c>
      <c r="E199" s="245" t="str">
        <f>'As-Filed Schedule 3'!R97</f>
        <v/>
      </c>
      <c r="F199" s="245" t="str">
        <f t="shared" si="34"/>
        <v/>
      </c>
    </row>
    <row r="200" spans="1:6" x14ac:dyDescent="0.35">
      <c r="A200" s="246"/>
    </row>
    <row r="201" spans="1:6" x14ac:dyDescent="0.35">
      <c r="A201" s="246" t="s">
        <v>540</v>
      </c>
      <c r="B201" s="528" t="str">
        <f>'Adjusted Schedule 3'!B103:C103</f>
        <v>400-686-Humboldt Apartments</v>
      </c>
      <c r="C201" s="528"/>
    </row>
    <row r="202" spans="1:6" x14ac:dyDescent="0.35">
      <c r="A202" s="246"/>
      <c r="B202" t="str">
        <f>IF($B$48="N/A","","Census Days")</f>
        <v>Census Days</v>
      </c>
      <c r="D202" s="13">
        <f>'Adjusted Schedule 3'!K103</f>
        <v>0</v>
      </c>
      <c r="E202" s="13">
        <f>'As-Filed Schedule 3'!K102</f>
        <v>0</v>
      </c>
      <c r="F202" s="13">
        <f>D202-E202</f>
        <v>0</v>
      </c>
    </row>
    <row r="203" spans="1:6" x14ac:dyDescent="0.35">
      <c r="A203" s="246"/>
      <c r="B203" t="str">
        <f>IF($B$48="N/A","","Total Expense")</f>
        <v>Total Expense</v>
      </c>
      <c r="D203" s="240">
        <f>'Adjusted Schedule 3'!M103</f>
        <v>163334.32999999999</v>
      </c>
      <c r="E203" s="240">
        <f>'As-Filed Schedule 3'!M102</f>
        <v>163334.32999999999</v>
      </c>
      <c r="F203" s="240">
        <f t="shared" ref="F203:F204" si="35">D203-E203</f>
        <v>0</v>
      </c>
    </row>
    <row r="204" spans="1:6" x14ac:dyDescent="0.35">
      <c r="A204" s="246"/>
      <c r="B204" t="str">
        <f>IF($B$48="N/A","","Room and Board Expense")</f>
        <v>Room and Board Expense</v>
      </c>
      <c r="D204" s="240">
        <f>'Adjusted Schedule 3'!O103</f>
        <v>0</v>
      </c>
      <c r="E204" s="240">
        <f>'As-Filed Schedule 3'!O102</f>
        <v>0</v>
      </c>
      <c r="F204" s="240">
        <f t="shared" si="35"/>
        <v>0</v>
      </c>
    </row>
    <row r="205" spans="1:6" x14ac:dyDescent="0.35">
      <c r="A205" s="246"/>
      <c r="B205" t="str">
        <f>IF($B$48="N/A","","Services Expense")</f>
        <v>Services Expense</v>
      </c>
      <c r="D205" s="247">
        <f>'Adjusted Schedule 3'!Q103</f>
        <v>163334.32999999999</v>
      </c>
      <c r="E205" s="247">
        <f>'As-Filed Schedule 3'!Q102</f>
        <v>163334.32999999999</v>
      </c>
      <c r="F205" s="247">
        <f>IF(E205="","",D205-E205)</f>
        <v>0</v>
      </c>
    </row>
    <row r="206" spans="1:6" s="1" customFormat="1" x14ac:dyDescent="0.35">
      <c r="A206" s="246"/>
      <c r="B206" s="1" t="str">
        <f>IF($B$48="N/A","","Facility Total Cost Per Day")</f>
        <v>Facility Total Cost Per Day</v>
      </c>
      <c r="D206" s="243" t="str">
        <f>'Adjusted Schedule 3'!N103</f>
        <v/>
      </c>
      <c r="E206" s="243" t="str">
        <f>'As-Filed Schedule 3'!N102</f>
        <v/>
      </c>
      <c r="F206" s="243" t="str">
        <f t="shared" ref="F206:F208" si="36">IF(E206="","",D206-E206)</f>
        <v/>
      </c>
    </row>
    <row r="207" spans="1:6" x14ac:dyDescent="0.35">
      <c r="A207" s="246"/>
      <c r="B207" t="str">
        <f>IF($B$48="N/A","","Room and Board Cost Per Day")</f>
        <v>Room and Board Cost Per Day</v>
      </c>
      <c r="D207" s="245" t="str">
        <f>'Adjusted Schedule 3'!P103</f>
        <v/>
      </c>
      <c r="E207" s="245" t="str">
        <f>'As-Filed Schedule 3'!P102</f>
        <v/>
      </c>
      <c r="F207" s="245" t="str">
        <f t="shared" si="36"/>
        <v/>
      </c>
    </row>
    <row r="208" spans="1:6" x14ac:dyDescent="0.35">
      <c r="A208" s="246"/>
      <c r="B208" t="str">
        <f>IF($B$48="N/A","","Services Cost Per Day")</f>
        <v>Services Cost Per Day</v>
      </c>
      <c r="D208" s="245" t="str">
        <f>'Adjusted Schedule 3'!R103</f>
        <v/>
      </c>
      <c r="E208" s="245" t="str">
        <f>'As-Filed Schedule 3'!R102</f>
        <v/>
      </c>
      <c r="F208" s="245" t="str">
        <f t="shared" si="36"/>
        <v/>
      </c>
    </row>
    <row r="209" spans="1:6" x14ac:dyDescent="0.35">
      <c r="A209" s="246"/>
    </row>
    <row r="210" spans="1:6" x14ac:dyDescent="0.35">
      <c r="A210" s="246" t="s">
        <v>541</v>
      </c>
      <c r="B210" s="528" t="str">
        <f>'Adjusted Schedule 3'!B108:C108</f>
        <v>400-690-Sanderson Apartments</v>
      </c>
      <c r="C210" s="528"/>
    </row>
    <row r="211" spans="1:6" x14ac:dyDescent="0.35">
      <c r="A211" s="246"/>
      <c r="B211" t="str">
        <f>IF($B$48="N/A","","Census Days")</f>
        <v>Census Days</v>
      </c>
      <c r="D211" s="13">
        <f>'Adjusted Schedule 3'!K108</f>
        <v>0</v>
      </c>
      <c r="E211" s="13">
        <f>'As-Filed Schedule 3'!K107</f>
        <v>0</v>
      </c>
      <c r="F211" s="13">
        <f>D211-E211</f>
        <v>0</v>
      </c>
    </row>
    <row r="212" spans="1:6" x14ac:dyDescent="0.35">
      <c r="A212" s="246"/>
      <c r="B212" t="str">
        <f>IF($B$48="N/A","","Total Expense")</f>
        <v>Total Expense</v>
      </c>
      <c r="D212" s="240">
        <f>'Adjusted Schedule 3'!M108</f>
        <v>1308457.9411448182</v>
      </c>
      <c r="E212" s="240">
        <f>'As-Filed Schedule 3'!M107</f>
        <v>1384511.9411448182</v>
      </c>
      <c r="F212" s="240">
        <f t="shared" ref="F212:F213" si="37">D212-E212</f>
        <v>-76054</v>
      </c>
    </row>
    <row r="213" spans="1:6" x14ac:dyDescent="0.35">
      <c r="A213" s="246"/>
      <c r="B213" t="str">
        <f>IF($B$48="N/A","","Room and Board Expense")</f>
        <v>Room and Board Expense</v>
      </c>
      <c r="D213" s="240">
        <f>'Adjusted Schedule 3'!O108</f>
        <v>0</v>
      </c>
      <c r="E213" s="240">
        <f>'As-Filed Schedule 3'!O107</f>
        <v>0</v>
      </c>
      <c r="F213" s="240">
        <f t="shared" si="37"/>
        <v>0</v>
      </c>
    </row>
    <row r="214" spans="1:6" x14ac:dyDescent="0.35">
      <c r="A214" s="246"/>
      <c r="B214" t="str">
        <f>IF($B$48="N/A","","Services Expense")</f>
        <v>Services Expense</v>
      </c>
      <c r="D214" s="247">
        <f>'Adjusted Schedule 3'!Q108</f>
        <v>1308457.9411448182</v>
      </c>
      <c r="E214" s="247">
        <f>'As-Filed Schedule 3'!Q107</f>
        <v>1384511.9411448182</v>
      </c>
      <c r="F214" s="247">
        <f>IF(E214="","",D214-E214)</f>
        <v>-76054</v>
      </c>
    </row>
    <row r="215" spans="1:6" s="1" customFormat="1" x14ac:dyDescent="0.35">
      <c r="A215" s="246"/>
      <c r="B215" s="1" t="str">
        <f>IF($B$48="N/A","","Facility Total Cost Per Day")</f>
        <v>Facility Total Cost Per Day</v>
      </c>
      <c r="D215" s="243" t="str">
        <f>'Adjusted Schedule 3'!N108</f>
        <v/>
      </c>
      <c r="E215" s="243" t="str">
        <f>'As-Filed Schedule 3'!N107</f>
        <v/>
      </c>
      <c r="F215" s="243" t="str">
        <f t="shared" ref="F215:F217" si="38">IF(E215="","",D215-E215)</f>
        <v/>
      </c>
    </row>
    <row r="216" spans="1:6" x14ac:dyDescent="0.35">
      <c r="A216" s="246"/>
      <c r="B216" t="str">
        <f>IF($B$48="N/A","","Room and Board Cost Per Day")</f>
        <v>Room and Board Cost Per Day</v>
      </c>
      <c r="D216" s="245" t="str">
        <f>'Adjusted Schedule 3'!P108</f>
        <v/>
      </c>
      <c r="E216" s="245" t="str">
        <f>'As-Filed Schedule 3'!P107</f>
        <v/>
      </c>
      <c r="F216" s="245" t="str">
        <f t="shared" si="38"/>
        <v/>
      </c>
    </row>
    <row r="217" spans="1:6" x14ac:dyDescent="0.35">
      <c r="A217" s="246"/>
      <c r="B217" t="str">
        <f>IF($B$48="N/A","","Services Cost Per Day")</f>
        <v>Services Cost Per Day</v>
      </c>
      <c r="D217" s="245" t="str">
        <f>'Adjusted Schedule 3'!R108</f>
        <v/>
      </c>
      <c r="E217" s="245" t="str">
        <f>'As-Filed Schedule 3'!R107</f>
        <v/>
      </c>
      <c r="F217" s="245" t="str">
        <f t="shared" si="38"/>
        <v/>
      </c>
    </row>
    <row r="218" spans="1:6" x14ac:dyDescent="0.35">
      <c r="A218" s="246"/>
    </row>
    <row r="219" spans="1:6" x14ac:dyDescent="0.35">
      <c r="A219" s="246" t="s">
        <v>542</v>
      </c>
      <c r="B219" s="528" t="str">
        <f>'Adjusted Schedule 3'!B113:C113</f>
        <v>400-699-Rental Assistance</v>
      </c>
      <c r="C219" s="528"/>
    </row>
    <row r="220" spans="1:6" x14ac:dyDescent="0.35">
      <c r="A220" s="246"/>
      <c r="B220" t="str">
        <f>IF($B$48="N/A","","Census Days")</f>
        <v>Census Days</v>
      </c>
      <c r="D220" s="13">
        <f>'Adjusted Schedule 3'!K113</f>
        <v>0</v>
      </c>
      <c r="E220" s="13">
        <f>'As-Filed Schedule 3'!K112</f>
        <v>0</v>
      </c>
      <c r="F220" s="13">
        <f>D220-E220</f>
        <v>0</v>
      </c>
    </row>
    <row r="221" spans="1:6" x14ac:dyDescent="0.35">
      <c r="A221" s="246"/>
      <c r="B221" t="str">
        <f>IF($B$48="N/A","","Total Expense")</f>
        <v>Total Expense</v>
      </c>
      <c r="D221" s="240">
        <f>'Adjusted Schedule 3'!M113</f>
        <v>2059085.3864190921</v>
      </c>
      <c r="E221" s="240">
        <f>'As-Filed Schedule 3'!M112</f>
        <v>2059085.3864190921</v>
      </c>
      <c r="F221" s="240">
        <f t="shared" ref="F221:F222" si="39">D221-E221</f>
        <v>0</v>
      </c>
    </row>
    <row r="222" spans="1:6" x14ac:dyDescent="0.35">
      <c r="A222" s="246"/>
      <c r="B222" t="str">
        <f>IF($B$48="N/A","","Room and Board Expense")</f>
        <v>Room and Board Expense</v>
      </c>
      <c r="D222" s="240">
        <f>'Adjusted Schedule 3'!O113</f>
        <v>0</v>
      </c>
      <c r="E222" s="240">
        <f>'As-Filed Schedule 3'!O112</f>
        <v>0</v>
      </c>
      <c r="F222" s="240">
        <f t="shared" si="39"/>
        <v>0</v>
      </c>
    </row>
    <row r="223" spans="1:6" x14ac:dyDescent="0.35">
      <c r="A223" s="246"/>
      <c r="B223" t="str">
        <f>IF($B$48="N/A","","Services Expense")</f>
        <v>Services Expense</v>
      </c>
      <c r="D223" s="247">
        <f>'Adjusted Schedule 3'!Q113</f>
        <v>2059085.3864190921</v>
      </c>
      <c r="E223" s="247">
        <f>'As-Filed Schedule 3'!Q112</f>
        <v>2059085.3864190921</v>
      </c>
      <c r="F223" s="247">
        <f>IF(E223="","",D223-E223)</f>
        <v>0</v>
      </c>
    </row>
    <row r="224" spans="1:6" s="1" customFormat="1" x14ac:dyDescent="0.35">
      <c r="A224" s="246"/>
      <c r="B224" s="1" t="str">
        <f>IF($B$48="N/A","","Facility Total Cost Per Day")</f>
        <v>Facility Total Cost Per Day</v>
      </c>
      <c r="D224" s="243" t="str">
        <f>'Adjusted Schedule 3'!N113</f>
        <v/>
      </c>
      <c r="E224" s="243" t="str">
        <f>'As-Filed Schedule 3'!N112</f>
        <v/>
      </c>
      <c r="F224" s="243" t="str">
        <f t="shared" ref="F224:F226" si="40">IF(E224="","",D224-E224)</f>
        <v/>
      </c>
    </row>
    <row r="225" spans="1:6" x14ac:dyDescent="0.35">
      <c r="A225" s="246"/>
      <c r="B225" t="str">
        <f>IF($B$48="N/A","","Room and Board Cost Per Day")</f>
        <v>Room and Board Cost Per Day</v>
      </c>
      <c r="D225" s="245" t="str">
        <f>'Adjusted Schedule 3'!P113</f>
        <v/>
      </c>
      <c r="E225" s="245" t="str">
        <f>'As-Filed Schedule 3'!P112</f>
        <v/>
      </c>
      <c r="F225" s="245" t="str">
        <f t="shared" si="40"/>
        <v/>
      </c>
    </row>
    <row r="226" spans="1:6" x14ac:dyDescent="0.35">
      <c r="A226" s="246"/>
      <c r="B226" t="str">
        <f>IF($B$48="N/A","","Services Cost Per Day")</f>
        <v>Services Cost Per Day</v>
      </c>
      <c r="D226" s="245" t="str">
        <f>'Adjusted Schedule 3'!R113</f>
        <v/>
      </c>
      <c r="E226" s="245" t="str">
        <f>'As-Filed Schedule 3'!R112</f>
        <v/>
      </c>
      <c r="F226" s="245" t="str">
        <f t="shared" si="40"/>
        <v/>
      </c>
    </row>
    <row r="227" spans="1:6" x14ac:dyDescent="0.35">
      <c r="A227" s="246"/>
    </row>
    <row r="228" spans="1:6" x14ac:dyDescent="0.35">
      <c r="A228" s="246" t="s">
        <v>543</v>
      </c>
      <c r="B228" s="528" t="str">
        <f>'Adjusted Schedule 3'!B118:C118</f>
        <v xml:space="preserve"> Sabin Group</v>
      </c>
      <c r="C228" s="528"/>
    </row>
    <row r="229" spans="1:6" x14ac:dyDescent="0.35">
      <c r="A229" s="246"/>
      <c r="B229" t="str">
        <f>IF($B$48="N/A","","Census Days")</f>
        <v>Census Days</v>
      </c>
      <c r="D229" s="13">
        <f>'Adjusted Schedule 3'!K118</f>
        <v>0</v>
      </c>
      <c r="E229" s="13">
        <f>'As-Filed Schedule 3'!K117</f>
        <v>0</v>
      </c>
      <c r="F229" s="13">
        <f>D229-E229</f>
        <v>0</v>
      </c>
    </row>
    <row r="230" spans="1:6" x14ac:dyDescent="0.35">
      <c r="A230" s="246"/>
      <c r="B230" t="str">
        <f>IF($B$48="N/A","","Total Expense")</f>
        <v>Total Expense</v>
      </c>
      <c r="D230" s="240">
        <f>'Adjusted Schedule 3'!M118</f>
        <v>1402944.4</v>
      </c>
      <c r="E230" s="240">
        <f>'As-Filed Schedule 3'!M117</f>
        <v>1402944.4</v>
      </c>
      <c r="F230" s="240">
        <f t="shared" ref="F230:F231" si="41">D230-E230</f>
        <v>0</v>
      </c>
    </row>
    <row r="231" spans="1:6" x14ac:dyDescent="0.35">
      <c r="A231" s="246"/>
      <c r="B231" t="str">
        <f>IF($B$48="N/A","","Room and Board Expense")</f>
        <v>Room and Board Expense</v>
      </c>
      <c r="D231" s="240">
        <f>'Adjusted Schedule 3'!O118</f>
        <v>0</v>
      </c>
      <c r="E231" s="240">
        <f>'As-Filed Schedule 3'!O117</f>
        <v>0</v>
      </c>
      <c r="F231" s="240">
        <f t="shared" si="41"/>
        <v>0</v>
      </c>
    </row>
    <row r="232" spans="1:6" x14ac:dyDescent="0.35">
      <c r="A232" s="246"/>
      <c r="B232" t="str">
        <f>IF($B$48="N/A","","Services Expense")</f>
        <v>Services Expense</v>
      </c>
      <c r="D232" s="247">
        <f>'Adjusted Schedule 3'!Q118</f>
        <v>1402944.4</v>
      </c>
      <c r="E232" s="247">
        <f>'As-Filed Schedule 3'!Q117</f>
        <v>1402944.4</v>
      </c>
      <c r="F232" s="247">
        <f>IF(E232="","",D232-E232)</f>
        <v>0</v>
      </c>
    </row>
    <row r="233" spans="1:6" s="1" customFormat="1" x14ac:dyDescent="0.35">
      <c r="A233" s="246"/>
      <c r="B233" s="1" t="str">
        <f>IF($B$48="N/A","","Facility Total Cost Per Day")</f>
        <v>Facility Total Cost Per Day</v>
      </c>
      <c r="D233" s="243" t="str">
        <f>'Adjusted Schedule 3'!N118</f>
        <v/>
      </c>
      <c r="E233" s="243" t="str">
        <f>'As-Filed Schedule 3'!N117</f>
        <v/>
      </c>
      <c r="F233" s="243" t="str">
        <f t="shared" ref="F233:F235" si="42">IF(E233="","",D233-E233)</f>
        <v/>
      </c>
    </row>
    <row r="234" spans="1:6" x14ac:dyDescent="0.35">
      <c r="A234" s="246"/>
      <c r="B234" t="str">
        <f>IF($B$48="N/A","","Room and Board Cost Per Day")</f>
        <v>Room and Board Cost Per Day</v>
      </c>
      <c r="D234" s="245" t="str">
        <f>'Adjusted Schedule 3'!P118</f>
        <v/>
      </c>
      <c r="E234" s="245" t="str">
        <f>'As-Filed Schedule 3'!P117</f>
        <v/>
      </c>
      <c r="F234" s="245" t="str">
        <f t="shared" si="42"/>
        <v/>
      </c>
    </row>
    <row r="235" spans="1:6" x14ac:dyDescent="0.35">
      <c r="A235" s="246"/>
      <c r="B235" t="str">
        <f>IF($B$48="N/A","","Services Cost Per Day")</f>
        <v>Services Cost Per Day</v>
      </c>
      <c r="D235" s="245" t="str">
        <f>'Adjusted Schedule 3'!R118</f>
        <v/>
      </c>
      <c r="E235" s="245" t="str">
        <f>'As-Filed Schedule 3'!R117</f>
        <v/>
      </c>
      <c r="F235" s="245" t="str">
        <f t="shared" si="42"/>
        <v/>
      </c>
    </row>
    <row r="236" spans="1:6" x14ac:dyDescent="0.35">
      <c r="A236" s="246"/>
    </row>
    <row r="237" spans="1:6" x14ac:dyDescent="0.35">
      <c r="A237" s="246" t="s">
        <v>544</v>
      </c>
      <c r="B237" s="528" t="str">
        <f>'Adjusted Schedule 3'!B123:C123</f>
        <v>Sanderson LLC-Sanderson Apartments</v>
      </c>
      <c r="C237" s="528"/>
    </row>
    <row r="238" spans="1:6" x14ac:dyDescent="0.35">
      <c r="A238" s="246"/>
      <c r="B238" t="str">
        <f>IF($B$48="N/A","","Census Days")</f>
        <v>Census Days</v>
      </c>
      <c r="D238" s="13">
        <f>'Adjusted Schedule 3'!K123</f>
        <v>0</v>
      </c>
      <c r="E238" s="13">
        <f>'As-Filed Schedule 3'!K122</f>
        <v>0</v>
      </c>
      <c r="F238" s="13">
        <f>D238-E238</f>
        <v>0</v>
      </c>
    </row>
    <row r="239" spans="1:6" x14ac:dyDescent="0.35">
      <c r="A239" s="246"/>
      <c r="B239" t="str">
        <f>IF($B$48="N/A","","Total Expense")</f>
        <v>Total Expense</v>
      </c>
      <c r="D239" s="240">
        <f>'Adjusted Schedule 3'!M123</f>
        <v>1093347.5</v>
      </c>
      <c r="E239" s="240">
        <f>'As-Filed Schedule 3'!M122</f>
        <v>1093347.5</v>
      </c>
      <c r="F239" s="240">
        <f t="shared" ref="F239:F240" si="43">D239-E239</f>
        <v>0</v>
      </c>
    </row>
    <row r="240" spans="1:6" x14ac:dyDescent="0.35">
      <c r="A240" s="246"/>
      <c r="B240" t="str">
        <f>IF($B$48="N/A","","Room and Board Expense")</f>
        <v>Room and Board Expense</v>
      </c>
      <c r="D240" s="240">
        <f>'Adjusted Schedule 3'!O123</f>
        <v>0</v>
      </c>
      <c r="E240" s="240">
        <f>'As-Filed Schedule 3'!O122</f>
        <v>0</v>
      </c>
      <c r="F240" s="240">
        <f t="shared" si="43"/>
        <v>0</v>
      </c>
    </row>
    <row r="241" spans="1:6" x14ac:dyDescent="0.35">
      <c r="A241" s="246"/>
      <c r="B241" t="str">
        <f>IF($B$48="N/A","","Services Expense")</f>
        <v>Services Expense</v>
      </c>
      <c r="D241" s="247">
        <f>'Adjusted Schedule 3'!Q123</f>
        <v>1093347.5</v>
      </c>
      <c r="E241" s="247">
        <f>'As-Filed Schedule 3'!Q122</f>
        <v>1093347.5</v>
      </c>
      <c r="F241" s="247">
        <f>IF(E241="","",D241-E241)</f>
        <v>0</v>
      </c>
    </row>
    <row r="242" spans="1:6" s="1" customFormat="1" x14ac:dyDescent="0.35">
      <c r="A242" s="246"/>
      <c r="B242" s="1" t="str">
        <f>IF($B$48="N/A","","Facility Total Cost Per Day")</f>
        <v>Facility Total Cost Per Day</v>
      </c>
      <c r="D242" s="243" t="str">
        <f>'Adjusted Schedule 3'!N123</f>
        <v/>
      </c>
      <c r="E242" s="243" t="str">
        <f>'As-Filed Schedule 3'!N122</f>
        <v/>
      </c>
      <c r="F242" s="243" t="str">
        <f t="shared" ref="F242:F244" si="44">IF(E242="","",D242-E242)</f>
        <v/>
      </c>
    </row>
    <row r="243" spans="1:6" x14ac:dyDescent="0.35">
      <c r="A243" s="246"/>
      <c r="B243" t="str">
        <f>IF($B$48="N/A","","Room and Board Cost Per Day")</f>
        <v>Room and Board Cost Per Day</v>
      </c>
      <c r="D243" s="245" t="str">
        <f>'Adjusted Schedule 3'!P123</f>
        <v/>
      </c>
      <c r="E243" s="245" t="str">
        <f>'As-Filed Schedule 3'!P122</f>
        <v/>
      </c>
      <c r="F243" s="245" t="str">
        <f t="shared" si="44"/>
        <v/>
      </c>
    </row>
    <row r="244" spans="1:6" x14ac:dyDescent="0.35">
      <c r="A244" s="246"/>
      <c r="B244" t="str">
        <f>IF($B$48="N/A","","Services Cost Per Day")</f>
        <v>Services Cost Per Day</v>
      </c>
      <c r="D244" s="245" t="str">
        <f>'Adjusted Schedule 3'!R123</f>
        <v/>
      </c>
      <c r="E244" s="245" t="str">
        <f>'As-Filed Schedule 3'!R122</f>
        <v/>
      </c>
      <c r="F244" s="245" t="str">
        <f t="shared" si="44"/>
        <v/>
      </c>
    </row>
    <row r="245" spans="1:6" x14ac:dyDescent="0.35">
      <c r="A245" s="246"/>
    </row>
  </sheetData>
  <sheetProtection sheet="1" objects="1" scenarios="1"/>
  <customSheetViews>
    <customSheetView guid="{17302493-42B1-4877-869E-E424A97AE78B}" fitToPage="1" printArea="1" hiddenRows="1">
      <selection activeCell="I17" sqref="I17"/>
      <rowBreaks count="4" manualBreakCount="4">
        <brk id="78" max="5" man="1"/>
        <brk id="141" max="5" man="1"/>
        <brk id="204" max="5" man="1"/>
        <brk id="267" max="5" man="1"/>
      </rowBreaks>
      <pageMargins left="0.5" right="0.5" top="0.5" bottom="0.75" header="0.3" footer="0.3"/>
      <pageSetup scale="68" fitToHeight="0" orientation="portrait" horizontalDpi="1200" verticalDpi="1200" r:id="rId1"/>
    </customSheetView>
    <customSheetView guid="{5C0BA3A5-859C-46C2-B685-44D9A90065E4}" fitToPage="1" printArea="1">
      <selection activeCell="C6" sqref="C6"/>
      <rowBreaks count="4" manualBreakCount="4">
        <brk id="78" max="5" man="1"/>
        <brk id="141" max="5" man="1"/>
        <brk id="204" max="5" man="1"/>
        <brk id="267" max="5" man="1"/>
      </rowBreaks>
      <pageMargins left="0.5" right="0.5" top="0.5" bottom="0.75" header="0.3" footer="0.3"/>
      <pageSetup scale="68" fitToHeight="0" orientation="portrait" horizontalDpi="1200" verticalDpi="1200" r:id="rId2"/>
    </customSheetView>
  </customSheetViews>
  <mergeCells count="23">
    <mergeCell ref="A27:C27"/>
    <mergeCell ref="B48:C48"/>
    <mergeCell ref="B147:C147"/>
    <mergeCell ref="B138:C138"/>
    <mergeCell ref="B129:C129"/>
    <mergeCell ref="B120:C120"/>
    <mergeCell ref="B111:C111"/>
    <mergeCell ref="B102:C102"/>
    <mergeCell ref="B93:C93"/>
    <mergeCell ref="B84:C84"/>
    <mergeCell ref="B75:C75"/>
    <mergeCell ref="B66:C66"/>
    <mergeCell ref="B57:C57"/>
    <mergeCell ref="B156:C156"/>
    <mergeCell ref="B237:C237"/>
    <mergeCell ref="B228:C228"/>
    <mergeCell ref="B219:C219"/>
    <mergeCell ref="B210:C210"/>
    <mergeCell ref="B201:C201"/>
    <mergeCell ref="B192:C192"/>
    <mergeCell ref="B183:C183"/>
    <mergeCell ref="B174:C174"/>
    <mergeCell ref="B165:C165"/>
  </mergeCells>
  <dataValidations count="1">
    <dataValidation type="list" allowBlank="1" showInputMessage="1" showErrorMessage="1" sqref="A4" xr:uid="{00000000-0002-0000-0100-000000000000}">
      <formula1>$AA$5:$AA$6</formula1>
    </dataValidation>
  </dataValidations>
  <pageMargins left="0.7" right="0.7" top="0.75" bottom="0.75" header="0.3" footer="0.3"/>
  <pageSetup scale="64" fitToHeight="0" orientation="portrait" horizontalDpi="1200" verticalDpi="1200" r:id="rId3"/>
  <rowBreaks count="3" manualBreakCount="3">
    <brk id="78" max="5" man="1"/>
    <brk id="141" max="5" man="1"/>
    <brk id="204" max="5"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AA388"/>
  <sheetViews>
    <sheetView workbookViewId="0">
      <selection activeCell="C252" sqref="C252"/>
    </sheetView>
  </sheetViews>
  <sheetFormatPr defaultColWidth="9.1796875" defaultRowHeight="12.5" x14ac:dyDescent="0.25"/>
  <cols>
    <col min="1" max="1" width="2.54296875" style="274" customWidth="1"/>
    <col min="2" max="2" width="13" style="274" customWidth="1"/>
    <col min="3" max="3" width="11.26953125" style="274" customWidth="1"/>
    <col min="4" max="4" width="14" style="274" customWidth="1"/>
    <col min="5" max="6" width="10.7265625" style="274" customWidth="1"/>
    <col min="7" max="7" width="12.7265625" style="391" customWidth="1"/>
    <col min="8" max="8" width="10.81640625" style="397" customWidth="1"/>
    <col min="9" max="9" width="13.1796875" style="397" customWidth="1"/>
    <col min="10" max="10" width="10.54296875" style="397" bestFit="1" customWidth="1"/>
    <col min="11" max="11" width="12.81640625" style="274" customWidth="1"/>
    <col min="12" max="12" width="9.1796875" style="275"/>
    <col min="13" max="13" width="2" style="275" customWidth="1"/>
    <col min="14" max="26" width="9.1796875" style="275"/>
    <col min="27" max="27" width="9.1796875" style="275" hidden="1" customWidth="1"/>
    <col min="28" max="16384" width="9.1796875" style="275"/>
  </cols>
  <sheetData>
    <row r="1" spans="1:27" customFormat="1" ht="26" x14ac:dyDescent="0.6">
      <c r="A1" s="3" t="s">
        <v>777</v>
      </c>
      <c r="G1" s="390"/>
      <c r="H1" s="69"/>
      <c r="I1" s="69"/>
      <c r="J1" s="69"/>
    </row>
    <row r="2" spans="1:27" customFormat="1" ht="21" x14ac:dyDescent="0.5">
      <c r="A2" s="2" t="s">
        <v>775</v>
      </c>
      <c r="G2" s="390"/>
      <c r="H2" s="69"/>
      <c r="I2" s="69"/>
      <c r="J2" s="69"/>
      <c r="AA2" s="40" t="s">
        <v>498</v>
      </c>
    </row>
    <row r="3" spans="1:27" customFormat="1" ht="25" customHeight="1" x14ac:dyDescent="0.5">
      <c r="A3" s="235" t="str">
        <f>Results!A4</f>
        <v>Final Adjustments</v>
      </c>
      <c r="G3" s="390"/>
      <c r="H3" s="69"/>
      <c r="I3" s="69"/>
      <c r="J3" s="69"/>
      <c r="AA3" s="40" t="s">
        <v>499</v>
      </c>
    </row>
    <row r="4" spans="1:27" customFormat="1" ht="14.5" x14ac:dyDescent="0.35">
      <c r="F4" s="36"/>
      <c r="G4" s="390"/>
      <c r="H4" s="69"/>
      <c r="I4" s="69"/>
      <c r="J4" s="69"/>
    </row>
    <row r="5" spans="1:27" customFormat="1" ht="14.5" x14ac:dyDescent="0.35">
      <c r="A5" s="1" t="s">
        <v>776</v>
      </c>
      <c r="D5" s="414" t="str">
        <f>Results!$C$6</f>
        <v>WellPower</v>
      </c>
      <c r="G5" s="390"/>
      <c r="H5" s="69"/>
      <c r="I5" s="69"/>
      <c r="J5" s="69"/>
    </row>
    <row r="6" spans="1:27" customFormat="1" ht="14.5" x14ac:dyDescent="0.35">
      <c r="A6" s="1" t="s">
        <v>0</v>
      </c>
      <c r="D6" s="35">
        <f>Results!$C$7</f>
        <v>45473</v>
      </c>
      <c r="F6" s="40"/>
      <c r="G6" s="390"/>
      <c r="H6" s="69"/>
      <c r="I6" s="69"/>
      <c r="J6" s="69"/>
    </row>
    <row r="7" spans="1:27" ht="13" thickBot="1" x14ac:dyDescent="0.3"/>
    <row r="8" spans="1:27" ht="13.5" thickBot="1" x14ac:dyDescent="0.3">
      <c r="B8" s="276" t="s">
        <v>572</v>
      </c>
      <c r="C8" s="277"/>
      <c r="D8" s="277"/>
      <c r="E8" s="277"/>
      <c r="F8" s="277"/>
      <c r="G8" s="392"/>
      <c r="H8" s="398"/>
      <c r="I8" s="398"/>
      <c r="J8" s="398"/>
      <c r="K8" s="278"/>
    </row>
    <row r="9" spans="1:27" ht="13" x14ac:dyDescent="0.25">
      <c r="B9" s="279"/>
      <c r="C9" s="279"/>
      <c r="D9" s="279"/>
      <c r="E9" s="279"/>
      <c r="F9" s="279"/>
      <c r="G9" s="393"/>
      <c r="H9" s="281"/>
      <c r="I9" s="281"/>
      <c r="J9" s="281"/>
      <c r="K9" s="279"/>
    </row>
    <row r="10" spans="1:27" ht="13" x14ac:dyDescent="0.25">
      <c r="A10" s="280"/>
      <c r="B10" s="281" t="s">
        <v>573</v>
      </c>
      <c r="C10" s="282"/>
      <c r="D10" s="282"/>
      <c r="E10" s="282"/>
      <c r="F10" s="282"/>
      <c r="G10" s="394"/>
      <c r="H10" s="282"/>
      <c r="I10" s="282"/>
      <c r="J10" s="282"/>
      <c r="K10" s="282"/>
    </row>
    <row r="11" spans="1:27" ht="13" x14ac:dyDescent="0.25">
      <c r="A11" s="280"/>
      <c r="B11" s="283" t="s">
        <v>574</v>
      </c>
      <c r="C11" s="284" t="s">
        <v>11</v>
      </c>
      <c r="D11" s="285"/>
      <c r="E11" s="283"/>
      <c r="F11" s="283"/>
      <c r="G11" s="395" t="s">
        <v>575</v>
      </c>
      <c r="H11" s="283" t="s">
        <v>576</v>
      </c>
      <c r="I11" s="283" t="s">
        <v>577</v>
      </c>
      <c r="J11" s="283" t="s">
        <v>578</v>
      </c>
      <c r="K11" s="283" t="s">
        <v>579</v>
      </c>
      <c r="M11" s="286"/>
      <c r="N11" s="287"/>
      <c r="O11" s="287"/>
      <c r="P11" s="287"/>
      <c r="Q11" s="287"/>
      <c r="R11" s="287"/>
      <c r="S11" s="287"/>
      <c r="T11" s="287"/>
      <c r="U11" s="287"/>
      <c r="V11" s="287"/>
    </row>
    <row r="12" spans="1:27" ht="13" x14ac:dyDescent="0.3">
      <c r="A12" s="469"/>
      <c r="B12" s="474" t="s">
        <v>1032</v>
      </c>
      <c r="C12" s="495" t="s">
        <v>1033</v>
      </c>
      <c r="D12" s="477"/>
      <c r="E12" s="477"/>
      <c r="F12" s="477"/>
      <c r="G12" s="478">
        <v>5655</v>
      </c>
      <c r="H12" s="476">
        <v>1</v>
      </c>
      <c r="I12" s="476">
        <v>3</v>
      </c>
      <c r="J12" s="476">
        <v>48</v>
      </c>
      <c r="K12" s="475" t="s">
        <v>1020</v>
      </c>
      <c r="L12" s="468"/>
      <c r="M12" s="467"/>
    </row>
    <row r="13" spans="1:27" ht="13" x14ac:dyDescent="0.3">
      <c r="A13" s="469"/>
      <c r="B13" s="474"/>
      <c r="C13" s="477"/>
      <c r="D13" s="477"/>
      <c r="E13" s="477"/>
      <c r="F13" s="477"/>
      <c r="G13" s="478">
        <v>-5655</v>
      </c>
      <c r="H13" s="476">
        <v>1</v>
      </c>
      <c r="I13" s="476">
        <v>5</v>
      </c>
      <c r="J13" s="476">
        <v>48</v>
      </c>
      <c r="K13" s="475" t="s">
        <v>1020</v>
      </c>
      <c r="L13" s="468"/>
      <c r="M13" s="467"/>
    </row>
    <row r="14" spans="1:27" ht="13" x14ac:dyDescent="0.3">
      <c r="A14" s="469"/>
      <c r="B14" s="474"/>
      <c r="C14" s="477"/>
      <c r="D14" s="477"/>
      <c r="E14" s="477"/>
      <c r="F14" s="477"/>
      <c r="G14" s="478"/>
      <c r="H14" s="476"/>
      <c r="I14" s="476"/>
      <c r="J14" s="476"/>
      <c r="K14" s="475"/>
      <c r="L14" s="468"/>
      <c r="M14" s="467"/>
    </row>
    <row r="15" spans="1:27" ht="13" x14ac:dyDescent="0.3">
      <c r="A15" s="469"/>
      <c r="B15" s="474" t="s">
        <v>1034</v>
      </c>
      <c r="C15" s="495" t="s">
        <v>1027</v>
      </c>
      <c r="D15" s="501"/>
      <c r="E15" s="501"/>
      <c r="F15" s="501"/>
      <c r="G15" s="502">
        <v>1222</v>
      </c>
      <c r="H15" s="500">
        <v>1</v>
      </c>
      <c r="I15" s="500">
        <v>3</v>
      </c>
      <c r="J15" s="500">
        <v>1</v>
      </c>
      <c r="K15" s="475" t="s">
        <v>1020</v>
      </c>
      <c r="L15" s="468"/>
      <c r="M15" s="467"/>
    </row>
    <row r="16" spans="1:27" ht="13" x14ac:dyDescent="0.3">
      <c r="A16" s="469"/>
      <c r="B16" s="474"/>
      <c r="C16" s="501"/>
      <c r="D16" s="501"/>
      <c r="E16" s="501"/>
      <c r="F16" s="501"/>
      <c r="G16" s="502">
        <v>1112</v>
      </c>
      <c r="H16" s="500">
        <v>1</v>
      </c>
      <c r="I16" s="500">
        <v>3</v>
      </c>
      <c r="J16" s="500">
        <v>2</v>
      </c>
      <c r="K16" s="475" t="s">
        <v>1020</v>
      </c>
      <c r="L16" s="468"/>
      <c r="M16" s="467"/>
    </row>
    <row r="17" spans="1:13" ht="13" x14ac:dyDescent="0.3">
      <c r="A17" s="469"/>
      <c r="B17" s="474"/>
      <c r="C17" s="503"/>
      <c r="D17" s="504"/>
      <c r="E17" s="504"/>
      <c r="F17" s="504"/>
      <c r="G17" s="502">
        <v>144732</v>
      </c>
      <c r="H17" s="500">
        <v>1</v>
      </c>
      <c r="I17" s="500">
        <v>3</v>
      </c>
      <c r="J17" s="500">
        <v>3</v>
      </c>
      <c r="K17" s="475" t="s">
        <v>1020</v>
      </c>
      <c r="L17" s="468"/>
      <c r="M17" s="467"/>
    </row>
    <row r="18" spans="1:13" ht="13" x14ac:dyDescent="0.3">
      <c r="A18" s="469"/>
      <c r="B18" s="474"/>
      <c r="C18" s="503"/>
      <c r="D18" s="504"/>
      <c r="E18" s="504"/>
      <c r="F18" s="504"/>
      <c r="G18" s="502">
        <v>2048</v>
      </c>
      <c r="H18" s="500">
        <v>1</v>
      </c>
      <c r="I18" s="500">
        <v>3</v>
      </c>
      <c r="J18" s="500">
        <v>5</v>
      </c>
      <c r="K18" s="475" t="s">
        <v>1020</v>
      </c>
      <c r="L18" s="468"/>
      <c r="M18" s="467"/>
    </row>
    <row r="19" spans="1:13" ht="13" x14ac:dyDescent="0.3">
      <c r="A19" s="469"/>
      <c r="B19" s="474"/>
      <c r="C19" s="503"/>
      <c r="D19" s="504"/>
      <c r="E19" s="504"/>
      <c r="F19" s="504"/>
      <c r="G19" s="502">
        <v>620</v>
      </c>
      <c r="H19" s="500">
        <v>1</v>
      </c>
      <c r="I19" s="500">
        <v>3</v>
      </c>
      <c r="J19" s="500">
        <v>6</v>
      </c>
      <c r="K19" s="475" t="s">
        <v>1020</v>
      </c>
      <c r="L19" s="468"/>
      <c r="M19" s="467"/>
    </row>
    <row r="20" spans="1:13" ht="13" x14ac:dyDescent="0.3">
      <c r="A20" s="469"/>
      <c r="B20" s="474"/>
      <c r="C20" s="503"/>
      <c r="D20" s="504"/>
      <c r="E20" s="504"/>
      <c r="F20" s="504"/>
      <c r="G20" s="502">
        <v>44890</v>
      </c>
      <c r="H20" s="500">
        <v>1</v>
      </c>
      <c r="I20" s="500">
        <v>3</v>
      </c>
      <c r="J20" s="500">
        <v>11</v>
      </c>
      <c r="K20" s="475" t="s">
        <v>1020</v>
      </c>
      <c r="L20" s="468"/>
      <c r="M20" s="467"/>
    </row>
    <row r="21" spans="1:13" ht="13" x14ac:dyDescent="0.3">
      <c r="A21" s="469"/>
      <c r="B21" s="474"/>
      <c r="C21" s="503"/>
      <c r="D21" s="504"/>
      <c r="E21" s="504"/>
      <c r="F21" s="504"/>
      <c r="G21" s="502">
        <v>5303</v>
      </c>
      <c r="H21" s="500">
        <v>1</v>
      </c>
      <c r="I21" s="500">
        <v>3</v>
      </c>
      <c r="J21" s="504">
        <v>48</v>
      </c>
      <c r="K21" s="475" t="s">
        <v>1020</v>
      </c>
      <c r="L21" s="468"/>
      <c r="M21" s="467"/>
    </row>
    <row r="22" spans="1:13" ht="13" x14ac:dyDescent="0.3">
      <c r="A22" s="469"/>
      <c r="B22" s="474"/>
      <c r="C22" s="503"/>
      <c r="D22" s="504"/>
      <c r="E22" s="504"/>
      <c r="F22" s="504"/>
      <c r="G22" s="502">
        <v>4323</v>
      </c>
      <c r="H22" s="500">
        <v>1</v>
      </c>
      <c r="I22" s="500">
        <v>3</v>
      </c>
      <c r="J22" s="504">
        <v>26</v>
      </c>
      <c r="K22" s="475" t="s">
        <v>1020</v>
      </c>
      <c r="L22" s="468"/>
      <c r="M22" s="467"/>
    </row>
    <row r="23" spans="1:13" ht="13" x14ac:dyDescent="0.3">
      <c r="A23" s="469"/>
      <c r="B23" s="474"/>
      <c r="C23" s="503"/>
      <c r="D23" s="504"/>
      <c r="E23" s="504"/>
      <c r="F23" s="504"/>
      <c r="G23" s="502">
        <v>17865</v>
      </c>
      <c r="H23" s="500">
        <v>1</v>
      </c>
      <c r="I23" s="500">
        <v>3</v>
      </c>
      <c r="J23" s="504">
        <v>39</v>
      </c>
      <c r="K23" s="475" t="s">
        <v>1020</v>
      </c>
      <c r="L23" s="468"/>
      <c r="M23" s="467"/>
    </row>
    <row r="24" spans="1:13" ht="13" x14ac:dyDescent="0.3">
      <c r="A24" s="469"/>
      <c r="B24" s="474"/>
      <c r="C24" s="503"/>
      <c r="D24" s="504"/>
      <c r="E24" s="504"/>
      <c r="F24" s="504"/>
      <c r="G24" s="502">
        <v>6327</v>
      </c>
      <c r="H24" s="500">
        <v>1</v>
      </c>
      <c r="I24" s="500">
        <v>3</v>
      </c>
      <c r="J24" s="504">
        <v>34</v>
      </c>
      <c r="K24" s="475" t="s">
        <v>1020</v>
      </c>
      <c r="L24" s="468"/>
      <c r="M24" s="467"/>
    </row>
    <row r="25" spans="1:13" ht="13" x14ac:dyDescent="0.3">
      <c r="A25" s="469"/>
      <c r="B25" s="474"/>
      <c r="C25" s="503"/>
      <c r="D25" s="504"/>
      <c r="E25" s="504"/>
      <c r="F25" s="504"/>
      <c r="G25" s="502">
        <v>-1222</v>
      </c>
      <c r="H25" s="500">
        <v>1</v>
      </c>
      <c r="I25" s="504">
        <v>5</v>
      </c>
      <c r="J25" s="504">
        <v>1</v>
      </c>
      <c r="K25" s="475" t="s">
        <v>1020</v>
      </c>
      <c r="L25" s="468"/>
      <c r="M25" s="467"/>
    </row>
    <row r="26" spans="1:13" ht="13" x14ac:dyDescent="0.3">
      <c r="A26" s="469"/>
      <c r="B26" s="474"/>
      <c r="C26" s="503"/>
      <c r="D26" s="504"/>
      <c r="E26" s="504"/>
      <c r="F26" s="504"/>
      <c r="G26" s="502">
        <v>-1112</v>
      </c>
      <c r="H26" s="500">
        <v>1</v>
      </c>
      <c r="I26" s="504">
        <v>5</v>
      </c>
      <c r="J26" s="504">
        <v>2</v>
      </c>
      <c r="K26" s="475" t="s">
        <v>1020</v>
      </c>
      <c r="L26" s="468"/>
      <c r="M26" s="467"/>
    </row>
    <row r="27" spans="1:13" ht="13" x14ac:dyDescent="0.3">
      <c r="A27" s="469"/>
      <c r="B27" s="474"/>
      <c r="C27" s="503"/>
      <c r="D27" s="504"/>
      <c r="E27" s="504"/>
      <c r="F27" s="504"/>
      <c r="G27" s="502">
        <v>-144732</v>
      </c>
      <c r="H27" s="500">
        <v>1</v>
      </c>
      <c r="I27" s="504">
        <v>5</v>
      </c>
      <c r="J27" s="504">
        <v>3</v>
      </c>
      <c r="K27" s="475" t="s">
        <v>1020</v>
      </c>
      <c r="L27" s="468"/>
      <c r="M27" s="467"/>
    </row>
    <row r="28" spans="1:13" ht="13" x14ac:dyDescent="0.3">
      <c r="A28" s="469"/>
      <c r="B28" s="474"/>
      <c r="C28" s="503"/>
      <c r="D28" s="504"/>
      <c r="E28" s="504"/>
      <c r="F28" s="504"/>
      <c r="G28" s="502">
        <v>-2048</v>
      </c>
      <c r="H28" s="500">
        <v>1</v>
      </c>
      <c r="I28" s="504">
        <v>5</v>
      </c>
      <c r="J28" s="504">
        <v>5</v>
      </c>
      <c r="K28" s="475" t="s">
        <v>1020</v>
      </c>
      <c r="L28" s="468"/>
      <c r="M28" s="467"/>
    </row>
    <row r="29" spans="1:13" ht="13" x14ac:dyDescent="0.3">
      <c r="A29" s="469"/>
      <c r="B29" s="474"/>
      <c r="C29" s="503"/>
      <c r="D29" s="504"/>
      <c r="E29" s="504"/>
      <c r="F29" s="504"/>
      <c r="G29" s="502">
        <v>-620</v>
      </c>
      <c r="H29" s="500">
        <v>1</v>
      </c>
      <c r="I29" s="504">
        <v>5</v>
      </c>
      <c r="J29" s="504">
        <v>6</v>
      </c>
      <c r="K29" s="475" t="s">
        <v>1020</v>
      </c>
      <c r="L29" s="468"/>
      <c r="M29" s="467"/>
    </row>
    <row r="30" spans="1:13" ht="13" x14ac:dyDescent="0.3">
      <c r="A30" s="469"/>
      <c r="B30" s="474"/>
      <c r="C30" s="503"/>
      <c r="D30" s="504"/>
      <c r="E30" s="504"/>
      <c r="F30" s="504"/>
      <c r="G30" s="502">
        <v>-44890</v>
      </c>
      <c r="H30" s="500">
        <v>1</v>
      </c>
      <c r="I30" s="504">
        <v>5</v>
      </c>
      <c r="J30" s="504">
        <v>11</v>
      </c>
      <c r="K30" s="475" t="s">
        <v>1020</v>
      </c>
      <c r="L30" s="468"/>
      <c r="M30" s="467"/>
    </row>
    <row r="31" spans="1:13" ht="13" x14ac:dyDescent="0.3">
      <c r="A31" s="469"/>
      <c r="B31" s="474"/>
      <c r="C31" s="503"/>
      <c r="D31" s="504"/>
      <c r="E31" s="504"/>
      <c r="F31" s="504"/>
      <c r="G31" s="502">
        <v>-5303</v>
      </c>
      <c r="H31" s="500">
        <v>1</v>
      </c>
      <c r="I31" s="504">
        <v>5</v>
      </c>
      <c r="J31" s="504">
        <v>48</v>
      </c>
      <c r="K31" s="475" t="s">
        <v>1020</v>
      </c>
      <c r="L31" s="468"/>
      <c r="M31" s="467"/>
    </row>
    <row r="32" spans="1:13" ht="13" x14ac:dyDescent="0.3">
      <c r="A32" s="469"/>
      <c r="B32" s="474"/>
      <c r="C32" s="503"/>
      <c r="D32" s="504"/>
      <c r="E32" s="504"/>
      <c r="F32" s="504"/>
      <c r="G32" s="502">
        <v>-4323</v>
      </c>
      <c r="H32" s="500">
        <v>1</v>
      </c>
      <c r="I32" s="504">
        <v>5</v>
      </c>
      <c r="J32" s="504">
        <v>26</v>
      </c>
      <c r="K32" s="475" t="s">
        <v>1020</v>
      </c>
      <c r="L32" s="468"/>
      <c r="M32" s="467"/>
    </row>
    <row r="33" spans="1:22" ht="13" x14ac:dyDescent="0.3">
      <c r="A33" s="469"/>
      <c r="B33" s="474"/>
      <c r="C33" s="503"/>
      <c r="D33" s="504"/>
      <c r="E33" s="504"/>
      <c r="F33" s="504"/>
      <c r="G33" s="502">
        <v>-17865</v>
      </c>
      <c r="H33" s="500">
        <v>1</v>
      </c>
      <c r="I33" s="504">
        <v>5</v>
      </c>
      <c r="J33" s="504">
        <v>39</v>
      </c>
      <c r="K33" s="475" t="s">
        <v>1020</v>
      </c>
      <c r="L33" s="468"/>
      <c r="M33" s="467"/>
    </row>
    <row r="34" spans="1:22" ht="13" x14ac:dyDescent="0.3">
      <c r="A34" s="469"/>
      <c r="B34" s="474"/>
      <c r="C34" s="503"/>
      <c r="D34" s="504"/>
      <c r="E34" s="504"/>
      <c r="F34" s="504"/>
      <c r="G34" s="502">
        <v>-6327</v>
      </c>
      <c r="H34" s="500">
        <v>1</v>
      </c>
      <c r="I34" s="504">
        <v>5</v>
      </c>
      <c r="J34" s="504">
        <v>34</v>
      </c>
      <c r="K34" s="475" t="s">
        <v>1020</v>
      </c>
      <c r="L34" s="468"/>
      <c r="M34" s="467"/>
    </row>
    <row r="35" spans="1:22" ht="13" x14ac:dyDescent="0.3">
      <c r="A35" s="469"/>
      <c r="B35" s="474"/>
      <c r="C35" s="477"/>
      <c r="D35" s="477"/>
      <c r="E35" s="477"/>
      <c r="F35" s="477"/>
      <c r="G35" s="478"/>
      <c r="H35" s="476"/>
      <c r="I35" s="476"/>
      <c r="J35" s="476"/>
      <c r="K35" s="475"/>
      <c r="L35" s="468"/>
      <c r="M35" s="467"/>
    </row>
    <row r="36" spans="1:22" ht="13" x14ac:dyDescent="0.3">
      <c r="A36" s="469"/>
      <c r="B36" s="474">
        <v>2</v>
      </c>
      <c r="C36" s="495" t="s">
        <v>1024</v>
      </c>
      <c r="D36" s="501"/>
      <c r="E36" s="501"/>
      <c r="F36" s="501"/>
      <c r="G36" s="502">
        <v>-76054</v>
      </c>
      <c r="H36" s="500">
        <v>1</v>
      </c>
      <c r="I36" s="500">
        <v>4</v>
      </c>
      <c r="J36" s="500">
        <v>26</v>
      </c>
      <c r="K36" s="475" t="s">
        <v>1020</v>
      </c>
      <c r="L36" s="468"/>
      <c r="M36" s="467"/>
    </row>
    <row r="37" spans="1:22" ht="13" x14ac:dyDescent="0.3">
      <c r="A37" s="469"/>
      <c r="B37" s="474"/>
      <c r="C37" s="501"/>
      <c r="D37" s="501"/>
      <c r="E37" s="501"/>
      <c r="F37" s="501"/>
      <c r="G37" s="502">
        <v>76054</v>
      </c>
      <c r="H37" s="500">
        <v>1</v>
      </c>
      <c r="I37" s="500">
        <v>5</v>
      </c>
      <c r="J37" s="500">
        <v>24</v>
      </c>
      <c r="K37" s="475" t="s">
        <v>1020</v>
      </c>
      <c r="L37" s="468"/>
      <c r="M37" s="467"/>
    </row>
    <row r="38" spans="1:22" ht="13" x14ac:dyDescent="0.3">
      <c r="A38" s="469"/>
      <c r="B38" s="474"/>
      <c r="C38" s="477"/>
      <c r="D38" s="477"/>
      <c r="E38" s="477"/>
      <c r="F38" s="477"/>
      <c r="G38" s="478"/>
      <c r="H38" s="476"/>
      <c r="I38" s="476"/>
      <c r="J38" s="476"/>
      <c r="K38" s="475"/>
      <c r="L38" s="468"/>
      <c r="M38" s="467"/>
      <c r="N38" s="287"/>
      <c r="O38" s="287"/>
      <c r="P38" s="287"/>
      <c r="Q38" s="287"/>
      <c r="R38" s="287"/>
      <c r="S38" s="287"/>
      <c r="T38" s="287"/>
      <c r="U38" s="287"/>
      <c r="V38" s="287"/>
    </row>
    <row r="39" spans="1:22" ht="13" x14ac:dyDescent="0.3">
      <c r="A39" s="469"/>
      <c r="B39" s="474">
        <v>3</v>
      </c>
      <c r="C39" s="496" t="s">
        <v>1025</v>
      </c>
      <c r="D39" s="497"/>
      <c r="E39" s="497"/>
      <c r="F39" s="498"/>
      <c r="G39" s="292">
        <v>849894.32</v>
      </c>
      <c r="H39" s="499">
        <v>1</v>
      </c>
      <c r="I39" s="499">
        <v>3</v>
      </c>
      <c r="J39" s="499">
        <v>48</v>
      </c>
      <c r="K39" s="475">
        <v>200.5</v>
      </c>
      <c r="L39" s="468"/>
      <c r="M39" s="467"/>
    </row>
    <row r="40" spans="1:22" ht="13" x14ac:dyDescent="0.3">
      <c r="A40" s="469"/>
      <c r="B40" s="474"/>
      <c r="C40" s="497"/>
      <c r="D40" s="497"/>
      <c r="E40" s="497"/>
      <c r="F40" s="497"/>
      <c r="G40" s="292">
        <v>-849894.32</v>
      </c>
      <c r="H40" s="499">
        <v>1</v>
      </c>
      <c r="I40" s="499">
        <v>4</v>
      </c>
      <c r="J40" s="499">
        <v>48</v>
      </c>
      <c r="K40" s="475">
        <v>200.5</v>
      </c>
      <c r="L40" s="468"/>
      <c r="M40" s="467"/>
    </row>
    <row r="41" spans="1:22" ht="13" x14ac:dyDescent="0.3">
      <c r="A41" s="469"/>
      <c r="B41" s="474"/>
      <c r="C41" s="477"/>
      <c r="D41" s="477"/>
      <c r="E41" s="477"/>
      <c r="F41" s="477"/>
      <c r="G41" s="478"/>
      <c r="H41" s="476"/>
      <c r="I41" s="476"/>
      <c r="J41" s="476"/>
      <c r="K41" s="475"/>
      <c r="L41" s="468"/>
      <c r="M41" s="467"/>
    </row>
    <row r="42" spans="1:22" ht="13.5" thickBot="1" x14ac:dyDescent="0.35">
      <c r="A42" s="469"/>
      <c r="B42" s="472"/>
      <c r="C42" s="470"/>
      <c r="D42" s="469"/>
      <c r="E42" s="473"/>
      <c r="F42" s="473"/>
      <c r="G42" s="295"/>
      <c r="H42" s="293"/>
      <c r="I42" s="293"/>
      <c r="J42" s="293"/>
      <c r="K42" s="471"/>
      <c r="L42" s="468"/>
      <c r="M42" s="467"/>
    </row>
    <row r="43" spans="1:22" ht="13.5" thickBot="1" x14ac:dyDescent="0.3">
      <c r="B43" s="276" t="s">
        <v>580</v>
      </c>
      <c r="C43" s="277"/>
      <c r="D43" s="277"/>
      <c r="E43" s="277"/>
      <c r="F43" s="277"/>
      <c r="G43" s="392"/>
      <c r="H43" s="398"/>
      <c r="I43" s="398"/>
      <c r="J43" s="398"/>
      <c r="K43" s="278"/>
    </row>
    <row r="44" spans="1:22" ht="13" x14ac:dyDescent="0.25">
      <c r="B44" s="279"/>
      <c r="C44" s="279"/>
      <c r="D44" s="279"/>
      <c r="E44" s="279"/>
      <c r="F44" s="279"/>
      <c r="G44" s="393"/>
      <c r="H44" s="281"/>
      <c r="I44" s="281"/>
      <c r="J44" s="281"/>
      <c r="K44" s="279"/>
    </row>
    <row r="45" spans="1:22" ht="13" x14ac:dyDescent="0.25">
      <c r="A45" s="280"/>
      <c r="B45" s="281" t="s">
        <v>573</v>
      </c>
      <c r="C45" s="282"/>
      <c r="D45" s="282"/>
      <c r="E45" s="282"/>
      <c r="F45" s="282"/>
      <c r="G45" s="394"/>
      <c r="H45" s="282"/>
      <c r="I45" s="282"/>
      <c r="J45" s="282"/>
      <c r="K45" s="282"/>
    </row>
    <row r="46" spans="1:22" ht="13" x14ac:dyDescent="0.25">
      <c r="A46" s="280"/>
      <c r="B46" s="283" t="s">
        <v>574</v>
      </c>
      <c r="C46" s="284" t="s">
        <v>11</v>
      </c>
      <c r="D46" s="285"/>
      <c r="E46" s="283"/>
      <c r="F46" s="283"/>
      <c r="G46" s="395" t="s">
        <v>575</v>
      </c>
      <c r="H46" s="283" t="s">
        <v>576</v>
      </c>
      <c r="I46" s="283" t="s">
        <v>577</v>
      </c>
      <c r="J46" s="283" t="s">
        <v>578</v>
      </c>
      <c r="K46" s="283" t="s">
        <v>579</v>
      </c>
      <c r="M46" s="286"/>
      <c r="N46" s="287"/>
      <c r="O46" s="287"/>
      <c r="P46" s="287"/>
      <c r="Q46" s="287"/>
      <c r="R46" s="287"/>
      <c r="S46" s="287"/>
      <c r="T46" s="287"/>
      <c r="U46" s="287"/>
      <c r="V46" s="287"/>
    </row>
    <row r="47" spans="1:22" ht="13" x14ac:dyDescent="0.25">
      <c r="A47" s="288"/>
      <c r="B47" s="289" t="s">
        <v>1023</v>
      </c>
      <c r="C47" s="290"/>
      <c r="D47" s="291"/>
      <c r="E47" s="291"/>
      <c r="F47" s="291"/>
      <c r="G47" s="295"/>
      <c r="H47" s="293"/>
      <c r="I47" s="293"/>
      <c r="J47" s="293"/>
      <c r="K47" s="294"/>
    </row>
    <row r="48" spans="1:22" ht="13.5" thickBot="1" x14ac:dyDescent="0.3">
      <c r="A48" s="288"/>
      <c r="B48" s="289"/>
      <c r="C48" s="290"/>
      <c r="D48" s="291"/>
      <c r="E48" s="291"/>
      <c r="F48" s="291"/>
      <c r="G48" s="292"/>
      <c r="H48" s="293"/>
      <c r="I48" s="293"/>
      <c r="J48" s="399"/>
      <c r="K48" s="294"/>
    </row>
    <row r="49" spans="1:22" ht="13.5" thickBot="1" x14ac:dyDescent="0.3">
      <c r="B49" s="276" t="s">
        <v>581</v>
      </c>
      <c r="C49" s="277"/>
      <c r="D49" s="277"/>
      <c r="E49" s="277"/>
      <c r="F49" s="277"/>
      <c r="G49" s="392"/>
      <c r="H49" s="398"/>
      <c r="I49" s="398"/>
      <c r="J49" s="398"/>
      <c r="K49" s="278"/>
    </row>
    <row r="50" spans="1:22" ht="13" x14ac:dyDescent="0.25">
      <c r="B50" s="279"/>
      <c r="C50" s="279"/>
      <c r="D50" s="279"/>
      <c r="E50" s="279"/>
      <c r="F50" s="279"/>
      <c r="G50" s="393"/>
      <c r="H50" s="281"/>
      <c r="I50" s="281"/>
      <c r="J50" s="281"/>
      <c r="K50" s="279"/>
    </row>
    <row r="51" spans="1:22" ht="13" x14ac:dyDescent="0.25">
      <c r="A51" s="280"/>
      <c r="B51" s="281" t="s">
        <v>573</v>
      </c>
      <c r="C51" s="282"/>
      <c r="D51" s="282"/>
      <c r="E51" s="282"/>
      <c r="F51" s="282"/>
      <c r="G51" s="394"/>
      <c r="H51" s="282"/>
      <c r="I51" s="282"/>
      <c r="J51" s="282"/>
      <c r="K51" s="282"/>
    </row>
    <row r="52" spans="1:22" ht="13" x14ac:dyDescent="0.25">
      <c r="A52" s="280"/>
      <c r="B52" s="283" t="s">
        <v>574</v>
      </c>
      <c r="C52" s="284" t="s">
        <v>11</v>
      </c>
      <c r="D52" s="285"/>
      <c r="E52" s="283"/>
      <c r="F52" s="283"/>
      <c r="G52" s="395" t="s">
        <v>575</v>
      </c>
      <c r="H52" s="283" t="s">
        <v>576</v>
      </c>
      <c r="I52" s="283" t="s">
        <v>577</v>
      </c>
      <c r="J52" s="283" t="s">
        <v>578</v>
      </c>
      <c r="K52" s="283" t="s">
        <v>579</v>
      </c>
      <c r="M52" s="286"/>
      <c r="N52" s="287"/>
      <c r="O52" s="287"/>
      <c r="P52" s="287"/>
      <c r="Q52" s="287"/>
      <c r="R52" s="287"/>
      <c r="S52" s="287"/>
      <c r="T52" s="287"/>
      <c r="U52" s="287"/>
      <c r="V52" s="287"/>
    </row>
    <row r="53" spans="1:22" ht="13" x14ac:dyDescent="0.25">
      <c r="A53" s="288"/>
      <c r="B53" s="289" t="s">
        <v>1023</v>
      </c>
      <c r="C53" s="290"/>
      <c r="D53" s="291"/>
      <c r="E53" s="291"/>
      <c r="F53" s="291"/>
      <c r="G53" s="295"/>
      <c r="H53" s="296"/>
      <c r="I53" s="297"/>
      <c r="J53" s="297"/>
      <c r="K53" s="294"/>
    </row>
    <row r="54" spans="1:22" ht="13.5" thickBot="1" x14ac:dyDescent="0.3">
      <c r="A54" s="288"/>
      <c r="B54" s="289"/>
      <c r="C54" s="290"/>
      <c r="D54" s="291"/>
      <c r="E54" s="291"/>
      <c r="F54" s="291"/>
      <c r="G54" s="295"/>
      <c r="H54" s="296"/>
      <c r="I54" s="297"/>
      <c r="J54" s="297"/>
      <c r="K54" s="294"/>
    </row>
    <row r="55" spans="1:22" ht="13.5" thickBot="1" x14ac:dyDescent="0.3">
      <c r="A55" s="280"/>
      <c r="B55" s="276" t="s">
        <v>582</v>
      </c>
      <c r="C55" s="277"/>
      <c r="D55" s="277"/>
      <c r="E55" s="277"/>
      <c r="F55" s="277"/>
      <c r="G55" s="392"/>
      <c r="H55" s="398"/>
      <c r="I55" s="398"/>
      <c r="J55" s="398"/>
      <c r="K55" s="278"/>
    </row>
    <row r="56" spans="1:22" x14ac:dyDescent="0.25">
      <c r="A56" s="280"/>
      <c r="B56" s="298"/>
      <c r="C56" s="299"/>
      <c r="D56" s="280"/>
      <c r="E56" s="280"/>
      <c r="F56" s="280"/>
      <c r="G56" s="396"/>
      <c r="H56" s="298"/>
      <c r="I56" s="298"/>
      <c r="J56" s="298"/>
      <c r="K56" s="280"/>
    </row>
    <row r="57" spans="1:22" ht="13" x14ac:dyDescent="0.25">
      <c r="A57" s="280"/>
      <c r="B57" s="281" t="s">
        <v>573</v>
      </c>
      <c r="C57" s="299"/>
      <c r="D57" s="280"/>
      <c r="E57" s="280"/>
      <c r="F57" s="280"/>
      <c r="G57" s="396"/>
      <c r="H57" s="298"/>
      <c r="I57" s="298"/>
      <c r="J57" s="298"/>
      <c r="K57" s="280"/>
    </row>
    <row r="58" spans="1:22" ht="13" x14ac:dyDescent="0.25">
      <c r="A58" s="280"/>
      <c r="B58" s="283" t="s">
        <v>574</v>
      </c>
      <c r="C58" s="284" t="s">
        <v>11</v>
      </c>
      <c r="D58" s="285"/>
      <c r="E58" s="283"/>
      <c r="F58" s="283"/>
      <c r="G58" s="395" t="s">
        <v>575</v>
      </c>
      <c r="H58" s="283" t="s">
        <v>576</v>
      </c>
      <c r="I58" s="283" t="s">
        <v>577</v>
      </c>
      <c r="J58" s="283" t="s">
        <v>578</v>
      </c>
      <c r="K58" s="283" t="s">
        <v>579</v>
      </c>
    </row>
    <row r="59" spans="1:22" ht="13" x14ac:dyDescent="0.3">
      <c r="A59" s="481"/>
      <c r="B59" s="507">
        <v>4</v>
      </c>
      <c r="C59" s="510" t="s">
        <v>1026</v>
      </c>
      <c r="D59" s="512"/>
      <c r="E59" s="512"/>
      <c r="F59" s="512"/>
      <c r="G59" s="514">
        <v>705.52</v>
      </c>
      <c r="H59" s="511" t="s">
        <v>1019</v>
      </c>
      <c r="I59" s="511">
        <v>2</v>
      </c>
      <c r="J59" s="511">
        <v>5</v>
      </c>
      <c r="K59" s="508" t="s">
        <v>1020</v>
      </c>
      <c r="L59" s="480"/>
      <c r="M59" s="479"/>
    </row>
    <row r="60" spans="1:22" ht="13" x14ac:dyDescent="0.3">
      <c r="A60" s="481"/>
      <c r="B60" s="507"/>
      <c r="C60" s="512"/>
      <c r="D60" s="512"/>
      <c r="E60" s="512"/>
      <c r="F60" s="512"/>
      <c r="G60" s="513">
        <v>-705.52</v>
      </c>
      <c r="H60" s="511" t="s">
        <v>1019</v>
      </c>
      <c r="I60" s="511">
        <v>5</v>
      </c>
      <c r="J60" s="511">
        <v>5</v>
      </c>
      <c r="K60" s="508" t="s">
        <v>1020</v>
      </c>
      <c r="L60" s="480"/>
      <c r="M60" s="479"/>
    </row>
    <row r="61" spans="1:22" ht="13" x14ac:dyDescent="0.3">
      <c r="A61" s="481"/>
      <c r="B61" s="507"/>
      <c r="C61" s="506"/>
      <c r="D61" s="506"/>
      <c r="E61" s="506"/>
      <c r="F61" s="506"/>
      <c r="G61" s="509"/>
      <c r="H61" s="297"/>
      <c r="I61" s="297"/>
      <c r="J61" s="297"/>
      <c r="K61" s="508"/>
      <c r="L61" s="480"/>
      <c r="M61" s="479"/>
    </row>
    <row r="62" spans="1:22" ht="13" x14ac:dyDescent="0.3">
      <c r="A62" s="481"/>
      <c r="B62" s="507">
        <v>5</v>
      </c>
      <c r="C62" s="521" t="s">
        <v>1027</v>
      </c>
      <c r="D62" s="522"/>
      <c r="E62" s="522"/>
      <c r="F62" s="522"/>
      <c r="G62" s="520">
        <v>228443</v>
      </c>
      <c r="H62" s="523" t="s">
        <v>1021</v>
      </c>
      <c r="I62" s="523">
        <v>2</v>
      </c>
      <c r="J62" s="523">
        <v>2</v>
      </c>
      <c r="K62" s="508" t="s">
        <v>1020</v>
      </c>
      <c r="L62" s="480"/>
      <c r="M62" s="479"/>
    </row>
    <row r="63" spans="1:22" ht="13" x14ac:dyDescent="0.3">
      <c r="A63" s="481"/>
      <c r="B63" s="507"/>
      <c r="C63" s="522"/>
      <c r="D63" s="522"/>
      <c r="E63" s="522"/>
      <c r="F63" s="522"/>
      <c r="G63" s="520">
        <v>-228443</v>
      </c>
      <c r="H63" s="523" t="s">
        <v>1021</v>
      </c>
      <c r="I63" s="523">
        <v>5</v>
      </c>
      <c r="J63" s="523">
        <v>2</v>
      </c>
      <c r="K63" s="508" t="s">
        <v>1020</v>
      </c>
      <c r="L63" s="480"/>
      <c r="M63" s="479"/>
    </row>
    <row r="64" spans="1:22" ht="13" x14ac:dyDescent="0.3">
      <c r="A64" s="481"/>
      <c r="B64" s="507"/>
      <c r="C64" s="506"/>
      <c r="D64" s="506"/>
      <c r="E64" s="506"/>
      <c r="F64" s="506"/>
      <c r="G64" s="509"/>
      <c r="H64" s="297"/>
      <c r="I64" s="297"/>
      <c r="J64" s="297"/>
      <c r="K64" s="508"/>
      <c r="L64" s="480"/>
      <c r="M64" s="479"/>
    </row>
    <row r="65" spans="1:13" ht="13" x14ac:dyDescent="0.3">
      <c r="A65" s="481"/>
      <c r="B65" s="507">
        <v>6</v>
      </c>
      <c r="C65" s="515" t="s">
        <v>1028</v>
      </c>
      <c r="D65" s="517"/>
      <c r="E65" s="517"/>
      <c r="F65" s="517"/>
      <c r="G65" s="518">
        <v>4949.42</v>
      </c>
      <c r="H65" s="516" t="s">
        <v>1022</v>
      </c>
      <c r="I65" s="516">
        <v>2</v>
      </c>
      <c r="J65" s="516">
        <v>13</v>
      </c>
      <c r="K65" s="508" t="s">
        <v>1020</v>
      </c>
      <c r="L65" s="480"/>
      <c r="M65" s="479"/>
    </row>
    <row r="66" spans="1:13" ht="13" x14ac:dyDescent="0.25">
      <c r="A66" s="481"/>
      <c r="B66" s="507"/>
      <c r="C66" s="517"/>
      <c r="D66" s="517"/>
      <c r="E66" s="517"/>
      <c r="F66" s="517"/>
      <c r="G66" s="518">
        <v>-4949.42</v>
      </c>
      <c r="H66" s="516" t="s">
        <v>1022</v>
      </c>
      <c r="I66" s="516">
        <v>5</v>
      </c>
      <c r="J66" s="516">
        <v>13</v>
      </c>
      <c r="K66" s="508" t="s">
        <v>1020</v>
      </c>
      <c r="L66" s="480"/>
    </row>
    <row r="67" spans="1:13" ht="13" x14ac:dyDescent="0.25">
      <c r="A67" s="481"/>
      <c r="B67" s="507"/>
      <c r="C67" s="517"/>
      <c r="D67" s="517"/>
      <c r="E67" s="517"/>
      <c r="F67" s="517"/>
      <c r="G67" s="518"/>
      <c r="H67" s="516"/>
      <c r="I67" s="516"/>
      <c r="J67" s="516"/>
      <c r="K67" s="508"/>
      <c r="L67" s="480"/>
    </row>
    <row r="68" spans="1:13" ht="13" x14ac:dyDescent="0.25">
      <c r="A68" s="481"/>
      <c r="B68" s="507">
        <v>7</v>
      </c>
      <c r="C68" s="505" t="s">
        <v>1029</v>
      </c>
      <c r="D68" s="517"/>
      <c r="E68" s="517"/>
      <c r="F68" s="517"/>
      <c r="G68" s="520">
        <v>76054</v>
      </c>
      <c r="H68" s="519" t="s">
        <v>1021</v>
      </c>
      <c r="I68" s="519">
        <v>5</v>
      </c>
      <c r="J68" s="519">
        <v>25</v>
      </c>
      <c r="K68" s="508" t="s">
        <v>1020</v>
      </c>
      <c r="L68" s="480"/>
    </row>
    <row r="69" spans="1:13" x14ac:dyDescent="0.25">
      <c r="A69" s="280"/>
      <c r="B69" s="298"/>
      <c r="C69" s="280"/>
      <c r="D69" s="280"/>
      <c r="E69" s="280"/>
      <c r="F69" s="280"/>
      <c r="G69" s="396"/>
      <c r="H69" s="297"/>
      <c r="I69" s="297"/>
      <c r="J69" s="297"/>
      <c r="K69" s="300"/>
    </row>
    <row r="70" spans="1:13" ht="13" x14ac:dyDescent="0.25">
      <c r="A70" s="280"/>
      <c r="B70" s="507" t="s">
        <v>1037</v>
      </c>
      <c r="C70" s="515" t="s">
        <v>1038</v>
      </c>
      <c r="D70" s="517"/>
      <c r="E70" s="517"/>
      <c r="F70" s="517"/>
      <c r="G70" s="292">
        <v>849894.32</v>
      </c>
      <c r="H70" s="525" t="s">
        <v>1021</v>
      </c>
      <c r="I70" s="525">
        <v>2</v>
      </c>
      <c r="J70" s="525">
        <v>31</v>
      </c>
      <c r="K70" s="524">
        <v>200.5</v>
      </c>
    </row>
    <row r="71" spans="1:13" ht="13" thickBot="1" x14ac:dyDescent="0.3">
      <c r="A71" s="280"/>
      <c r="B71" s="298"/>
      <c r="C71" s="280"/>
      <c r="D71" s="280"/>
      <c r="E71" s="280"/>
      <c r="F71" s="280"/>
      <c r="G71" s="396"/>
      <c r="H71" s="297"/>
      <c r="I71" s="297"/>
      <c r="J71" s="297"/>
      <c r="K71" s="300"/>
    </row>
    <row r="72" spans="1:13" ht="13.5" thickBot="1" x14ac:dyDescent="0.3">
      <c r="A72" s="280"/>
      <c r="B72" s="276" t="s">
        <v>583</v>
      </c>
      <c r="C72" s="277"/>
      <c r="D72" s="277"/>
      <c r="E72" s="277"/>
      <c r="F72" s="277"/>
      <c r="G72" s="392"/>
      <c r="H72" s="398"/>
      <c r="I72" s="398"/>
      <c r="J72" s="398"/>
      <c r="K72" s="278"/>
    </row>
    <row r="73" spans="1:13" x14ac:dyDescent="0.25">
      <c r="A73" s="280"/>
      <c r="B73" s="298"/>
      <c r="C73" s="299"/>
      <c r="D73" s="280"/>
      <c r="E73" s="280"/>
      <c r="F73" s="280"/>
      <c r="G73" s="396"/>
      <c r="H73" s="298"/>
      <c r="I73" s="298"/>
      <c r="J73" s="298"/>
      <c r="K73" s="280"/>
    </row>
    <row r="74" spans="1:13" ht="13" x14ac:dyDescent="0.25">
      <c r="A74" s="280"/>
      <c r="B74" s="281" t="s">
        <v>573</v>
      </c>
      <c r="C74" s="299"/>
      <c r="D74" s="280"/>
      <c r="E74" s="280"/>
      <c r="F74" s="280"/>
      <c r="G74" s="396"/>
      <c r="H74" s="298"/>
      <c r="I74" s="298"/>
      <c r="J74" s="298"/>
      <c r="K74" s="280"/>
    </row>
    <row r="75" spans="1:13" ht="13" x14ac:dyDescent="0.25">
      <c r="A75" s="280"/>
      <c r="B75" s="283" t="s">
        <v>574</v>
      </c>
      <c r="C75" s="284" t="s">
        <v>11</v>
      </c>
      <c r="D75" s="285"/>
      <c r="E75" s="283"/>
      <c r="F75" s="283"/>
      <c r="G75" s="395" t="s">
        <v>575</v>
      </c>
      <c r="H75" s="283" t="s">
        <v>576</v>
      </c>
      <c r="I75" s="283" t="s">
        <v>577</v>
      </c>
      <c r="J75" s="283" t="s">
        <v>578</v>
      </c>
      <c r="K75" s="283" t="s">
        <v>579</v>
      </c>
    </row>
    <row r="76" spans="1:13" ht="13" x14ac:dyDescent="0.25">
      <c r="A76" s="280"/>
      <c r="B76" s="484">
        <v>8</v>
      </c>
      <c r="C76" s="487" t="s">
        <v>1030</v>
      </c>
      <c r="D76" s="482"/>
      <c r="E76" s="482"/>
      <c r="F76" s="482"/>
      <c r="G76" s="486">
        <v>-76054</v>
      </c>
      <c r="H76" s="485">
        <v>3</v>
      </c>
      <c r="I76" s="485">
        <v>11</v>
      </c>
      <c r="J76" s="485">
        <v>19</v>
      </c>
      <c r="K76" s="483" t="s">
        <v>1020</v>
      </c>
    </row>
    <row r="77" spans="1:13" ht="13" x14ac:dyDescent="0.25">
      <c r="A77" s="280"/>
      <c r="B77" s="484"/>
      <c r="C77" s="482"/>
      <c r="D77" s="482"/>
      <c r="E77" s="482"/>
      <c r="F77" s="482"/>
      <c r="G77" s="486"/>
      <c r="H77" s="485"/>
      <c r="I77" s="485"/>
      <c r="J77" s="485"/>
      <c r="K77" s="483"/>
    </row>
    <row r="78" spans="1:13" ht="13" x14ac:dyDescent="0.25">
      <c r="A78" s="489"/>
      <c r="B78" s="491" t="s">
        <v>1036</v>
      </c>
      <c r="C78" s="489" t="s">
        <v>1031</v>
      </c>
      <c r="D78" s="493"/>
      <c r="E78" s="493"/>
      <c r="F78" s="493"/>
      <c r="G78" s="494">
        <v>-849894.32</v>
      </c>
      <c r="H78" s="492">
        <v>3</v>
      </c>
      <c r="I78" s="492">
        <v>11</v>
      </c>
      <c r="J78" s="492">
        <v>1</v>
      </c>
      <c r="K78" s="490">
        <v>200.5</v>
      </c>
      <c r="L78" s="488"/>
    </row>
    <row r="79" spans="1:13" ht="13.5" thickBot="1" x14ac:dyDescent="0.3">
      <c r="A79" s="288"/>
      <c r="B79" s="289"/>
      <c r="C79" s="290"/>
      <c r="D79" s="291"/>
      <c r="E79" s="291"/>
      <c r="F79" s="291"/>
      <c r="G79" s="292"/>
      <c r="H79" s="293"/>
      <c r="I79" s="293"/>
      <c r="J79" s="399"/>
      <c r="K79" s="294"/>
    </row>
    <row r="80" spans="1:13" ht="13.5" thickBot="1" x14ac:dyDescent="0.3">
      <c r="A80" s="280"/>
      <c r="B80" s="276" t="s">
        <v>584</v>
      </c>
      <c r="C80" s="277"/>
      <c r="D80" s="277"/>
      <c r="E80" s="277"/>
      <c r="F80" s="277"/>
      <c r="G80" s="392"/>
      <c r="H80" s="398"/>
      <c r="I80" s="398"/>
      <c r="J80" s="398"/>
      <c r="K80" s="278"/>
    </row>
    <row r="81" spans="1:11" x14ac:dyDescent="0.25">
      <c r="A81" s="280"/>
      <c r="B81" s="298"/>
      <c r="C81" s="299"/>
      <c r="D81" s="280"/>
      <c r="E81" s="280"/>
      <c r="F81" s="280"/>
      <c r="G81" s="396"/>
      <c r="H81" s="298"/>
      <c r="I81" s="298"/>
      <c r="J81" s="298"/>
      <c r="K81" s="280"/>
    </row>
    <row r="82" spans="1:11" ht="13" x14ac:dyDescent="0.25">
      <c r="A82" s="280"/>
      <c r="B82" s="281" t="s">
        <v>573</v>
      </c>
      <c r="C82" s="299"/>
      <c r="D82" s="280"/>
      <c r="E82" s="280"/>
      <c r="F82" s="280"/>
      <c r="G82" s="396"/>
      <c r="H82" s="298"/>
      <c r="I82" s="298"/>
      <c r="J82" s="298"/>
      <c r="K82" s="280"/>
    </row>
    <row r="83" spans="1:11" ht="13" x14ac:dyDescent="0.25">
      <c r="A83" s="280"/>
      <c r="B83" s="283" t="s">
        <v>574</v>
      </c>
      <c r="C83" s="284" t="s">
        <v>11</v>
      </c>
      <c r="D83" s="285"/>
      <c r="E83" s="283"/>
      <c r="F83" s="283"/>
      <c r="G83" s="395" t="s">
        <v>575</v>
      </c>
      <c r="H83" s="283" t="s">
        <v>576</v>
      </c>
      <c r="I83" s="283" t="s">
        <v>577</v>
      </c>
      <c r="J83" s="283" t="s">
        <v>578</v>
      </c>
      <c r="K83" s="283" t="s">
        <v>579</v>
      </c>
    </row>
    <row r="84" spans="1:11" x14ac:dyDescent="0.25">
      <c r="A84" s="280"/>
      <c r="B84" s="298" t="s">
        <v>1023</v>
      </c>
      <c r="C84" s="280"/>
      <c r="D84" s="280"/>
      <c r="E84" s="280"/>
      <c r="F84" s="280"/>
      <c r="G84" s="396"/>
      <c r="H84" s="298"/>
      <c r="I84" s="298"/>
      <c r="J84" s="298"/>
      <c r="K84" s="280"/>
    </row>
    <row r="85" spans="1:11" ht="13" thickBot="1" x14ac:dyDescent="0.3">
      <c r="A85" s="280"/>
      <c r="B85" s="280"/>
      <c r="C85" s="280"/>
      <c r="D85" s="280"/>
      <c r="E85" s="280"/>
      <c r="F85" s="280"/>
      <c r="G85" s="396"/>
      <c r="H85" s="298"/>
      <c r="I85" s="298"/>
      <c r="J85" s="298"/>
      <c r="K85" s="280"/>
    </row>
    <row r="86" spans="1:11" ht="13.5" thickBot="1" x14ac:dyDescent="0.3">
      <c r="A86" s="280"/>
      <c r="B86" s="276" t="s">
        <v>870</v>
      </c>
      <c r="C86" s="277"/>
      <c r="D86" s="277"/>
      <c r="E86" s="277"/>
      <c r="F86" s="277"/>
      <c r="G86" s="277"/>
      <c r="H86" s="277"/>
      <c r="I86" s="277"/>
      <c r="J86" s="277"/>
      <c r="K86" s="278"/>
    </row>
    <row r="87" spans="1:11" x14ac:dyDescent="0.25">
      <c r="A87" s="280"/>
      <c r="B87" s="298"/>
      <c r="C87" s="299"/>
      <c r="D87" s="280"/>
      <c r="E87" s="280"/>
      <c r="F87" s="280"/>
      <c r="G87" s="280"/>
      <c r="H87" s="280"/>
      <c r="I87" s="280"/>
      <c r="J87" s="280"/>
      <c r="K87" s="280"/>
    </row>
    <row r="88" spans="1:11" ht="13" x14ac:dyDescent="0.25">
      <c r="A88" s="280"/>
      <c r="B88" s="281" t="s">
        <v>573</v>
      </c>
      <c r="C88" s="299"/>
      <c r="D88" s="280"/>
      <c r="E88" s="280"/>
      <c r="F88" s="280"/>
      <c r="G88" s="280"/>
      <c r="H88" s="280"/>
      <c r="I88" s="280"/>
      <c r="J88" s="280"/>
      <c r="K88" s="280"/>
    </row>
    <row r="89" spans="1:11" ht="13" x14ac:dyDescent="0.25">
      <c r="A89" s="280"/>
      <c r="B89" s="283" t="s">
        <v>574</v>
      </c>
      <c r="C89" s="284" t="s">
        <v>11</v>
      </c>
      <c r="D89" s="285"/>
      <c r="E89" s="283"/>
      <c r="F89" s="283"/>
      <c r="G89" s="283" t="s">
        <v>575</v>
      </c>
      <c r="H89" s="283" t="s">
        <v>576</v>
      </c>
      <c r="I89" s="283" t="s">
        <v>577</v>
      </c>
      <c r="J89" s="283" t="s">
        <v>578</v>
      </c>
      <c r="K89" s="283" t="s">
        <v>579</v>
      </c>
    </row>
    <row r="90" spans="1:11" x14ac:dyDescent="0.25">
      <c r="A90" s="280"/>
      <c r="B90" s="298" t="s">
        <v>1023</v>
      </c>
      <c r="C90" s="280"/>
      <c r="D90" s="280"/>
      <c r="E90" s="280"/>
      <c r="F90" s="280"/>
      <c r="G90" s="396"/>
      <c r="H90" s="298"/>
      <c r="I90" s="298"/>
      <c r="J90" s="298"/>
      <c r="K90" s="280"/>
    </row>
    <row r="91" spans="1:11" x14ac:dyDescent="0.25">
      <c r="A91" s="280"/>
      <c r="B91" s="280"/>
      <c r="C91" s="280"/>
      <c r="D91" s="280"/>
      <c r="E91" s="280"/>
      <c r="F91" s="280"/>
      <c r="G91" s="396"/>
      <c r="H91" s="298"/>
      <c r="I91" s="298"/>
      <c r="J91" s="298"/>
      <c r="K91" s="280"/>
    </row>
    <row r="92" spans="1:11" x14ac:dyDescent="0.25">
      <c r="A92" s="280"/>
      <c r="B92" s="280"/>
      <c r="C92" s="280"/>
      <c r="D92" s="280"/>
      <c r="E92" s="280"/>
      <c r="F92" s="280"/>
      <c r="G92" s="396"/>
      <c r="H92" s="298"/>
      <c r="I92" s="298"/>
      <c r="J92" s="298"/>
      <c r="K92" s="280"/>
    </row>
    <row r="93" spans="1:11" x14ac:dyDescent="0.25">
      <c r="A93" s="280"/>
      <c r="B93" s="280"/>
      <c r="C93" s="280"/>
      <c r="D93" s="280"/>
      <c r="E93" s="280"/>
      <c r="F93" s="280"/>
      <c r="G93" s="396"/>
      <c r="H93" s="298"/>
      <c r="I93" s="298"/>
      <c r="J93" s="298"/>
      <c r="K93" s="280"/>
    </row>
    <row r="94" spans="1:11" x14ac:dyDescent="0.25">
      <c r="A94" s="280"/>
      <c r="B94" s="280"/>
      <c r="C94" s="280"/>
      <c r="D94" s="280"/>
      <c r="E94" s="280"/>
      <c r="F94" s="280"/>
      <c r="G94" s="396"/>
      <c r="H94" s="298"/>
      <c r="I94" s="298"/>
      <c r="J94" s="298"/>
      <c r="K94" s="280"/>
    </row>
    <row r="95" spans="1:11" x14ac:dyDescent="0.25">
      <c r="A95" s="280"/>
      <c r="B95" s="280"/>
      <c r="C95" s="280"/>
      <c r="D95" s="280"/>
      <c r="E95" s="280"/>
      <c r="F95" s="280"/>
      <c r="G95" s="396"/>
      <c r="H95" s="298"/>
      <c r="I95" s="298"/>
      <c r="J95" s="298"/>
      <c r="K95" s="280"/>
    </row>
    <row r="96" spans="1:11" x14ac:dyDescent="0.25">
      <c r="A96" s="280"/>
      <c r="B96" s="280"/>
      <c r="C96" s="280"/>
      <c r="D96" s="280"/>
      <c r="E96" s="280"/>
      <c r="F96" s="280"/>
      <c r="G96" s="396"/>
      <c r="H96" s="298"/>
      <c r="I96" s="298"/>
      <c r="J96" s="298"/>
      <c r="K96" s="280"/>
    </row>
    <row r="97" spans="1:11" x14ac:dyDescent="0.25">
      <c r="A97" s="280"/>
      <c r="B97" s="280"/>
      <c r="C97" s="280"/>
      <c r="D97" s="280"/>
      <c r="E97" s="280"/>
      <c r="F97" s="280"/>
      <c r="G97" s="396"/>
      <c r="H97" s="298"/>
      <c r="I97" s="298"/>
      <c r="J97" s="298"/>
      <c r="K97" s="280"/>
    </row>
    <row r="98" spans="1:11" x14ac:dyDescent="0.25">
      <c r="A98" s="280"/>
      <c r="B98" s="280"/>
      <c r="C98" s="280"/>
      <c r="D98" s="280"/>
      <c r="E98" s="280"/>
      <c r="F98" s="280"/>
      <c r="G98" s="396"/>
      <c r="H98" s="298"/>
      <c r="I98" s="298"/>
      <c r="J98" s="298"/>
      <c r="K98" s="280"/>
    </row>
    <row r="99" spans="1:11" x14ac:dyDescent="0.25">
      <c r="A99" s="280"/>
      <c r="B99" s="280"/>
      <c r="C99" s="280"/>
      <c r="D99" s="280"/>
      <c r="E99" s="280"/>
      <c r="F99" s="280"/>
      <c r="G99" s="396"/>
      <c r="H99" s="298"/>
      <c r="I99" s="298"/>
      <c r="J99" s="298"/>
      <c r="K99" s="280"/>
    </row>
    <row r="100" spans="1:11" x14ac:dyDescent="0.25">
      <c r="A100" s="280"/>
      <c r="B100" s="280"/>
      <c r="C100" s="280"/>
      <c r="D100" s="280"/>
      <c r="E100" s="280"/>
      <c r="F100" s="280"/>
      <c r="G100" s="396"/>
      <c r="H100" s="298"/>
      <c r="I100" s="298"/>
      <c r="J100" s="298"/>
      <c r="K100" s="280"/>
    </row>
    <row r="101" spans="1:11" x14ac:dyDescent="0.25">
      <c r="A101" s="280"/>
      <c r="B101" s="280"/>
      <c r="C101" s="280"/>
      <c r="D101" s="280"/>
      <c r="E101" s="280"/>
      <c r="F101" s="280"/>
      <c r="G101" s="396"/>
      <c r="H101" s="298"/>
      <c r="I101" s="298"/>
      <c r="J101" s="298"/>
      <c r="K101" s="280"/>
    </row>
    <row r="102" spans="1:11" x14ac:dyDescent="0.25">
      <c r="A102" s="280"/>
      <c r="B102" s="280"/>
      <c r="C102" s="280"/>
      <c r="D102" s="280"/>
      <c r="E102" s="280"/>
      <c r="F102" s="280"/>
      <c r="G102" s="396"/>
      <c r="H102" s="298"/>
      <c r="I102" s="298"/>
      <c r="J102" s="298"/>
      <c r="K102" s="280"/>
    </row>
    <row r="103" spans="1:11" x14ac:dyDescent="0.25">
      <c r="A103" s="280"/>
      <c r="B103" s="280"/>
      <c r="C103" s="280"/>
      <c r="D103" s="280"/>
      <c r="E103" s="280"/>
      <c r="F103" s="280"/>
      <c r="G103" s="396"/>
      <c r="H103" s="298"/>
      <c r="I103" s="298"/>
      <c r="J103" s="298"/>
      <c r="K103" s="280"/>
    </row>
    <row r="104" spans="1:11" x14ac:dyDescent="0.25">
      <c r="A104" s="280"/>
      <c r="B104" s="280"/>
      <c r="C104" s="280"/>
      <c r="D104" s="280"/>
      <c r="E104" s="280"/>
      <c r="F104" s="280"/>
      <c r="G104" s="396"/>
      <c r="H104" s="298"/>
      <c r="I104" s="298"/>
      <c r="J104" s="298"/>
      <c r="K104" s="280"/>
    </row>
    <row r="105" spans="1:11" x14ac:dyDescent="0.25">
      <c r="A105" s="280"/>
      <c r="B105" s="280"/>
      <c r="C105" s="280"/>
      <c r="D105" s="280"/>
      <c r="E105" s="280"/>
      <c r="F105" s="280"/>
      <c r="G105" s="396"/>
      <c r="H105" s="298"/>
      <c r="I105" s="298"/>
      <c r="J105" s="298"/>
      <c r="K105" s="280"/>
    </row>
    <row r="106" spans="1:11" x14ac:dyDescent="0.25">
      <c r="A106" s="280"/>
      <c r="B106" s="280"/>
      <c r="C106" s="280"/>
      <c r="D106" s="280"/>
      <c r="E106" s="280"/>
      <c r="F106" s="280"/>
      <c r="G106" s="396"/>
      <c r="H106" s="298"/>
      <c r="I106" s="298"/>
      <c r="J106" s="298"/>
      <c r="K106" s="280"/>
    </row>
    <row r="107" spans="1:11" x14ac:dyDescent="0.25">
      <c r="A107" s="280"/>
      <c r="B107" s="280"/>
      <c r="C107" s="280"/>
      <c r="D107" s="280"/>
      <c r="E107" s="280"/>
      <c r="F107" s="280"/>
      <c r="G107" s="396"/>
      <c r="H107" s="298"/>
      <c r="I107" s="298"/>
      <c r="J107" s="298"/>
      <c r="K107" s="280"/>
    </row>
    <row r="108" spans="1:11" x14ac:dyDescent="0.25">
      <c r="A108" s="280"/>
      <c r="B108" s="280"/>
      <c r="C108" s="280"/>
      <c r="D108" s="280"/>
      <c r="E108" s="280"/>
      <c r="F108" s="280"/>
      <c r="G108" s="396"/>
      <c r="H108" s="298"/>
      <c r="I108" s="298"/>
      <c r="J108" s="298"/>
      <c r="K108" s="280"/>
    </row>
    <row r="109" spans="1:11" x14ac:dyDescent="0.25">
      <c r="A109" s="280"/>
      <c r="B109" s="280"/>
      <c r="C109" s="280"/>
      <c r="D109" s="280"/>
      <c r="E109" s="280"/>
      <c r="F109" s="280"/>
      <c r="G109" s="396"/>
      <c r="H109" s="298"/>
      <c r="I109" s="298"/>
      <c r="J109" s="298"/>
      <c r="K109" s="280"/>
    </row>
    <row r="110" spans="1:11" x14ac:dyDescent="0.25">
      <c r="A110" s="280"/>
      <c r="B110" s="280"/>
      <c r="C110" s="280"/>
      <c r="D110" s="280"/>
      <c r="E110" s="280"/>
      <c r="F110" s="280"/>
      <c r="G110" s="396"/>
      <c r="H110" s="298"/>
      <c r="I110" s="298"/>
      <c r="J110" s="298"/>
      <c r="K110" s="280"/>
    </row>
    <row r="111" spans="1:11" x14ac:dyDescent="0.25">
      <c r="A111" s="280"/>
      <c r="B111" s="280"/>
      <c r="C111" s="280"/>
      <c r="D111" s="280"/>
      <c r="E111" s="280"/>
      <c r="F111" s="280"/>
      <c r="G111" s="396"/>
      <c r="H111" s="298"/>
      <c r="I111" s="298"/>
      <c r="J111" s="298"/>
      <c r="K111" s="280"/>
    </row>
    <row r="112" spans="1:11" x14ac:dyDescent="0.25">
      <c r="A112" s="280"/>
      <c r="B112" s="280"/>
      <c r="C112" s="280"/>
      <c r="D112" s="280"/>
      <c r="E112" s="280"/>
      <c r="F112" s="280"/>
      <c r="G112" s="396"/>
      <c r="H112" s="298"/>
      <c r="I112" s="298"/>
      <c r="J112" s="298"/>
      <c r="K112" s="280"/>
    </row>
    <row r="113" spans="1:11" x14ac:dyDescent="0.25">
      <c r="A113" s="280"/>
      <c r="B113" s="280"/>
      <c r="C113" s="280"/>
      <c r="D113" s="280"/>
      <c r="E113" s="280"/>
      <c r="F113" s="280"/>
      <c r="G113" s="396"/>
      <c r="H113" s="298"/>
      <c r="I113" s="298"/>
      <c r="J113" s="298"/>
      <c r="K113" s="280"/>
    </row>
    <row r="114" spans="1:11" x14ac:dyDescent="0.25">
      <c r="A114" s="280"/>
      <c r="B114" s="280"/>
      <c r="C114" s="280"/>
      <c r="D114" s="280"/>
      <c r="E114" s="280"/>
      <c r="F114" s="280"/>
      <c r="G114" s="396"/>
      <c r="H114" s="298"/>
      <c r="I114" s="298"/>
      <c r="J114" s="298"/>
      <c r="K114" s="280"/>
    </row>
    <row r="115" spans="1:11" x14ac:dyDescent="0.25">
      <c r="A115" s="280"/>
      <c r="B115" s="280"/>
      <c r="C115" s="280"/>
      <c r="D115" s="280"/>
      <c r="E115" s="280"/>
      <c r="F115" s="280"/>
      <c r="G115" s="396"/>
      <c r="H115" s="298"/>
      <c r="I115" s="298"/>
      <c r="J115" s="298"/>
      <c r="K115" s="280"/>
    </row>
    <row r="116" spans="1:11" x14ac:dyDescent="0.25">
      <c r="A116" s="280"/>
      <c r="B116" s="280"/>
      <c r="C116" s="280"/>
      <c r="D116" s="280"/>
      <c r="E116" s="280"/>
      <c r="F116" s="280"/>
      <c r="G116" s="396"/>
      <c r="H116" s="298"/>
      <c r="I116" s="298"/>
      <c r="J116" s="298"/>
      <c r="K116" s="280"/>
    </row>
    <row r="117" spans="1:11" x14ac:dyDescent="0.25">
      <c r="A117" s="280"/>
      <c r="B117" s="280"/>
      <c r="C117" s="280"/>
      <c r="D117" s="280"/>
      <c r="E117" s="280"/>
      <c r="F117" s="280"/>
      <c r="G117" s="396"/>
      <c r="H117" s="298"/>
      <c r="I117" s="298"/>
      <c r="J117" s="298"/>
      <c r="K117" s="280"/>
    </row>
    <row r="118" spans="1:11" x14ac:dyDescent="0.25">
      <c r="A118" s="280"/>
      <c r="B118" s="280"/>
      <c r="C118" s="280"/>
      <c r="D118" s="280"/>
      <c r="E118" s="280"/>
      <c r="F118" s="280"/>
      <c r="G118" s="396"/>
      <c r="H118" s="298"/>
      <c r="I118" s="298"/>
      <c r="J118" s="298"/>
      <c r="K118" s="280"/>
    </row>
    <row r="119" spans="1:11" x14ac:dyDescent="0.25">
      <c r="A119" s="280"/>
      <c r="B119" s="280"/>
      <c r="C119" s="280"/>
      <c r="D119" s="280"/>
      <c r="E119" s="280"/>
      <c r="F119" s="280"/>
      <c r="G119" s="396"/>
      <c r="H119" s="298"/>
      <c r="I119" s="298"/>
      <c r="J119" s="298"/>
      <c r="K119" s="280"/>
    </row>
    <row r="120" spans="1:11" x14ac:dyDescent="0.25">
      <c r="A120" s="280"/>
      <c r="B120" s="280"/>
      <c r="C120" s="280"/>
      <c r="D120" s="280"/>
      <c r="E120" s="280"/>
      <c r="F120" s="280"/>
      <c r="G120" s="396"/>
      <c r="H120" s="298"/>
      <c r="I120" s="298"/>
      <c r="J120" s="298"/>
      <c r="K120" s="280"/>
    </row>
    <row r="121" spans="1:11" x14ac:dyDescent="0.25">
      <c r="A121" s="280"/>
      <c r="B121" s="280"/>
      <c r="C121" s="280"/>
      <c r="D121" s="280"/>
      <c r="E121" s="280"/>
      <c r="F121" s="280"/>
      <c r="G121" s="396"/>
      <c r="H121" s="298"/>
      <c r="I121" s="298"/>
      <c r="J121" s="298"/>
      <c r="K121" s="280"/>
    </row>
    <row r="122" spans="1:11" x14ac:dyDescent="0.25">
      <c r="A122" s="280"/>
      <c r="B122" s="280"/>
      <c r="C122" s="280"/>
      <c r="D122" s="280"/>
      <c r="E122" s="280"/>
      <c r="F122" s="280"/>
      <c r="G122" s="396"/>
      <c r="H122" s="298"/>
      <c r="I122" s="298"/>
      <c r="J122" s="298"/>
      <c r="K122" s="280"/>
    </row>
    <row r="123" spans="1:11" x14ac:dyDescent="0.25">
      <c r="A123" s="280"/>
      <c r="B123" s="280"/>
      <c r="C123" s="280"/>
      <c r="D123" s="280"/>
      <c r="E123" s="280"/>
      <c r="F123" s="280"/>
      <c r="G123" s="396"/>
      <c r="H123" s="298"/>
      <c r="I123" s="298"/>
      <c r="J123" s="298"/>
      <c r="K123" s="280"/>
    </row>
    <row r="124" spans="1:11" x14ac:dyDescent="0.25">
      <c r="A124" s="280"/>
      <c r="B124" s="280"/>
      <c r="C124" s="280"/>
      <c r="D124" s="280"/>
      <c r="E124" s="280"/>
      <c r="F124" s="280"/>
      <c r="G124" s="396"/>
      <c r="H124" s="298"/>
      <c r="I124" s="298"/>
      <c r="J124" s="298"/>
      <c r="K124" s="280"/>
    </row>
    <row r="125" spans="1:11" x14ac:dyDescent="0.25">
      <c r="A125" s="280"/>
      <c r="B125" s="280"/>
      <c r="C125" s="280"/>
      <c r="D125" s="280"/>
      <c r="E125" s="280"/>
      <c r="F125" s="280"/>
      <c r="G125" s="396"/>
      <c r="H125" s="298"/>
      <c r="I125" s="298"/>
      <c r="J125" s="298"/>
      <c r="K125" s="280"/>
    </row>
    <row r="126" spans="1:11" x14ac:dyDescent="0.25">
      <c r="A126" s="280"/>
      <c r="B126" s="280"/>
      <c r="C126" s="280"/>
      <c r="D126" s="280"/>
      <c r="E126" s="280"/>
      <c r="F126" s="280"/>
      <c r="G126" s="396"/>
      <c r="H126" s="298"/>
      <c r="I126" s="298"/>
      <c r="J126" s="298"/>
      <c r="K126" s="280"/>
    </row>
    <row r="127" spans="1:11" x14ac:dyDescent="0.25">
      <c r="A127" s="280"/>
      <c r="B127" s="280"/>
      <c r="C127" s="280"/>
      <c r="D127" s="280"/>
      <c r="E127" s="280"/>
      <c r="F127" s="280"/>
      <c r="G127" s="396"/>
      <c r="H127" s="298"/>
      <c r="I127" s="298"/>
      <c r="J127" s="298"/>
      <c r="K127" s="280"/>
    </row>
    <row r="128" spans="1:11" x14ac:dyDescent="0.25">
      <c r="A128" s="280"/>
      <c r="B128" s="280"/>
      <c r="C128" s="280"/>
      <c r="D128" s="280"/>
      <c r="E128" s="280"/>
      <c r="F128" s="280"/>
      <c r="G128" s="396"/>
      <c r="H128" s="298"/>
      <c r="I128" s="298"/>
      <c r="J128" s="298"/>
      <c r="K128" s="280"/>
    </row>
    <row r="129" spans="1:11" x14ac:dyDescent="0.25">
      <c r="A129" s="280"/>
      <c r="B129" s="280"/>
      <c r="C129" s="280"/>
      <c r="D129" s="280"/>
      <c r="E129" s="280"/>
      <c r="F129" s="280"/>
      <c r="G129" s="396"/>
      <c r="H129" s="298"/>
      <c r="I129" s="298"/>
      <c r="J129" s="298"/>
      <c r="K129" s="280"/>
    </row>
    <row r="130" spans="1:11" x14ac:dyDescent="0.25">
      <c r="A130" s="280"/>
      <c r="B130" s="280"/>
      <c r="C130" s="280"/>
      <c r="D130" s="280"/>
      <c r="E130" s="280"/>
      <c r="F130" s="280"/>
      <c r="G130" s="396"/>
      <c r="H130" s="298"/>
      <c r="I130" s="298"/>
      <c r="J130" s="298"/>
      <c r="K130" s="280"/>
    </row>
    <row r="131" spans="1:11" x14ac:dyDescent="0.25">
      <c r="A131" s="280"/>
      <c r="B131" s="280"/>
      <c r="C131" s="280"/>
      <c r="D131" s="280"/>
      <c r="E131" s="280"/>
      <c r="F131" s="280"/>
      <c r="G131" s="396"/>
      <c r="H131" s="298"/>
      <c r="I131" s="298"/>
      <c r="J131" s="298"/>
      <c r="K131" s="280"/>
    </row>
    <row r="132" spans="1:11" x14ac:dyDescent="0.25">
      <c r="A132" s="280"/>
      <c r="B132" s="280"/>
      <c r="C132" s="280"/>
      <c r="D132" s="280"/>
      <c r="E132" s="280"/>
      <c r="F132" s="280"/>
      <c r="G132" s="396"/>
      <c r="H132" s="298"/>
      <c r="I132" s="298"/>
      <c r="J132" s="298"/>
      <c r="K132" s="280"/>
    </row>
    <row r="133" spans="1:11" x14ac:dyDescent="0.25">
      <c r="A133" s="280"/>
      <c r="B133" s="280"/>
      <c r="C133" s="280"/>
      <c r="D133" s="280"/>
      <c r="E133" s="280"/>
      <c r="F133" s="280"/>
      <c r="G133" s="396"/>
      <c r="H133" s="298"/>
      <c r="I133" s="298"/>
      <c r="J133" s="298"/>
      <c r="K133" s="280"/>
    </row>
    <row r="134" spans="1:11" x14ac:dyDescent="0.25">
      <c r="A134" s="280"/>
      <c r="B134" s="280"/>
      <c r="C134" s="280"/>
      <c r="D134" s="280"/>
      <c r="E134" s="280"/>
      <c r="F134" s="280"/>
      <c r="G134" s="396"/>
      <c r="H134" s="298"/>
      <c r="I134" s="298"/>
      <c r="J134" s="298"/>
      <c r="K134" s="280"/>
    </row>
    <row r="135" spans="1:11" x14ac:dyDescent="0.25">
      <c r="A135" s="280"/>
      <c r="B135" s="280"/>
      <c r="C135" s="280"/>
      <c r="D135" s="280"/>
      <c r="E135" s="280"/>
      <c r="F135" s="280"/>
      <c r="G135" s="396"/>
      <c r="H135" s="298"/>
      <c r="I135" s="298"/>
      <c r="J135" s="298"/>
      <c r="K135" s="280"/>
    </row>
    <row r="136" spans="1:11" x14ac:dyDescent="0.25">
      <c r="A136" s="280"/>
      <c r="B136" s="280"/>
      <c r="C136" s="280"/>
      <c r="D136" s="280"/>
      <c r="E136" s="280"/>
      <c r="F136" s="280"/>
      <c r="G136" s="396"/>
      <c r="H136" s="298"/>
      <c r="I136" s="298"/>
      <c r="J136" s="298"/>
      <c r="K136" s="280"/>
    </row>
    <row r="137" spans="1:11" x14ac:dyDescent="0.25">
      <c r="A137" s="280"/>
      <c r="B137" s="280"/>
      <c r="C137" s="280"/>
      <c r="D137" s="280"/>
      <c r="E137" s="280"/>
      <c r="F137" s="280"/>
      <c r="G137" s="396"/>
      <c r="H137" s="298"/>
      <c r="I137" s="298"/>
      <c r="J137" s="298"/>
      <c r="K137" s="280"/>
    </row>
    <row r="138" spans="1:11" x14ac:dyDescent="0.25">
      <c r="A138" s="280"/>
      <c r="B138" s="280"/>
      <c r="C138" s="280"/>
      <c r="D138" s="280"/>
      <c r="E138" s="280"/>
      <c r="F138" s="280"/>
      <c r="G138" s="396"/>
      <c r="H138" s="298"/>
      <c r="I138" s="298"/>
      <c r="J138" s="298"/>
      <c r="K138" s="280"/>
    </row>
    <row r="139" spans="1:11" x14ac:dyDescent="0.25">
      <c r="A139" s="280"/>
      <c r="B139" s="280"/>
      <c r="C139" s="280"/>
      <c r="D139" s="280"/>
      <c r="E139" s="280"/>
      <c r="F139" s="280"/>
      <c r="G139" s="396"/>
      <c r="H139" s="298"/>
      <c r="I139" s="298"/>
      <c r="J139" s="298"/>
      <c r="K139" s="280"/>
    </row>
    <row r="140" spans="1:11" x14ac:dyDescent="0.25">
      <c r="A140" s="280"/>
      <c r="B140" s="280"/>
      <c r="C140" s="280"/>
      <c r="D140" s="280"/>
      <c r="E140" s="280"/>
      <c r="F140" s="280"/>
      <c r="G140" s="396"/>
      <c r="H140" s="298"/>
      <c r="I140" s="298"/>
      <c r="J140" s="298"/>
      <c r="K140" s="280"/>
    </row>
    <row r="141" spans="1:11" x14ac:dyDescent="0.25">
      <c r="A141" s="280"/>
      <c r="B141" s="280"/>
      <c r="C141" s="280"/>
      <c r="D141" s="280"/>
      <c r="E141" s="280"/>
      <c r="F141" s="280"/>
      <c r="G141" s="396"/>
      <c r="H141" s="298"/>
      <c r="I141" s="298"/>
      <c r="J141" s="298"/>
      <c r="K141" s="280"/>
    </row>
    <row r="142" spans="1:11" x14ac:dyDescent="0.25">
      <c r="A142" s="280"/>
      <c r="B142" s="280"/>
      <c r="C142" s="280"/>
      <c r="D142" s="280"/>
      <c r="E142" s="280"/>
      <c r="F142" s="280"/>
      <c r="G142" s="396"/>
      <c r="H142" s="298"/>
      <c r="I142" s="298"/>
      <c r="J142" s="298"/>
      <c r="K142" s="280"/>
    </row>
    <row r="143" spans="1:11" x14ac:dyDescent="0.25">
      <c r="A143" s="280"/>
      <c r="B143" s="280"/>
      <c r="C143" s="280"/>
      <c r="D143" s="280"/>
      <c r="E143" s="280"/>
      <c r="F143" s="280"/>
      <c r="G143" s="396"/>
      <c r="H143" s="298"/>
      <c r="I143" s="298"/>
      <c r="J143" s="298"/>
      <c r="K143" s="280"/>
    </row>
    <row r="144" spans="1:11" x14ac:dyDescent="0.25">
      <c r="A144" s="280"/>
      <c r="B144" s="280"/>
      <c r="C144" s="280"/>
      <c r="D144" s="280"/>
      <c r="E144" s="280"/>
      <c r="F144" s="280"/>
      <c r="G144" s="396"/>
      <c r="H144" s="298"/>
      <c r="I144" s="298"/>
      <c r="J144" s="298"/>
      <c r="K144" s="280"/>
    </row>
    <row r="145" spans="1:11" x14ac:dyDescent="0.25">
      <c r="A145" s="280"/>
      <c r="B145" s="280"/>
      <c r="C145" s="280"/>
      <c r="D145" s="280"/>
      <c r="E145" s="280"/>
      <c r="F145" s="280"/>
      <c r="G145" s="396"/>
      <c r="H145" s="298"/>
      <c r="I145" s="298"/>
      <c r="J145" s="298"/>
      <c r="K145" s="280"/>
    </row>
    <row r="146" spans="1:11" x14ac:dyDescent="0.25">
      <c r="A146" s="280"/>
      <c r="B146" s="280"/>
      <c r="C146" s="280"/>
      <c r="D146" s="280"/>
      <c r="E146" s="280"/>
      <c r="F146" s="280"/>
      <c r="G146" s="396"/>
      <c r="H146" s="298"/>
      <c r="I146" s="298"/>
      <c r="J146" s="298"/>
      <c r="K146" s="280"/>
    </row>
    <row r="147" spans="1:11" x14ac:dyDescent="0.25">
      <c r="A147" s="280"/>
      <c r="B147" s="280"/>
      <c r="C147" s="280"/>
      <c r="D147" s="280"/>
      <c r="E147" s="280"/>
      <c r="F147" s="280"/>
      <c r="G147" s="396"/>
      <c r="H147" s="298"/>
      <c r="I147" s="298"/>
      <c r="J147" s="298"/>
      <c r="K147" s="280"/>
    </row>
    <row r="148" spans="1:11" x14ac:dyDescent="0.25">
      <c r="A148" s="280"/>
      <c r="B148" s="280"/>
      <c r="C148" s="280"/>
      <c r="D148" s="280"/>
      <c r="E148" s="280"/>
      <c r="F148" s="280"/>
      <c r="G148" s="396"/>
      <c r="H148" s="298"/>
      <c r="I148" s="298"/>
      <c r="J148" s="298"/>
      <c r="K148" s="280"/>
    </row>
    <row r="149" spans="1:11" x14ac:dyDescent="0.25">
      <c r="A149" s="280"/>
      <c r="B149" s="280"/>
      <c r="C149" s="280"/>
      <c r="D149" s="280"/>
      <c r="E149" s="280"/>
      <c r="F149" s="280"/>
      <c r="G149" s="396"/>
      <c r="H149" s="298"/>
      <c r="I149" s="298"/>
      <c r="J149" s="298"/>
      <c r="K149" s="280"/>
    </row>
    <row r="150" spans="1:11" x14ac:dyDescent="0.25">
      <c r="A150" s="280"/>
      <c r="B150" s="280"/>
      <c r="C150" s="280"/>
      <c r="D150" s="280"/>
      <c r="E150" s="280"/>
      <c r="F150" s="280"/>
      <c r="G150" s="396"/>
      <c r="H150" s="298"/>
      <c r="I150" s="298"/>
      <c r="J150" s="298"/>
      <c r="K150" s="280"/>
    </row>
    <row r="151" spans="1:11" x14ac:dyDescent="0.25">
      <c r="A151" s="280"/>
      <c r="B151" s="280"/>
      <c r="C151" s="280"/>
      <c r="D151" s="280"/>
      <c r="E151" s="280"/>
      <c r="F151" s="280"/>
      <c r="G151" s="396"/>
      <c r="H151" s="298"/>
      <c r="I151" s="298"/>
      <c r="J151" s="298"/>
      <c r="K151" s="280"/>
    </row>
    <row r="152" spans="1:11" x14ac:dyDescent="0.25">
      <c r="A152" s="280"/>
      <c r="B152" s="280"/>
      <c r="C152" s="280"/>
      <c r="D152" s="280"/>
      <c r="E152" s="280"/>
      <c r="F152" s="280"/>
      <c r="G152" s="396"/>
      <c r="H152" s="298"/>
      <c r="I152" s="298"/>
      <c r="J152" s="298"/>
      <c r="K152" s="280"/>
    </row>
    <row r="153" spans="1:11" x14ac:dyDescent="0.25">
      <c r="A153" s="280"/>
      <c r="B153" s="280"/>
      <c r="C153" s="280"/>
      <c r="D153" s="280"/>
      <c r="E153" s="280"/>
      <c r="F153" s="280"/>
      <c r="G153" s="396"/>
      <c r="H153" s="298"/>
      <c r="I153" s="298"/>
      <c r="J153" s="298"/>
      <c r="K153" s="280"/>
    </row>
    <row r="154" spans="1:11" x14ac:dyDescent="0.25">
      <c r="A154" s="280"/>
      <c r="B154" s="280"/>
      <c r="C154" s="280"/>
      <c r="D154" s="280"/>
      <c r="E154" s="280"/>
      <c r="F154" s="280"/>
      <c r="G154" s="396"/>
      <c r="H154" s="298"/>
      <c r="I154" s="298"/>
      <c r="J154" s="298"/>
      <c r="K154" s="280"/>
    </row>
    <row r="155" spans="1:11" x14ac:dyDescent="0.25">
      <c r="A155" s="280"/>
      <c r="B155" s="280"/>
      <c r="C155" s="280"/>
      <c r="D155" s="280"/>
      <c r="E155" s="280"/>
      <c r="F155" s="280"/>
      <c r="G155" s="396"/>
      <c r="H155" s="298"/>
      <c r="I155" s="298"/>
      <c r="J155" s="298"/>
      <c r="K155" s="280"/>
    </row>
    <row r="156" spans="1:11" x14ac:dyDescent="0.25">
      <c r="A156" s="280"/>
      <c r="B156" s="280"/>
      <c r="C156" s="280"/>
      <c r="D156" s="280"/>
      <c r="E156" s="280"/>
      <c r="F156" s="280"/>
      <c r="G156" s="396"/>
      <c r="H156" s="298"/>
      <c r="I156" s="298"/>
      <c r="J156" s="298"/>
      <c r="K156" s="280"/>
    </row>
    <row r="157" spans="1:11" x14ac:dyDescent="0.25">
      <c r="A157" s="280"/>
      <c r="B157" s="280"/>
      <c r="C157" s="280"/>
      <c r="D157" s="280"/>
      <c r="E157" s="280"/>
      <c r="F157" s="280"/>
      <c r="G157" s="396"/>
      <c r="H157" s="298"/>
      <c r="I157" s="298"/>
      <c r="J157" s="298"/>
      <c r="K157" s="280"/>
    </row>
    <row r="158" spans="1:11" x14ac:dyDescent="0.25">
      <c r="A158" s="280"/>
      <c r="B158" s="280"/>
      <c r="C158" s="280"/>
      <c r="D158" s="280"/>
      <c r="E158" s="280"/>
      <c r="F158" s="280"/>
      <c r="G158" s="396"/>
      <c r="H158" s="298"/>
      <c r="I158" s="298"/>
      <c r="J158" s="298"/>
      <c r="K158" s="280"/>
    </row>
    <row r="159" spans="1:11" x14ac:dyDescent="0.25">
      <c r="A159" s="280"/>
      <c r="B159" s="280"/>
      <c r="C159" s="280"/>
      <c r="D159" s="280"/>
      <c r="E159" s="280"/>
      <c r="F159" s="280"/>
      <c r="G159" s="396"/>
      <c r="H159" s="298"/>
      <c r="I159" s="298"/>
      <c r="J159" s="298"/>
      <c r="K159" s="280"/>
    </row>
    <row r="160" spans="1:11" x14ac:dyDescent="0.25">
      <c r="A160" s="280"/>
      <c r="B160" s="280"/>
      <c r="C160" s="280"/>
      <c r="D160" s="280"/>
      <c r="E160" s="280"/>
      <c r="F160" s="280"/>
      <c r="G160" s="396"/>
      <c r="H160" s="298"/>
      <c r="I160" s="298"/>
      <c r="J160" s="298"/>
      <c r="K160" s="280"/>
    </row>
    <row r="161" spans="1:11" x14ac:dyDescent="0.25">
      <c r="A161" s="280"/>
      <c r="B161" s="280"/>
      <c r="C161" s="280"/>
      <c r="D161" s="280"/>
      <c r="E161" s="280"/>
      <c r="F161" s="280"/>
      <c r="G161" s="396"/>
      <c r="H161" s="298"/>
      <c r="I161" s="298"/>
      <c r="J161" s="298"/>
      <c r="K161" s="280"/>
    </row>
    <row r="162" spans="1:11" x14ac:dyDescent="0.25">
      <c r="A162" s="280"/>
      <c r="B162" s="280"/>
      <c r="C162" s="280"/>
      <c r="D162" s="280"/>
      <c r="E162" s="280"/>
      <c r="F162" s="280"/>
      <c r="G162" s="396"/>
      <c r="H162" s="298"/>
      <c r="I162" s="298"/>
      <c r="J162" s="298"/>
      <c r="K162" s="280"/>
    </row>
    <row r="163" spans="1:11" x14ac:dyDescent="0.25">
      <c r="A163" s="280"/>
      <c r="B163" s="280"/>
      <c r="C163" s="280"/>
      <c r="D163" s="280"/>
      <c r="E163" s="280"/>
      <c r="F163" s="280"/>
      <c r="G163" s="396"/>
      <c r="H163" s="298"/>
      <c r="I163" s="298"/>
      <c r="J163" s="298"/>
      <c r="K163" s="280"/>
    </row>
    <row r="164" spans="1:11" x14ac:dyDescent="0.25">
      <c r="A164" s="280"/>
      <c r="B164" s="280"/>
      <c r="C164" s="280"/>
      <c r="D164" s="280"/>
      <c r="E164" s="280"/>
      <c r="F164" s="280"/>
      <c r="G164" s="396"/>
      <c r="H164" s="298"/>
      <c r="I164" s="298"/>
      <c r="J164" s="298"/>
      <c r="K164" s="280"/>
    </row>
    <row r="165" spans="1:11" x14ac:dyDescent="0.25">
      <c r="A165" s="280"/>
      <c r="B165" s="280"/>
      <c r="C165" s="280"/>
      <c r="D165" s="280"/>
      <c r="E165" s="280"/>
      <c r="F165" s="280"/>
      <c r="G165" s="396"/>
      <c r="H165" s="298"/>
      <c r="I165" s="298"/>
      <c r="J165" s="298"/>
      <c r="K165" s="280"/>
    </row>
    <row r="166" spans="1:11" x14ac:dyDescent="0.25">
      <c r="A166" s="280"/>
      <c r="B166" s="280"/>
      <c r="C166" s="280"/>
      <c r="D166" s="280"/>
      <c r="E166" s="280"/>
      <c r="F166" s="280"/>
      <c r="G166" s="396"/>
      <c r="H166" s="298"/>
      <c r="I166" s="298"/>
      <c r="J166" s="298"/>
      <c r="K166" s="280"/>
    </row>
    <row r="167" spans="1:11" x14ac:dyDescent="0.25">
      <c r="A167" s="280"/>
      <c r="B167" s="280"/>
      <c r="C167" s="280"/>
      <c r="D167" s="280"/>
      <c r="E167" s="280"/>
      <c r="F167" s="280"/>
      <c r="G167" s="396"/>
      <c r="H167" s="298"/>
      <c r="I167" s="298"/>
      <c r="J167" s="298"/>
      <c r="K167" s="280"/>
    </row>
    <row r="168" spans="1:11" x14ac:dyDescent="0.25">
      <c r="A168" s="280"/>
      <c r="B168" s="280"/>
      <c r="C168" s="280"/>
      <c r="D168" s="280"/>
      <c r="E168" s="280"/>
      <c r="F168" s="280"/>
      <c r="G168" s="396"/>
      <c r="H168" s="298"/>
      <c r="I168" s="298"/>
      <c r="J168" s="298"/>
      <c r="K168" s="280"/>
    </row>
    <row r="169" spans="1:11" x14ac:dyDescent="0.25">
      <c r="A169" s="280"/>
      <c r="B169" s="280"/>
      <c r="C169" s="280"/>
      <c r="D169" s="280"/>
      <c r="E169" s="280"/>
      <c r="F169" s="280"/>
      <c r="G169" s="396"/>
      <c r="H169" s="298"/>
      <c r="I169" s="298"/>
      <c r="J169" s="298"/>
      <c r="K169" s="280"/>
    </row>
    <row r="170" spans="1:11" x14ac:dyDescent="0.25">
      <c r="A170" s="280"/>
      <c r="B170" s="280"/>
      <c r="C170" s="280"/>
      <c r="D170" s="280"/>
      <c r="E170" s="280"/>
      <c r="F170" s="280"/>
      <c r="G170" s="396"/>
      <c r="H170" s="298"/>
      <c r="I170" s="298"/>
      <c r="J170" s="298"/>
      <c r="K170" s="280"/>
    </row>
    <row r="171" spans="1:11" x14ac:dyDescent="0.25">
      <c r="A171" s="280"/>
      <c r="B171" s="280"/>
      <c r="C171" s="280"/>
      <c r="D171" s="280"/>
      <c r="E171" s="280"/>
      <c r="F171" s="280"/>
      <c r="G171" s="396"/>
      <c r="H171" s="298"/>
      <c r="I171" s="298"/>
      <c r="J171" s="298"/>
      <c r="K171" s="280"/>
    </row>
    <row r="172" spans="1:11" x14ac:dyDescent="0.25">
      <c r="A172" s="280"/>
      <c r="B172" s="280"/>
      <c r="C172" s="280"/>
      <c r="D172" s="280"/>
      <c r="E172" s="280"/>
      <c r="F172" s="280"/>
      <c r="G172" s="396"/>
      <c r="H172" s="298"/>
      <c r="I172" s="298"/>
      <c r="J172" s="298"/>
      <c r="K172" s="280"/>
    </row>
    <row r="173" spans="1:11" x14ac:dyDescent="0.25">
      <c r="A173" s="280"/>
      <c r="B173" s="280"/>
      <c r="C173" s="280"/>
      <c r="D173" s="280"/>
      <c r="E173" s="280"/>
      <c r="F173" s="280"/>
      <c r="G173" s="396"/>
      <c r="H173" s="298"/>
      <c r="I173" s="298"/>
      <c r="J173" s="298"/>
      <c r="K173" s="280"/>
    </row>
    <row r="174" spans="1:11" x14ac:dyDescent="0.25">
      <c r="A174" s="280"/>
      <c r="B174" s="280"/>
      <c r="C174" s="280"/>
      <c r="D174" s="280"/>
      <c r="E174" s="280"/>
      <c r="F174" s="280"/>
      <c r="G174" s="396"/>
      <c r="H174" s="298"/>
      <c r="I174" s="298"/>
      <c r="J174" s="298"/>
      <c r="K174" s="280"/>
    </row>
    <row r="175" spans="1:11" x14ac:dyDescent="0.25">
      <c r="A175" s="280"/>
      <c r="B175" s="280"/>
      <c r="C175" s="280"/>
      <c r="D175" s="280"/>
      <c r="E175" s="280"/>
      <c r="F175" s="280"/>
      <c r="G175" s="396"/>
      <c r="H175" s="298"/>
      <c r="I175" s="298"/>
      <c r="J175" s="298"/>
      <c r="K175" s="280"/>
    </row>
    <row r="176" spans="1:11" x14ac:dyDescent="0.25">
      <c r="A176" s="280"/>
      <c r="B176" s="280"/>
      <c r="C176" s="280"/>
      <c r="D176" s="280"/>
      <c r="E176" s="280"/>
      <c r="F176" s="280"/>
      <c r="G176" s="396"/>
      <c r="H176" s="298"/>
      <c r="I176" s="298"/>
      <c r="J176" s="298"/>
      <c r="K176" s="280"/>
    </row>
    <row r="177" spans="1:11" x14ac:dyDescent="0.25">
      <c r="A177" s="280"/>
      <c r="B177" s="280"/>
      <c r="C177" s="280"/>
      <c r="D177" s="280"/>
      <c r="E177" s="280"/>
      <c r="F177" s="280"/>
      <c r="G177" s="396"/>
      <c r="H177" s="298"/>
      <c r="I177" s="298"/>
      <c r="J177" s="298"/>
      <c r="K177" s="280"/>
    </row>
    <row r="178" spans="1:11" x14ac:dyDescent="0.25">
      <c r="A178" s="280"/>
      <c r="B178" s="280"/>
      <c r="C178" s="280"/>
      <c r="D178" s="280"/>
      <c r="E178" s="280"/>
      <c r="F178" s="280"/>
      <c r="G178" s="396"/>
      <c r="H178" s="298"/>
      <c r="I178" s="298"/>
      <c r="J178" s="298"/>
      <c r="K178" s="280"/>
    </row>
    <row r="179" spans="1:11" x14ac:dyDescent="0.25">
      <c r="A179" s="280"/>
      <c r="B179" s="280"/>
      <c r="C179" s="280"/>
      <c r="D179" s="280"/>
      <c r="E179" s="280"/>
      <c r="F179" s="280"/>
      <c r="G179" s="396"/>
      <c r="H179" s="298"/>
      <c r="I179" s="298"/>
      <c r="J179" s="298"/>
      <c r="K179" s="280"/>
    </row>
    <row r="180" spans="1:11" x14ac:dyDescent="0.25">
      <c r="A180" s="280"/>
      <c r="B180" s="280"/>
      <c r="C180" s="280"/>
      <c r="D180" s="280"/>
      <c r="E180" s="280"/>
      <c r="F180" s="280"/>
      <c r="G180" s="396"/>
      <c r="H180" s="298"/>
      <c r="I180" s="298"/>
      <c r="J180" s="298"/>
      <c r="K180" s="280"/>
    </row>
    <row r="181" spans="1:11" x14ac:dyDescent="0.25">
      <c r="A181" s="280"/>
      <c r="B181" s="280"/>
      <c r="C181" s="280"/>
      <c r="D181" s="280"/>
      <c r="E181" s="280"/>
      <c r="F181" s="280"/>
      <c r="G181" s="396"/>
      <c r="H181" s="298"/>
      <c r="I181" s="298"/>
      <c r="J181" s="298"/>
      <c r="K181" s="280"/>
    </row>
    <row r="182" spans="1:11" x14ac:dyDescent="0.25">
      <c r="A182" s="280"/>
      <c r="B182" s="280"/>
      <c r="C182" s="280"/>
      <c r="D182" s="280"/>
      <c r="E182" s="280"/>
      <c r="F182" s="280"/>
      <c r="G182" s="396"/>
      <c r="H182" s="298"/>
      <c r="I182" s="298"/>
      <c r="J182" s="298"/>
      <c r="K182" s="280"/>
    </row>
    <row r="183" spans="1:11" x14ac:dyDescent="0.25">
      <c r="A183" s="280"/>
      <c r="B183" s="280"/>
      <c r="C183" s="280"/>
      <c r="D183" s="280"/>
      <c r="E183" s="280"/>
      <c r="F183" s="280"/>
      <c r="G183" s="396"/>
      <c r="H183" s="298"/>
      <c r="I183" s="298"/>
      <c r="J183" s="298"/>
      <c r="K183" s="280"/>
    </row>
    <row r="184" spans="1:11" x14ac:dyDescent="0.25">
      <c r="A184" s="280"/>
      <c r="B184" s="280"/>
      <c r="C184" s="280"/>
      <c r="D184" s="280"/>
      <c r="E184" s="280"/>
      <c r="F184" s="280"/>
      <c r="G184" s="396"/>
      <c r="H184" s="298"/>
      <c r="I184" s="298"/>
      <c r="J184" s="298"/>
      <c r="K184" s="280"/>
    </row>
    <row r="185" spans="1:11" x14ac:dyDescent="0.25">
      <c r="A185" s="280"/>
      <c r="B185" s="280"/>
      <c r="C185" s="280"/>
      <c r="D185" s="280"/>
      <c r="E185" s="280"/>
      <c r="F185" s="280"/>
      <c r="G185" s="396"/>
      <c r="H185" s="298"/>
      <c r="I185" s="298"/>
      <c r="J185" s="298"/>
      <c r="K185" s="280"/>
    </row>
    <row r="186" spans="1:11" x14ac:dyDescent="0.25">
      <c r="A186" s="280"/>
      <c r="B186" s="280"/>
      <c r="C186" s="280"/>
      <c r="D186" s="280"/>
      <c r="E186" s="280"/>
      <c r="F186" s="280"/>
      <c r="G186" s="396"/>
      <c r="H186" s="298"/>
      <c r="I186" s="298"/>
      <c r="J186" s="298"/>
      <c r="K186" s="280"/>
    </row>
    <row r="187" spans="1:11" x14ac:dyDescent="0.25">
      <c r="A187" s="280"/>
      <c r="B187" s="280"/>
      <c r="C187" s="280"/>
      <c r="D187" s="280"/>
      <c r="E187" s="280"/>
      <c r="F187" s="280"/>
      <c r="G187" s="396"/>
      <c r="H187" s="298"/>
      <c r="I187" s="298"/>
      <c r="J187" s="298"/>
      <c r="K187" s="280"/>
    </row>
    <row r="188" spans="1:11" x14ac:dyDescent="0.25">
      <c r="A188" s="280"/>
      <c r="B188" s="280"/>
      <c r="C188" s="280"/>
      <c r="D188" s="280"/>
      <c r="E188" s="280"/>
      <c r="F188" s="280"/>
      <c r="G188" s="396"/>
      <c r="H188" s="298"/>
      <c r="I188" s="298"/>
      <c r="J188" s="298"/>
      <c r="K188" s="280"/>
    </row>
    <row r="189" spans="1:11" x14ac:dyDescent="0.25">
      <c r="A189" s="280"/>
      <c r="B189" s="280"/>
      <c r="C189" s="280"/>
      <c r="D189" s="280"/>
      <c r="E189" s="280"/>
      <c r="F189" s="280"/>
      <c r="G189" s="396"/>
      <c r="H189" s="298"/>
      <c r="I189" s="298"/>
      <c r="J189" s="298"/>
      <c r="K189" s="280"/>
    </row>
    <row r="190" spans="1:11" x14ac:dyDescent="0.25">
      <c r="A190" s="280"/>
      <c r="B190" s="280"/>
      <c r="C190" s="280"/>
      <c r="D190" s="280"/>
      <c r="E190" s="280"/>
      <c r="F190" s="280"/>
      <c r="G190" s="396"/>
      <c r="H190" s="298"/>
      <c r="I190" s="298"/>
      <c r="J190" s="298"/>
      <c r="K190" s="280"/>
    </row>
    <row r="191" spans="1:11" x14ac:dyDescent="0.25">
      <c r="A191" s="280"/>
      <c r="B191" s="280"/>
      <c r="C191" s="280"/>
      <c r="D191" s="280"/>
      <c r="E191" s="280"/>
      <c r="F191" s="280"/>
      <c r="G191" s="396"/>
      <c r="H191" s="298"/>
      <c r="I191" s="298"/>
      <c r="J191" s="298"/>
      <c r="K191" s="280"/>
    </row>
    <row r="192" spans="1:11" x14ac:dyDescent="0.25">
      <c r="A192" s="280"/>
      <c r="B192" s="280"/>
      <c r="C192" s="280"/>
      <c r="D192" s="280"/>
      <c r="E192" s="280"/>
      <c r="F192" s="280"/>
      <c r="G192" s="396"/>
      <c r="H192" s="298"/>
      <c r="I192" s="298"/>
      <c r="J192" s="298"/>
      <c r="K192" s="280"/>
    </row>
    <row r="193" spans="1:11" x14ac:dyDescent="0.25">
      <c r="A193" s="280"/>
      <c r="B193" s="280"/>
      <c r="C193" s="280"/>
      <c r="D193" s="280"/>
      <c r="E193" s="280"/>
      <c r="F193" s="280"/>
      <c r="G193" s="396"/>
      <c r="H193" s="298"/>
      <c r="I193" s="298"/>
      <c r="J193" s="298"/>
      <c r="K193" s="280"/>
    </row>
    <row r="194" spans="1:11" x14ac:dyDescent="0.25">
      <c r="A194" s="280"/>
      <c r="B194" s="280"/>
      <c r="C194" s="280"/>
      <c r="D194" s="280"/>
      <c r="E194" s="280"/>
      <c r="F194" s="280"/>
      <c r="G194" s="396"/>
      <c r="H194" s="298"/>
      <c r="I194" s="298"/>
      <c r="J194" s="298"/>
      <c r="K194" s="280"/>
    </row>
    <row r="195" spans="1:11" x14ac:dyDescent="0.25">
      <c r="A195" s="280"/>
      <c r="B195" s="280"/>
      <c r="C195" s="280"/>
      <c r="D195" s="280"/>
      <c r="E195" s="280"/>
      <c r="F195" s="280"/>
      <c r="G195" s="396"/>
      <c r="H195" s="298"/>
      <c r="I195" s="298"/>
      <c r="J195" s="298"/>
      <c r="K195" s="280"/>
    </row>
    <row r="196" spans="1:11" x14ac:dyDescent="0.25">
      <c r="A196" s="280"/>
      <c r="B196" s="280"/>
      <c r="C196" s="280"/>
      <c r="D196" s="280"/>
      <c r="E196" s="280"/>
      <c r="F196" s="280"/>
      <c r="G196" s="396"/>
      <c r="H196" s="298"/>
      <c r="I196" s="298"/>
      <c r="J196" s="298"/>
      <c r="K196" s="280"/>
    </row>
    <row r="197" spans="1:11" x14ac:dyDescent="0.25">
      <c r="A197" s="280"/>
      <c r="B197" s="280"/>
      <c r="C197" s="280"/>
      <c r="D197" s="280"/>
      <c r="E197" s="280"/>
      <c r="F197" s="280"/>
      <c r="G197" s="396"/>
      <c r="H197" s="298"/>
      <c r="I197" s="298"/>
      <c r="J197" s="298"/>
      <c r="K197" s="280"/>
    </row>
    <row r="198" spans="1:11" x14ac:dyDescent="0.25">
      <c r="A198" s="280"/>
      <c r="B198" s="280"/>
      <c r="C198" s="280"/>
      <c r="D198" s="280"/>
      <c r="E198" s="280"/>
      <c r="F198" s="280"/>
      <c r="G198" s="396"/>
      <c r="H198" s="298"/>
      <c r="I198" s="298"/>
      <c r="J198" s="298"/>
      <c r="K198" s="280"/>
    </row>
    <row r="199" spans="1:11" x14ac:dyDescent="0.25">
      <c r="A199" s="280"/>
      <c r="B199" s="280"/>
      <c r="C199" s="280"/>
      <c r="D199" s="280"/>
      <c r="E199" s="280"/>
      <c r="F199" s="280"/>
      <c r="G199" s="396"/>
      <c r="H199" s="298"/>
      <c r="I199" s="298"/>
      <c r="J199" s="298"/>
      <c r="K199" s="280"/>
    </row>
    <row r="200" spans="1:11" x14ac:dyDescent="0.25">
      <c r="A200" s="280"/>
      <c r="B200" s="280"/>
      <c r="C200" s="280"/>
      <c r="D200" s="280"/>
      <c r="E200" s="280"/>
      <c r="F200" s="280"/>
      <c r="G200" s="396"/>
      <c r="H200" s="298"/>
      <c r="I200" s="298"/>
      <c r="J200" s="298"/>
      <c r="K200" s="280"/>
    </row>
    <row r="201" spans="1:11" x14ac:dyDescent="0.25">
      <c r="A201" s="280"/>
      <c r="B201" s="280"/>
      <c r="C201" s="280"/>
      <c r="D201" s="280"/>
      <c r="E201" s="280"/>
      <c r="F201" s="280"/>
      <c r="G201" s="396"/>
      <c r="H201" s="298"/>
      <c r="I201" s="298"/>
      <c r="J201" s="298"/>
      <c r="K201" s="280"/>
    </row>
    <row r="202" spans="1:11" x14ac:dyDescent="0.25">
      <c r="A202" s="280"/>
      <c r="B202" s="280"/>
      <c r="C202" s="280"/>
      <c r="D202" s="280"/>
      <c r="E202" s="280"/>
      <c r="F202" s="280"/>
      <c r="G202" s="396"/>
      <c r="H202" s="298"/>
      <c r="I202" s="298"/>
      <c r="J202" s="298"/>
      <c r="K202" s="280"/>
    </row>
    <row r="203" spans="1:11" x14ac:dyDescent="0.25">
      <c r="A203" s="280"/>
      <c r="B203" s="280"/>
      <c r="C203" s="280"/>
      <c r="D203" s="280"/>
      <c r="E203" s="280"/>
      <c r="F203" s="280"/>
      <c r="G203" s="396"/>
      <c r="H203" s="298"/>
      <c r="I203" s="298"/>
      <c r="J203" s="298"/>
      <c r="K203" s="280"/>
    </row>
    <row r="204" spans="1:11" x14ac:dyDescent="0.25">
      <c r="A204" s="280"/>
      <c r="B204" s="280"/>
      <c r="C204" s="280"/>
      <c r="D204" s="280"/>
      <c r="E204" s="280"/>
      <c r="F204" s="280"/>
      <c r="G204" s="396"/>
      <c r="H204" s="298"/>
      <c r="I204" s="298"/>
      <c r="J204" s="298"/>
      <c r="K204" s="280"/>
    </row>
    <row r="205" spans="1:11" x14ac:dyDescent="0.25">
      <c r="A205" s="280"/>
      <c r="B205" s="280"/>
      <c r="C205" s="280"/>
      <c r="D205" s="280"/>
      <c r="E205" s="280"/>
      <c r="F205" s="280"/>
      <c r="G205" s="396"/>
      <c r="H205" s="298"/>
      <c r="I205" s="298"/>
      <c r="J205" s="298"/>
      <c r="K205" s="280"/>
    </row>
    <row r="206" spans="1:11" x14ac:dyDescent="0.25">
      <c r="A206" s="280"/>
      <c r="B206" s="280"/>
      <c r="C206" s="280"/>
      <c r="D206" s="280"/>
      <c r="E206" s="280"/>
      <c r="F206" s="280"/>
      <c r="G206" s="396"/>
      <c r="H206" s="298"/>
      <c r="I206" s="298"/>
      <c r="J206" s="298"/>
      <c r="K206" s="280"/>
    </row>
    <row r="207" spans="1:11" x14ac:dyDescent="0.25">
      <c r="A207" s="280"/>
      <c r="B207" s="280"/>
      <c r="C207" s="280"/>
      <c r="D207" s="280"/>
      <c r="E207" s="280"/>
      <c r="F207" s="280"/>
      <c r="G207" s="396"/>
      <c r="H207" s="298"/>
      <c r="I207" s="298"/>
      <c r="J207" s="298"/>
      <c r="K207" s="280"/>
    </row>
    <row r="208" spans="1:11" x14ac:dyDescent="0.25">
      <c r="A208" s="280"/>
      <c r="B208" s="280"/>
      <c r="C208" s="280"/>
      <c r="D208" s="280"/>
      <c r="E208" s="280"/>
      <c r="F208" s="280"/>
      <c r="G208" s="396"/>
      <c r="H208" s="298"/>
      <c r="I208" s="298"/>
      <c r="J208" s="298"/>
      <c r="K208" s="280"/>
    </row>
    <row r="209" spans="1:11" x14ac:dyDescent="0.25">
      <c r="A209" s="280"/>
      <c r="B209" s="280"/>
      <c r="C209" s="280"/>
      <c r="D209" s="280"/>
      <c r="E209" s="280"/>
      <c r="F209" s="280"/>
      <c r="G209" s="396"/>
      <c r="H209" s="298"/>
      <c r="I209" s="298"/>
      <c r="J209" s="298"/>
      <c r="K209" s="280"/>
    </row>
    <row r="210" spans="1:11" x14ac:dyDescent="0.25">
      <c r="A210" s="280"/>
      <c r="B210" s="280"/>
      <c r="C210" s="280"/>
      <c r="D210" s="280"/>
      <c r="E210" s="280"/>
      <c r="F210" s="280"/>
      <c r="G210" s="396"/>
      <c r="H210" s="298"/>
      <c r="I210" s="298"/>
      <c r="J210" s="298"/>
      <c r="K210" s="280"/>
    </row>
    <row r="211" spans="1:11" x14ac:dyDescent="0.25">
      <c r="A211" s="280"/>
      <c r="B211" s="280"/>
      <c r="C211" s="280"/>
      <c r="D211" s="280"/>
      <c r="E211" s="280"/>
      <c r="F211" s="280"/>
      <c r="G211" s="396"/>
      <c r="H211" s="298"/>
      <c r="I211" s="298"/>
      <c r="J211" s="298"/>
      <c r="K211" s="280"/>
    </row>
    <row r="212" spans="1:11" x14ac:dyDescent="0.25">
      <c r="A212" s="280"/>
      <c r="B212" s="280"/>
      <c r="C212" s="280"/>
      <c r="D212" s="280"/>
      <c r="E212" s="280"/>
      <c r="F212" s="280"/>
      <c r="G212" s="396"/>
      <c r="H212" s="298"/>
      <c r="I212" s="298"/>
      <c r="J212" s="298"/>
      <c r="K212" s="280"/>
    </row>
    <row r="213" spans="1:11" x14ac:dyDescent="0.25">
      <c r="A213" s="280"/>
      <c r="B213" s="280"/>
      <c r="C213" s="280"/>
      <c r="D213" s="280"/>
      <c r="E213" s="280"/>
      <c r="F213" s="280"/>
      <c r="G213" s="396"/>
      <c r="H213" s="298"/>
      <c r="I213" s="298"/>
      <c r="J213" s="298"/>
      <c r="K213" s="280"/>
    </row>
    <row r="214" spans="1:11" x14ac:dyDescent="0.25">
      <c r="A214" s="280"/>
      <c r="B214" s="280"/>
      <c r="C214" s="280"/>
      <c r="D214" s="280"/>
      <c r="E214" s="280"/>
      <c r="F214" s="280"/>
      <c r="G214" s="396"/>
      <c r="H214" s="298"/>
      <c r="I214" s="298"/>
      <c r="J214" s="298"/>
      <c r="K214" s="280"/>
    </row>
    <row r="215" spans="1:11" x14ac:dyDescent="0.25">
      <c r="A215" s="280"/>
      <c r="B215" s="280"/>
      <c r="C215" s="280"/>
      <c r="D215" s="280"/>
      <c r="E215" s="280"/>
      <c r="F215" s="280"/>
      <c r="G215" s="396"/>
      <c r="H215" s="298"/>
      <c r="I215" s="298"/>
      <c r="J215" s="298"/>
      <c r="K215" s="280"/>
    </row>
    <row r="216" spans="1:11" x14ac:dyDescent="0.25">
      <c r="A216" s="280"/>
      <c r="B216" s="280"/>
      <c r="C216" s="280"/>
      <c r="D216" s="280"/>
      <c r="E216" s="280"/>
      <c r="F216" s="280"/>
      <c r="G216" s="396"/>
      <c r="H216" s="298"/>
      <c r="I216" s="298"/>
      <c r="J216" s="298"/>
      <c r="K216" s="280"/>
    </row>
    <row r="217" spans="1:11" x14ac:dyDescent="0.25">
      <c r="A217" s="280"/>
      <c r="B217" s="280"/>
      <c r="C217" s="280"/>
      <c r="D217" s="280"/>
      <c r="E217" s="280"/>
      <c r="F217" s="280"/>
      <c r="G217" s="396"/>
      <c r="H217" s="298"/>
      <c r="I217" s="298"/>
      <c r="J217" s="298"/>
      <c r="K217" s="280"/>
    </row>
    <row r="218" spans="1:11" x14ac:dyDescent="0.25">
      <c r="A218" s="280"/>
      <c r="B218" s="280"/>
      <c r="C218" s="280"/>
      <c r="D218" s="280"/>
      <c r="E218" s="280"/>
      <c r="F218" s="280"/>
      <c r="G218" s="396"/>
      <c r="H218" s="298"/>
      <c r="I218" s="298"/>
      <c r="J218" s="298"/>
      <c r="K218" s="280"/>
    </row>
    <row r="219" spans="1:11" x14ac:dyDescent="0.25">
      <c r="A219" s="280"/>
      <c r="B219" s="280"/>
      <c r="C219" s="280"/>
      <c r="D219" s="280"/>
      <c r="E219" s="280"/>
      <c r="F219" s="280"/>
      <c r="G219" s="396"/>
      <c r="H219" s="298"/>
      <c r="I219" s="298"/>
      <c r="J219" s="298"/>
      <c r="K219" s="280"/>
    </row>
    <row r="220" spans="1:11" x14ac:dyDescent="0.25">
      <c r="A220" s="280"/>
      <c r="B220" s="280"/>
      <c r="C220" s="280"/>
      <c r="D220" s="280"/>
      <c r="E220" s="280"/>
      <c r="F220" s="280"/>
      <c r="G220" s="396"/>
      <c r="H220" s="298"/>
      <c r="I220" s="298"/>
      <c r="J220" s="298"/>
      <c r="K220" s="280"/>
    </row>
    <row r="221" spans="1:11" x14ac:dyDescent="0.25">
      <c r="A221" s="280"/>
      <c r="B221" s="280"/>
      <c r="C221" s="280"/>
      <c r="D221" s="280"/>
      <c r="E221" s="280"/>
      <c r="F221" s="280"/>
      <c r="G221" s="396"/>
      <c r="H221" s="298"/>
      <c r="I221" s="298"/>
      <c r="J221" s="298"/>
      <c r="K221" s="280"/>
    </row>
    <row r="222" spans="1:11" x14ac:dyDescent="0.25">
      <c r="A222" s="280"/>
      <c r="B222" s="280"/>
      <c r="C222" s="280"/>
      <c r="D222" s="280"/>
      <c r="E222" s="280"/>
      <c r="F222" s="280"/>
      <c r="G222" s="396"/>
      <c r="H222" s="298"/>
      <c r="I222" s="298"/>
      <c r="J222" s="298"/>
      <c r="K222" s="280"/>
    </row>
    <row r="223" spans="1:11" x14ac:dyDescent="0.25">
      <c r="A223" s="280"/>
      <c r="B223" s="280"/>
      <c r="C223" s="280"/>
      <c r="D223" s="280"/>
      <c r="E223" s="280"/>
      <c r="F223" s="280"/>
      <c r="G223" s="396"/>
      <c r="H223" s="298"/>
      <c r="I223" s="298"/>
      <c r="J223" s="298"/>
      <c r="K223" s="280"/>
    </row>
    <row r="224" spans="1:11" x14ac:dyDescent="0.25">
      <c r="A224" s="280"/>
      <c r="B224" s="280"/>
      <c r="C224" s="280"/>
      <c r="D224" s="280"/>
      <c r="E224" s="280"/>
      <c r="F224" s="280"/>
      <c r="G224" s="396"/>
      <c r="H224" s="298"/>
      <c r="I224" s="298"/>
      <c r="J224" s="298"/>
      <c r="K224" s="280"/>
    </row>
    <row r="225" spans="1:11" x14ac:dyDescent="0.25">
      <c r="A225" s="280"/>
      <c r="B225" s="280"/>
      <c r="C225" s="280"/>
      <c r="D225" s="280"/>
      <c r="E225" s="280"/>
      <c r="F225" s="280"/>
      <c r="G225" s="396"/>
      <c r="H225" s="298"/>
      <c r="I225" s="298"/>
      <c r="J225" s="298"/>
      <c r="K225" s="280"/>
    </row>
    <row r="226" spans="1:11" x14ac:dyDescent="0.25">
      <c r="A226" s="280"/>
      <c r="B226" s="280"/>
      <c r="C226" s="280"/>
      <c r="D226" s="280"/>
      <c r="E226" s="280"/>
      <c r="F226" s="280"/>
      <c r="G226" s="396"/>
      <c r="H226" s="298"/>
      <c r="I226" s="298"/>
      <c r="J226" s="298"/>
      <c r="K226" s="280"/>
    </row>
    <row r="227" spans="1:11" x14ac:dyDescent="0.25">
      <c r="A227" s="280"/>
      <c r="B227" s="280"/>
      <c r="C227" s="280"/>
      <c r="D227" s="280"/>
      <c r="E227" s="280"/>
      <c r="F227" s="280"/>
      <c r="G227" s="396"/>
      <c r="H227" s="298"/>
      <c r="I227" s="298"/>
      <c r="J227" s="298"/>
      <c r="K227" s="280"/>
    </row>
    <row r="228" spans="1:11" x14ac:dyDescent="0.25">
      <c r="A228" s="280"/>
      <c r="B228" s="280"/>
      <c r="C228" s="280"/>
      <c r="D228" s="280"/>
      <c r="E228" s="280"/>
      <c r="F228" s="280"/>
      <c r="G228" s="396"/>
      <c r="H228" s="298"/>
      <c r="I228" s="298"/>
      <c r="J228" s="298"/>
      <c r="K228" s="280"/>
    </row>
    <row r="229" spans="1:11" x14ac:dyDescent="0.25">
      <c r="A229" s="280"/>
      <c r="B229" s="280"/>
      <c r="C229" s="280"/>
      <c r="D229" s="280"/>
      <c r="E229" s="280"/>
      <c r="F229" s="280"/>
      <c r="G229" s="396"/>
      <c r="H229" s="298"/>
      <c r="I229" s="298"/>
      <c r="J229" s="298"/>
      <c r="K229" s="280"/>
    </row>
    <row r="230" spans="1:11" x14ac:dyDescent="0.25">
      <c r="A230" s="280"/>
      <c r="B230" s="280"/>
      <c r="C230" s="280"/>
      <c r="D230" s="280"/>
      <c r="E230" s="280"/>
      <c r="F230" s="280"/>
      <c r="G230" s="396"/>
      <c r="H230" s="298"/>
      <c r="I230" s="298"/>
      <c r="J230" s="298"/>
      <c r="K230" s="280"/>
    </row>
    <row r="231" spans="1:11" x14ac:dyDescent="0.25">
      <c r="A231" s="280"/>
      <c r="B231" s="280"/>
      <c r="C231" s="280"/>
      <c r="D231" s="280"/>
      <c r="E231" s="280"/>
      <c r="F231" s="280"/>
      <c r="G231" s="396"/>
      <c r="H231" s="298"/>
      <c r="I231" s="298"/>
      <c r="J231" s="298"/>
      <c r="K231" s="280"/>
    </row>
    <row r="232" spans="1:11" x14ac:dyDescent="0.25">
      <c r="A232" s="280"/>
      <c r="B232" s="280"/>
      <c r="C232" s="280"/>
      <c r="D232" s="280"/>
      <c r="E232" s="280"/>
      <c r="F232" s="280"/>
      <c r="G232" s="396"/>
      <c r="H232" s="298"/>
      <c r="I232" s="298"/>
      <c r="J232" s="298"/>
      <c r="K232" s="280"/>
    </row>
    <row r="233" spans="1:11" x14ac:dyDescent="0.25">
      <c r="A233" s="280"/>
      <c r="B233" s="280"/>
      <c r="C233" s="280"/>
      <c r="D233" s="280"/>
      <c r="E233" s="280"/>
      <c r="F233" s="280"/>
      <c r="G233" s="396"/>
      <c r="H233" s="298"/>
      <c r="I233" s="298"/>
      <c r="J233" s="298"/>
      <c r="K233" s="280"/>
    </row>
    <row r="234" spans="1:11" x14ac:dyDescent="0.25">
      <c r="A234" s="280"/>
      <c r="B234" s="280"/>
      <c r="C234" s="280"/>
      <c r="D234" s="280"/>
      <c r="E234" s="280"/>
      <c r="F234" s="280"/>
      <c r="G234" s="396"/>
      <c r="H234" s="298"/>
      <c r="I234" s="298"/>
      <c r="J234" s="298"/>
      <c r="K234" s="280"/>
    </row>
    <row r="235" spans="1:11" x14ac:dyDescent="0.25">
      <c r="A235" s="280"/>
      <c r="B235" s="280"/>
      <c r="C235" s="280"/>
      <c r="D235" s="280"/>
      <c r="E235" s="280"/>
      <c r="F235" s="280"/>
      <c r="G235" s="396"/>
      <c r="H235" s="298"/>
      <c r="I235" s="298"/>
      <c r="J235" s="298"/>
      <c r="K235" s="280"/>
    </row>
    <row r="236" spans="1:11" x14ac:dyDescent="0.25">
      <c r="A236" s="280"/>
      <c r="B236" s="280"/>
      <c r="C236" s="280"/>
      <c r="D236" s="280"/>
      <c r="E236" s="280"/>
      <c r="F236" s="280"/>
      <c r="G236" s="396"/>
      <c r="H236" s="298"/>
      <c r="I236" s="298"/>
      <c r="J236" s="298"/>
      <c r="K236" s="280"/>
    </row>
    <row r="237" spans="1:11" x14ac:dyDescent="0.25">
      <c r="A237" s="280"/>
      <c r="B237" s="280"/>
      <c r="C237" s="280"/>
      <c r="D237" s="280"/>
      <c r="E237" s="280"/>
      <c r="F237" s="280"/>
      <c r="G237" s="396"/>
      <c r="H237" s="298"/>
      <c r="I237" s="298"/>
      <c r="J237" s="298"/>
      <c r="K237" s="280"/>
    </row>
    <row r="238" spans="1:11" x14ac:dyDescent="0.25">
      <c r="A238" s="280"/>
      <c r="B238" s="280"/>
      <c r="C238" s="280"/>
      <c r="D238" s="280"/>
      <c r="E238" s="280"/>
      <c r="F238" s="280"/>
      <c r="G238" s="396"/>
      <c r="H238" s="298"/>
      <c r="I238" s="298"/>
      <c r="J238" s="298"/>
      <c r="K238" s="280"/>
    </row>
    <row r="239" spans="1:11" x14ac:dyDescent="0.25">
      <c r="A239" s="280"/>
      <c r="B239" s="280"/>
      <c r="C239" s="280"/>
      <c r="D239" s="280"/>
      <c r="E239" s="280"/>
      <c r="F239" s="280"/>
      <c r="G239" s="396"/>
      <c r="H239" s="298"/>
      <c r="I239" s="298"/>
      <c r="J239" s="298"/>
      <c r="K239" s="280"/>
    </row>
    <row r="240" spans="1:11" x14ac:dyDescent="0.25">
      <c r="A240" s="280"/>
      <c r="B240" s="280"/>
      <c r="C240" s="280"/>
      <c r="D240" s="280"/>
      <c r="E240" s="280"/>
      <c r="F240" s="280"/>
      <c r="G240" s="396"/>
      <c r="H240" s="298"/>
      <c r="I240" s="298"/>
      <c r="J240" s="298"/>
      <c r="K240" s="280"/>
    </row>
    <row r="241" spans="1:11" x14ac:dyDescent="0.25">
      <c r="A241" s="280"/>
      <c r="B241" s="280"/>
      <c r="C241" s="280"/>
      <c r="D241" s="280"/>
      <c r="E241" s="280"/>
      <c r="F241" s="280"/>
      <c r="G241" s="396"/>
      <c r="H241" s="298"/>
      <c r="I241" s="298"/>
      <c r="J241" s="298"/>
      <c r="K241" s="280"/>
    </row>
    <row r="242" spans="1:11" x14ac:dyDescent="0.25">
      <c r="A242" s="280"/>
      <c r="B242" s="280"/>
      <c r="C242" s="280"/>
      <c r="D242" s="280"/>
      <c r="E242" s="280"/>
      <c r="F242" s="280"/>
      <c r="G242" s="396"/>
      <c r="H242" s="298"/>
      <c r="I242" s="298"/>
      <c r="J242" s="298"/>
      <c r="K242" s="280"/>
    </row>
    <row r="243" spans="1:11" x14ac:dyDescent="0.25">
      <c r="A243" s="280"/>
      <c r="B243" s="280"/>
      <c r="C243" s="280"/>
      <c r="D243" s="280"/>
      <c r="E243" s="280"/>
      <c r="F243" s="280"/>
      <c r="G243" s="396"/>
      <c r="H243" s="298"/>
      <c r="I243" s="298"/>
      <c r="J243" s="298"/>
      <c r="K243" s="280"/>
    </row>
    <row r="244" spans="1:11" x14ac:dyDescent="0.25">
      <c r="A244" s="280"/>
      <c r="B244" s="280"/>
      <c r="C244" s="280"/>
      <c r="D244" s="280"/>
      <c r="E244" s="280"/>
      <c r="F244" s="280"/>
      <c r="G244" s="396"/>
      <c r="H244" s="298"/>
      <c r="I244" s="298"/>
      <c r="J244" s="298"/>
      <c r="K244" s="280"/>
    </row>
    <row r="245" spans="1:11" x14ac:dyDescent="0.25">
      <c r="A245" s="280"/>
      <c r="B245" s="280"/>
      <c r="C245" s="280"/>
      <c r="D245" s="280"/>
      <c r="E245" s="280"/>
      <c r="F245" s="280"/>
      <c r="G245" s="396"/>
      <c r="H245" s="298"/>
      <c r="I245" s="298"/>
      <c r="J245" s="298"/>
      <c r="K245" s="280"/>
    </row>
    <row r="246" spans="1:11" x14ac:dyDescent="0.25">
      <c r="A246" s="280"/>
      <c r="B246" s="280"/>
      <c r="C246" s="280"/>
      <c r="D246" s="280"/>
      <c r="E246" s="280"/>
      <c r="F246" s="280"/>
      <c r="G246" s="396"/>
      <c r="H246" s="298"/>
      <c r="I246" s="298"/>
      <c r="J246" s="298"/>
      <c r="K246" s="280"/>
    </row>
    <row r="247" spans="1:11" x14ac:dyDescent="0.25">
      <c r="A247" s="280"/>
      <c r="B247" s="280"/>
      <c r="C247" s="280"/>
      <c r="D247" s="280"/>
      <c r="E247" s="280"/>
      <c r="F247" s="280"/>
      <c r="G247" s="396"/>
      <c r="H247" s="298"/>
      <c r="I247" s="298"/>
      <c r="J247" s="298"/>
      <c r="K247" s="280"/>
    </row>
    <row r="248" spans="1:11" x14ac:dyDescent="0.25">
      <c r="A248" s="280"/>
      <c r="B248" s="280"/>
      <c r="C248" s="280"/>
      <c r="D248" s="280"/>
      <c r="E248" s="280"/>
      <c r="F248" s="280"/>
      <c r="G248" s="396"/>
      <c r="H248" s="298"/>
      <c r="I248" s="298"/>
      <c r="J248" s="298"/>
      <c r="K248" s="280"/>
    </row>
    <row r="249" spans="1:11" x14ac:dyDescent="0.25">
      <c r="A249" s="280"/>
      <c r="B249" s="280"/>
      <c r="C249" s="280"/>
      <c r="D249" s="280"/>
      <c r="E249" s="280"/>
      <c r="F249" s="280"/>
      <c r="G249" s="396"/>
      <c r="H249" s="298"/>
      <c r="I249" s="298"/>
      <c r="J249" s="298"/>
      <c r="K249" s="280"/>
    </row>
    <row r="250" spans="1:11" x14ac:dyDescent="0.25">
      <c r="A250" s="280"/>
      <c r="B250" s="280"/>
      <c r="C250" s="280"/>
      <c r="D250" s="280"/>
      <c r="E250" s="280"/>
      <c r="F250" s="280"/>
      <c r="G250" s="396"/>
      <c r="H250" s="298"/>
      <c r="I250" s="298"/>
      <c r="J250" s="298"/>
      <c r="K250" s="280"/>
    </row>
    <row r="251" spans="1:11" x14ac:dyDescent="0.25">
      <c r="A251" s="280"/>
      <c r="B251" s="280"/>
      <c r="C251" s="280"/>
      <c r="D251" s="280"/>
      <c r="E251" s="280"/>
      <c r="F251" s="280"/>
      <c r="G251" s="396"/>
      <c r="H251" s="298"/>
      <c r="I251" s="298"/>
      <c r="J251" s="298"/>
      <c r="K251" s="280"/>
    </row>
    <row r="252" spans="1:11" x14ac:dyDescent="0.25">
      <c r="A252" s="280"/>
      <c r="B252" s="280"/>
      <c r="C252" s="280"/>
      <c r="D252" s="280"/>
      <c r="E252" s="280"/>
      <c r="F252" s="280"/>
      <c r="G252" s="396"/>
      <c r="H252" s="298"/>
      <c r="I252" s="298"/>
      <c r="J252" s="298"/>
      <c r="K252" s="280"/>
    </row>
    <row r="253" spans="1:11" x14ac:dyDescent="0.25">
      <c r="A253" s="280"/>
      <c r="B253" s="280"/>
      <c r="C253" s="280"/>
      <c r="D253" s="280"/>
      <c r="E253" s="280"/>
      <c r="F253" s="280"/>
      <c r="G253" s="396"/>
      <c r="H253" s="298"/>
      <c r="I253" s="298"/>
      <c r="J253" s="298"/>
      <c r="K253" s="280"/>
    </row>
    <row r="254" spans="1:11" x14ac:dyDescent="0.25">
      <c r="A254" s="280"/>
      <c r="B254" s="280"/>
      <c r="C254" s="280"/>
      <c r="D254" s="280"/>
      <c r="E254" s="280"/>
      <c r="F254" s="280"/>
      <c r="G254" s="396"/>
      <c r="H254" s="298"/>
      <c r="I254" s="298"/>
      <c r="J254" s="298"/>
      <c r="K254" s="280"/>
    </row>
    <row r="255" spans="1:11" x14ac:dyDescent="0.25">
      <c r="A255" s="280"/>
      <c r="B255" s="280"/>
      <c r="C255" s="280"/>
      <c r="D255" s="280"/>
      <c r="E255" s="280"/>
      <c r="F255" s="280"/>
      <c r="G255" s="396"/>
      <c r="H255" s="298"/>
      <c r="I255" s="298"/>
      <c r="J255" s="298"/>
      <c r="K255" s="280"/>
    </row>
    <row r="256" spans="1:11" x14ac:dyDescent="0.25">
      <c r="A256" s="280"/>
      <c r="B256" s="280"/>
      <c r="C256" s="280"/>
      <c r="D256" s="280"/>
      <c r="E256" s="280"/>
      <c r="F256" s="280"/>
      <c r="G256" s="396"/>
      <c r="H256" s="298"/>
      <c r="I256" s="298"/>
      <c r="J256" s="298"/>
      <c r="K256" s="280"/>
    </row>
    <row r="257" spans="1:11" x14ac:dyDescent="0.25">
      <c r="A257" s="280"/>
      <c r="B257" s="280"/>
      <c r="C257" s="280"/>
      <c r="D257" s="280"/>
      <c r="E257" s="280"/>
      <c r="F257" s="280"/>
      <c r="G257" s="396"/>
      <c r="H257" s="298"/>
      <c r="I257" s="298"/>
      <c r="J257" s="298"/>
      <c r="K257" s="280"/>
    </row>
    <row r="258" spans="1:11" x14ac:dyDescent="0.25">
      <c r="A258" s="280"/>
      <c r="B258" s="280"/>
      <c r="C258" s="280"/>
      <c r="D258" s="280"/>
      <c r="E258" s="280"/>
      <c r="F258" s="280"/>
      <c r="G258" s="396"/>
      <c r="H258" s="298"/>
      <c r="I258" s="298"/>
      <c r="J258" s="298"/>
      <c r="K258" s="280"/>
    </row>
    <row r="259" spans="1:11" x14ac:dyDescent="0.25">
      <c r="A259" s="280"/>
      <c r="B259" s="280"/>
      <c r="C259" s="280"/>
      <c r="D259" s="280"/>
      <c r="E259" s="280"/>
      <c r="F259" s="280"/>
      <c r="G259" s="396"/>
      <c r="H259" s="298"/>
      <c r="I259" s="298"/>
      <c r="J259" s="298"/>
      <c r="K259" s="280"/>
    </row>
    <row r="260" spans="1:11" x14ac:dyDescent="0.25">
      <c r="A260" s="280"/>
      <c r="B260" s="280"/>
      <c r="C260" s="280"/>
      <c r="D260" s="280"/>
      <c r="E260" s="280"/>
      <c r="F260" s="280"/>
      <c r="G260" s="396"/>
      <c r="H260" s="298"/>
      <c r="I260" s="298"/>
      <c r="J260" s="298"/>
      <c r="K260" s="280"/>
    </row>
    <row r="261" spans="1:11" x14ac:dyDescent="0.25">
      <c r="A261" s="280"/>
      <c r="B261" s="280"/>
      <c r="C261" s="280"/>
      <c r="D261" s="280"/>
      <c r="E261" s="280"/>
      <c r="F261" s="280"/>
      <c r="G261" s="396"/>
      <c r="H261" s="298"/>
      <c r="I261" s="298"/>
      <c r="J261" s="298"/>
      <c r="K261" s="280"/>
    </row>
    <row r="262" spans="1:11" x14ac:dyDescent="0.25">
      <c r="A262" s="280"/>
      <c r="B262" s="280"/>
      <c r="C262" s="280"/>
      <c r="D262" s="280"/>
      <c r="E262" s="280"/>
      <c r="F262" s="280"/>
      <c r="G262" s="396"/>
      <c r="H262" s="298"/>
      <c r="I262" s="298"/>
      <c r="J262" s="298"/>
      <c r="K262" s="280"/>
    </row>
    <row r="263" spans="1:11" x14ac:dyDescent="0.25">
      <c r="A263" s="280"/>
      <c r="B263" s="280"/>
      <c r="C263" s="280"/>
      <c r="D263" s="280"/>
      <c r="E263" s="280"/>
      <c r="F263" s="280"/>
      <c r="G263" s="396"/>
      <c r="H263" s="298"/>
      <c r="I263" s="298"/>
      <c r="J263" s="298"/>
      <c r="K263" s="280"/>
    </row>
    <row r="264" spans="1:11" x14ac:dyDescent="0.25">
      <c r="A264" s="280"/>
      <c r="B264" s="280"/>
      <c r="C264" s="280"/>
      <c r="D264" s="280"/>
      <c r="E264" s="280"/>
      <c r="F264" s="280"/>
      <c r="G264" s="396"/>
      <c r="H264" s="298"/>
      <c r="I264" s="298"/>
      <c r="J264" s="298"/>
      <c r="K264" s="280"/>
    </row>
    <row r="265" spans="1:11" x14ac:dyDescent="0.25">
      <c r="A265" s="280"/>
      <c r="B265" s="280"/>
      <c r="C265" s="280"/>
      <c r="D265" s="280"/>
      <c r="E265" s="280"/>
      <c r="F265" s="280"/>
      <c r="G265" s="396"/>
      <c r="H265" s="298"/>
      <c r="I265" s="298"/>
      <c r="J265" s="298"/>
      <c r="K265" s="280"/>
    </row>
    <row r="266" spans="1:11" x14ac:dyDescent="0.25">
      <c r="A266" s="280"/>
      <c r="B266" s="280"/>
      <c r="C266" s="280"/>
      <c r="D266" s="280"/>
      <c r="E266" s="280"/>
      <c r="F266" s="280"/>
      <c r="G266" s="396"/>
      <c r="H266" s="298"/>
      <c r="I266" s="298"/>
      <c r="J266" s="298"/>
      <c r="K266" s="280"/>
    </row>
    <row r="267" spans="1:11" x14ac:dyDescent="0.25">
      <c r="A267" s="280"/>
      <c r="B267" s="280"/>
      <c r="C267" s="280"/>
      <c r="D267" s="280"/>
      <c r="E267" s="280"/>
      <c r="F267" s="280"/>
      <c r="G267" s="396"/>
      <c r="H267" s="298"/>
      <c r="I267" s="298"/>
      <c r="J267" s="298"/>
      <c r="K267" s="280"/>
    </row>
    <row r="268" spans="1:11" x14ac:dyDescent="0.25">
      <c r="A268" s="280"/>
      <c r="B268" s="280"/>
      <c r="C268" s="280"/>
      <c r="D268" s="280"/>
      <c r="E268" s="280"/>
      <c r="F268" s="280"/>
      <c r="G268" s="396"/>
      <c r="H268" s="298"/>
      <c r="I268" s="298"/>
      <c r="J268" s="298"/>
      <c r="K268" s="280"/>
    </row>
    <row r="269" spans="1:11" x14ac:dyDescent="0.25">
      <c r="A269" s="280"/>
      <c r="B269" s="280"/>
      <c r="C269" s="280"/>
      <c r="D269" s="280"/>
      <c r="E269" s="280"/>
      <c r="F269" s="280"/>
      <c r="G269" s="396"/>
      <c r="H269" s="298"/>
      <c r="I269" s="298"/>
      <c r="J269" s="298"/>
      <c r="K269" s="280"/>
    </row>
    <row r="270" spans="1:11" x14ac:dyDescent="0.25">
      <c r="A270" s="280"/>
      <c r="B270" s="280"/>
      <c r="C270" s="280"/>
      <c r="D270" s="280"/>
      <c r="E270" s="280"/>
      <c r="F270" s="280"/>
      <c r="G270" s="396"/>
      <c r="H270" s="298"/>
      <c r="I270" s="298"/>
      <c r="J270" s="298"/>
      <c r="K270" s="280"/>
    </row>
    <row r="271" spans="1:11" x14ac:dyDescent="0.25">
      <c r="A271" s="280"/>
      <c r="B271" s="280"/>
      <c r="C271" s="280"/>
      <c r="D271" s="280"/>
      <c r="E271" s="280"/>
      <c r="F271" s="280"/>
      <c r="G271" s="396"/>
      <c r="H271" s="298"/>
      <c r="I271" s="298"/>
      <c r="J271" s="298"/>
      <c r="K271" s="280"/>
    </row>
    <row r="272" spans="1:11" x14ac:dyDescent="0.25">
      <c r="A272" s="280"/>
      <c r="B272" s="280"/>
      <c r="C272" s="280"/>
      <c r="D272" s="280"/>
      <c r="E272" s="280"/>
      <c r="F272" s="280"/>
      <c r="G272" s="396"/>
      <c r="H272" s="298"/>
      <c r="I272" s="298"/>
      <c r="J272" s="298"/>
      <c r="K272" s="280"/>
    </row>
    <row r="273" spans="1:11" x14ac:dyDescent="0.25">
      <c r="A273" s="280"/>
      <c r="B273" s="280"/>
      <c r="C273" s="280"/>
      <c r="D273" s="280"/>
      <c r="E273" s="280"/>
      <c r="F273" s="280"/>
      <c r="G273" s="396"/>
      <c r="H273" s="298"/>
      <c r="I273" s="298"/>
      <c r="J273" s="298"/>
      <c r="K273" s="280"/>
    </row>
    <row r="274" spans="1:11" x14ac:dyDescent="0.25">
      <c r="A274" s="280"/>
      <c r="B274" s="280"/>
      <c r="C274" s="280"/>
      <c r="D274" s="280"/>
      <c r="E274" s="280"/>
      <c r="F274" s="280"/>
      <c r="G274" s="396"/>
      <c r="H274" s="298"/>
      <c r="I274" s="298"/>
      <c r="J274" s="298"/>
      <c r="K274" s="280"/>
    </row>
    <row r="275" spans="1:11" x14ac:dyDescent="0.25">
      <c r="A275" s="280"/>
      <c r="B275" s="280"/>
      <c r="C275" s="280"/>
      <c r="D275" s="280"/>
      <c r="E275" s="280"/>
      <c r="F275" s="280"/>
      <c r="G275" s="396"/>
      <c r="H275" s="298"/>
      <c r="I275" s="298"/>
      <c r="J275" s="298"/>
      <c r="K275" s="280"/>
    </row>
    <row r="276" spans="1:11" x14ac:dyDescent="0.25">
      <c r="A276" s="280"/>
      <c r="B276" s="280"/>
      <c r="C276" s="280"/>
      <c r="D276" s="280"/>
      <c r="E276" s="280"/>
      <c r="F276" s="280"/>
      <c r="G276" s="396"/>
      <c r="H276" s="298"/>
      <c r="I276" s="298"/>
      <c r="J276" s="298"/>
      <c r="K276" s="280"/>
    </row>
    <row r="277" spans="1:11" x14ac:dyDescent="0.25">
      <c r="A277" s="280"/>
      <c r="B277" s="280"/>
      <c r="C277" s="280"/>
      <c r="D277" s="280"/>
      <c r="E277" s="280"/>
      <c r="F277" s="280"/>
      <c r="G277" s="396"/>
      <c r="H277" s="298"/>
      <c r="I277" s="298"/>
      <c r="J277" s="298"/>
      <c r="K277" s="280"/>
    </row>
    <row r="278" spans="1:11" x14ac:dyDescent="0.25">
      <c r="A278" s="280"/>
      <c r="B278" s="280"/>
      <c r="C278" s="280"/>
      <c r="D278" s="280"/>
      <c r="E278" s="280"/>
      <c r="F278" s="280"/>
      <c r="G278" s="396"/>
      <c r="H278" s="298"/>
      <c r="I278" s="298"/>
      <c r="J278" s="298"/>
      <c r="K278" s="280"/>
    </row>
    <row r="279" spans="1:11" x14ac:dyDescent="0.25">
      <c r="A279" s="280"/>
      <c r="B279" s="280"/>
      <c r="C279" s="280"/>
      <c r="D279" s="280"/>
      <c r="E279" s="280"/>
      <c r="F279" s="280"/>
      <c r="G279" s="396"/>
      <c r="H279" s="298"/>
      <c r="I279" s="298"/>
      <c r="J279" s="298"/>
      <c r="K279" s="280"/>
    </row>
    <row r="280" spans="1:11" x14ac:dyDescent="0.25">
      <c r="A280" s="280"/>
      <c r="B280" s="280"/>
      <c r="C280" s="280"/>
      <c r="D280" s="280"/>
      <c r="E280" s="280"/>
      <c r="F280" s="280"/>
      <c r="G280" s="396"/>
      <c r="H280" s="298"/>
      <c r="I280" s="298"/>
      <c r="J280" s="298"/>
      <c r="K280" s="280"/>
    </row>
    <row r="281" spans="1:11" x14ac:dyDescent="0.25">
      <c r="A281" s="280"/>
      <c r="B281" s="280"/>
      <c r="C281" s="280"/>
      <c r="D281" s="280"/>
      <c r="E281" s="280"/>
      <c r="F281" s="280"/>
      <c r="G281" s="396"/>
      <c r="H281" s="298"/>
      <c r="I281" s="298"/>
      <c r="J281" s="298"/>
      <c r="K281" s="280"/>
    </row>
    <row r="282" spans="1:11" x14ac:dyDescent="0.25">
      <c r="A282" s="280"/>
      <c r="B282" s="280"/>
      <c r="C282" s="280"/>
      <c r="D282" s="280"/>
      <c r="E282" s="280"/>
      <c r="F282" s="280"/>
      <c r="G282" s="396"/>
      <c r="H282" s="298"/>
      <c r="I282" s="298"/>
      <c r="J282" s="298"/>
      <c r="K282" s="280"/>
    </row>
    <row r="283" spans="1:11" x14ac:dyDescent="0.25">
      <c r="A283" s="280"/>
      <c r="B283" s="280"/>
      <c r="C283" s="280"/>
      <c r="D283" s="280"/>
      <c r="E283" s="280"/>
      <c r="F283" s="280"/>
      <c r="G283" s="396"/>
      <c r="H283" s="298"/>
      <c r="I283" s="298"/>
      <c r="J283" s="298"/>
      <c r="K283" s="280"/>
    </row>
    <row r="284" spans="1:11" x14ac:dyDescent="0.25">
      <c r="A284" s="280"/>
      <c r="B284" s="280"/>
      <c r="C284" s="280"/>
      <c r="D284" s="280"/>
      <c r="E284" s="280"/>
      <c r="F284" s="280"/>
      <c r="G284" s="396"/>
      <c r="H284" s="298"/>
      <c r="I284" s="298"/>
      <c r="J284" s="298"/>
      <c r="K284" s="280"/>
    </row>
    <row r="285" spans="1:11" x14ac:dyDescent="0.25">
      <c r="A285" s="280"/>
      <c r="B285" s="280"/>
      <c r="C285" s="280"/>
      <c r="D285" s="280"/>
      <c r="E285" s="280"/>
      <c r="F285" s="280"/>
      <c r="G285" s="396"/>
      <c r="H285" s="298"/>
      <c r="I285" s="298"/>
      <c r="J285" s="298"/>
      <c r="K285" s="280"/>
    </row>
    <row r="286" spans="1:11" x14ac:dyDescent="0.25">
      <c r="A286" s="280"/>
      <c r="B286" s="280"/>
      <c r="C286" s="280"/>
      <c r="D286" s="280"/>
      <c r="E286" s="280"/>
      <c r="F286" s="280"/>
      <c r="G286" s="396"/>
      <c r="H286" s="298"/>
      <c r="I286" s="298"/>
      <c r="J286" s="298"/>
      <c r="K286" s="280"/>
    </row>
    <row r="287" spans="1:11" x14ac:dyDescent="0.25">
      <c r="A287" s="280"/>
      <c r="B287" s="280"/>
      <c r="C287" s="280"/>
      <c r="D287" s="280"/>
      <c r="E287" s="280"/>
      <c r="F287" s="280"/>
      <c r="G287" s="396"/>
      <c r="H287" s="298"/>
      <c r="I287" s="298"/>
      <c r="J287" s="298"/>
      <c r="K287" s="280"/>
    </row>
    <row r="288" spans="1:11" x14ac:dyDescent="0.25">
      <c r="A288" s="280"/>
      <c r="B288" s="280"/>
      <c r="C288" s="280"/>
      <c r="D288" s="280"/>
      <c r="E288" s="280"/>
      <c r="F288" s="280"/>
      <c r="G288" s="396"/>
      <c r="H288" s="298"/>
      <c r="I288" s="298"/>
      <c r="J288" s="298"/>
      <c r="K288" s="280"/>
    </row>
    <row r="289" spans="1:11" x14ac:dyDescent="0.25">
      <c r="A289" s="280"/>
      <c r="B289" s="280"/>
      <c r="C289" s="280"/>
      <c r="D289" s="280"/>
      <c r="E289" s="280"/>
      <c r="F289" s="280"/>
      <c r="G289" s="396"/>
      <c r="H289" s="298"/>
      <c r="I289" s="298"/>
      <c r="J289" s="298"/>
      <c r="K289" s="280"/>
    </row>
    <row r="290" spans="1:11" x14ac:dyDescent="0.25">
      <c r="A290" s="280"/>
      <c r="B290" s="280"/>
      <c r="C290" s="280"/>
      <c r="D290" s="280"/>
      <c r="E290" s="280"/>
      <c r="F290" s="280"/>
      <c r="G290" s="396"/>
      <c r="H290" s="298"/>
      <c r="I290" s="298"/>
      <c r="J290" s="298"/>
      <c r="K290" s="280"/>
    </row>
    <row r="291" spans="1:11" x14ac:dyDescent="0.25">
      <c r="A291" s="280"/>
      <c r="B291" s="280"/>
      <c r="C291" s="280"/>
      <c r="D291" s="280"/>
      <c r="E291" s="280"/>
      <c r="F291" s="280"/>
      <c r="G291" s="396"/>
      <c r="H291" s="298"/>
      <c r="I291" s="298"/>
      <c r="J291" s="298"/>
      <c r="K291" s="280"/>
    </row>
    <row r="292" spans="1:11" x14ac:dyDescent="0.25">
      <c r="A292" s="280"/>
      <c r="B292" s="280"/>
      <c r="C292" s="280"/>
      <c r="D292" s="280"/>
      <c r="E292" s="280"/>
      <c r="F292" s="280"/>
      <c r="G292" s="396"/>
      <c r="H292" s="298"/>
      <c r="I292" s="298"/>
      <c r="J292" s="298"/>
      <c r="K292" s="280"/>
    </row>
    <row r="293" spans="1:11" x14ac:dyDescent="0.25">
      <c r="A293" s="280"/>
      <c r="B293" s="280"/>
      <c r="C293" s="280"/>
      <c r="D293" s="280"/>
      <c r="E293" s="280"/>
      <c r="F293" s="280"/>
      <c r="G293" s="396"/>
      <c r="H293" s="298"/>
      <c r="I293" s="298"/>
      <c r="J293" s="298"/>
      <c r="K293" s="280"/>
    </row>
    <row r="294" spans="1:11" x14ac:dyDescent="0.25">
      <c r="A294" s="280"/>
      <c r="B294" s="280"/>
      <c r="C294" s="280"/>
      <c r="D294" s="280"/>
      <c r="E294" s="280"/>
      <c r="F294" s="280"/>
      <c r="G294" s="396"/>
      <c r="H294" s="298"/>
      <c r="I294" s="298"/>
      <c r="J294" s="298"/>
      <c r="K294" s="280"/>
    </row>
    <row r="295" spans="1:11" x14ac:dyDescent="0.25">
      <c r="A295" s="280"/>
      <c r="B295" s="280"/>
      <c r="C295" s="280"/>
      <c r="D295" s="280"/>
      <c r="E295" s="280"/>
      <c r="F295" s="280"/>
      <c r="G295" s="396"/>
      <c r="H295" s="298"/>
      <c r="I295" s="298"/>
      <c r="J295" s="298"/>
      <c r="K295" s="280"/>
    </row>
    <row r="296" spans="1:11" x14ac:dyDescent="0.25">
      <c r="A296" s="280"/>
      <c r="B296" s="280"/>
      <c r="C296" s="280"/>
      <c r="D296" s="280"/>
      <c r="E296" s="280"/>
      <c r="F296" s="280"/>
      <c r="G296" s="396"/>
      <c r="H296" s="298"/>
      <c r="I296" s="298"/>
      <c r="J296" s="298"/>
      <c r="K296" s="280"/>
    </row>
    <row r="297" spans="1:11" x14ac:dyDescent="0.25">
      <c r="A297" s="280"/>
      <c r="B297" s="280"/>
      <c r="C297" s="280"/>
      <c r="D297" s="280"/>
      <c r="E297" s="280"/>
      <c r="F297" s="280"/>
      <c r="G297" s="396"/>
      <c r="H297" s="298"/>
      <c r="I297" s="298"/>
      <c r="J297" s="298"/>
      <c r="K297" s="280"/>
    </row>
    <row r="298" spans="1:11" x14ac:dyDescent="0.25">
      <c r="A298" s="280"/>
      <c r="B298" s="280"/>
      <c r="C298" s="280"/>
      <c r="D298" s="280"/>
      <c r="E298" s="280"/>
      <c r="F298" s="280"/>
      <c r="G298" s="396"/>
      <c r="H298" s="298"/>
      <c r="I298" s="298"/>
      <c r="J298" s="298"/>
      <c r="K298" s="280"/>
    </row>
    <row r="299" spans="1:11" x14ac:dyDescent="0.25">
      <c r="A299" s="280"/>
      <c r="B299" s="280"/>
      <c r="C299" s="280"/>
      <c r="D299" s="280"/>
      <c r="E299" s="280"/>
      <c r="F299" s="280"/>
      <c r="G299" s="396"/>
      <c r="H299" s="298"/>
      <c r="I299" s="298"/>
      <c r="J299" s="298"/>
      <c r="K299" s="280"/>
    </row>
    <row r="300" spans="1:11" x14ac:dyDescent="0.25">
      <c r="A300" s="280"/>
      <c r="B300" s="280"/>
      <c r="C300" s="280"/>
      <c r="D300" s="280"/>
      <c r="E300" s="280"/>
      <c r="F300" s="280"/>
      <c r="G300" s="396"/>
      <c r="H300" s="298"/>
      <c r="I300" s="298"/>
      <c r="J300" s="298"/>
      <c r="K300" s="280"/>
    </row>
    <row r="301" spans="1:11" x14ac:dyDescent="0.25">
      <c r="A301" s="280"/>
      <c r="B301" s="280"/>
      <c r="C301" s="280"/>
      <c r="D301" s="280"/>
      <c r="E301" s="280"/>
      <c r="F301" s="280"/>
      <c r="G301" s="396"/>
      <c r="H301" s="298"/>
      <c r="I301" s="298"/>
      <c r="J301" s="298"/>
      <c r="K301" s="280"/>
    </row>
    <row r="302" spans="1:11" x14ac:dyDescent="0.25">
      <c r="A302" s="280"/>
      <c r="B302" s="280"/>
      <c r="C302" s="280"/>
      <c r="D302" s="280"/>
      <c r="E302" s="280"/>
      <c r="F302" s="280"/>
      <c r="G302" s="396"/>
      <c r="H302" s="298"/>
      <c r="I302" s="298"/>
      <c r="J302" s="298"/>
      <c r="K302" s="280"/>
    </row>
    <row r="303" spans="1:11" x14ac:dyDescent="0.25">
      <c r="A303" s="280"/>
      <c r="B303" s="280"/>
      <c r="C303" s="280"/>
      <c r="D303" s="280"/>
      <c r="E303" s="280"/>
      <c r="F303" s="280"/>
      <c r="G303" s="396"/>
      <c r="H303" s="298"/>
      <c r="I303" s="298"/>
      <c r="J303" s="298"/>
      <c r="K303" s="280"/>
    </row>
    <row r="304" spans="1:11" x14ac:dyDescent="0.25">
      <c r="A304" s="280"/>
      <c r="B304" s="280"/>
      <c r="C304" s="280"/>
      <c r="D304" s="280"/>
      <c r="E304" s="280"/>
      <c r="F304" s="280"/>
      <c r="G304" s="396"/>
      <c r="H304" s="298"/>
      <c r="I304" s="298"/>
      <c r="J304" s="298"/>
      <c r="K304" s="280"/>
    </row>
    <row r="305" spans="1:11" x14ac:dyDescent="0.25">
      <c r="A305" s="280"/>
      <c r="B305" s="280"/>
      <c r="C305" s="280"/>
      <c r="D305" s="280"/>
      <c r="E305" s="280"/>
      <c r="F305" s="280"/>
      <c r="G305" s="396"/>
      <c r="H305" s="298"/>
      <c r="I305" s="298"/>
      <c r="J305" s="298"/>
      <c r="K305" s="280"/>
    </row>
    <row r="306" spans="1:11" x14ac:dyDescent="0.25">
      <c r="A306" s="280"/>
      <c r="B306" s="280"/>
      <c r="C306" s="280"/>
      <c r="D306" s="280"/>
      <c r="E306" s="280"/>
      <c r="F306" s="280"/>
      <c r="G306" s="396"/>
      <c r="H306" s="298"/>
      <c r="I306" s="298"/>
      <c r="J306" s="298"/>
      <c r="K306" s="280"/>
    </row>
    <row r="307" spans="1:11" x14ac:dyDescent="0.25">
      <c r="A307" s="280"/>
      <c r="B307" s="280"/>
      <c r="C307" s="280"/>
      <c r="D307" s="280"/>
      <c r="E307" s="280"/>
      <c r="F307" s="280"/>
      <c r="G307" s="396"/>
      <c r="H307" s="298"/>
      <c r="I307" s="298"/>
      <c r="J307" s="298"/>
      <c r="K307" s="280"/>
    </row>
    <row r="308" spans="1:11" x14ac:dyDescent="0.25">
      <c r="A308" s="280"/>
      <c r="B308" s="280"/>
      <c r="C308" s="280"/>
      <c r="D308" s="280"/>
      <c r="E308" s="280"/>
      <c r="F308" s="280"/>
      <c r="G308" s="396"/>
      <c r="H308" s="298"/>
      <c r="I308" s="298"/>
      <c r="J308" s="298"/>
      <c r="K308" s="280"/>
    </row>
    <row r="309" spans="1:11" x14ac:dyDescent="0.25">
      <c r="A309" s="280"/>
      <c r="B309" s="280"/>
      <c r="C309" s="280"/>
      <c r="D309" s="280"/>
      <c r="E309" s="280"/>
      <c r="F309" s="280"/>
      <c r="G309" s="396"/>
      <c r="H309" s="298"/>
      <c r="I309" s="298"/>
      <c r="J309" s="298"/>
      <c r="K309" s="280"/>
    </row>
    <row r="310" spans="1:11" x14ac:dyDescent="0.25">
      <c r="A310" s="280"/>
      <c r="B310" s="280"/>
      <c r="C310" s="280"/>
      <c r="D310" s="280"/>
      <c r="E310" s="280"/>
      <c r="F310" s="280"/>
      <c r="G310" s="396"/>
      <c r="H310" s="298"/>
      <c r="I310" s="298"/>
      <c r="J310" s="298"/>
      <c r="K310" s="280"/>
    </row>
    <row r="311" spans="1:11" x14ac:dyDescent="0.25">
      <c r="A311" s="280"/>
      <c r="B311" s="280"/>
      <c r="C311" s="280"/>
      <c r="D311" s="280"/>
      <c r="E311" s="280"/>
      <c r="F311" s="280"/>
      <c r="G311" s="396"/>
      <c r="H311" s="298"/>
      <c r="I311" s="298"/>
      <c r="J311" s="298"/>
      <c r="K311" s="280"/>
    </row>
    <row r="312" spans="1:11" x14ac:dyDescent="0.25">
      <c r="A312" s="280"/>
      <c r="B312" s="280"/>
      <c r="C312" s="280"/>
      <c r="D312" s="280"/>
      <c r="E312" s="280"/>
      <c r="F312" s="280"/>
      <c r="G312" s="396"/>
      <c r="H312" s="298"/>
      <c r="I312" s="298"/>
      <c r="J312" s="298"/>
      <c r="K312" s="280"/>
    </row>
    <row r="313" spans="1:11" x14ac:dyDescent="0.25">
      <c r="A313" s="280"/>
      <c r="B313" s="280"/>
      <c r="C313" s="280"/>
      <c r="D313" s="280"/>
      <c r="E313" s="280"/>
      <c r="F313" s="280"/>
      <c r="G313" s="396"/>
      <c r="H313" s="298"/>
      <c r="I313" s="298"/>
      <c r="J313" s="298"/>
      <c r="K313" s="280"/>
    </row>
    <row r="314" spans="1:11" x14ac:dyDescent="0.25">
      <c r="A314" s="280"/>
      <c r="B314" s="280"/>
      <c r="C314" s="280"/>
      <c r="D314" s="280"/>
      <c r="E314" s="280"/>
      <c r="F314" s="280"/>
      <c r="G314" s="396"/>
      <c r="H314" s="298"/>
      <c r="I314" s="298"/>
      <c r="J314" s="298"/>
      <c r="K314" s="280"/>
    </row>
    <row r="315" spans="1:11" x14ac:dyDescent="0.25">
      <c r="A315" s="280"/>
      <c r="B315" s="280"/>
      <c r="C315" s="280"/>
      <c r="D315" s="280"/>
      <c r="E315" s="280"/>
      <c r="F315" s="280"/>
      <c r="G315" s="396"/>
      <c r="H315" s="298"/>
      <c r="I315" s="298"/>
      <c r="J315" s="298"/>
      <c r="K315" s="280"/>
    </row>
    <row r="316" spans="1:11" x14ac:dyDescent="0.25">
      <c r="A316" s="280"/>
      <c r="B316" s="280"/>
      <c r="C316" s="280"/>
      <c r="D316" s="280"/>
      <c r="E316" s="280"/>
      <c r="F316" s="280"/>
      <c r="G316" s="396"/>
      <c r="H316" s="298"/>
      <c r="I316" s="298"/>
      <c r="J316" s="298"/>
      <c r="K316" s="280"/>
    </row>
    <row r="317" spans="1:11" x14ac:dyDescent="0.25">
      <c r="A317" s="280"/>
      <c r="B317" s="280"/>
      <c r="C317" s="280"/>
      <c r="D317" s="280"/>
      <c r="E317" s="280"/>
      <c r="F317" s="280"/>
      <c r="G317" s="396"/>
      <c r="H317" s="298"/>
      <c r="I317" s="298"/>
      <c r="J317" s="298"/>
      <c r="K317" s="280"/>
    </row>
    <row r="318" spans="1:11" x14ac:dyDescent="0.25">
      <c r="A318" s="280"/>
      <c r="B318" s="280"/>
      <c r="C318" s="280"/>
      <c r="D318" s="280"/>
      <c r="E318" s="280"/>
      <c r="F318" s="280"/>
      <c r="G318" s="396"/>
      <c r="H318" s="298"/>
      <c r="I318" s="298"/>
      <c r="J318" s="298"/>
      <c r="K318" s="280"/>
    </row>
    <row r="319" spans="1:11" x14ac:dyDescent="0.25">
      <c r="A319" s="280"/>
      <c r="B319" s="280"/>
      <c r="C319" s="280"/>
      <c r="D319" s="280"/>
      <c r="E319" s="280"/>
      <c r="F319" s="280"/>
      <c r="G319" s="396"/>
      <c r="H319" s="298"/>
      <c r="I319" s="298"/>
      <c r="J319" s="298"/>
      <c r="K319" s="280"/>
    </row>
    <row r="320" spans="1:11" x14ac:dyDescent="0.25">
      <c r="A320" s="280"/>
      <c r="B320" s="280"/>
      <c r="C320" s="280"/>
      <c r="D320" s="280"/>
      <c r="E320" s="280"/>
      <c r="F320" s="280"/>
      <c r="G320" s="396"/>
      <c r="H320" s="298"/>
      <c r="I320" s="298"/>
      <c r="J320" s="298"/>
      <c r="K320" s="280"/>
    </row>
    <row r="321" spans="1:11" x14ac:dyDescent="0.25">
      <c r="A321" s="280"/>
      <c r="B321" s="280"/>
      <c r="C321" s="280"/>
      <c r="D321" s="280"/>
      <c r="E321" s="280"/>
      <c r="F321" s="280"/>
      <c r="G321" s="396"/>
      <c r="H321" s="298"/>
      <c r="I321" s="298"/>
      <c r="J321" s="298"/>
      <c r="K321" s="280"/>
    </row>
    <row r="322" spans="1:11" x14ac:dyDescent="0.25">
      <c r="A322" s="280"/>
      <c r="B322" s="280"/>
      <c r="C322" s="280"/>
      <c r="D322" s="280"/>
      <c r="E322" s="280"/>
      <c r="F322" s="280"/>
      <c r="G322" s="396"/>
      <c r="H322" s="298"/>
      <c r="I322" s="298"/>
      <c r="J322" s="298"/>
      <c r="K322" s="280"/>
    </row>
    <row r="323" spans="1:11" x14ac:dyDescent="0.25">
      <c r="A323" s="280"/>
      <c r="B323" s="280"/>
      <c r="C323" s="280"/>
      <c r="D323" s="280"/>
      <c r="E323" s="280"/>
      <c r="F323" s="280"/>
      <c r="G323" s="396"/>
      <c r="H323" s="298"/>
      <c r="I323" s="298"/>
      <c r="J323" s="298"/>
      <c r="K323" s="280"/>
    </row>
    <row r="324" spans="1:11" x14ac:dyDescent="0.25">
      <c r="A324" s="280"/>
      <c r="B324" s="280"/>
      <c r="C324" s="280"/>
      <c r="D324" s="280"/>
      <c r="E324" s="280"/>
      <c r="F324" s="280"/>
      <c r="G324" s="396"/>
      <c r="H324" s="298"/>
      <c r="I324" s="298"/>
      <c r="J324" s="298"/>
      <c r="K324" s="280"/>
    </row>
    <row r="325" spans="1:11" x14ac:dyDescent="0.25">
      <c r="A325" s="280"/>
      <c r="B325" s="280"/>
      <c r="C325" s="280"/>
      <c r="D325" s="280"/>
      <c r="E325" s="280"/>
      <c r="F325" s="280"/>
      <c r="G325" s="396"/>
      <c r="H325" s="298"/>
      <c r="I325" s="298"/>
      <c r="J325" s="298"/>
      <c r="K325" s="280"/>
    </row>
    <row r="326" spans="1:11" x14ac:dyDescent="0.25">
      <c r="A326" s="280"/>
      <c r="B326" s="280"/>
      <c r="C326" s="280"/>
      <c r="D326" s="280"/>
      <c r="E326" s="280"/>
      <c r="F326" s="280"/>
      <c r="G326" s="396"/>
      <c r="H326" s="298"/>
      <c r="I326" s="298"/>
      <c r="J326" s="298"/>
      <c r="K326" s="280"/>
    </row>
    <row r="327" spans="1:11" x14ac:dyDescent="0.25">
      <c r="A327" s="280"/>
      <c r="B327" s="280"/>
      <c r="C327" s="280"/>
      <c r="D327" s="280"/>
      <c r="E327" s="280"/>
      <c r="F327" s="280"/>
      <c r="G327" s="396"/>
      <c r="H327" s="298"/>
      <c r="I327" s="298"/>
      <c r="J327" s="298"/>
      <c r="K327" s="280"/>
    </row>
    <row r="328" spans="1:11" x14ac:dyDescent="0.25">
      <c r="A328" s="280"/>
      <c r="B328" s="280"/>
      <c r="C328" s="280"/>
      <c r="D328" s="280"/>
      <c r="E328" s="280"/>
      <c r="F328" s="280"/>
      <c r="G328" s="396"/>
      <c r="H328" s="298"/>
      <c r="I328" s="298"/>
      <c r="J328" s="298"/>
      <c r="K328" s="280"/>
    </row>
    <row r="329" spans="1:11" x14ac:dyDescent="0.25">
      <c r="A329" s="280"/>
      <c r="B329" s="280"/>
      <c r="C329" s="280"/>
      <c r="D329" s="280"/>
      <c r="E329" s="280"/>
      <c r="F329" s="280"/>
      <c r="G329" s="396"/>
      <c r="H329" s="298"/>
      <c r="I329" s="298"/>
      <c r="J329" s="298"/>
      <c r="K329" s="280"/>
    </row>
    <row r="330" spans="1:11" x14ac:dyDescent="0.25">
      <c r="A330" s="280"/>
      <c r="B330" s="280"/>
      <c r="C330" s="280"/>
      <c r="D330" s="280"/>
      <c r="E330" s="280"/>
      <c r="F330" s="280"/>
      <c r="G330" s="396"/>
      <c r="H330" s="298"/>
      <c r="I330" s="298"/>
      <c r="J330" s="298"/>
      <c r="K330" s="280"/>
    </row>
    <row r="331" spans="1:11" x14ac:dyDescent="0.25">
      <c r="A331" s="280"/>
      <c r="B331" s="280"/>
      <c r="C331" s="280"/>
      <c r="D331" s="280"/>
      <c r="E331" s="280"/>
      <c r="F331" s="280"/>
      <c r="G331" s="396"/>
      <c r="H331" s="298"/>
      <c r="I331" s="298"/>
      <c r="J331" s="298"/>
      <c r="K331" s="280"/>
    </row>
    <row r="332" spans="1:11" x14ac:dyDescent="0.25">
      <c r="A332" s="280"/>
      <c r="B332" s="280"/>
      <c r="C332" s="280"/>
      <c r="D332" s="280"/>
      <c r="E332" s="280"/>
      <c r="F332" s="280"/>
      <c r="G332" s="396"/>
      <c r="H332" s="298"/>
      <c r="I332" s="298"/>
      <c r="J332" s="298"/>
      <c r="K332" s="280"/>
    </row>
    <row r="333" spans="1:11" x14ac:dyDescent="0.25">
      <c r="A333" s="280"/>
      <c r="B333" s="280"/>
      <c r="C333" s="280"/>
      <c r="D333" s="280"/>
      <c r="E333" s="280"/>
      <c r="F333" s="280"/>
      <c r="G333" s="396"/>
      <c r="H333" s="298"/>
      <c r="I333" s="298"/>
      <c r="J333" s="298"/>
      <c r="K333" s="280"/>
    </row>
    <row r="334" spans="1:11" x14ac:dyDescent="0.25">
      <c r="A334" s="280"/>
      <c r="B334" s="280"/>
      <c r="C334" s="280"/>
      <c r="D334" s="280"/>
      <c r="E334" s="280"/>
      <c r="F334" s="280"/>
      <c r="G334" s="396"/>
      <c r="H334" s="298"/>
      <c r="I334" s="298"/>
      <c r="J334" s="298"/>
      <c r="K334" s="280"/>
    </row>
    <row r="335" spans="1:11" x14ac:dyDescent="0.25">
      <c r="A335" s="280"/>
      <c r="B335" s="280"/>
      <c r="C335" s="280"/>
      <c r="D335" s="280"/>
      <c r="E335" s="280"/>
      <c r="F335" s="280"/>
      <c r="G335" s="396"/>
      <c r="H335" s="298"/>
      <c r="I335" s="298"/>
      <c r="J335" s="298"/>
      <c r="K335" s="280"/>
    </row>
    <row r="336" spans="1:11" x14ac:dyDescent="0.25">
      <c r="A336" s="280"/>
      <c r="B336" s="280"/>
      <c r="C336" s="280"/>
      <c r="D336" s="280"/>
      <c r="E336" s="280"/>
      <c r="F336" s="280"/>
      <c r="G336" s="396"/>
      <c r="H336" s="298"/>
      <c r="I336" s="298"/>
      <c r="J336" s="298"/>
      <c r="K336" s="280"/>
    </row>
    <row r="337" spans="1:11" x14ac:dyDescent="0.25">
      <c r="A337" s="280"/>
      <c r="B337" s="280"/>
      <c r="C337" s="280"/>
      <c r="D337" s="280"/>
      <c r="E337" s="280"/>
      <c r="F337" s="280"/>
      <c r="G337" s="396"/>
      <c r="H337" s="298"/>
      <c r="I337" s="298"/>
      <c r="J337" s="298"/>
      <c r="K337" s="280"/>
    </row>
    <row r="338" spans="1:11" x14ac:dyDescent="0.25">
      <c r="A338" s="280"/>
      <c r="B338" s="280"/>
      <c r="C338" s="280"/>
      <c r="D338" s="280"/>
      <c r="E338" s="280"/>
      <c r="F338" s="280"/>
      <c r="G338" s="396"/>
      <c r="H338" s="298"/>
      <c r="I338" s="298"/>
      <c r="J338" s="298"/>
      <c r="K338" s="280"/>
    </row>
    <row r="339" spans="1:11" x14ac:dyDescent="0.25">
      <c r="A339" s="280"/>
      <c r="B339" s="280"/>
      <c r="C339" s="280"/>
      <c r="D339" s="280"/>
      <c r="E339" s="280"/>
      <c r="F339" s="280"/>
      <c r="G339" s="396"/>
      <c r="H339" s="298"/>
      <c r="I339" s="298"/>
      <c r="J339" s="298"/>
      <c r="K339" s="280"/>
    </row>
    <row r="340" spans="1:11" x14ac:dyDescent="0.25">
      <c r="A340" s="280"/>
      <c r="B340" s="280"/>
      <c r="C340" s="280"/>
      <c r="D340" s="280"/>
      <c r="E340" s="280"/>
      <c r="F340" s="280"/>
      <c r="G340" s="396"/>
      <c r="H340" s="298"/>
      <c r="I340" s="298"/>
      <c r="J340" s="298"/>
      <c r="K340" s="280"/>
    </row>
    <row r="341" spans="1:11" x14ac:dyDescent="0.25">
      <c r="A341" s="280"/>
      <c r="B341" s="280"/>
      <c r="C341" s="280"/>
      <c r="D341" s="280"/>
      <c r="E341" s="280"/>
      <c r="F341" s="280"/>
      <c r="G341" s="396"/>
      <c r="H341" s="298"/>
      <c r="I341" s="298"/>
      <c r="J341" s="298"/>
      <c r="K341" s="280"/>
    </row>
    <row r="342" spans="1:11" x14ac:dyDescent="0.25">
      <c r="A342" s="280"/>
      <c r="B342" s="280"/>
      <c r="C342" s="280"/>
      <c r="D342" s="280"/>
      <c r="E342" s="280"/>
      <c r="F342" s="280"/>
      <c r="G342" s="396"/>
      <c r="H342" s="298"/>
      <c r="I342" s="298"/>
      <c r="J342" s="298"/>
      <c r="K342" s="280"/>
    </row>
    <row r="343" spans="1:11" x14ac:dyDescent="0.25">
      <c r="A343" s="280"/>
      <c r="B343" s="280"/>
      <c r="C343" s="280"/>
      <c r="D343" s="280"/>
      <c r="E343" s="280"/>
      <c r="F343" s="280"/>
      <c r="G343" s="396"/>
      <c r="H343" s="298"/>
      <c r="I343" s="298"/>
      <c r="J343" s="298"/>
      <c r="K343" s="280"/>
    </row>
    <row r="344" spans="1:11" x14ac:dyDescent="0.25">
      <c r="A344" s="280"/>
      <c r="B344" s="280"/>
      <c r="C344" s="280"/>
      <c r="D344" s="280"/>
      <c r="E344" s="280"/>
      <c r="F344" s="280"/>
      <c r="G344" s="396"/>
      <c r="H344" s="298"/>
      <c r="I344" s="298"/>
      <c r="J344" s="298"/>
      <c r="K344" s="280"/>
    </row>
    <row r="345" spans="1:11" x14ac:dyDescent="0.25">
      <c r="A345" s="280"/>
      <c r="B345" s="280"/>
      <c r="C345" s="280"/>
      <c r="D345" s="280"/>
      <c r="E345" s="280"/>
      <c r="F345" s="280"/>
      <c r="G345" s="396"/>
      <c r="H345" s="298"/>
      <c r="I345" s="298"/>
      <c r="J345" s="298"/>
      <c r="K345" s="280"/>
    </row>
    <row r="346" spans="1:11" x14ac:dyDescent="0.25">
      <c r="A346" s="280"/>
      <c r="B346" s="280"/>
      <c r="C346" s="280"/>
      <c r="D346" s="280"/>
      <c r="E346" s="280"/>
      <c r="F346" s="280"/>
      <c r="G346" s="396"/>
      <c r="H346" s="298"/>
      <c r="I346" s="298"/>
      <c r="J346" s="298"/>
      <c r="K346" s="280"/>
    </row>
    <row r="347" spans="1:11" x14ac:dyDescent="0.25">
      <c r="A347" s="280"/>
      <c r="B347" s="280"/>
      <c r="C347" s="280"/>
      <c r="D347" s="280"/>
      <c r="E347" s="280"/>
      <c r="F347" s="280"/>
      <c r="G347" s="396"/>
      <c r="H347" s="298"/>
      <c r="I347" s="298"/>
      <c r="J347" s="298"/>
      <c r="K347" s="280"/>
    </row>
    <row r="348" spans="1:11" x14ac:dyDescent="0.25">
      <c r="A348" s="280"/>
      <c r="B348" s="280"/>
      <c r="C348" s="280"/>
      <c r="D348" s="280"/>
      <c r="E348" s="280"/>
      <c r="F348" s="280"/>
      <c r="G348" s="396"/>
      <c r="H348" s="298"/>
      <c r="I348" s="298"/>
      <c r="J348" s="298"/>
      <c r="K348" s="280"/>
    </row>
    <row r="349" spans="1:11" x14ac:dyDescent="0.25">
      <c r="A349" s="280"/>
      <c r="B349" s="280"/>
      <c r="C349" s="280"/>
      <c r="D349" s="280"/>
      <c r="E349" s="280"/>
      <c r="F349" s="280"/>
      <c r="G349" s="396"/>
      <c r="H349" s="298"/>
      <c r="I349" s="298"/>
      <c r="J349" s="298"/>
      <c r="K349" s="280"/>
    </row>
    <row r="350" spans="1:11" x14ac:dyDescent="0.25">
      <c r="A350" s="280"/>
      <c r="B350" s="280"/>
      <c r="C350" s="280"/>
      <c r="D350" s="280"/>
      <c r="E350" s="280"/>
      <c r="F350" s="280"/>
      <c r="G350" s="396"/>
      <c r="H350" s="298"/>
      <c r="I350" s="298"/>
      <c r="J350" s="298"/>
      <c r="K350" s="280"/>
    </row>
    <row r="351" spans="1:11" x14ac:dyDescent="0.25">
      <c r="A351" s="280"/>
      <c r="B351" s="280"/>
      <c r="C351" s="280"/>
      <c r="D351" s="280"/>
      <c r="E351" s="280"/>
      <c r="F351" s="280"/>
      <c r="G351" s="396"/>
      <c r="H351" s="298"/>
      <c r="I351" s="298"/>
      <c r="J351" s="298"/>
      <c r="K351" s="280"/>
    </row>
    <row r="352" spans="1:11" x14ac:dyDescent="0.25">
      <c r="A352" s="280"/>
      <c r="B352" s="280"/>
      <c r="C352" s="280"/>
      <c r="D352" s="280"/>
      <c r="E352" s="280"/>
      <c r="F352" s="280"/>
      <c r="G352" s="396"/>
      <c r="H352" s="298"/>
      <c r="I352" s="298"/>
      <c r="J352" s="298"/>
      <c r="K352" s="280"/>
    </row>
    <row r="353" spans="1:11" x14ac:dyDescent="0.25">
      <c r="A353" s="280"/>
      <c r="B353" s="280"/>
      <c r="C353" s="280"/>
      <c r="D353" s="280"/>
      <c r="E353" s="280"/>
      <c r="F353" s="280"/>
      <c r="G353" s="396"/>
      <c r="H353" s="298"/>
      <c r="I353" s="298"/>
      <c r="J353" s="298"/>
      <c r="K353" s="280"/>
    </row>
    <row r="354" spans="1:11" x14ac:dyDescent="0.25">
      <c r="A354" s="280"/>
      <c r="B354" s="280"/>
      <c r="C354" s="280"/>
      <c r="D354" s="280"/>
      <c r="E354" s="280"/>
      <c r="F354" s="280"/>
      <c r="G354" s="396"/>
      <c r="H354" s="298"/>
      <c r="I354" s="298"/>
      <c r="J354" s="298"/>
      <c r="K354" s="280"/>
    </row>
    <row r="355" spans="1:11" x14ac:dyDescent="0.25">
      <c r="A355" s="280"/>
      <c r="B355" s="280"/>
      <c r="C355" s="280"/>
      <c r="D355" s="280"/>
      <c r="E355" s="280"/>
      <c r="F355" s="280"/>
      <c r="G355" s="396"/>
      <c r="H355" s="298"/>
      <c r="I355" s="298"/>
      <c r="J355" s="298"/>
      <c r="K355" s="280"/>
    </row>
    <row r="356" spans="1:11" x14ac:dyDescent="0.25">
      <c r="A356" s="280"/>
      <c r="B356" s="280"/>
      <c r="C356" s="280"/>
      <c r="D356" s="280"/>
      <c r="E356" s="280"/>
      <c r="F356" s="280"/>
      <c r="G356" s="396"/>
      <c r="H356" s="298"/>
      <c r="I356" s="298"/>
      <c r="J356" s="298"/>
      <c r="K356" s="280"/>
    </row>
    <row r="357" spans="1:11" x14ac:dyDescent="0.25">
      <c r="A357" s="280"/>
      <c r="B357" s="280"/>
      <c r="C357" s="280"/>
      <c r="D357" s="280"/>
      <c r="E357" s="280"/>
      <c r="F357" s="280"/>
      <c r="G357" s="396"/>
      <c r="H357" s="298"/>
      <c r="I357" s="298"/>
      <c r="J357" s="298"/>
      <c r="K357" s="280"/>
    </row>
    <row r="358" spans="1:11" x14ac:dyDescent="0.25">
      <c r="A358" s="280"/>
      <c r="B358" s="280"/>
      <c r="C358" s="280"/>
      <c r="D358" s="280"/>
      <c r="E358" s="280"/>
      <c r="F358" s="280"/>
      <c r="G358" s="396"/>
      <c r="H358" s="298"/>
      <c r="I358" s="298"/>
      <c r="J358" s="298"/>
      <c r="K358" s="280"/>
    </row>
    <row r="359" spans="1:11" x14ac:dyDescent="0.25">
      <c r="A359" s="280"/>
      <c r="B359" s="280"/>
      <c r="C359" s="280"/>
      <c r="D359" s="280"/>
      <c r="E359" s="280"/>
      <c r="F359" s="280"/>
      <c r="G359" s="396"/>
      <c r="H359" s="298"/>
      <c r="I359" s="298"/>
      <c r="J359" s="298"/>
      <c r="K359" s="280"/>
    </row>
    <row r="360" spans="1:11" x14ac:dyDescent="0.25">
      <c r="A360" s="280"/>
      <c r="B360" s="280"/>
      <c r="C360" s="280"/>
      <c r="D360" s="280"/>
      <c r="E360" s="280"/>
      <c r="F360" s="280"/>
      <c r="G360" s="396"/>
      <c r="H360" s="298"/>
      <c r="I360" s="298"/>
      <c r="J360" s="298"/>
      <c r="K360" s="280"/>
    </row>
    <row r="361" spans="1:11" x14ac:dyDescent="0.25">
      <c r="A361" s="280"/>
      <c r="B361" s="280"/>
      <c r="C361" s="280"/>
      <c r="D361" s="280"/>
      <c r="E361" s="280"/>
      <c r="F361" s="280"/>
      <c r="G361" s="396"/>
      <c r="H361" s="298"/>
      <c r="I361" s="298"/>
      <c r="J361" s="298"/>
      <c r="K361" s="280"/>
    </row>
    <row r="362" spans="1:11" x14ac:dyDescent="0.25">
      <c r="A362" s="280"/>
      <c r="B362" s="280"/>
      <c r="C362" s="280"/>
      <c r="D362" s="280"/>
      <c r="E362" s="280"/>
      <c r="F362" s="280"/>
      <c r="G362" s="396"/>
      <c r="H362" s="298"/>
      <c r="I362" s="298"/>
      <c r="J362" s="298"/>
      <c r="K362" s="280"/>
    </row>
    <row r="363" spans="1:11" x14ac:dyDescent="0.25">
      <c r="A363" s="280"/>
      <c r="B363" s="280"/>
      <c r="C363" s="280"/>
      <c r="D363" s="280"/>
      <c r="E363" s="280"/>
      <c r="F363" s="280"/>
      <c r="G363" s="396"/>
      <c r="H363" s="298"/>
      <c r="I363" s="298"/>
      <c r="J363" s="298"/>
      <c r="K363" s="280"/>
    </row>
    <row r="364" spans="1:11" x14ac:dyDescent="0.25">
      <c r="A364" s="280"/>
      <c r="B364" s="280"/>
      <c r="C364" s="280"/>
      <c r="D364" s="280"/>
      <c r="E364" s="280"/>
      <c r="F364" s="280"/>
      <c r="G364" s="396"/>
      <c r="H364" s="298"/>
      <c r="I364" s="298"/>
      <c r="J364" s="298"/>
      <c r="K364" s="280"/>
    </row>
    <row r="365" spans="1:11" x14ac:dyDescent="0.25">
      <c r="A365" s="280"/>
      <c r="B365" s="280"/>
      <c r="C365" s="280"/>
      <c r="D365" s="280"/>
      <c r="E365" s="280"/>
      <c r="F365" s="280"/>
      <c r="G365" s="396"/>
      <c r="H365" s="298"/>
      <c r="I365" s="298"/>
      <c r="J365" s="298"/>
      <c r="K365" s="280"/>
    </row>
    <row r="366" spans="1:11" x14ac:dyDescent="0.25">
      <c r="A366" s="280"/>
      <c r="B366" s="280"/>
      <c r="C366" s="280"/>
      <c r="D366" s="280"/>
      <c r="E366" s="280"/>
      <c r="F366" s="280"/>
      <c r="G366" s="396"/>
      <c r="H366" s="298"/>
      <c r="I366" s="298"/>
      <c r="J366" s="298"/>
      <c r="K366" s="280"/>
    </row>
    <row r="367" spans="1:11" x14ac:dyDescent="0.25">
      <c r="A367" s="280"/>
      <c r="B367" s="280"/>
      <c r="C367" s="280"/>
      <c r="D367" s="280"/>
      <c r="E367" s="280"/>
      <c r="F367" s="280"/>
      <c r="G367" s="396"/>
      <c r="H367" s="298"/>
      <c r="I367" s="298"/>
      <c r="J367" s="298"/>
      <c r="K367" s="280"/>
    </row>
    <row r="368" spans="1:11" x14ac:dyDescent="0.25">
      <c r="A368" s="280"/>
      <c r="B368" s="280"/>
      <c r="C368" s="280"/>
      <c r="D368" s="280"/>
      <c r="E368" s="280"/>
      <c r="F368" s="280"/>
      <c r="G368" s="396"/>
      <c r="H368" s="298"/>
      <c r="I368" s="298"/>
      <c r="J368" s="298"/>
      <c r="K368" s="280"/>
    </row>
    <row r="369" spans="1:11" x14ac:dyDescent="0.25">
      <c r="A369" s="280"/>
      <c r="B369" s="280"/>
      <c r="C369" s="280"/>
      <c r="D369" s="280"/>
      <c r="E369" s="280"/>
      <c r="F369" s="280"/>
      <c r="G369" s="396"/>
      <c r="H369" s="298"/>
      <c r="I369" s="298"/>
      <c r="J369" s="298"/>
      <c r="K369" s="280"/>
    </row>
    <row r="370" spans="1:11" x14ac:dyDescent="0.25">
      <c r="A370" s="280"/>
      <c r="B370" s="280"/>
      <c r="C370" s="280"/>
      <c r="D370" s="280"/>
      <c r="E370" s="280"/>
      <c r="F370" s="280"/>
      <c r="G370" s="396"/>
      <c r="H370" s="298"/>
      <c r="I370" s="298"/>
      <c r="J370" s="298"/>
      <c r="K370" s="280"/>
    </row>
    <row r="371" spans="1:11" x14ac:dyDescent="0.25">
      <c r="A371" s="280"/>
      <c r="B371" s="280"/>
      <c r="C371" s="280"/>
      <c r="D371" s="280"/>
      <c r="E371" s="280"/>
      <c r="F371" s="280"/>
      <c r="G371" s="396"/>
      <c r="H371" s="298"/>
      <c r="I371" s="298"/>
      <c r="J371" s="298"/>
      <c r="K371" s="280"/>
    </row>
    <row r="372" spans="1:11" x14ac:dyDescent="0.25">
      <c r="A372" s="280"/>
      <c r="B372" s="280"/>
      <c r="C372" s="280"/>
      <c r="D372" s="280"/>
      <c r="E372" s="280"/>
      <c r="F372" s="280"/>
      <c r="G372" s="396"/>
      <c r="H372" s="298"/>
      <c r="I372" s="298"/>
      <c r="J372" s="298"/>
      <c r="K372" s="280"/>
    </row>
    <row r="373" spans="1:11" x14ac:dyDescent="0.25">
      <c r="A373" s="280"/>
      <c r="B373" s="280"/>
      <c r="C373" s="280"/>
      <c r="D373" s="280"/>
      <c r="E373" s="280"/>
      <c r="F373" s="280"/>
      <c r="G373" s="396"/>
      <c r="H373" s="298"/>
      <c r="I373" s="298"/>
      <c r="J373" s="298"/>
      <c r="K373" s="280"/>
    </row>
    <row r="374" spans="1:11" x14ac:dyDescent="0.25">
      <c r="A374" s="280"/>
      <c r="B374" s="280"/>
      <c r="C374" s="280"/>
      <c r="D374" s="280"/>
      <c r="E374" s="280"/>
      <c r="F374" s="280"/>
      <c r="G374" s="396"/>
      <c r="H374" s="298"/>
      <c r="I374" s="298"/>
      <c r="J374" s="298"/>
      <c r="K374" s="280"/>
    </row>
    <row r="375" spans="1:11" x14ac:dyDescent="0.25">
      <c r="A375" s="280"/>
      <c r="B375" s="280"/>
      <c r="C375" s="280"/>
      <c r="D375" s="280"/>
      <c r="E375" s="280"/>
      <c r="F375" s="280"/>
      <c r="G375" s="396"/>
      <c r="H375" s="298"/>
      <c r="I375" s="298"/>
      <c r="J375" s="298"/>
      <c r="K375" s="280"/>
    </row>
    <row r="376" spans="1:11" x14ac:dyDescent="0.25">
      <c r="A376" s="280"/>
      <c r="B376" s="280"/>
      <c r="C376" s="280"/>
      <c r="D376" s="280"/>
      <c r="E376" s="280"/>
      <c r="F376" s="280"/>
      <c r="G376" s="396"/>
      <c r="H376" s="298"/>
      <c r="I376" s="298"/>
      <c r="J376" s="298"/>
      <c r="K376" s="280"/>
    </row>
    <row r="377" spans="1:11" x14ac:dyDescent="0.25">
      <c r="A377" s="280"/>
      <c r="B377" s="280"/>
      <c r="C377" s="280"/>
      <c r="D377" s="280"/>
      <c r="E377" s="280"/>
      <c r="F377" s="280"/>
      <c r="G377" s="396"/>
      <c r="H377" s="298"/>
      <c r="I377" s="298"/>
      <c r="J377" s="298"/>
      <c r="K377" s="280"/>
    </row>
    <row r="378" spans="1:11" x14ac:dyDescent="0.25">
      <c r="A378" s="280"/>
      <c r="B378" s="280"/>
      <c r="C378" s="280"/>
      <c r="D378" s="280"/>
      <c r="E378" s="280"/>
      <c r="F378" s="280"/>
      <c r="G378" s="396"/>
      <c r="H378" s="298"/>
      <c r="I378" s="298"/>
      <c r="J378" s="298"/>
      <c r="K378" s="280"/>
    </row>
    <row r="379" spans="1:11" x14ac:dyDescent="0.25">
      <c r="A379" s="280"/>
      <c r="B379" s="280"/>
      <c r="C379" s="280"/>
      <c r="D379" s="280"/>
      <c r="E379" s="280"/>
      <c r="F379" s="280"/>
      <c r="G379" s="396"/>
      <c r="H379" s="298"/>
      <c r="I379" s="298"/>
      <c r="J379" s="298"/>
      <c r="K379" s="280"/>
    </row>
    <row r="380" spans="1:11" x14ac:dyDescent="0.25">
      <c r="A380" s="280"/>
      <c r="B380" s="280"/>
      <c r="C380" s="280"/>
      <c r="D380" s="280"/>
      <c r="E380" s="280"/>
      <c r="F380" s="280"/>
      <c r="G380" s="396"/>
      <c r="H380" s="298"/>
      <c r="I380" s="298"/>
      <c r="J380" s="298"/>
      <c r="K380" s="280"/>
    </row>
    <row r="381" spans="1:11" x14ac:dyDescent="0.25">
      <c r="A381" s="280"/>
      <c r="B381" s="280"/>
      <c r="C381" s="280"/>
      <c r="D381" s="280"/>
      <c r="E381" s="280"/>
      <c r="F381" s="280"/>
      <c r="G381" s="396"/>
      <c r="H381" s="298"/>
      <c r="I381" s="298"/>
      <c r="J381" s="298"/>
      <c r="K381" s="280"/>
    </row>
    <row r="382" spans="1:11" x14ac:dyDescent="0.25">
      <c r="A382" s="280"/>
      <c r="B382" s="280"/>
      <c r="C382" s="280"/>
      <c r="D382" s="280"/>
      <c r="E382" s="280"/>
      <c r="F382" s="280"/>
      <c r="G382" s="396"/>
      <c r="H382" s="298"/>
      <c r="I382" s="298"/>
      <c r="J382" s="298"/>
      <c r="K382" s="280"/>
    </row>
    <row r="383" spans="1:11" x14ac:dyDescent="0.25">
      <c r="A383" s="280"/>
      <c r="B383" s="280"/>
      <c r="C383" s="280"/>
      <c r="D383" s="280"/>
      <c r="E383" s="280"/>
      <c r="F383" s="280"/>
      <c r="G383" s="396"/>
      <c r="H383" s="298"/>
      <c r="I383" s="298"/>
      <c r="J383" s="298"/>
      <c r="K383" s="280"/>
    </row>
    <row r="384" spans="1:11" x14ac:dyDescent="0.25">
      <c r="A384" s="280"/>
      <c r="B384" s="280"/>
      <c r="C384" s="280"/>
      <c r="D384" s="280"/>
      <c r="E384" s="280"/>
      <c r="F384" s="280"/>
      <c r="G384" s="396"/>
      <c r="H384" s="298"/>
      <c r="I384" s="298"/>
      <c r="J384" s="298"/>
      <c r="K384" s="280"/>
    </row>
    <row r="385" spans="1:11" x14ac:dyDescent="0.25">
      <c r="A385" s="280"/>
      <c r="B385" s="280"/>
      <c r="C385" s="280"/>
      <c r="D385" s="280"/>
      <c r="E385" s="280"/>
      <c r="F385" s="280"/>
      <c r="G385" s="396"/>
      <c r="H385" s="298"/>
      <c r="I385" s="298"/>
      <c r="J385" s="298"/>
      <c r="K385" s="280"/>
    </row>
    <row r="386" spans="1:11" x14ac:dyDescent="0.25">
      <c r="A386" s="280"/>
      <c r="B386" s="280"/>
      <c r="C386" s="280"/>
      <c r="D386" s="280"/>
      <c r="E386" s="280"/>
      <c r="F386" s="280"/>
      <c r="G386" s="396"/>
      <c r="H386" s="298"/>
      <c r="I386" s="298"/>
      <c r="J386" s="298"/>
      <c r="K386" s="280"/>
    </row>
    <row r="387" spans="1:11" x14ac:dyDescent="0.25">
      <c r="A387" s="280"/>
      <c r="B387" s="280"/>
      <c r="C387" s="280"/>
      <c r="D387" s="280"/>
      <c r="E387" s="280"/>
      <c r="F387" s="280"/>
      <c r="G387" s="396"/>
      <c r="H387" s="298"/>
      <c r="I387" s="298"/>
      <c r="J387" s="298"/>
      <c r="K387" s="280"/>
    </row>
    <row r="388" spans="1:11" x14ac:dyDescent="0.25">
      <c r="A388" s="280"/>
      <c r="B388" s="280"/>
      <c r="C388" s="280"/>
      <c r="D388" s="280"/>
      <c r="E388" s="280"/>
      <c r="F388" s="280"/>
      <c r="G388" s="396"/>
      <c r="H388" s="298"/>
      <c r="I388" s="298"/>
      <c r="J388" s="298"/>
      <c r="K388" s="280"/>
    </row>
  </sheetData>
  <sheetProtection sheet="1" objects="1" scenarios="1"/>
  <customSheetViews>
    <customSheetView guid="{17302493-42B1-4877-869E-E424A97AE78B}" hiddenColumns="1">
      <selection activeCell="A3" sqref="A3"/>
      <pageMargins left="0.7" right="0.7" top="0.75" bottom="0.75" header="0.3" footer="0.3"/>
      <pageSetup orientation="portrait" horizontalDpi="1200" verticalDpi="1200" r:id="rId1"/>
    </customSheetView>
    <customSheetView guid="{5C0BA3A5-859C-46C2-B685-44D9A90065E4}" hiddenColumns="1">
      <selection activeCell="A3" sqref="A3"/>
      <pageMargins left="0.7" right="0.7" top="0.75" bottom="0.75" header="0.3" footer="0.3"/>
      <pageSetup orientation="portrait" horizontalDpi="1200" verticalDpi="1200" r:id="rId2"/>
    </customSheetView>
  </customSheetViews>
  <pageMargins left="0.7" right="0.7" top="0.75" bottom="0.75" header="0.3" footer="0.3"/>
  <pageSetup scale="74" fitToHeight="0"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8971D"/>
    <pageSetUpPr fitToPage="1"/>
  </sheetPr>
  <dimension ref="A1:S104"/>
  <sheetViews>
    <sheetView workbookViewId="0">
      <selection activeCell="C26" sqref="C26"/>
    </sheetView>
  </sheetViews>
  <sheetFormatPr defaultColWidth="9.1796875"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777</v>
      </c>
    </row>
    <row r="2" spans="1:19" ht="21" x14ac:dyDescent="0.5">
      <c r="A2" s="2" t="s">
        <v>775</v>
      </c>
      <c r="N2" s="40"/>
      <c r="O2" s="40"/>
      <c r="P2" s="40"/>
      <c r="Q2" s="40"/>
      <c r="R2" s="40"/>
      <c r="S2" s="40"/>
    </row>
    <row r="3" spans="1:19" ht="25" customHeight="1" x14ac:dyDescent="0.5">
      <c r="A3" s="5" t="s">
        <v>663</v>
      </c>
      <c r="M3" s="122"/>
      <c r="N3" s="122"/>
      <c r="O3" s="122"/>
      <c r="P3" s="40"/>
      <c r="Q3" s="40"/>
      <c r="R3" s="40"/>
      <c r="S3" s="40"/>
    </row>
    <row r="4" spans="1:19" ht="25" customHeight="1" x14ac:dyDescent="0.5">
      <c r="A4" s="235" t="str">
        <f>Results!A4</f>
        <v>Final Adjustments</v>
      </c>
      <c r="M4" s="122"/>
      <c r="N4" s="122"/>
      <c r="O4" s="122"/>
      <c r="P4" s="40"/>
      <c r="Q4" s="40"/>
      <c r="R4" s="40"/>
      <c r="S4" s="40"/>
    </row>
    <row r="5" spans="1:19" x14ac:dyDescent="0.35">
      <c r="F5" s="36"/>
      <c r="M5" s="40"/>
      <c r="N5" s="40"/>
      <c r="O5" s="40"/>
      <c r="P5" s="40"/>
      <c r="Q5" s="40"/>
      <c r="R5" s="40"/>
      <c r="S5" s="40"/>
    </row>
    <row r="6" spans="1:19" x14ac:dyDescent="0.35">
      <c r="A6" s="1" t="s">
        <v>776</v>
      </c>
      <c r="C6" s="414" t="str">
        <f>Results!$C$6</f>
        <v>WellPower</v>
      </c>
      <c r="F6" s="48"/>
      <c r="M6" s="40"/>
      <c r="N6" s="40"/>
      <c r="O6" s="40"/>
      <c r="P6" s="40"/>
      <c r="Q6" s="40"/>
      <c r="R6" s="40"/>
      <c r="S6" s="40"/>
    </row>
    <row r="7" spans="1:19" x14ac:dyDescent="0.35">
      <c r="A7" s="1" t="s">
        <v>0</v>
      </c>
      <c r="C7" s="35">
        <f>Results!$C$7</f>
        <v>45473</v>
      </c>
      <c r="F7" s="40"/>
      <c r="M7" s="40"/>
      <c r="N7" s="40"/>
      <c r="O7" s="40"/>
      <c r="P7" s="40"/>
      <c r="Q7" s="40"/>
      <c r="R7" s="40"/>
      <c r="S7" s="40"/>
    </row>
    <row r="8" spans="1:19" s="1" customFormat="1" x14ac:dyDescent="0.35">
      <c r="E8"/>
      <c r="F8"/>
      <c r="G8" s="48"/>
      <c r="H8"/>
      <c r="M8" s="40"/>
      <c r="N8" s="40"/>
      <c r="O8" s="40"/>
      <c r="P8" s="40"/>
      <c r="Q8" s="40"/>
      <c r="R8" s="40"/>
      <c r="S8" s="40"/>
    </row>
    <row r="9" spans="1:19" x14ac:dyDescent="0.35">
      <c r="D9" s="23">
        <v>1</v>
      </c>
      <c r="E9" s="23">
        <v>2</v>
      </c>
      <c r="F9" s="23">
        <v>3</v>
      </c>
      <c r="G9" s="23">
        <v>4</v>
      </c>
      <c r="H9" s="23">
        <v>5</v>
      </c>
      <c r="I9" s="23">
        <v>6</v>
      </c>
      <c r="J9" s="23">
        <v>7</v>
      </c>
      <c r="M9" s="40"/>
      <c r="N9" s="40"/>
      <c r="O9" s="40"/>
      <c r="P9" s="40"/>
      <c r="Q9" s="40"/>
      <c r="R9" s="40"/>
      <c r="S9" s="40"/>
    </row>
    <row r="10" spans="1:19" s="6" customFormat="1" ht="116" x14ac:dyDescent="0.35">
      <c r="A10" s="97"/>
      <c r="B10" s="544" t="s">
        <v>1</v>
      </c>
      <c r="C10" s="544"/>
      <c r="D10" s="142" t="s">
        <v>664</v>
      </c>
      <c r="E10" s="142" t="s">
        <v>665</v>
      </c>
      <c r="F10" s="142" t="s">
        <v>666</v>
      </c>
      <c r="G10" s="142" t="s">
        <v>782</v>
      </c>
      <c r="H10" s="142" t="s">
        <v>667</v>
      </c>
      <c r="I10" s="142" t="s">
        <v>668</v>
      </c>
      <c r="J10" s="142" t="s">
        <v>669</v>
      </c>
      <c r="M10" s="121"/>
      <c r="N10" s="121"/>
      <c r="O10" s="121"/>
      <c r="P10" s="121"/>
      <c r="Q10" s="121"/>
      <c r="R10" s="121"/>
      <c r="S10" s="121"/>
    </row>
    <row r="11" spans="1:19" s="6" customFormat="1" x14ac:dyDescent="0.35">
      <c r="A11" s="97"/>
      <c r="B11" s="143"/>
      <c r="C11" s="144"/>
      <c r="D11" s="145"/>
      <c r="E11" s="145"/>
      <c r="F11" s="145"/>
      <c r="G11" s="145"/>
      <c r="H11" s="145"/>
      <c r="I11" s="145"/>
      <c r="J11" s="145"/>
      <c r="M11" s="121"/>
      <c r="N11" s="121"/>
      <c r="O11" s="121"/>
      <c r="P11" s="121"/>
      <c r="Q11" s="121"/>
      <c r="R11" s="121"/>
      <c r="S11" s="121"/>
    </row>
    <row r="12" spans="1:19" s="22" customFormat="1" x14ac:dyDescent="0.35">
      <c r="A12" s="540" t="s">
        <v>280</v>
      </c>
      <c r="B12" s="541"/>
      <c r="C12" s="541"/>
      <c r="D12" s="541"/>
      <c r="E12" s="541"/>
      <c r="F12" s="541"/>
      <c r="G12" s="541"/>
      <c r="H12" s="541"/>
      <c r="I12" s="541"/>
      <c r="J12" s="542"/>
      <c r="M12" s="120"/>
      <c r="N12" s="120"/>
      <c r="O12" s="120"/>
      <c r="P12" s="120"/>
      <c r="Q12" s="120"/>
      <c r="R12" s="120"/>
      <c r="S12" s="120"/>
    </row>
    <row r="13" spans="1:19" s="22" customFormat="1" x14ac:dyDescent="0.35">
      <c r="A13" s="146">
        <v>1</v>
      </c>
      <c r="B13" s="531" t="s">
        <v>458</v>
      </c>
      <c r="C13" s="533"/>
      <c r="D13" s="147">
        <f>'Schedule 1 Adjustments'!F13</f>
        <v>11.637499999999999</v>
      </c>
      <c r="E13" s="148">
        <f>'Schedule 1 Adjustments'!I13</f>
        <v>0</v>
      </c>
      <c r="F13" s="148">
        <f>'Schedule 1 Adjustments'!L13</f>
        <v>3430341.4541393481</v>
      </c>
      <c r="G13" s="148">
        <f>'Schedule 1 Adjustments'!O13</f>
        <v>23677.013713466651</v>
      </c>
      <c r="H13" s="148">
        <f>'Schedule 1 Adjustments'!R13</f>
        <v>30401.811143704348</v>
      </c>
      <c r="I13" s="148">
        <f>'Schedule 1 Adjustments'!U13</f>
        <v>0</v>
      </c>
      <c r="J13" s="149">
        <f t="shared" ref="J13:J16" si="0">SUM(E13:I13)</f>
        <v>3484420.2789965188</v>
      </c>
      <c r="M13" s="131"/>
    </row>
    <row r="14" spans="1:19" s="22" customFormat="1" x14ac:dyDescent="0.35">
      <c r="A14" s="146">
        <v>2</v>
      </c>
      <c r="B14" s="531" t="s">
        <v>291</v>
      </c>
      <c r="C14" s="533"/>
      <c r="D14" s="147">
        <f>'Schedule 1 Adjustments'!F14</f>
        <v>250.90831250000008</v>
      </c>
      <c r="E14" s="148">
        <f>'Schedule 1 Adjustments'!I14</f>
        <v>143685.39362843984</v>
      </c>
      <c r="F14" s="148">
        <f>'Schedule 1 Adjustments'!L14</f>
        <v>20329749.951565336</v>
      </c>
      <c r="G14" s="148">
        <f>'Schedule 1 Adjustments'!O14</f>
        <v>2846999.0507566989</v>
      </c>
      <c r="H14" s="148">
        <f>'Schedule 1 Adjustments'!R14</f>
        <v>2304697.7371633584</v>
      </c>
      <c r="I14" s="148">
        <f>'Schedule 1 Adjustments'!U14</f>
        <v>0</v>
      </c>
      <c r="J14" s="149">
        <f t="shared" si="0"/>
        <v>25625132.133113835</v>
      </c>
      <c r="M14" s="131"/>
    </row>
    <row r="15" spans="1:19" s="22" customFormat="1" x14ac:dyDescent="0.35">
      <c r="A15" s="146">
        <v>3</v>
      </c>
      <c r="B15" s="531" t="s">
        <v>301</v>
      </c>
      <c r="C15" s="533"/>
      <c r="D15" s="147">
        <f>'Schedule 1 Adjustments'!F15</f>
        <v>516.80743749999999</v>
      </c>
      <c r="E15" s="148">
        <f>'Schedule 1 Adjustments'!I15</f>
        <v>1207455.0468203807</v>
      </c>
      <c r="F15" s="148">
        <f>'Schedule 1 Adjustments'!L15</f>
        <v>21345209.157702178</v>
      </c>
      <c r="G15" s="148">
        <f>'Schedule 1 Adjustments'!O15</f>
        <v>7532185.9308219142</v>
      </c>
      <c r="H15" s="148">
        <f>'Schedule 1 Adjustments'!R15</f>
        <v>2009630.967304145</v>
      </c>
      <c r="I15" s="148">
        <f>'Schedule 1 Adjustments'!U15</f>
        <v>0</v>
      </c>
      <c r="J15" s="149">
        <f t="shared" si="0"/>
        <v>32094481.102648616</v>
      </c>
      <c r="M15" s="131"/>
    </row>
    <row r="16" spans="1:19" s="22" customFormat="1" x14ac:dyDescent="0.35">
      <c r="A16" s="146">
        <v>4</v>
      </c>
      <c r="B16" s="537" t="s">
        <v>290</v>
      </c>
      <c r="C16" s="539"/>
      <c r="D16" s="150">
        <f t="shared" ref="D16:I16" si="1">SUM(D13:D15)</f>
        <v>779.35325000000012</v>
      </c>
      <c r="E16" s="151">
        <f t="shared" si="1"/>
        <v>1351140.4404488206</v>
      </c>
      <c r="F16" s="151">
        <f t="shared" si="1"/>
        <v>45105300.563406862</v>
      </c>
      <c r="G16" s="151">
        <f t="shared" si="1"/>
        <v>10402861.995292079</v>
      </c>
      <c r="H16" s="151">
        <f t="shared" si="1"/>
        <v>4344730.5156112071</v>
      </c>
      <c r="I16" s="151">
        <f t="shared" si="1"/>
        <v>0</v>
      </c>
      <c r="J16" s="151">
        <f t="shared" si="0"/>
        <v>61204033.514758967</v>
      </c>
      <c r="M16" s="131"/>
    </row>
    <row r="17" spans="1:13" s="22" customFormat="1" x14ac:dyDescent="0.35">
      <c r="A17" s="152"/>
      <c r="B17" s="153"/>
      <c r="C17" s="153"/>
      <c r="D17" s="154"/>
      <c r="E17" s="155"/>
      <c r="F17" s="155"/>
      <c r="G17" s="155"/>
      <c r="H17" s="155"/>
      <c r="I17" s="155"/>
      <c r="J17" s="155"/>
      <c r="M17" s="131"/>
    </row>
    <row r="18" spans="1:13" s="22" customFormat="1" x14ac:dyDescent="0.35">
      <c r="A18" s="540" t="s">
        <v>281</v>
      </c>
      <c r="B18" s="541"/>
      <c r="C18" s="541"/>
      <c r="D18" s="541"/>
      <c r="E18" s="541"/>
      <c r="F18" s="541"/>
      <c r="G18" s="541"/>
      <c r="H18" s="541"/>
      <c r="I18" s="541"/>
      <c r="J18" s="542"/>
      <c r="M18" s="131"/>
    </row>
    <row r="19" spans="1:13" s="22" customFormat="1" x14ac:dyDescent="0.35">
      <c r="A19" s="146">
        <v>5</v>
      </c>
      <c r="B19" s="531" t="s">
        <v>221</v>
      </c>
      <c r="C19" s="533"/>
      <c r="D19" s="147">
        <f>'Schedule 1 Adjustments'!F19</f>
        <v>10</v>
      </c>
      <c r="E19" s="148">
        <f>'Schedule 1 Adjustments'!I19</f>
        <v>1707777.5136831233</v>
      </c>
      <c r="F19" s="148">
        <f>'Schedule 1 Adjustments'!L19</f>
        <v>1026760.4278722252</v>
      </c>
      <c r="G19" s="148">
        <f>'Schedule 1 Adjustments'!O19</f>
        <v>76880.741342946538</v>
      </c>
      <c r="H19" s="148">
        <f>'Schedule 1 Adjustments'!R19</f>
        <v>74674.607160895772</v>
      </c>
      <c r="I19" s="148">
        <f>'Schedule 1 Adjustments'!U19</f>
        <v>10792.380722232876</v>
      </c>
      <c r="J19" s="149">
        <f>SUM(E19:I19)</f>
        <v>2896885.6707814233</v>
      </c>
      <c r="M19" s="131"/>
    </row>
    <row r="20" spans="1:13" s="22" customFormat="1" x14ac:dyDescent="0.35">
      <c r="A20" s="146">
        <v>6</v>
      </c>
      <c r="B20" s="531" t="s">
        <v>293</v>
      </c>
      <c r="C20" s="533"/>
      <c r="D20" s="147">
        <f>'Schedule 1 Adjustments'!F20</f>
        <v>168.93912499999999</v>
      </c>
      <c r="E20" s="148">
        <f>'Schedule 1 Adjustments'!I20</f>
        <v>11900787.272785835</v>
      </c>
      <c r="F20" s="148">
        <f>'Schedule 1 Adjustments'!L20</f>
        <v>2226724.3421358541</v>
      </c>
      <c r="G20" s="148">
        <f>'Schedule 1 Adjustments'!O20</f>
        <v>226184.72725745349</v>
      </c>
      <c r="H20" s="148">
        <f>'Schedule 1 Adjustments'!R20</f>
        <v>268572.77429397346</v>
      </c>
      <c r="I20" s="148">
        <f>'Schedule 1 Adjustments'!U20</f>
        <v>373366.6117822199</v>
      </c>
      <c r="J20" s="149">
        <f>SUM(E20:I20)</f>
        <v>14995635.728255335</v>
      </c>
      <c r="M20" s="131"/>
    </row>
    <row r="21" spans="1:13" s="22" customFormat="1" x14ac:dyDescent="0.35">
      <c r="A21" s="146">
        <v>7</v>
      </c>
      <c r="B21" s="537" t="s">
        <v>220</v>
      </c>
      <c r="C21" s="539"/>
      <c r="D21" s="150">
        <f t="shared" ref="D21:I21" si="2">SUM(D19:D20)</f>
        <v>178.93912499999999</v>
      </c>
      <c r="E21" s="151">
        <f t="shared" si="2"/>
        <v>13608564.786468958</v>
      </c>
      <c r="F21" s="151">
        <f t="shared" si="2"/>
        <v>3253484.7700080792</v>
      </c>
      <c r="G21" s="151">
        <f t="shared" si="2"/>
        <v>303065.46860040003</v>
      </c>
      <c r="H21" s="151">
        <f t="shared" si="2"/>
        <v>343247.38145486923</v>
      </c>
      <c r="I21" s="151">
        <f t="shared" si="2"/>
        <v>384158.99250445276</v>
      </c>
      <c r="J21" s="151">
        <f>SUM(E21:I21)</f>
        <v>17892521.399036758</v>
      </c>
      <c r="M21" s="131"/>
    </row>
    <row r="22" spans="1:13" s="22" customFormat="1" x14ac:dyDescent="0.35">
      <c r="A22" s="152"/>
      <c r="B22" s="153"/>
      <c r="C22" s="153"/>
      <c r="D22" s="154"/>
      <c r="E22" s="155"/>
      <c r="F22" s="155"/>
      <c r="G22" s="155"/>
      <c r="H22" s="155"/>
      <c r="I22" s="155"/>
      <c r="J22" s="155"/>
      <c r="M22" s="131"/>
    </row>
    <row r="23" spans="1:13" s="22" customFormat="1" x14ac:dyDescent="0.35">
      <c r="A23" s="540" t="s">
        <v>275</v>
      </c>
      <c r="B23" s="541"/>
      <c r="C23" s="541"/>
      <c r="D23" s="541"/>
      <c r="E23" s="541"/>
      <c r="F23" s="541"/>
      <c r="G23" s="541"/>
      <c r="H23" s="541"/>
      <c r="I23" s="541"/>
      <c r="J23" s="542"/>
      <c r="M23" s="131"/>
    </row>
    <row r="24" spans="1:13" s="22" customFormat="1" x14ac:dyDescent="0.35">
      <c r="A24" s="146">
        <v>8</v>
      </c>
      <c r="B24" s="531" t="s">
        <v>276</v>
      </c>
      <c r="C24" s="532"/>
      <c r="D24" s="533"/>
      <c r="E24" s="156">
        <f>'Schedule 1 Adjustments'!I24</f>
        <v>-463874.84874999989</v>
      </c>
      <c r="F24" s="156">
        <f>'Schedule 1 Adjustments'!L24</f>
        <v>0</v>
      </c>
      <c r="G24" s="156">
        <f>'Schedule 1 Adjustments'!O24</f>
        <v>0</v>
      </c>
      <c r="H24" s="156">
        <f>'Schedule 1 Adjustments'!R24</f>
        <v>0</v>
      </c>
      <c r="I24" s="156">
        <f>-SUM(E24:H24)</f>
        <v>463874.84874999989</v>
      </c>
      <c r="J24" s="149">
        <f>SUM(E24:I24)</f>
        <v>0</v>
      </c>
      <c r="M24" s="131"/>
    </row>
    <row r="25" spans="1:13" s="22" customFormat="1" x14ac:dyDescent="0.35">
      <c r="A25" s="146">
        <v>9</v>
      </c>
      <c r="B25" s="537" t="s">
        <v>222</v>
      </c>
      <c r="C25" s="538"/>
      <c r="D25" s="539"/>
      <c r="E25" s="151">
        <f>SUM(E24:E24)</f>
        <v>-463874.84874999989</v>
      </c>
      <c r="F25" s="151">
        <f>SUM(F24:F24)</f>
        <v>0</v>
      </c>
      <c r="G25" s="151">
        <f>SUM(G24:G24)</f>
        <v>0</v>
      </c>
      <c r="H25" s="151">
        <f>SUM(H24:H24)</f>
        <v>0</v>
      </c>
      <c r="I25" s="151">
        <f>SUM(I24:I24)</f>
        <v>463874.84874999989</v>
      </c>
      <c r="J25" s="151">
        <f>SUM(E25:I25)</f>
        <v>0</v>
      </c>
      <c r="M25" s="131"/>
    </row>
    <row r="26" spans="1:13" s="22" customFormat="1" x14ac:dyDescent="0.35">
      <c r="A26" s="152"/>
      <c r="B26" s="153"/>
      <c r="C26" s="153"/>
      <c r="D26" s="154"/>
      <c r="E26" s="155"/>
      <c r="F26" s="155"/>
      <c r="G26" s="155"/>
      <c r="H26" s="155"/>
      <c r="I26" s="155"/>
      <c r="J26" s="155"/>
      <c r="M26" s="131"/>
    </row>
    <row r="27" spans="1:13" s="22" customFormat="1" x14ac:dyDescent="0.35">
      <c r="A27" s="540" t="s">
        <v>235</v>
      </c>
      <c r="B27" s="541"/>
      <c r="C27" s="541"/>
      <c r="D27" s="541"/>
      <c r="E27" s="541"/>
      <c r="F27" s="541"/>
      <c r="G27" s="541"/>
      <c r="H27" s="541"/>
      <c r="I27" s="541"/>
      <c r="J27" s="542"/>
      <c r="M27" s="131"/>
    </row>
    <row r="28" spans="1:13" s="22" customFormat="1" x14ac:dyDescent="0.35">
      <c r="A28" s="146">
        <v>10</v>
      </c>
      <c r="B28" s="531" t="s">
        <v>224</v>
      </c>
      <c r="C28" s="532"/>
      <c r="D28" s="533"/>
      <c r="E28" s="148">
        <f>'Schedule 1 Adjustments'!I28</f>
        <v>710837.75250000006</v>
      </c>
      <c r="F28" s="148">
        <f>'Schedule 1 Adjustments'!L28</f>
        <v>85677.701537178247</v>
      </c>
      <c r="G28" s="148">
        <f>'Schedule 1 Adjustments'!O28</f>
        <v>36792.01769589293</v>
      </c>
      <c r="H28" s="148">
        <f>'Schedule 1 Adjustments'!R28</f>
        <v>7097.590766928819</v>
      </c>
      <c r="I28" s="148">
        <f>'Schedule 1 Adjustments'!U28</f>
        <v>53.777500000000003</v>
      </c>
      <c r="J28" s="149">
        <f>SUM(E28:I28)</f>
        <v>840458.84000000008</v>
      </c>
      <c r="M28" s="131"/>
    </row>
    <row r="29" spans="1:13" s="22" customFormat="1" x14ac:dyDescent="0.35">
      <c r="A29" s="146">
        <v>11</v>
      </c>
      <c r="B29" s="165" t="s">
        <v>223</v>
      </c>
      <c r="C29" s="158"/>
      <c r="D29" s="159"/>
      <c r="E29" s="148">
        <f>'Schedule 1 Adjustments'!I29</f>
        <v>4178225.1323319646</v>
      </c>
      <c r="F29" s="148">
        <f>'Schedule 1 Adjustments'!L29</f>
        <v>12513624.484088419</v>
      </c>
      <c r="G29" s="148">
        <f>'Schedule 1 Adjustments'!O29</f>
        <v>2800958.6727147489</v>
      </c>
      <c r="H29" s="148">
        <f>'Schedule 1 Adjustments'!R29</f>
        <v>1212090.483364867</v>
      </c>
      <c r="I29" s="148">
        <f>'Schedule 1 Adjustments'!U29</f>
        <v>86154.387500000012</v>
      </c>
      <c r="J29" s="149">
        <f>SUM(E29:I29)</f>
        <v>20791053.16</v>
      </c>
      <c r="K29" s="120"/>
      <c r="M29" s="131"/>
    </row>
    <row r="30" spans="1:13" s="22" customFormat="1" x14ac:dyDescent="0.35">
      <c r="A30" s="146">
        <v>12</v>
      </c>
      <c r="B30" s="531" t="s">
        <v>300</v>
      </c>
      <c r="C30" s="532"/>
      <c r="D30" s="533"/>
      <c r="E30" s="148">
        <f>'Schedule 1 Adjustments'!I30</f>
        <v>121847.84</v>
      </c>
      <c r="F30" s="148">
        <f>'Schedule 1 Adjustments'!L30</f>
        <v>0</v>
      </c>
      <c r="G30" s="148">
        <f>'Schedule 1 Adjustments'!O30</f>
        <v>0</v>
      </c>
      <c r="H30" s="148">
        <f>'Schedule 1 Adjustments'!R30</f>
        <v>0</v>
      </c>
      <c r="I30" s="148">
        <f>'Schedule 1 Adjustments'!U30</f>
        <v>0</v>
      </c>
      <c r="J30" s="149">
        <f t="shared" ref="J30" si="3">SUM(E30:I30)</f>
        <v>121847.84</v>
      </c>
      <c r="M30" s="131"/>
    </row>
    <row r="31" spans="1:13" s="22" customFormat="1" x14ac:dyDescent="0.35">
      <c r="A31" s="146">
        <v>13</v>
      </c>
      <c r="B31" s="537" t="s">
        <v>225</v>
      </c>
      <c r="C31" s="538"/>
      <c r="D31" s="539"/>
      <c r="E31" s="151">
        <f>SUM(E28:E30)</f>
        <v>5010910.7248319648</v>
      </c>
      <c r="F31" s="151">
        <f>SUM(F28:F30)</f>
        <v>12599302.185625598</v>
      </c>
      <c r="G31" s="151">
        <f>SUM(G28:G30)</f>
        <v>2837750.690410642</v>
      </c>
      <c r="H31" s="151">
        <f>SUM(H28:H30)</f>
        <v>1219188.0741317959</v>
      </c>
      <c r="I31" s="151">
        <f>SUM(I28:I30)</f>
        <v>86208.165000000008</v>
      </c>
      <c r="J31" s="151">
        <f>SUM(E31:I31)</f>
        <v>21753359.839999996</v>
      </c>
      <c r="M31" s="131"/>
    </row>
    <row r="32" spans="1:13" s="22" customFormat="1" x14ac:dyDescent="0.35">
      <c r="A32" s="152"/>
      <c r="B32" s="153"/>
      <c r="C32" s="153"/>
      <c r="D32" s="154"/>
      <c r="E32" s="155"/>
      <c r="F32" s="155"/>
      <c r="G32" s="155"/>
      <c r="H32" s="155"/>
      <c r="I32" s="155"/>
      <c r="J32" s="155"/>
      <c r="M32" s="131"/>
    </row>
    <row r="33" spans="1:13" s="22" customFormat="1" x14ac:dyDescent="0.35">
      <c r="A33" s="146">
        <v>14</v>
      </c>
      <c r="B33" s="537" t="s">
        <v>228</v>
      </c>
      <c r="C33" s="538"/>
      <c r="D33" s="539"/>
      <c r="E33" s="151">
        <f>E31+E25+E21+E16</f>
        <v>19506741.102999743</v>
      </c>
      <c r="F33" s="151">
        <f>F31+F25+F21+F16</f>
        <v>60958087.51904054</v>
      </c>
      <c r="G33" s="151">
        <f>G31+G25+G21+G16</f>
        <v>13543678.15430312</v>
      </c>
      <c r="H33" s="151">
        <f>H31+H25+H21+H16</f>
        <v>5907165.9711978724</v>
      </c>
      <c r="I33" s="151">
        <f>I31+I25+I21+I16</f>
        <v>934242.00625445275</v>
      </c>
      <c r="J33" s="151">
        <f t="shared" ref="J33" si="4">SUM(E33:I33)</f>
        <v>100849914.75379573</v>
      </c>
      <c r="M33" s="131"/>
    </row>
    <row r="34" spans="1:13" s="22" customFormat="1" x14ac:dyDescent="0.35">
      <c r="A34" s="152"/>
      <c r="B34" s="153"/>
      <c r="C34" s="153"/>
      <c r="D34" s="154"/>
      <c r="E34" s="155"/>
      <c r="F34" s="155"/>
      <c r="G34" s="155"/>
      <c r="H34" s="155"/>
      <c r="I34" s="155"/>
      <c r="J34" s="155"/>
      <c r="M34" s="131"/>
    </row>
    <row r="35" spans="1:13" s="22" customFormat="1" x14ac:dyDescent="0.35">
      <c r="A35" s="540" t="s">
        <v>234</v>
      </c>
      <c r="B35" s="541"/>
      <c r="C35" s="541"/>
      <c r="D35" s="541"/>
      <c r="E35" s="541"/>
      <c r="F35" s="541"/>
      <c r="G35" s="541"/>
      <c r="H35" s="541"/>
      <c r="I35" s="541"/>
      <c r="J35" s="542"/>
      <c r="M35" s="131"/>
    </row>
    <row r="36" spans="1:13" s="22" customFormat="1" x14ac:dyDescent="0.35">
      <c r="A36" s="146">
        <v>15</v>
      </c>
      <c r="B36" s="531" t="s">
        <v>292</v>
      </c>
      <c r="C36" s="532"/>
      <c r="D36" s="533"/>
      <c r="E36" s="148">
        <f>'Schedule 1 Adjustments'!I36</f>
        <v>42577.69</v>
      </c>
      <c r="F36" s="148">
        <f>'Schedule 1 Adjustments'!L36</f>
        <v>885023.83000000007</v>
      </c>
      <c r="G36" s="148">
        <f>'Schedule 1 Adjustments'!O36</f>
        <v>13656.12</v>
      </c>
      <c r="H36" s="148">
        <f>'Schedule 1 Adjustments'!R36</f>
        <v>0</v>
      </c>
      <c r="I36" s="148">
        <f>'Schedule 1 Adjustments'!U36</f>
        <v>0</v>
      </c>
      <c r="J36" s="149">
        <f>SUM(E36:I36)</f>
        <v>941257.64</v>
      </c>
      <c r="M36" s="131"/>
    </row>
    <row r="37" spans="1:13" s="22" customFormat="1" x14ac:dyDescent="0.35">
      <c r="A37" s="146">
        <v>16</v>
      </c>
      <c r="B37" s="531" t="s">
        <v>227</v>
      </c>
      <c r="C37" s="532"/>
      <c r="D37" s="533"/>
      <c r="E37" s="148">
        <f>'Schedule 1 Adjustments'!I37</f>
        <v>0</v>
      </c>
      <c r="F37" s="148">
        <f>'Schedule 1 Adjustments'!L37</f>
        <v>0</v>
      </c>
      <c r="G37" s="148">
        <f>'Schedule 1 Adjustments'!O37</f>
        <v>0</v>
      </c>
      <c r="H37" s="148">
        <f>'Schedule 1 Adjustments'!R37</f>
        <v>0</v>
      </c>
      <c r="I37" s="148">
        <f>'Schedule 1 Adjustments'!U37</f>
        <v>0</v>
      </c>
      <c r="J37" s="149">
        <f>SUM(E37:I37)</f>
        <v>0</v>
      </c>
    </row>
    <row r="38" spans="1:13" s="22" customFormat="1" x14ac:dyDescent="0.35">
      <c r="A38" s="146">
        <v>17</v>
      </c>
      <c r="B38" s="165" t="s">
        <v>459</v>
      </c>
      <c r="C38" s="158"/>
      <c r="D38" s="159"/>
      <c r="E38" s="148">
        <f>'Schedule 1 Adjustments'!I38</f>
        <v>0</v>
      </c>
      <c r="F38" s="148">
        <f>'Schedule 1 Adjustments'!L38</f>
        <v>0</v>
      </c>
      <c r="G38" s="148">
        <f>'Schedule 1 Adjustments'!O38</f>
        <v>0</v>
      </c>
      <c r="H38" s="148">
        <f>'Schedule 1 Adjustments'!R38</f>
        <v>0</v>
      </c>
      <c r="I38" s="148">
        <f>'Schedule 1 Adjustments'!U38</f>
        <v>0</v>
      </c>
      <c r="J38" s="149">
        <f>SUM(E38:I38)</f>
        <v>0</v>
      </c>
      <c r="K38" s="120"/>
    </row>
    <row r="39" spans="1:13" s="22" customFormat="1" x14ac:dyDescent="0.35">
      <c r="A39" s="146">
        <v>18</v>
      </c>
      <c r="B39" s="537" t="s">
        <v>226</v>
      </c>
      <c r="C39" s="538"/>
      <c r="D39" s="539"/>
      <c r="E39" s="151">
        <f>SUM(E36:E38)</f>
        <v>42577.69</v>
      </c>
      <c r="F39" s="151">
        <f t="shared" ref="F39:I39" si="5">SUM(F36:F38)</f>
        <v>885023.83000000007</v>
      </c>
      <c r="G39" s="151">
        <f t="shared" si="5"/>
        <v>13656.12</v>
      </c>
      <c r="H39" s="151">
        <f t="shared" si="5"/>
        <v>0</v>
      </c>
      <c r="I39" s="151">
        <f t="shared" si="5"/>
        <v>0</v>
      </c>
      <c r="J39" s="151">
        <f>SUM(E39:I39)</f>
        <v>941257.64</v>
      </c>
      <c r="M39" s="131"/>
    </row>
    <row r="40" spans="1:13" s="22" customFormat="1" x14ac:dyDescent="0.35">
      <c r="A40" s="152"/>
      <c r="B40" s="153"/>
      <c r="C40" s="153"/>
      <c r="D40" s="154"/>
      <c r="E40" s="155"/>
      <c r="F40" s="155"/>
      <c r="G40" s="155"/>
      <c r="H40" s="155"/>
      <c r="I40" s="155"/>
      <c r="J40" s="155"/>
      <c r="M40" s="131"/>
    </row>
    <row r="41" spans="1:13" s="22" customFormat="1" x14ac:dyDescent="0.35">
      <c r="A41" s="146">
        <v>19</v>
      </c>
      <c r="B41" s="537" t="s">
        <v>229</v>
      </c>
      <c r="C41" s="538"/>
      <c r="D41" s="539"/>
      <c r="E41" s="151">
        <f>E39+E33</f>
        <v>19549318.792999744</v>
      </c>
      <c r="F41" s="151">
        <f>F39+F33</f>
        <v>61843111.349040538</v>
      </c>
      <c r="G41" s="151">
        <f>G39+G33</f>
        <v>13557334.27430312</v>
      </c>
      <c r="H41" s="151">
        <f>H39+H33</f>
        <v>5907165.9711978724</v>
      </c>
      <c r="I41" s="151">
        <f>I39+I33</f>
        <v>934242.00625445275</v>
      </c>
      <c r="J41" s="151">
        <f>SUM(E41:I41)</f>
        <v>101791172.39379573</v>
      </c>
      <c r="M41" s="131"/>
    </row>
    <row r="42" spans="1:13" s="22" customFormat="1" x14ac:dyDescent="0.35">
      <c r="A42" s="152"/>
      <c r="B42" s="153"/>
      <c r="C42" s="153"/>
      <c r="D42" s="154"/>
      <c r="E42" s="155"/>
      <c r="F42" s="155"/>
      <c r="G42" s="155"/>
      <c r="H42" s="155"/>
      <c r="I42" s="155"/>
      <c r="J42" s="155"/>
      <c r="M42" s="131"/>
    </row>
    <row r="43" spans="1:13" s="22" customFormat="1" x14ac:dyDescent="0.35">
      <c r="A43" s="540" t="s">
        <v>487</v>
      </c>
      <c r="B43" s="541"/>
      <c r="C43" s="541"/>
      <c r="D43" s="541"/>
      <c r="E43" s="541"/>
      <c r="F43" s="541"/>
      <c r="G43" s="541"/>
      <c r="H43" s="541"/>
      <c r="I43" s="541"/>
      <c r="J43" s="542"/>
      <c r="M43" s="131"/>
    </row>
    <row r="44" spans="1:13" s="22" customFormat="1" x14ac:dyDescent="0.35">
      <c r="A44" s="146">
        <v>20</v>
      </c>
      <c r="B44" s="531" t="s">
        <v>283</v>
      </c>
      <c r="C44" s="532"/>
      <c r="D44" s="533"/>
      <c r="E44" s="148">
        <f>'Schedule 1 Adjustments'!I44</f>
        <v>0</v>
      </c>
      <c r="F44" s="148">
        <f>'Schedule 1 Adjustments'!L44</f>
        <v>0</v>
      </c>
      <c r="G44" s="148">
        <f>'Schedule 1 Adjustments'!O44</f>
        <v>0</v>
      </c>
      <c r="H44" s="148">
        <f>'Schedule 1 Adjustments'!R44</f>
        <v>0</v>
      </c>
      <c r="I44" s="148">
        <f>'Schedule 1 Adjustments'!U44</f>
        <v>0</v>
      </c>
      <c r="J44" s="149">
        <f>SUM(E44:I44)</f>
        <v>0</v>
      </c>
      <c r="M44" s="131"/>
    </row>
    <row r="45" spans="1:13" s="22" customFormat="1" x14ac:dyDescent="0.35">
      <c r="A45" s="146">
        <v>21</v>
      </c>
      <c r="B45" s="531" t="s">
        <v>230</v>
      </c>
      <c r="C45" s="532"/>
      <c r="D45" s="533"/>
      <c r="E45" s="148">
        <f>'Schedule 1 Adjustments'!I45</f>
        <v>7022.1350000000002</v>
      </c>
      <c r="F45" s="148">
        <f>'Schedule 1 Adjustments'!L45</f>
        <v>921913.01090938051</v>
      </c>
      <c r="G45" s="148">
        <f>'Schedule 1 Adjustments'!O45</f>
        <v>60152.414632719549</v>
      </c>
      <c r="H45" s="148">
        <f>'Schedule 1 Adjustments'!R45</f>
        <v>20673.464457900071</v>
      </c>
      <c r="I45" s="148">
        <f>'Schedule 1 Adjustments'!U45</f>
        <v>604.06500000000005</v>
      </c>
      <c r="J45" s="149">
        <f t="shared" ref="J45:J50" si="6">SUM(E45:I45)</f>
        <v>1010365.0900000001</v>
      </c>
      <c r="M45" s="131"/>
    </row>
    <row r="46" spans="1:13" s="22" customFormat="1" x14ac:dyDescent="0.35">
      <c r="A46" s="146">
        <v>22</v>
      </c>
      <c r="B46" s="531" t="s">
        <v>288</v>
      </c>
      <c r="C46" s="532"/>
      <c r="D46" s="533"/>
      <c r="E46" s="148">
        <f>'Schedule 1 Adjustments'!I46</f>
        <v>4329.9400000000005</v>
      </c>
      <c r="F46" s="148">
        <f>'Schedule 1 Adjustments'!L46</f>
        <v>924798.52114572993</v>
      </c>
      <c r="G46" s="148">
        <f>'Schedule 1 Adjustments'!O46</f>
        <v>613105.81999999983</v>
      </c>
      <c r="H46" s="148">
        <f>'Schedule 1 Adjustments'!R46</f>
        <v>153401.90885427003</v>
      </c>
      <c r="I46" s="148">
        <f>'Schedule 1 Adjustments'!U46</f>
        <v>482.59</v>
      </c>
      <c r="J46" s="149">
        <f t="shared" si="6"/>
        <v>1696118.7799999998</v>
      </c>
      <c r="M46" s="131"/>
    </row>
    <row r="47" spans="1:13" s="22" customFormat="1" x14ac:dyDescent="0.35">
      <c r="A47" s="146">
        <v>23</v>
      </c>
      <c r="B47" s="531" t="s">
        <v>284</v>
      </c>
      <c r="C47" s="532"/>
      <c r="D47" s="533"/>
      <c r="E47" s="148">
        <f>'Schedule 1 Adjustments'!I47</f>
        <v>0</v>
      </c>
      <c r="F47" s="148">
        <f>'Schedule 1 Adjustments'!L47</f>
        <v>0</v>
      </c>
      <c r="G47" s="148">
        <f>'Schedule 1 Adjustments'!O47</f>
        <v>0</v>
      </c>
      <c r="H47" s="148">
        <f>'Schedule 1 Adjustments'!R47</f>
        <v>0</v>
      </c>
      <c r="I47" s="148">
        <f>'Schedule 1 Adjustments'!U47</f>
        <v>0</v>
      </c>
      <c r="J47" s="149">
        <f t="shared" si="6"/>
        <v>0</v>
      </c>
      <c r="M47" s="131"/>
    </row>
    <row r="48" spans="1:13" s="22" customFormat="1" x14ac:dyDescent="0.35">
      <c r="A48" s="146">
        <v>24</v>
      </c>
      <c r="B48" s="531" t="s">
        <v>314</v>
      </c>
      <c r="C48" s="532"/>
      <c r="D48" s="533"/>
      <c r="E48" s="148">
        <f>'Schedule 1 Adjustments'!I48</f>
        <v>0</v>
      </c>
      <c r="F48" s="148">
        <f>'Schedule 1 Adjustments'!L48</f>
        <v>0</v>
      </c>
      <c r="G48" s="148">
        <f>'Schedule 1 Adjustments'!O48</f>
        <v>0</v>
      </c>
      <c r="H48" s="148">
        <f>'Schedule 1 Adjustments'!R48</f>
        <v>17720649.319999997</v>
      </c>
      <c r="I48" s="148">
        <f>'Schedule 1 Adjustments'!U48</f>
        <v>0</v>
      </c>
      <c r="J48" s="149">
        <f t="shared" si="6"/>
        <v>17720649.319999997</v>
      </c>
      <c r="M48" s="131"/>
    </row>
    <row r="49" spans="1:13" s="22" customFormat="1" x14ac:dyDescent="0.35">
      <c r="A49" s="146">
        <v>25</v>
      </c>
      <c r="B49" s="531" t="s">
        <v>778</v>
      </c>
      <c r="C49" s="532"/>
      <c r="D49" s="533"/>
      <c r="E49" s="148">
        <f>'Schedule 1 Adjustments'!I49</f>
        <v>0</v>
      </c>
      <c r="F49" s="148">
        <f>'Schedule 1 Adjustments'!L49</f>
        <v>465748.76620427088</v>
      </c>
      <c r="G49" s="148">
        <f>'Schedule 1 Adjustments'!O49</f>
        <v>0</v>
      </c>
      <c r="H49" s="148">
        <f>'Schedule 1 Adjustments'!R49</f>
        <v>0</v>
      </c>
      <c r="I49" s="148">
        <f>'Schedule 1 Adjustments'!U49</f>
        <v>0</v>
      </c>
      <c r="J49" s="149">
        <f t="shared" ref="J49" si="7">SUM(E49:I49)</f>
        <v>465748.76620427088</v>
      </c>
      <c r="M49" s="131"/>
    </row>
    <row r="50" spans="1:13" s="22" customFormat="1" x14ac:dyDescent="0.35">
      <c r="A50" s="146">
        <v>26</v>
      </c>
      <c r="B50" s="531" t="s">
        <v>452</v>
      </c>
      <c r="C50" s="532"/>
      <c r="D50" s="533"/>
      <c r="E50" s="148">
        <f>'Schedule 1 Adjustments'!I50</f>
        <v>68349.674999999988</v>
      </c>
      <c r="F50" s="148">
        <f>'Schedule 1 Adjustments'!L50</f>
        <v>1457403.7164899521</v>
      </c>
      <c r="G50" s="148">
        <f>'Schedule 1 Adjustments'!O50</f>
        <v>596549.33450589748</v>
      </c>
      <c r="H50" s="148">
        <f>'Schedule 1 Adjustments'!R50</f>
        <v>97449.469004150335</v>
      </c>
      <c r="I50" s="148">
        <f>'Schedule 1 Adjustments'!U50</f>
        <v>460.64499999999998</v>
      </c>
      <c r="J50" s="149">
        <f t="shared" si="6"/>
        <v>2220212.8400000003</v>
      </c>
      <c r="M50" s="131"/>
    </row>
    <row r="51" spans="1:13" s="22" customFormat="1" x14ac:dyDescent="0.35">
      <c r="A51" s="146">
        <v>27</v>
      </c>
      <c r="B51" s="537" t="s">
        <v>238</v>
      </c>
      <c r="C51" s="538"/>
      <c r="D51" s="539"/>
      <c r="E51" s="151">
        <f>SUM(E44:E50)</f>
        <v>79701.749999999985</v>
      </c>
      <c r="F51" s="151">
        <f>SUM(F44:F50)</f>
        <v>3769864.0147493333</v>
      </c>
      <c r="G51" s="151">
        <f>SUM(G44:G50)</f>
        <v>1269807.5691386168</v>
      </c>
      <c r="H51" s="151">
        <f>SUM(H44:H50)</f>
        <v>17992174.162316319</v>
      </c>
      <c r="I51" s="151">
        <f>SUM(I44:I50)</f>
        <v>1547.3</v>
      </c>
      <c r="J51" s="151">
        <f>SUM(E51:I51)</f>
        <v>23113094.796204269</v>
      </c>
      <c r="M51" s="131"/>
    </row>
    <row r="52" spans="1:13" s="22" customFormat="1" x14ac:dyDescent="0.35">
      <c r="A52" s="152"/>
      <c r="B52" s="543"/>
      <c r="C52" s="543"/>
      <c r="D52" s="543"/>
      <c r="E52" s="543"/>
      <c r="F52" s="543"/>
      <c r="G52" s="543"/>
      <c r="H52" s="155"/>
      <c r="I52" s="155"/>
      <c r="J52" s="155"/>
      <c r="M52" s="131"/>
    </row>
    <row r="53" spans="1:13" s="22" customFormat="1" x14ac:dyDescent="0.35">
      <c r="A53" s="540" t="s">
        <v>233</v>
      </c>
      <c r="B53" s="541"/>
      <c r="C53" s="541"/>
      <c r="D53" s="541"/>
      <c r="E53" s="541"/>
      <c r="F53" s="541"/>
      <c r="G53" s="541"/>
      <c r="H53" s="541"/>
      <c r="I53" s="541"/>
      <c r="J53" s="542"/>
      <c r="M53" s="131"/>
    </row>
    <row r="54" spans="1:13" s="22" customFormat="1" x14ac:dyDescent="0.35">
      <c r="A54" s="146">
        <v>28</v>
      </c>
      <c r="B54" s="531" t="s">
        <v>282</v>
      </c>
      <c r="C54" s="532"/>
      <c r="D54" s="533"/>
      <c r="E54" s="148">
        <f>'Schedule 1 Adjustments'!I54</f>
        <v>5892127.4474999998</v>
      </c>
      <c r="F54" s="148">
        <f>'Schedule 1 Adjustments'!L54</f>
        <v>287384.43515926396</v>
      </c>
      <c r="G54" s="148">
        <f>'Schedule 1 Adjustments'!O54</f>
        <v>40922.04837831865</v>
      </c>
      <c r="H54" s="148">
        <f>'Schedule 1 Adjustments'!R54</f>
        <v>26001.886462417438</v>
      </c>
      <c r="I54" s="148">
        <f>'Schedule 1 Adjustments'!U54</f>
        <v>181.94249999999994</v>
      </c>
      <c r="J54" s="149">
        <f>SUM(E54:I54)</f>
        <v>6246617.7599999998</v>
      </c>
      <c r="M54" s="131"/>
    </row>
    <row r="55" spans="1:13" s="22" customFormat="1" x14ac:dyDescent="0.35">
      <c r="A55" s="146">
        <v>29</v>
      </c>
      <c r="B55" s="531" t="s">
        <v>294</v>
      </c>
      <c r="C55" s="532"/>
      <c r="D55" s="533"/>
      <c r="E55" s="148">
        <f>'Schedule 1 Adjustments'!I55</f>
        <v>0</v>
      </c>
      <c r="F55" s="148">
        <f>'Schedule 1 Adjustments'!L55</f>
        <v>0</v>
      </c>
      <c r="G55" s="148">
        <f>'Schedule 1 Adjustments'!O55</f>
        <v>0</v>
      </c>
      <c r="H55" s="148">
        <f>'Schedule 1 Adjustments'!R55</f>
        <v>0</v>
      </c>
      <c r="I55" s="148">
        <f>'Schedule 1 Adjustments'!U55</f>
        <v>0</v>
      </c>
      <c r="J55" s="149">
        <f>SUM(E55:I55)</f>
        <v>0</v>
      </c>
      <c r="M55" s="131"/>
    </row>
    <row r="56" spans="1:13" s="22" customFormat="1" x14ac:dyDescent="0.35">
      <c r="A56" s="146">
        <v>30</v>
      </c>
      <c r="B56" s="531" t="s">
        <v>295</v>
      </c>
      <c r="C56" s="532"/>
      <c r="D56" s="533"/>
      <c r="E56" s="148">
        <f>'Schedule 1 Adjustments'!I56</f>
        <v>659222.28500000003</v>
      </c>
      <c r="F56" s="148">
        <f>'Schedule 1 Adjustments'!L56</f>
        <v>231297.80787581101</v>
      </c>
      <c r="G56" s="148">
        <f>'Schedule 1 Adjustments'!O56</f>
        <v>55677.059822210496</v>
      </c>
      <c r="H56" s="148">
        <f>'Schedule 1 Adjustments'!R56</f>
        <v>17639.972301978458</v>
      </c>
      <c r="I56" s="148">
        <f>'Schedule 1 Adjustments'!U56</f>
        <v>1487.6849999999997</v>
      </c>
      <c r="J56" s="149">
        <f t="shared" ref="J56:J58" si="8">SUM(E56:I56)</f>
        <v>965324.81</v>
      </c>
      <c r="M56" s="131"/>
    </row>
    <row r="57" spans="1:13" s="22" customFormat="1" x14ac:dyDescent="0.35">
      <c r="A57" s="146">
        <v>31</v>
      </c>
      <c r="B57" s="531" t="s">
        <v>296</v>
      </c>
      <c r="C57" s="532"/>
      <c r="D57" s="533"/>
      <c r="E57" s="148">
        <f>'Schedule 1 Adjustments'!I57</f>
        <v>0</v>
      </c>
      <c r="F57" s="148">
        <f>'Schedule 1 Adjustments'!L57</f>
        <v>0</v>
      </c>
      <c r="G57" s="148">
        <f>'Schedule 1 Adjustments'!O57</f>
        <v>0</v>
      </c>
      <c r="H57" s="148">
        <f>'Schedule 1 Adjustments'!R57</f>
        <v>0</v>
      </c>
      <c r="I57" s="148">
        <f>'Schedule 1 Adjustments'!U57</f>
        <v>0</v>
      </c>
      <c r="J57" s="149">
        <f t="shared" si="8"/>
        <v>0</v>
      </c>
      <c r="M57" s="131"/>
    </row>
    <row r="58" spans="1:13" s="22" customFormat="1" x14ac:dyDescent="0.35">
      <c r="A58" s="146">
        <v>32</v>
      </c>
      <c r="B58" s="537" t="s">
        <v>231</v>
      </c>
      <c r="C58" s="538"/>
      <c r="D58" s="539"/>
      <c r="E58" s="151">
        <f>SUM(E54:E57)</f>
        <v>6551349.7324999999</v>
      </c>
      <c r="F58" s="151">
        <f>SUM(F54:F57)</f>
        <v>518682.24303507496</v>
      </c>
      <c r="G58" s="151">
        <f>SUM(G54:G57)</f>
        <v>96599.108200529154</v>
      </c>
      <c r="H58" s="151">
        <f>SUM(H54:H57)</f>
        <v>43641.858764395896</v>
      </c>
      <c r="I58" s="151">
        <f>SUM(I54:I57)</f>
        <v>1669.6274999999996</v>
      </c>
      <c r="J58" s="151">
        <f t="shared" si="8"/>
        <v>7211942.5700000012</v>
      </c>
      <c r="M58" s="131"/>
    </row>
    <row r="59" spans="1:13" s="22" customFormat="1" x14ac:dyDescent="0.35">
      <c r="A59" s="152"/>
      <c r="B59" s="153"/>
      <c r="C59" s="153"/>
      <c r="D59" s="154"/>
      <c r="E59" s="155"/>
      <c r="F59" s="155"/>
      <c r="G59" s="155"/>
      <c r="H59" s="155"/>
      <c r="I59" s="155"/>
      <c r="J59" s="155"/>
      <c r="M59" s="131"/>
    </row>
    <row r="60" spans="1:13" s="22" customFormat="1" x14ac:dyDescent="0.35">
      <c r="A60" s="540" t="s">
        <v>232</v>
      </c>
      <c r="B60" s="541"/>
      <c r="C60" s="541"/>
      <c r="D60" s="541"/>
      <c r="E60" s="541"/>
      <c r="F60" s="541"/>
      <c r="G60" s="541"/>
      <c r="H60" s="541"/>
      <c r="I60" s="541"/>
      <c r="J60" s="542"/>
      <c r="M60" s="131"/>
    </row>
    <row r="61" spans="1:13" s="22" customFormat="1" x14ac:dyDescent="0.35">
      <c r="A61" s="146">
        <v>33</v>
      </c>
      <c r="B61" s="531" t="s">
        <v>297</v>
      </c>
      <c r="C61" s="532"/>
      <c r="D61" s="533"/>
      <c r="E61" s="148">
        <f>'Schedule 1 Adjustments'!I61</f>
        <v>60147.9</v>
      </c>
      <c r="F61" s="148">
        <f>'Schedule 1 Adjustments'!L61</f>
        <v>316544.36675907444</v>
      </c>
      <c r="G61" s="148">
        <f>'Schedule 1 Adjustments'!O61</f>
        <v>234721.2</v>
      </c>
      <c r="H61" s="148">
        <f>'Schedule 1 Adjustments'!R61</f>
        <v>2914.743240925588</v>
      </c>
      <c r="I61" s="148">
        <f>'Schedule 1 Adjustments'!U61</f>
        <v>0</v>
      </c>
      <c r="J61" s="149">
        <f>SUM(E61:I61)</f>
        <v>614328.21000000008</v>
      </c>
      <c r="M61" s="131"/>
    </row>
    <row r="62" spans="1:13" s="22" customFormat="1" x14ac:dyDescent="0.35">
      <c r="A62" s="146">
        <v>34</v>
      </c>
      <c r="B62" s="531" t="s">
        <v>298</v>
      </c>
      <c r="C62" s="532"/>
      <c r="D62" s="533"/>
      <c r="E62" s="148">
        <f>'Schedule 1 Adjustments'!I62</f>
        <v>1287682.6524999999</v>
      </c>
      <c r="F62" s="148">
        <f>'Schedule 1 Adjustments'!L62</f>
        <v>1408437.4268432891</v>
      </c>
      <c r="G62" s="148">
        <f>'Schedule 1 Adjustments'!O62</f>
        <v>1054169.2295526569</v>
      </c>
      <c r="H62" s="148">
        <f>'Schedule 1 Adjustments'!R62</f>
        <v>161460.95360405406</v>
      </c>
      <c r="I62" s="148">
        <f>'Schedule 1 Adjustments'!U62</f>
        <v>11861.227500000001</v>
      </c>
      <c r="J62" s="149">
        <f t="shared" ref="J62:J68" si="9">SUM(E62:I62)</f>
        <v>3923611.49</v>
      </c>
      <c r="M62" s="131"/>
    </row>
    <row r="63" spans="1:13" s="22" customFormat="1" x14ac:dyDescent="0.35">
      <c r="A63" s="146">
        <v>35</v>
      </c>
      <c r="B63" s="531" t="s">
        <v>302</v>
      </c>
      <c r="C63" s="532"/>
      <c r="D63" s="533"/>
      <c r="E63" s="148">
        <f>'Schedule 1 Adjustments'!I63</f>
        <v>22519.14</v>
      </c>
      <c r="F63" s="148">
        <f>'Schedule 1 Adjustments'!L63</f>
        <v>907948.72826395556</v>
      </c>
      <c r="G63" s="148">
        <f>'Schedule 1 Adjustments'!O63</f>
        <v>111448.18386532011</v>
      </c>
      <c r="H63" s="148">
        <f>'Schedule 1 Adjustments'!R63</f>
        <v>85124.70787072432</v>
      </c>
      <c r="I63" s="148">
        <f>'Schedule 1 Adjustments'!U63</f>
        <v>616.96000000000015</v>
      </c>
      <c r="J63" s="149">
        <f t="shared" si="9"/>
        <v>1127657.72</v>
      </c>
      <c r="M63" s="131"/>
    </row>
    <row r="64" spans="1:13" s="22" customFormat="1" x14ac:dyDescent="0.35">
      <c r="A64" s="146">
        <v>36</v>
      </c>
      <c r="B64" s="531" t="s">
        <v>315</v>
      </c>
      <c r="C64" s="532"/>
      <c r="D64" s="533"/>
      <c r="E64" s="148">
        <f>'Schedule 1 Adjustments'!I64</f>
        <v>83904.062499999971</v>
      </c>
      <c r="F64" s="148">
        <f>'Schedule 1 Adjustments'!L64</f>
        <v>484652.3416388685</v>
      </c>
      <c r="G64" s="148">
        <f>'Schedule 1 Adjustments'!O64</f>
        <v>447340.97015390452</v>
      </c>
      <c r="H64" s="148">
        <f>'Schedule 1 Adjustments'!R64</f>
        <v>32538.748207227021</v>
      </c>
      <c r="I64" s="148">
        <f>'Schedule 1 Adjustments'!U64</f>
        <v>1968.7075</v>
      </c>
      <c r="J64" s="149">
        <f t="shared" si="9"/>
        <v>1050404.8299999998</v>
      </c>
      <c r="M64" s="131"/>
    </row>
    <row r="65" spans="1:13" s="22" customFormat="1" x14ac:dyDescent="0.35">
      <c r="A65" s="146">
        <v>37</v>
      </c>
      <c r="B65" s="531" t="s">
        <v>316</v>
      </c>
      <c r="C65" s="532"/>
      <c r="D65" s="533"/>
      <c r="E65" s="148">
        <f>'Schedule 1 Adjustments'!I65</f>
        <v>300814.84250000003</v>
      </c>
      <c r="F65" s="148">
        <f>'Schedule 1 Adjustments'!L65</f>
        <v>1079534.2058546327</v>
      </c>
      <c r="G65" s="148">
        <f>'Schedule 1 Adjustments'!O65</f>
        <v>1556842.6043410343</v>
      </c>
      <c r="H65" s="148">
        <f>'Schedule 1 Adjustments'!R65</f>
        <v>85709.45980433299</v>
      </c>
      <c r="I65" s="148">
        <f>'Schedule 1 Adjustments'!U65</f>
        <v>4067.8775000000001</v>
      </c>
      <c r="J65" s="149">
        <f t="shared" si="9"/>
        <v>3026968.9899999998</v>
      </c>
      <c r="M65" s="131"/>
    </row>
    <row r="66" spans="1:13" s="22" customFormat="1" x14ac:dyDescent="0.35">
      <c r="A66" s="146">
        <v>38</v>
      </c>
      <c r="B66" s="531" t="s">
        <v>317</v>
      </c>
      <c r="C66" s="532"/>
      <c r="D66" s="533"/>
      <c r="E66" s="148">
        <f>'Schedule 1 Adjustments'!I66</f>
        <v>12941.3</v>
      </c>
      <c r="F66" s="148">
        <f>'Schedule 1 Adjustments'!L66</f>
        <v>83592.200074026143</v>
      </c>
      <c r="G66" s="148">
        <f>'Schedule 1 Adjustments'!O66</f>
        <v>71742.97544615333</v>
      </c>
      <c r="H66" s="148">
        <f>'Schedule 1 Adjustments'!R66</f>
        <v>9172.9144798205198</v>
      </c>
      <c r="I66" s="148">
        <f>'Schedule 1 Adjustments'!U66</f>
        <v>336.63000000000005</v>
      </c>
      <c r="J66" s="149">
        <f t="shared" si="9"/>
        <v>177786.02000000002</v>
      </c>
      <c r="M66" s="131"/>
    </row>
    <row r="67" spans="1:13" s="22" customFormat="1" x14ac:dyDescent="0.35">
      <c r="A67" s="146">
        <v>39</v>
      </c>
      <c r="B67" s="531" t="s">
        <v>299</v>
      </c>
      <c r="C67" s="532"/>
      <c r="D67" s="533"/>
      <c r="E67" s="148">
        <f>'Schedule 1 Adjustments'!I67</f>
        <v>212113.14999999991</v>
      </c>
      <c r="F67" s="148">
        <f>'Schedule 1 Adjustments'!L67</f>
        <v>1709523.3704661452</v>
      </c>
      <c r="G67" s="148">
        <f>'Schedule 1 Adjustments'!O67</f>
        <v>933145.52365964372</v>
      </c>
      <c r="H67" s="148">
        <f>'Schedule 1 Adjustments'!R67</f>
        <v>249433.64587421063</v>
      </c>
      <c r="I67" s="148">
        <f>'Schedule 1 Adjustments'!U67</f>
        <v>3360.29</v>
      </c>
      <c r="J67" s="149">
        <f t="shared" si="9"/>
        <v>3107575.9799999995</v>
      </c>
      <c r="M67" s="131"/>
    </row>
    <row r="68" spans="1:13" s="22" customFormat="1" x14ac:dyDescent="0.35">
      <c r="A68" s="146">
        <v>40</v>
      </c>
      <c r="B68" s="537" t="s">
        <v>237</v>
      </c>
      <c r="C68" s="538"/>
      <c r="D68" s="539"/>
      <c r="E68" s="151">
        <f>SUM(E61:E67)</f>
        <v>1980123.0474999996</v>
      </c>
      <c r="F68" s="151">
        <f>SUM(F61:F67)</f>
        <v>5990232.6398999915</v>
      </c>
      <c r="G68" s="151">
        <f>SUM(G61:G67)</f>
        <v>4409410.687018713</v>
      </c>
      <c r="H68" s="151">
        <f>SUM(H61:H67)</f>
        <v>626355.1730812951</v>
      </c>
      <c r="I68" s="151">
        <f>SUM(I61:I67)</f>
        <v>22211.692500000005</v>
      </c>
      <c r="J68" s="151">
        <f t="shared" si="9"/>
        <v>13028333.24</v>
      </c>
      <c r="M68" s="131"/>
    </row>
    <row r="69" spans="1:13" s="22" customFormat="1" x14ac:dyDescent="0.35">
      <c r="A69" s="152"/>
      <c r="B69" s="153"/>
      <c r="C69" s="153"/>
      <c r="D69" s="154"/>
      <c r="E69" s="155"/>
      <c r="F69" s="155"/>
      <c r="G69" s="155"/>
      <c r="H69" s="155"/>
      <c r="I69" s="155"/>
      <c r="J69" s="155"/>
      <c r="M69" s="131"/>
    </row>
    <row r="70" spans="1:13" s="22" customFormat="1" x14ac:dyDescent="0.35">
      <c r="A70" s="540" t="s">
        <v>236</v>
      </c>
      <c r="B70" s="541"/>
      <c r="C70" s="541"/>
      <c r="D70" s="541"/>
      <c r="E70" s="541"/>
      <c r="F70" s="541"/>
      <c r="G70" s="541"/>
      <c r="H70" s="541"/>
      <c r="I70" s="541"/>
      <c r="J70" s="542"/>
      <c r="M70" s="131"/>
    </row>
    <row r="71" spans="1:13" s="22" customFormat="1" x14ac:dyDescent="0.35">
      <c r="A71" s="146">
        <v>41</v>
      </c>
      <c r="B71" s="531" t="s">
        <v>239</v>
      </c>
      <c r="C71" s="532"/>
      <c r="D71" s="533"/>
      <c r="E71" s="148">
        <f>'Schedule 1 Adjustments'!I71</f>
        <v>57465.157499999994</v>
      </c>
      <c r="F71" s="148">
        <f>'Schedule 1 Adjustments'!L71</f>
        <v>5382.8271178613868</v>
      </c>
      <c r="G71" s="148">
        <f>'Schedule 1 Adjustments'!O71</f>
        <v>435.77000000000004</v>
      </c>
      <c r="H71" s="148">
        <f>'Schedule 1 Adjustments'!R71</f>
        <v>570.30288213861377</v>
      </c>
      <c r="I71" s="148">
        <f>'Schedule 1 Adjustments'!U71</f>
        <v>7150.7924999999996</v>
      </c>
      <c r="J71" s="149">
        <f t="shared" ref="J71:J74" si="10">SUM(E71:I71)</f>
        <v>71004.849999999991</v>
      </c>
      <c r="M71" s="131"/>
    </row>
    <row r="72" spans="1:13" s="22" customFormat="1" x14ac:dyDescent="0.35">
      <c r="A72" s="146">
        <v>42</v>
      </c>
      <c r="B72" s="531" t="s">
        <v>289</v>
      </c>
      <c r="C72" s="532"/>
      <c r="D72" s="533"/>
      <c r="E72" s="148">
        <f>'Schedule 1 Adjustments'!I72</f>
        <v>34951.850000000006</v>
      </c>
      <c r="F72" s="148">
        <f>'Schedule 1 Adjustments'!L72</f>
        <v>38955.542489683474</v>
      </c>
      <c r="G72" s="148">
        <f>'Schedule 1 Adjustments'!O72</f>
        <v>3141.798618130837</v>
      </c>
      <c r="H72" s="148">
        <f>'Schedule 1 Adjustments'!R72</f>
        <v>6673.7388921856927</v>
      </c>
      <c r="I72" s="148">
        <f>'Schedule 1 Adjustments'!U72</f>
        <v>1128.17</v>
      </c>
      <c r="J72" s="149">
        <f t="shared" si="10"/>
        <v>84851.1</v>
      </c>
      <c r="M72" s="131"/>
    </row>
    <row r="73" spans="1:13" s="22" customFormat="1" x14ac:dyDescent="0.35">
      <c r="A73" s="146">
        <v>43</v>
      </c>
      <c r="B73" s="531" t="s">
        <v>240</v>
      </c>
      <c r="C73" s="532"/>
      <c r="D73" s="533"/>
      <c r="E73" s="148">
        <f>'Schedule 1 Adjustments'!I73</f>
        <v>389378.47249999992</v>
      </c>
      <c r="F73" s="148">
        <f>'Schedule 1 Adjustments'!L73</f>
        <v>7515.1057268120894</v>
      </c>
      <c r="G73" s="148">
        <f>'Schedule 1 Adjustments'!O73</f>
        <v>6391.3162837769723</v>
      </c>
      <c r="H73" s="148">
        <f>'Schedule 1 Adjustments'!R73</f>
        <v>1047.8279894109392</v>
      </c>
      <c r="I73" s="148">
        <f>'Schedule 1 Adjustments'!U73</f>
        <v>1065.5574999999999</v>
      </c>
      <c r="J73" s="149">
        <f t="shared" si="10"/>
        <v>405398.27999999991</v>
      </c>
      <c r="M73" s="131"/>
    </row>
    <row r="74" spans="1:13" s="22" customFormat="1" x14ac:dyDescent="0.35">
      <c r="A74" s="146">
        <v>44</v>
      </c>
      <c r="B74" s="531" t="s">
        <v>308</v>
      </c>
      <c r="C74" s="532"/>
      <c r="D74" s="533"/>
      <c r="E74" s="148">
        <f>'Schedule 1 Adjustments'!I74</f>
        <v>0</v>
      </c>
      <c r="F74" s="148">
        <f>'Schedule 1 Adjustments'!L74</f>
        <v>0</v>
      </c>
      <c r="G74" s="148">
        <f>'Schedule 1 Adjustments'!O74</f>
        <v>0</v>
      </c>
      <c r="H74" s="148">
        <f>'Schedule 1 Adjustments'!R74</f>
        <v>0</v>
      </c>
      <c r="I74" s="148">
        <f>'Schedule 1 Adjustments'!U74</f>
        <v>115294.92</v>
      </c>
      <c r="J74" s="149">
        <f t="shared" si="10"/>
        <v>115294.92</v>
      </c>
      <c r="M74" s="131"/>
    </row>
    <row r="75" spans="1:13" s="22" customFormat="1" x14ac:dyDescent="0.35">
      <c r="A75" s="146">
        <v>45</v>
      </c>
      <c r="B75" s="531" t="s">
        <v>286</v>
      </c>
      <c r="C75" s="532"/>
      <c r="D75" s="533"/>
      <c r="E75" s="148">
        <f>'Schedule 1 Adjustments'!I75</f>
        <v>0</v>
      </c>
      <c r="F75" s="148">
        <f>'Schedule 1 Adjustments'!L75</f>
        <v>0</v>
      </c>
      <c r="G75" s="148">
        <f>'Schedule 1 Adjustments'!O75</f>
        <v>0</v>
      </c>
      <c r="H75" s="148">
        <f>'Schedule 1 Adjustments'!R75</f>
        <v>0</v>
      </c>
      <c r="I75" s="148">
        <f>'Schedule 1 Adjustments'!U75</f>
        <v>374263.42000000004</v>
      </c>
      <c r="J75" s="149">
        <f>SUM(E75:I75)</f>
        <v>374263.42000000004</v>
      </c>
      <c r="M75" s="131"/>
    </row>
    <row r="76" spans="1:13" s="22" customFormat="1" x14ac:dyDescent="0.35">
      <c r="A76" s="146">
        <v>46</v>
      </c>
      <c r="B76" s="531" t="s">
        <v>287</v>
      </c>
      <c r="C76" s="532"/>
      <c r="D76" s="533"/>
      <c r="E76" s="148">
        <f>'Schedule 1 Adjustments'!I76</f>
        <v>1306677.6600000001</v>
      </c>
      <c r="F76" s="148">
        <f>'Schedule 1 Adjustments'!L76</f>
        <v>366281.22520351975</v>
      </c>
      <c r="G76" s="148">
        <f>'Schedule 1 Adjustments'!O76</f>
        <v>183400.13205065968</v>
      </c>
      <c r="H76" s="148">
        <f>'Schedule 1 Adjustments'!R76</f>
        <v>18619.73274582058</v>
      </c>
      <c r="I76" s="148">
        <f>'Schedule 1 Adjustments'!U76</f>
        <v>6892.09</v>
      </c>
      <c r="J76" s="149">
        <f t="shared" ref="J76:J79" si="11">SUM(E76:I76)</f>
        <v>1881870.8400000003</v>
      </c>
      <c r="M76" s="131"/>
    </row>
    <row r="77" spans="1:13" s="22" customFormat="1" x14ac:dyDescent="0.35">
      <c r="A77" s="146">
        <v>47</v>
      </c>
      <c r="B77" s="531" t="s">
        <v>318</v>
      </c>
      <c r="C77" s="532"/>
      <c r="D77" s="533"/>
      <c r="E77" s="148">
        <f>'Schedule 1 Adjustments'!I77</f>
        <v>263193.68</v>
      </c>
      <c r="F77" s="148">
        <f>'Schedule 1 Adjustments'!L77</f>
        <v>321186.82821141835</v>
      </c>
      <c r="G77" s="148">
        <f>'Schedule 1 Adjustments'!O77</f>
        <v>73152.125443139957</v>
      </c>
      <c r="H77" s="148">
        <f>'Schedule 1 Adjustments'!R77</f>
        <v>38168.046345441733</v>
      </c>
      <c r="I77" s="148">
        <f>'Schedule 1 Adjustments'!U77</f>
        <v>2692.32</v>
      </c>
      <c r="J77" s="149">
        <f t="shared" si="11"/>
        <v>698392.99999999988</v>
      </c>
      <c r="M77" s="131"/>
    </row>
    <row r="78" spans="1:13" s="22" customFormat="1" x14ac:dyDescent="0.35">
      <c r="A78" s="146">
        <v>48</v>
      </c>
      <c r="B78" s="531" t="s">
        <v>285</v>
      </c>
      <c r="C78" s="532"/>
      <c r="D78" s="533"/>
      <c r="E78" s="148">
        <f>'Schedule 1 Adjustments'!I78</f>
        <v>1017036.2975</v>
      </c>
      <c r="F78" s="148">
        <f>'Schedule 1 Adjustments'!L78</f>
        <v>1314060.3392181427</v>
      </c>
      <c r="G78" s="148">
        <f>'Schedule 1 Adjustments'!O78</f>
        <v>-537272.66173620941</v>
      </c>
      <c r="H78" s="148">
        <f>'Schedule 1 Adjustments'!R78</f>
        <v>105010.32251806671</v>
      </c>
      <c r="I78" s="148">
        <f>'Schedule 1 Adjustments'!U78</f>
        <v>43833.662499999999</v>
      </c>
      <c r="J78" s="149">
        <f t="shared" si="11"/>
        <v>1942667.9600000002</v>
      </c>
      <c r="M78" s="131"/>
    </row>
    <row r="79" spans="1:13" s="22" customFormat="1" x14ac:dyDescent="0.35">
      <c r="A79" s="146">
        <v>49</v>
      </c>
      <c r="B79" s="537" t="s">
        <v>279</v>
      </c>
      <c r="C79" s="538"/>
      <c r="D79" s="539"/>
      <c r="E79" s="151">
        <f>SUM(E71:E78)</f>
        <v>3068703.1175000002</v>
      </c>
      <c r="F79" s="151">
        <f t="shared" ref="F79:I79" si="12">SUM(F71:F78)</f>
        <v>2053381.8679674377</v>
      </c>
      <c r="G79" s="151">
        <f t="shared" si="12"/>
        <v>-270751.51934050198</v>
      </c>
      <c r="H79" s="151">
        <f t="shared" si="12"/>
        <v>170089.97137306427</v>
      </c>
      <c r="I79" s="151">
        <f t="shared" si="12"/>
        <v>552320.93250000011</v>
      </c>
      <c r="J79" s="151">
        <f t="shared" si="11"/>
        <v>5573744.3700000001</v>
      </c>
      <c r="M79" s="131"/>
    </row>
    <row r="80" spans="1:13" s="22" customFormat="1" x14ac:dyDescent="0.35">
      <c r="A80" s="152"/>
      <c r="B80" s="153"/>
      <c r="C80" s="153"/>
      <c r="D80" s="154"/>
      <c r="E80" s="155"/>
      <c r="F80" s="155"/>
      <c r="G80" s="155"/>
      <c r="H80" s="155"/>
      <c r="I80" s="155"/>
      <c r="J80" s="155"/>
      <c r="M80" s="131"/>
    </row>
    <row r="81" spans="1:13" s="22" customFormat="1" x14ac:dyDescent="0.35">
      <c r="A81" s="540" t="s">
        <v>303</v>
      </c>
      <c r="B81" s="541"/>
      <c r="C81" s="541"/>
      <c r="D81" s="541"/>
      <c r="E81" s="541"/>
      <c r="F81" s="541"/>
      <c r="G81" s="541"/>
      <c r="H81" s="541"/>
      <c r="I81" s="541"/>
      <c r="J81" s="542"/>
      <c r="M81" s="131"/>
    </row>
    <row r="82" spans="1:13" s="22" customFormat="1" x14ac:dyDescent="0.35">
      <c r="A82" s="146">
        <v>50</v>
      </c>
      <c r="B82" s="531" t="s">
        <v>304</v>
      </c>
      <c r="C82" s="532"/>
      <c r="D82" s="533"/>
      <c r="E82" s="98"/>
      <c r="F82" s="98"/>
      <c r="G82" s="98"/>
      <c r="H82" s="98"/>
      <c r="I82" s="148">
        <f>'Schedule 1 Adjustments'!U82</f>
        <v>117687.29000000002</v>
      </c>
      <c r="J82" s="149">
        <f>I82</f>
        <v>117687.29000000002</v>
      </c>
      <c r="M82" s="131"/>
    </row>
    <row r="83" spans="1:13" s="22" customFormat="1" x14ac:dyDescent="0.35">
      <c r="A83" s="146">
        <v>51</v>
      </c>
      <c r="B83" s="531" t="s">
        <v>309</v>
      </c>
      <c r="C83" s="532"/>
      <c r="D83" s="533"/>
      <c r="E83" s="98"/>
      <c r="F83" s="98"/>
      <c r="G83" s="98"/>
      <c r="H83" s="98"/>
      <c r="I83" s="148">
        <f>'Schedule 1 Adjustments'!U83</f>
        <v>0</v>
      </c>
      <c r="J83" s="149">
        <f>I83</f>
        <v>0</v>
      </c>
      <c r="M83" s="131"/>
    </row>
    <row r="84" spans="1:13" s="22" customFormat="1" x14ac:dyDescent="0.35">
      <c r="A84" s="146">
        <v>52</v>
      </c>
      <c r="B84" s="531" t="s">
        <v>310</v>
      </c>
      <c r="C84" s="532"/>
      <c r="D84" s="533"/>
      <c r="E84" s="98"/>
      <c r="F84" s="98"/>
      <c r="G84" s="98"/>
      <c r="H84" s="98"/>
      <c r="I84" s="148">
        <f>'Schedule 1 Adjustments'!U84</f>
        <v>366005.8</v>
      </c>
      <c r="J84" s="149">
        <f t="shared" ref="J84:J85" si="13">I84</f>
        <v>366005.8</v>
      </c>
      <c r="M84" s="131"/>
    </row>
    <row r="85" spans="1:13" s="22" customFormat="1" x14ac:dyDescent="0.35">
      <c r="A85" s="146">
        <v>53</v>
      </c>
      <c r="B85" s="531" t="s">
        <v>305</v>
      </c>
      <c r="C85" s="532"/>
      <c r="D85" s="533"/>
      <c r="E85" s="98"/>
      <c r="F85" s="98"/>
      <c r="G85" s="98"/>
      <c r="H85" s="98"/>
      <c r="I85" s="148">
        <f>'Schedule 1 Adjustments'!U85</f>
        <v>184679.11</v>
      </c>
      <c r="J85" s="149">
        <f t="shared" si="13"/>
        <v>184679.11</v>
      </c>
      <c r="M85" s="131"/>
    </row>
    <row r="86" spans="1:13" s="22" customFormat="1" x14ac:dyDescent="0.35">
      <c r="A86" s="146">
        <v>54</v>
      </c>
      <c r="B86" s="537" t="s">
        <v>306</v>
      </c>
      <c r="C86" s="538"/>
      <c r="D86" s="539"/>
      <c r="E86" s="151">
        <v>0</v>
      </c>
      <c r="F86" s="151">
        <v>0</v>
      </c>
      <c r="G86" s="151">
        <v>0</v>
      </c>
      <c r="H86" s="151">
        <v>0</v>
      </c>
      <c r="I86" s="151">
        <f>SUM(I82:I85)</f>
        <v>668372.19999999995</v>
      </c>
      <c r="J86" s="151">
        <f t="shared" ref="J86" si="14">SUM(E86:I86)</f>
        <v>668372.19999999995</v>
      </c>
      <c r="M86" s="131"/>
    </row>
    <row r="87" spans="1:13" s="22" customFormat="1" x14ac:dyDescent="0.35">
      <c r="A87" s="152"/>
      <c r="B87" s="153"/>
      <c r="C87" s="153"/>
      <c r="D87" s="154"/>
      <c r="E87" s="155"/>
      <c r="F87" s="155"/>
      <c r="G87" s="155"/>
      <c r="H87" s="155"/>
      <c r="I87" s="155"/>
      <c r="J87" s="155"/>
      <c r="M87" s="131"/>
    </row>
    <row r="88" spans="1:13" s="22" customFormat="1" x14ac:dyDescent="0.35">
      <c r="A88" s="540" t="s">
        <v>273</v>
      </c>
      <c r="B88" s="541"/>
      <c r="C88" s="541"/>
      <c r="D88" s="541"/>
      <c r="E88" s="541"/>
      <c r="F88" s="541"/>
      <c r="G88" s="541"/>
      <c r="H88" s="541"/>
      <c r="I88" s="541"/>
      <c r="J88" s="542"/>
      <c r="M88" s="131"/>
    </row>
    <row r="89" spans="1:13" s="22" customFormat="1" x14ac:dyDescent="0.35">
      <c r="A89" s="146">
        <v>55</v>
      </c>
      <c r="B89" s="531" t="s">
        <v>274</v>
      </c>
      <c r="C89" s="532"/>
      <c r="D89" s="533"/>
      <c r="E89" s="156">
        <f>'Schedule 1 Adjustments'!I89</f>
        <v>0</v>
      </c>
      <c r="F89" s="156">
        <f>'Schedule 1 Adjustments'!L89</f>
        <v>0</v>
      </c>
      <c r="G89" s="156">
        <f>'Schedule 1 Adjustments'!O89</f>
        <v>0</v>
      </c>
      <c r="H89" s="156">
        <f>'Schedule 1 Adjustments'!R89</f>
        <v>0</v>
      </c>
      <c r="I89" s="156">
        <f>-SUM(E89:H89)</f>
        <v>0</v>
      </c>
      <c r="J89" s="149">
        <f>SUM(E89:I89)</f>
        <v>0</v>
      </c>
      <c r="M89" s="131"/>
    </row>
    <row r="90" spans="1:13" s="22" customFormat="1" x14ac:dyDescent="0.35">
      <c r="A90" s="146">
        <v>56</v>
      </c>
      <c r="B90" s="537" t="s">
        <v>270</v>
      </c>
      <c r="C90" s="538"/>
      <c r="D90" s="539"/>
      <c r="E90" s="151">
        <f>SUM(E89:E89)</f>
        <v>0</v>
      </c>
      <c r="F90" s="151">
        <f>SUM(F89:F89)</f>
        <v>0</v>
      </c>
      <c r="G90" s="151">
        <f>SUM(G89:G89)</f>
        <v>0</v>
      </c>
      <c r="H90" s="151">
        <f>SUM(H89:H89)</f>
        <v>0</v>
      </c>
      <c r="I90" s="151">
        <f>SUM(I89:I89)</f>
        <v>0</v>
      </c>
      <c r="J90" s="151">
        <f t="shared" ref="J90" si="15">SUM(E90:I90)</f>
        <v>0</v>
      </c>
      <c r="M90" s="131"/>
    </row>
    <row r="91" spans="1:13" s="22" customFormat="1" x14ac:dyDescent="0.35">
      <c r="A91" s="152"/>
      <c r="B91" s="153"/>
      <c r="C91" s="153"/>
      <c r="D91" s="154"/>
      <c r="E91" s="155"/>
      <c r="F91" s="155"/>
      <c r="G91" s="155"/>
      <c r="H91" s="155"/>
      <c r="I91" s="155"/>
      <c r="J91" s="155"/>
      <c r="M91" s="131"/>
    </row>
    <row r="92" spans="1:13" s="22" customFormat="1" x14ac:dyDescent="0.35">
      <c r="A92" s="146">
        <v>57</v>
      </c>
      <c r="B92" s="537" t="s">
        <v>241</v>
      </c>
      <c r="C92" s="538"/>
      <c r="D92" s="539"/>
      <c r="E92" s="151">
        <f>E79+E68+E58+E51+E41+E90+E86</f>
        <v>31229196.440499745</v>
      </c>
      <c r="F92" s="151">
        <f>F79+F68+F58+F51+F41+F90+F86</f>
        <v>74175272.114692375</v>
      </c>
      <c r="G92" s="151">
        <f>G79+G68+G58+G51+G41+G90+G86</f>
        <v>19062400.119320475</v>
      </c>
      <c r="H92" s="151">
        <f>H79+H68+H58+H51+H41+H90+H86</f>
        <v>24739427.136732947</v>
      </c>
      <c r="I92" s="151">
        <f>I79+I68+I58+I51+I41+I90+I86</f>
        <v>2180363.7587544527</v>
      </c>
      <c r="J92" s="151">
        <f t="shared" ref="J92:J96" si="16">SUM(E92:I92)</f>
        <v>151386659.56999999</v>
      </c>
      <c r="M92" s="131"/>
    </row>
    <row r="93" spans="1:13" s="22" customFormat="1" x14ac:dyDescent="0.35">
      <c r="A93" s="152"/>
      <c r="B93" s="153"/>
      <c r="C93" s="153"/>
      <c r="D93" s="154"/>
      <c r="E93" s="155"/>
      <c r="F93" s="155"/>
      <c r="G93" s="155"/>
      <c r="H93" s="155"/>
      <c r="I93" s="155"/>
      <c r="J93" s="155"/>
      <c r="M93" s="131"/>
    </row>
    <row r="94" spans="1:13" s="22" customFormat="1" ht="15.5" x14ac:dyDescent="0.35">
      <c r="A94" s="160">
        <v>58</v>
      </c>
      <c r="B94" s="531" t="s">
        <v>2</v>
      </c>
      <c r="C94" s="532"/>
      <c r="D94" s="533"/>
      <c r="E94" s="149">
        <f>E92*-1</f>
        <v>-31229196.440499745</v>
      </c>
      <c r="F94" s="148">
        <f>'Schedule 1 Adjustments'!L94</f>
        <v>23254901.215490203</v>
      </c>
      <c r="G94" s="148">
        <f>'Schedule 1 Adjustments'!O94</f>
        <v>5716561.1168464525</v>
      </c>
      <c r="H94" s="148">
        <f>'Schedule 1 Adjustments'!R94</f>
        <v>2186817.3681425955</v>
      </c>
      <c r="I94" s="148">
        <f>'Schedule 1 Adjustments'!U94</f>
        <v>70916.740020495126</v>
      </c>
      <c r="J94" s="151">
        <f t="shared" si="16"/>
        <v>1.1496013030409813E-9</v>
      </c>
      <c r="K94" s="33" t="str">
        <f>IF(ABS(J94)&gt;1,"Error - This row should sum to 0.","")</f>
        <v/>
      </c>
      <c r="M94" s="131"/>
    </row>
    <row r="95" spans="1:13" s="22" customFormat="1" x14ac:dyDescent="0.35">
      <c r="A95" s="152"/>
      <c r="B95" s="153"/>
      <c r="C95" s="153"/>
      <c r="D95" s="154"/>
      <c r="E95" s="155"/>
      <c r="F95" s="155"/>
      <c r="G95" s="155"/>
      <c r="H95" s="155"/>
      <c r="I95" s="155"/>
      <c r="J95" s="155"/>
      <c r="M95" s="131"/>
    </row>
    <row r="96" spans="1:13" s="63" customFormat="1" ht="15.5" x14ac:dyDescent="0.35">
      <c r="A96" s="146">
        <v>59</v>
      </c>
      <c r="B96" s="534" t="s">
        <v>242</v>
      </c>
      <c r="C96" s="535"/>
      <c r="D96" s="536"/>
      <c r="E96" s="161">
        <f>E94+E92</f>
        <v>0</v>
      </c>
      <c r="F96" s="161">
        <f t="shared" ref="F96:I96" si="17">F94+F92</f>
        <v>97430173.330182582</v>
      </c>
      <c r="G96" s="161">
        <f t="shared" si="17"/>
        <v>24778961.236166928</v>
      </c>
      <c r="H96" s="161">
        <f t="shared" si="17"/>
        <v>26926244.504875541</v>
      </c>
      <c r="I96" s="161">
        <f t="shared" si="17"/>
        <v>2251280.4987749476</v>
      </c>
      <c r="J96" s="161">
        <f t="shared" si="16"/>
        <v>151386659.56999999</v>
      </c>
      <c r="M96" s="132"/>
    </row>
    <row r="97" spans="1:13" s="22" customFormat="1" x14ac:dyDescent="0.35">
      <c r="A97" s="162"/>
      <c r="B97" s="162"/>
      <c r="C97" s="162"/>
      <c r="D97" s="162"/>
      <c r="E97" s="162"/>
      <c r="F97" s="162"/>
      <c r="G97" s="162"/>
      <c r="H97" s="162"/>
      <c r="I97" s="162"/>
      <c r="J97" s="162"/>
      <c r="M97" s="131"/>
    </row>
    <row r="98" spans="1:13" s="22" customFormat="1" x14ac:dyDescent="0.35">
      <c r="A98" s="146">
        <v>60</v>
      </c>
      <c r="B98" s="530" t="s">
        <v>4</v>
      </c>
      <c r="C98" s="530"/>
      <c r="D98" s="162"/>
      <c r="E98" s="162"/>
      <c r="F98" s="141">
        <f>'Schedule 1 Adjustments'!L98</f>
        <v>22718</v>
      </c>
      <c r="G98" s="162"/>
      <c r="H98" s="162"/>
      <c r="I98" s="162"/>
      <c r="J98" s="162"/>
      <c r="M98" s="131"/>
    </row>
    <row r="99" spans="1:13" s="22" customFormat="1" x14ac:dyDescent="0.35">
      <c r="A99" s="146">
        <v>61</v>
      </c>
      <c r="B99" s="530" t="s">
        <v>5</v>
      </c>
      <c r="C99" s="530"/>
      <c r="D99" s="162"/>
      <c r="E99" s="162"/>
      <c r="F99" s="149">
        <f>IFERROR(F96/F98,"")</f>
        <v>4288.6774069100529</v>
      </c>
      <c r="G99" s="162"/>
      <c r="H99" s="162"/>
      <c r="I99" s="162"/>
      <c r="J99" s="162"/>
      <c r="M99" s="131"/>
    </row>
    <row r="100" spans="1:13" s="22" customFormat="1" x14ac:dyDescent="0.35">
      <c r="A100" s="163"/>
      <c r="B100" s="162"/>
      <c r="C100" s="162"/>
      <c r="D100" s="162"/>
      <c r="E100" s="162"/>
      <c r="F100" s="162"/>
      <c r="G100" s="162"/>
      <c r="H100" s="162"/>
      <c r="I100" s="162"/>
      <c r="J100" s="162"/>
      <c r="M100" s="131"/>
    </row>
    <row r="101" spans="1:13" s="22" customFormat="1" x14ac:dyDescent="0.35">
      <c r="A101" s="146">
        <v>62</v>
      </c>
      <c r="B101" s="530" t="s">
        <v>307</v>
      </c>
      <c r="C101" s="530"/>
      <c r="D101" s="162"/>
      <c r="E101" s="162"/>
      <c r="F101" s="162"/>
      <c r="G101" s="162"/>
      <c r="H101" s="162"/>
      <c r="I101" s="162"/>
      <c r="J101" s="148">
        <f>'Schedule 1 Adjustments'!X101</f>
        <v>151386660</v>
      </c>
      <c r="M101" s="131"/>
    </row>
    <row r="102" spans="1:13" s="22" customFormat="1" x14ac:dyDescent="0.35">
      <c r="A102" s="146">
        <v>63</v>
      </c>
      <c r="B102" s="530" t="s">
        <v>10</v>
      </c>
      <c r="C102" s="530"/>
      <c r="D102" s="162"/>
      <c r="E102" s="162"/>
      <c r="F102" s="162"/>
      <c r="G102" s="162"/>
      <c r="H102" s="162"/>
      <c r="I102" s="162"/>
      <c r="J102" s="149">
        <f>ROUND(J96-J101,0)</f>
        <v>0</v>
      </c>
      <c r="K102" s="33" t="str">
        <f>IF(ABS(J102)&gt;1,"Error - This variance should be 0.","")</f>
        <v/>
      </c>
      <c r="M102" s="131"/>
    </row>
    <row r="103" spans="1:13" x14ac:dyDescent="0.35">
      <c r="A103" s="99"/>
      <c r="B103" s="99"/>
      <c r="C103" s="99"/>
      <c r="D103" s="99"/>
      <c r="E103" s="99"/>
      <c r="F103" s="99"/>
      <c r="G103" s="99"/>
      <c r="H103" s="99"/>
      <c r="I103" s="99"/>
      <c r="J103" s="99"/>
    </row>
    <row r="104" spans="1:13" x14ac:dyDescent="0.35">
      <c r="A104" s="146">
        <v>64</v>
      </c>
      <c r="B104" s="530" t="s">
        <v>202</v>
      </c>
      <c r="C104" s="530"/>
      <c r="D104" s="99"/>
      <c r="E104" s="164">
        <f>IFERROR(E92/SUM(F92:I92),"")</f>
        <v>0.2599022618082602</v>
      </c>
      <c r="F104" s="99"/>
      <c r="G104" s="99"/>
      <c r="H104" s="99"/>
      <c r="I104" s="99"/>
      <c r="J104" s="99"/>
    </row>
  </sheetData>
  <sheetProtection sheet="1" objects="1" scenarios="1"/>
  <customSheetViews>
    <customSheetView guid="{17302493-42B1-4877-869E-E424A97AE78B}" topLeftCell="D1">
      <selection activeCell="D13" sqref="D13:I15"/>
      <pageMargins left="0.7" right="0.7" top="0.75" bottom="0.75" header="0.3" footer="0.3"/>
      <pageSetup orientation="portrait" horizontalDpi="1200" verticalDpi="1200" r:id="rId1"/>
    </customSheetView>
    <customSheetView guid="{5C0BA3A5-859C-46C2-B685-44D9A90065E4}" topLeftCell="D1">
      <selection activeCell="D13" sqref="D13:I15"/>
      <pageMargins left="0.7" right="0.7" top="0.75" bottom="0.75" header="0.3" footer="0.3"/>
      <pageSetup orientation="portrait" horizontalDpi="1200" verticalDpi="1200" r:id="rId2"/>
    </customSheetView>
  </customSheetViews>
  <mergeCells count="75">
    <mergeCell ref="B16:C16"/>
    <mergeCell ref="B10:C10"/>
    <mergeCell ref="A12:J12"/>
    <mergeCell ref="B13:C13"/>
    <mergeCell ref="B14:C14"/>
    <mergeCell ref="B15:C15"/>
    <mergeCell ref="B33:D33"/>
    <mergeCell ref="A18:J18"/>
    <mergeCell ref="B19:C19"/>
    <mergeCell ref="B20:C20"/>
    <mergeCell ref="B21:C21"/>
    <mergeCell ref="A23:J23"/>
    <mergeCell ref="B24:D24"/>
    <mergeCell ref="B25:D25"/>
    <mergeCell ref="A27:J27"/>
    <mergeCell ref="B28:D28"/>
    <mergeCell ref="B30:D30"/>
    <mergeCell ref="B31:D31"/>
    <mergeCell ref="B51:D51"/>
    <mergeCell ref="A35:J35"/>
    <mergeCell ref="B36:D36"/>
    <mergeCell ref="B37:D37"/>
    <mergeCell ref="B39:D39"/>
    <mergeCell ref="B41:D41"/>
    <mergeCell ref="A43:J43"/>
    <mergeCell ref="B44:D44"/>
    <mergeCell ref="B45:D45"/>
    <mergeCell ref="B46:D46"/>
    <mergeCell ref="B47:D47"/>
    <mergeCell ref="B48:D48"/>
    <mergeCell ref="B49:D49"/>
    <mergeCell ref="B50:D50"/>
    <mergeCell ref="B64:D64"/>
    <mergeCell ref="B52:G52"/>
    <mergeCell ref="A53:J53"/>
    <mergeCell ref="B54:D54"/>
    <mergeCell ref="B55:D55"/>
    <mergeCell ref="B56:D56"/>
    <mergeCell ref="B57:D57"/>
    <mergeCell ref="B58:D58"/>
    <mergeCell ref="A60:J60"/>
    <mergeCell ref="B61:D61"/>
    <mergeCell ref="B62:D62"/>
    <mergeCell ref="B63:D63"/>
    <mergeCell ref="B77:D77"/>
    <mergeCell ref="B65:D65"/>
    <mergeCell ref="B66:D66"/>
    <mergeCell ref="B67:D67"/>
    <mergeCell ref="B68:D68"/>
    <mergeCell ref="A70:J70"/>
    <mergeCell ref="B71:D71"/>
    <mergeCell ref="B72:D72"/>
    <mergeCell ref="B73:D73"/>
    <mergeCell ref="B74:D74"/>
    <mergeCell ref="B75:D75"/>
    <mergeCell ref="B76:D76"/>
    <mergeCell ref="B92:D92"/>
    <mergeCell ref="B78:D78"/>
    <mergeCell ref="B79:D79"/>
    <mergeCell ref="A81:J81"/>
    <mergeCell ref="B82:D82"/>
    <mergeCell ref="B83:D83"/>
    <mergeCell ref="B84:D84"/>
    <mergeCell ref="B85:D85"/>
    <mergeCell ref="B86:D86"/>
    <mergeCell ref="A88:J88"/>
    <mergeCell ref="B89:D89"/>
    <mergeCell ref="B90:D90"/>
    <mergeCell ref="B104:C104"/>
    <mergeCell ref="B94:D94"/>
    <mergeCell ref="B96:D96"/>
    <mergeCell ref="B98:C98"/>
    <mergeCell ref="B99:C99"/>
    <mergeCell ref="B101:C101"/>
    <mergeCell ref="B102:C102"/>
  </mergeCells>
  <pageMargins left="0.7" right="0.7" top="0.75" bottom="0.75" header="0.3" footer="0.3"/>
  <pageSetup scale="44" fitToHeight="0"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8971D"/>
    <pageSetUpPr fitToPage="1"/>
  </sheetPr>
  <dimension ref="A1:Y96"/>
  <sheetViews>
    <sheetView workbookViewId="0">
      <selection activeCell="C26" sqref="C26"/>
    </sheetView>
  </sheetViews>
  <sheetFormatPr defaultColWidth="9.1796875"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777</v>
      </c>
    </row>
    <row r="2" spans="1:12" ht="21" x14ac:dyDescent="0.5">
      <c r="A2" s="2" t="s">
        <v>775</v>
      </c>
    </row>
    <row r="3" spans="1:12" ht="25" customHeight="1" x14ac:dyDescent="0.5">
      <c r="A3" s="546" t="s">
        <v>670</v>
      </c>
      <c r="B3" s="546"/>
      <c r="C3" s="546"/>
      <c r="D3" s="546"/>
      <c r="E3" s="546"/>
      <c r="F3" s="546"/>
      <c r="G3" s="546"/>
      <c r="H3" s="546"/>
      <c r="I3" s="546"/>
      <c r="J3" s="546"/>
    </row>
    <row r="4" spans="1:12" ht="25" customHeight="1" x14ac:dyDescent="0.5">
      <c r="A4" s="235" t="str">
        <f>Results!A4</f>
        <v>Final Adjustments</v>
      </c>
      <c r="B4" s="354"/>
      <c r="C4" s="354"/>
      <c r="D4" s="354"/>
      <c r="E4" s="354"/>
      <c r="F4" s="354"/>
      <c r="G4" s="354"/>
      <c r="H4" s="354"/>
      <c r="I4" s="354"/>
      <c r="J4" s="354"/>
    </row>
    <row r="5" spans="1:12" x14ac:dyDescent="0.35">
      <c r="H5" s="61"/>
      <c r="J5" s="122"/>
      <c r="K5" s="122"/>
      <c r="L5" s="122"/>
    </row>
    <row r="6" spans="1:12" x14ac:dyDescent="0.35">
      <c r="A6" s="1" t="s">
        <v>776</v>
      </c>
      <c r="C6" s="414" t="str">
        <f>Results!$C$6</f>
        <v>WellPower</v>
      </c>
      <c r="H6" s="48"/>
      <c r="J6" s="40"/>
      <c r="K6" s="40"/>
      <c r="L6" s="40"/>
    </row>
    <row r="7" spans="1:12" x14ac:dyDescent="0.35">
      <c r="A7" s="1" t="s">
        <v>0</v>
      </c>
      <c r="C7" s="35">
        <f>Results!$C$7</f>
        <v>45473</v>
      </c>
      <c r="D7" s="35"/>
      <c r="E7" s="35"/>
      <c r="F7" s="35"/>
      <c r="G7" s="35"/>
      <c r="H7" s="60"/>
      <c r="J7" s="40"/>
      <c r="K7" s="40"/>
      <c r="L7" s="40"/>
    </row>
    <row r="8" spans="1:12" x14ac:dyDescent="0.35">
      <c r="H8" s="48"/>
      <c r="J8" s="40"/>
      <c r="K8" s="40"/>
      <c r="L8" s="40"/>
    </row>
    <row r="9" spans="1:12" x14ac:dyDescent="0.35">
      <c r="A9" s="1" t="s">
        <v>264</v>
      </c>
      <c r="D9" s="114">
        <f>'Schedule 1A Adjustments'!E8</f>
        <v>332850</v>
      </c>
      <c r="F9" s="78"/>
      <c r="G9" s="48"/>
      <c r="H9" s="48"/>
      <c r="J9" s="40"/>
      <c r="K9" s="40"/>
      <c r="L9" s="40"/>
    </row>
    <row r="10" spans="1:12" ht="6.75" customHeight="1" x14ac:dyDescent="0.35">
      <c r="H10" s="48"/>
      <c r="J10" s="40"/>
      <c r="K10" s="40"/>
      <c r="L10" s="40"/>
    </row>
    <row r="11" spans="1:12" x14ac:dyDescent="0.35">
      <c r="A11" s="1" t="s">
        <v>265</v>
      </c>
      <c r="D11" s="77" t="s">
        <v>266</v>
      </c>
      <c r="E11" s="78"/>
      <c r="F11" s="78"/>
      <c r="H11" s="48"/>
      <c r="J11" s="40"/>
      <c r="K11" s="40"/>
      <c r="L11" s="40"/>
    </row>
    <row r="12" spans="1:12" x14ac:dyDescent="0.35">
      <c r="A12" s="1"/>
      <c r="D12" s="78"/>
      <c r="E12" s="78"/>
      <c r="F12" s="78"/>
      <c r="H12" s="48"/>
      <c r="J12" s="123"/>
    </row>
    <row r="13" spans="1:12" x14ac:dyDescent="0.35">
      <c r="A13" s="1" t="s">
        <v>267</v>
      </c>
      <c r="D13" s="48"/>
      <c r="E13" s="48"/>
      <c r="F13" s="48"/>
      <c r="J13" s="123"/>
    </row>
    <row r="14" spans="1:12" ht="15" customHeight="1" x14ac:dyDescent="0.35">
      <c r="A14" s="547" t="s">
        <v>488</v>
      </c>
      <c r="B14" s="547"/>
      <c r="C14" s="547"/>
      <c r="D14" s="547"/>
      <c r="E14" s="547"/>
      <c r="F14" s="547"/>
      <c r="G14" s="547"/>
      <c r="H14" s="547"/>
      <c r="I14" s="79"/>
      <c r="J14" s="62"/>
    </row>
    <row r="15" spans="1:12" ht="15" customHeight="1" x14ac:dyDescent="0.35">
      <c r="A15" s="547"/>
      <c r="B15" s="547"/>
      <c r="C15" s="547"/>
      <c r="D15" s="547"/>
      <c r="E15" s="547"/>
      <c r="F15" s="547"/>
      <c r="G15" s="547"/>
      <c r="H15" s="547"/>
      <c r="I15" s="79"/>
      <c r="J15" s="62"/>
    </row>
    <row r="16" spans="1:12" ht="15" customHeight="1" x14ac:dyDescent="0.35">
      <c r="A16" s="547"/>
      <c r="B16" s="547"/>
      <c r="C16" s="547"/>
      <c r="D16" s="547"/>
      <c r="E16" s="547"/>
      <c r="F16" s="547"/>
      <c r="G16" s="547"/>
      <c r="H16" s="547"/>
      <c r="I16" s="79"/>
      <c r="J16" s="62"/>
    </row>
    <row r="17" spans="1:9" x14ac:dyDescent="0.35">
      <c r="A17" s="547"/>
      <c r="B17" s="547"/>
      <c r="C17" s="547"/>
      <c r="D17" s="547"/>
      <c r="E17" s="547"/>
      <c r="F17" s="547"/>
      <c r="G17" s="547"/>
      <c r="H17" s="547"/>
      <c r="I17" s="62"/>
    </row>
    <row r="18" spans="1:9" x14ac:dyDescent="0.35">
      <c r="A18" s="166"/>
      <c r="B18" s="166"/>
      <c r="C18" s="166"/>
      <c r="D18" s="166"/>
      <c r="E18" s="166"/>
      <c r="F18" s="166"/>
      <c r="G18" s="166"/>
      <c r="H18" s="166"/>
      <c r="I18" s="119"/>
    </row>
    <row r="19" spans="1:9" x14ac:dyDescent="0.35">
      <c r="A19" s="166"/>
      <c r="B19" s="548">
        <v>1</v>
      </c>
      <c r="C19" s="549"/>
      <c r="D19" s="167">
        <v>2</v>
      </c>
      <c r="E19" s="167">
        <v>3</v>
      </c>
      <c r="F19" s="167">
        <v>4</v>
      </c>
      <c r="G19" s="167">
        <v>5</v>
      </c>
      <c r="H19" s="167">
        <v>6</v>
      </c>
      <c r="I19" s="119"/>
    </row>
    <row r="20" spans="1:9" s="4" customFormat="1" ht="58" x14ac:dyDescent="0.35">
      <c r="A20" s="168"/>
      <c r="B20" s="550" t="s">
        <v>593</v>
      </c>
      <c r="C20" s="550"/>
      <c r="D20" s="142" t="s">
        <v>715</v>
      </c>
      <c r="E20" s="142" t="s">
        <v>716</v>
      </c>
      <c r="F20" s="142" t="s">
        <v>717</v>
      </c>
      <c r="G20" s="142" t="s">
        <v>671</v>
      </c>
      <c r="H20" s="142" t="s">
        <v>672</v>
      </c>
      <c r="I20" s="36"/>
    </row>
    <row r="21" spans="1:9" x14ac:dyDescent="0.35">
      <c r="A21" s="169">
        <v>1</v>
      </c>
      <c r="B21" s="545" t="str">
        <f>'Schedule 1A Adjustments'!B20:C20</f>
        <v>CEO</v>
      </c>
      <c r="C21" s="545"/>
      <c r="D21" s="170">
        <f>'Schedule 1A Adjustments'!D20</f>
        <v>2</v>
      </c>
      <c r="E21" s="171">
        <f>'Schedule 1A Adjustments'!E20</f>
        <v>12</v>
      </c>
      <c r="F21" s="171">
        <f>'Schedule 1A Adjustments'!F20</f>
        <v>0.875</v>
      </c>
      <c r="G21" s="172">
        <f>'Schedule 1A Adjustments'!I20</f>
        <v>697240.74874999991</v>
      </c>
      <c r="H21" s="173">
        <f>IF(G21-$D$9&gt;0,G21-$D$9,0)</f>
        <v>364390.74874999991</v>
      </c>
      <c r="I21" s="36"/>
    </row>
    <row r="22" spans="1:9" x14ac:dyDescent="0.35">
      <c r="A22" s="169">
        <f>A21+1</f>
        <v>2</v>
      </c>
      <c r="B22" s="545" t="str">
        <f>'Schedule 1A Adjustments'!B21:C21</f>
        <v>CFO</v>
      </c>
      <c r="C22" s="545"/>
      <c r="D22" s="170">
        <f>'Schedule 1A Adjustments'!D21</f>
        <v>2</v>
      </c>
      <c r="E22" s="171">
        <f>'Schedule 1A Adjustments'!E21</f>
        <v>12</v>
      </c>
      <c r="F22" s="171">
        <f>'Schedule 1A Adjustments'!F21</f>
        <v>1</v>
      </c>
      <c r="G22" s="172">
        <f>'Schedule 1A Adjustments'!I21</f>
        <v>432334.1</v>
      </c>
      <c r="H22" s="173">
        <f>IF(G22-$D$9&gt;0,G22-$D$9,0)</f>
        <v>99484.099999999977</v>
      </c>
      <c r="I22" s="48"/>
    </row>
    <row r="23" spans="1:9" x14ac:dyDescent="0.35">
      <c r="A23" s="169">
        <f t="shared" ref="A23:A31" si="0">A22+1</f>
        <v>3</v>
      </c>
      <c r="B23" s="545" t="str">
        <f>'Schedule 1A Adjustments'!B22:C22</f>
        <v>VP/CMO</v>
      </c>
      <c r="C23" s="545"/>
      <c r="D23" s="170">
        <f>'Schedule 1A Adjustments'!D22</f>
        <v>3</v>
      </c>
      <c r="E23" s="171">
        <f>'Schedule 1A Adjustments'!E22</f>
        <v>12</v>
      </c>
      <c r="F23" s="171">
        <f>'Schedule 1A Adjustments'!F22</f>
        <v>0.5</v>
      </c>
      <c r="G23" s="172">
        <f>'Schedule 1A Adjustments'!I22</f>
        <v>272278.90999999997</v>
      </c>
      <c r="H23" s="173">
        <f>IF(G23-$D$9&gt;0,G23-$D$9,0)</f>
        <v>0</v>
      </c>
      <c r="I23" s="48"/>
    </row>
    <row r="24" spans="1:9" x14ac:dyDescent="0.35">
      <c r="A24" s="169">
        <f t="shared" si="0"/>
        <v>4</v>
      </c>
      <c r="B24" s="545" t="str">
        <f>'Schedule 1A Adjustments'!B23:C23</f>
        <v>Medical Director</v>
      </c>
      <c r="C24" s="545"/>
      <c r="D24" s="170">
        <f>'Schedule 1A Adjustments'!D23</f>
        <v>3</v>
      </c>
      <c r="E24" s="171">
        <f>'Schedule 1A Adjustments'!E23</f>
        <v>12</v>
      </c>
      <c r="F24" s="171">
        <f>'Schedule 1A Adjustments'!F23</f>
        <v>0.5</v>
      </c>
      <c r="G24" s="172">
        <f>'Schedule 1A Adjustments'!I23</f>
        <v>214895.16999999998</v>
      </c>
      <c r="H24" s="173">
        <f>IF(G24-$D$9&gt;0,G24-$D$9,0)</f>
        <v>0</v>
      </c>
      <c r="I24" s="48"/>
    </row>
    <row r="25" spans="1:9" x14ac:dyDescent="0.35">
      <c r="A25" s="169">
        <f t="shared" si="0"/>
        <v>5</v>
      </c>
      <c r="B25" s="545" t="str">
        <f>'Schedule 1A Adjustments'!B24:C24</f>
        <v>Medical Director</v>
      </c>
      <c r="C25" s="545"/>
      <c r="D25" s="170">
        <f>'Schedule 1A Adjustments'!D24</f>
        <v>3</v>
      </c>
      <c r="E25" s="171">
        <f>'Schedule 1A Adjustments'!E24</f>
        <v>12</v>
      </c>
      <c r="F25" s="171">
        <f>'Schedule 1A Adjustments'!F24</f>
        <v>0.5</v>
      </c>
      <c r="G25" s="172">
        <f>'Schedule 1A Adjustments'!I24</f>
        <v>202527.77</v>
      </c>
      <c r="H25" s="173">
        <f>IF(G25-$D$9&gt;0,G25-$D$9,0)</f>
        <v>0</v>
      </c>
    </row>
    <row r="26" spans="1:9" x14ac:dyDescent="0.35">
      <c r="A26" s="174">
        <f t="shared" si="0"/>
        <v>6</v>
      </c>
      <c r="B26" s="311" t="s">
        <v>592</v>
      </c>
      <c r="C26" s="99"/>
      <c r="D26" s="99"/>
      <c r="E26" s="99"/>
      <c r="F26" s="99"/>
      <c r="G26" s="99"/>
      <c r="H26" s="175">
        <f>SUM(H21:H25)</f>
        <v>463874.84874999989</v>
      </c>
      <c r="I26" s="48"/>
    </row>
    <row r="27" spans="1:9" x14ac:dyDescent="0.35">
      <c r="A27" s="99"/>
      <c r="B27" s="99"/>
      <c r="C27" s="99"/>
      <c r="D27" s="99"/>
      <c r="E27" s="99"/>
      <c r="F27" s="99"/>
      <c r="G27" s="99"/>
      <c r="H27" s="99"/>
    </row>
    <row r="28" spans="1:9" x14ac:dyDescent="0.35">
      <c r="A28" s="174">
        <v>7</v>
      </c>
      <c r="B28" s="99"/>
      <c r="C28" s="99"/>
      <c r="D28" s="99"/>
      <c r="E28" s="99"/>
      <c r="F28" s="99"/>
      <c r="G28" s="176" t="s">
        <v>184</v>
      </c>
      <c r="H28" s="177">
        <f>SUMIF($D$21:$D$25,2,$H$21:$H$25)</f>
        <v>463874.84874999989</v>
      </c>
    </row>
    <row r="29" spans="1:9" x14ac:dyDescent="0.35">
      <c r="A29" s="174">
        <v>8</v>
      </c>
      <c r="B29" s="99"/>
      <c r="C29" s="99"/>
      <c r="D29" s="99"/>
      <c r="E29" s="99"/>
      <c r="F29" s="99"/>
      <c r="G29" s="176" t="s">
        <v>182</v>
      </c>
      <c r="H29" s="177">
        <f>SUMIF($D$21:$D$25,3,$H$21:$H$25)</f>
        <v>0</v>
      </c>
    </row>
    <row r="30" spans="1:9" x14ac:dyDescent="0.35">
      <c r="A30" s="174">
        <v>9</v>
      </c>
      <c r="B30" s="99"/>
      <c r="C30" s="99"/>
      <c r="D30" s="99"/>
      <c r="E30" s="99"/>
      <c r="F30" s="99"/>
      <c r="G30" s="176" t="s">
        <v>183</v>
      </c>
      <c r="H30" s="177">
        <f>SUMIF($D$21:$D$25,4,$H$21:$H$25)</f>
        <v>0</v>
      </c>
    </row>
    <row r="31" spans="1:9" x14ac:dyDescent="0.35">
      <c r="A31" s="174">
        <f t="shared" si="0"/>
        <v>10</v>
      </c>
      <c r="B31" s="99"/>
      <c r="C31" s="99"/>
      <c r="D31" s="99"/>
      <c r="E31" s="99"/>
      <c r="F31" s="99"/>
      <c r="G31" s="176" t="s">
        <v>185</v>
      </c>
      <c r="H31" s="177">
        <f>SUMIF($D$21:$D$25,5,$H$21:$H$25)</f>
        <v>0</v>
      </c>
    </row>
    <row r="32" spans="1:9" x14ac:dyDescent="0.35">
      <c r="A32" s="99"/>
      <c r="B32" s="99"/>
      <c r="C32" s="99"/>
      <c r="D32" s="99"/>
      <c r="E32" s="99"/>
      <c r="F32" s="99"/>
      <c r="G32" s="99"/>
      <c r="H32" s="178" t="str">
        <f>IF(SUM(H28:H31)&lt;&gt;H26,"error","")</f>
        <v/>
      </c>
    </row>
    <row r="33" spans="1:25" ht="15.65" customHeight="1" x14ac:dyDescent="0.35">
      <c r="A33" s="99"/>
      <c r="B33" s="179"/>
      <c r="C33" s="179"/>
      <c r="D33" s="179"/>
      <c r="E33" s="179"/>
      <c r="F33" s="179"/>
      <c r="G33" s="179"/>
      <c r="H33" s="180" t="s">
        <v>269</v>
      </c>
      <c r="I33" s="80"/>
      <c r="J33" s="80"/>
      <c r="K33" s="64"/>
      <c r="U33" s="65"/>
      <c r="V33" s="65"/>
      <c r="W33" s="65"/>
      <c r="X33" s="65"/>
      <c r="Y33" s="65"/>
    </row>
    <row r="34" spans="1:25" x14ac:dyDescent="0.35">
      <c r="A34" s="99"/>
      <c r="B34" s="99"/>
      <c r="C34" s="99"/>
      <c r="D34" s="99"/>
      <c r="E34" s="99"/>
      <c r="F34" s="99"/>
      <c r="G34" s="99"/>
      <c r="H34" s="99"/>
    </row>
    <row r="35" spans="1:25" x14ac:dyDescent="0.35">
      <c r="A35" s="99"/>
      <c r="B35" s="99"/>
      <c r="C35" s="99"/>
      <c r="D35" s="99"/>
      <c r="E35" s="99"/>
      <c r="F35" s="99"/>
      <c r="G35" s="99"/>
      <c r="H35" s="99"/>
    </row>
    <row r="36" spans="1:25" x14ac:dyDescent="0.35">
      <c r="A36" s="99"/>
      <c r="B36" s="99"/>
      <c r="C36" s="99"/>
      <c r="D36" s="99"/>
      <c r="E36" s="99"/>
      <c r="F36" s="99"/>
      <c r="G36" s="99"/>
      <c r="H36" s="99"/>
    </row>
    <row r="37" spans="1:25" x14ac:dyDescent="0.35">
      <c r="A37" s="99"/>
      <c r="B37" s="99"/>
      <c r="C37" s="99"/>
      <c r="D37" s="99"/>
      <c r="E37" s="99"/>
      <c r="F37" s="99"/>
      <c r="G37" s="99"/>
      <c r="H37" s="99"/>
    </row>
    <row r="38" spans="1:25" x14ac:dyDescent="0.35">
      <c r="A38" s="99"/>
      <c r="B38" s="99"/>
      <c r="C38" s="99"/>
      <c r="D38" s="99"/>
      <c r="E38" s="99"/>
      <c r="F38" s="99"/>
      <c r="G38" s="99"/>
      <c r="H38" s="99"/>
    </row>
    <row r="39" spans="1:25" x14ac:dyDescent="0.35">
      <c r="A39" s="99"/>
      <c r="B39" s="99"/>
      <c r="C39" s="99"/>
      <c r="D39" s="99"/>
      <c r="E39" s="99"/>
      <c r="F39" s="99"/>
      <c r="G39" s="99"/>
      <c r="H39" s="99"/>
    </row>
    <row r="40" spans="1:25" x14ac:dyDescent="0.35">
      <c r="A40" s="99"/>
      <c r="B40" s="99"/>
      <c r="C40" s="99"/>
      <c r="D40" s="99"/>
      <c r="E40" s="99"/>
      <c r="F40" s="99"/>
      <c r="G40" s="99"/>
      <c r="H40" s="99"/>
    </row>
    <row r="41" spans="1:25" x14ac:dyDescent="0.35">
      <c r="A41" s="99"/>
      <c r="B41" s="99"/>
      <c r="C41" s="99"/>
      <c r="D41" s="99"/>
      <c r="E41" s="99"/>
      <c r="F41" s="99"/>
      <c r="G41" s="99"/>
      <c r="H41" s="99"/>
    </row>
    <row r="42" spans="1:25" x14ac:dyDescent="0.35">
      <c r="A42" s="99"/>
      <c r="B42" s="99"/>
      <c r="C42" s="99"/>
      <c r="D42" s="99"/>
      <c r="E42" s="99"/>
      <c r="F42" s="99"/>
      <c r="G42" s="99"/>
      <c r="H42" s="99"/>
    </row>
    <row r="43" spans="1:25" x14ac:dyDescent="0.35">
      <c r="A43" s="99"/>
      <c r="B43" s="99"/>
      <c r="C43" s="99"/>
      <c r="D43" s="99"/>
      <c r="E43" s="99"/>
      <c r="F43" s="99"/>
      <c r="G43" s="99"/>
      <c r="H43" s="99"/>
    </row>
    <row r="44" spans="1:25" x14ac:dyDescent="0.35">
      <c r="A44" s="99"/>
      <c r="B44" s="99"/>
      <c r="C44" s="99"/>
      <c r="D44" s="99"/>
      <c r="E44" s="99"/>
      <c r="F44" s="99"/>
      <c r="G44" s="99"/>
      <c r="H44" s="99"/>
    </row>
    <row r="45" spans="1:25" x14ac:dyDescent="0.35">
      <c r="A45" s="99"/>
      <c r="B45" s="99"/>
      <c r="C45" s="99"/>
      <c r="D45" s="99"/>
      <c r="E45" s="99"/>
      <c r="F45" s="99"/>
      <c r="G45" s="99"/>
      <c r="H45" s="99"/>
    </row>
    <row r="46" spans="1:25" x14ac:dyDescent="0.35">
      <c r="A46" s="99"/>
      <c r="B46" s="99"/>
      <c r="C46" s="99"/>
      <c r="D46" s="99"/>
      <c r="E46" s="99"/>
      <c r="F46" s="99"/>
      <c r="G46" s="99"/>
      <c r="H46" s="99"/>
    </row>
    <row r="47" spans="1:25" x14ac:dyDescent="0.35">
      <c r="A47" s="99"/>
      <c r="B47" s="99"/>
      <c r="C47" s="99"/>
      <c r="D47" s="99"/>
      <c r="E47" s="99"/>
      <c r="F47" s="99"/>
      <c r="G47" s="99"/>
      <c r="H47" s="99"/>
    </row>
    <row r="48" spans="1:25" x14ac:dyDescent="0.35">
      <c r="A48" s="99"/>
      <c r="B48" s="99"/>
      <c r="C48" s="99"/>
      <c r="D48" s="99"/>
      <c r="E48" s="99"/>
      <c r="F48" s="99"/>
      <c r="G48" s="99"/>
      <c r="H48" s="99"/>
    </row>
    <row r="49" spans="1:8" x14ac:dyDescent="0.35">
      <c r="A49" s="99"/>
      <c r="B49" s="99"/>
      <c r="C49" s="99"/>
      <c r="D49" s="99"/>
      <c r="E49" s="99"/>
      <c r="F49" s="99"/>
      <c r="G49" s="99"/>
      <c r="H49" s="99"/>
    </row>
    <row r="50" spans="1:8" x14ac:dyDescent="0.35">
      <c r="A50" s="99"/>
      <c r="B50" s="99"/>
      <c r="C50" s="99"/>
      <c r="D50" s="99"/>
      <c r="E50" s="99"/>
      <c r="F50" s="99"/>
      <c r="G50" s="99"/>
      <c r="H50" s="99"/>
    </row>
    <row r="51" spans="1:8" x14ac:dyDescent="0.35">
      <c r="A51" s="99"/>
      <c r="B51" s="99"/>
      <c r="C51" s="99"/>
      <c r="D51" s="99"/>
      <c r="E51" s="99"/>
      <c r="F51" s="99"/>
      <c r="G51" s="99"/>
      <c r="H51" s="99"/>
    </row>
    <row r="52" spans="1:8" x14ac:dyDescent="0.35">
      <c r="A52" s="99"/>
      <c r="B52" s="99"/>
      <c r="C52" s="99"/>
      <c r="D52" s="99"/>
      <c r="E52" s="99"/>
      <c r="F52" s="99"/>
      <c r="G52" s="99"/>
      <c r="H52" s="99"/>
    </row>
    <row r="53" spans="1:8" x14ac:dyDescent="0.35">
      <c r="A53" s="99"/>
      <c r="B53" s="99"/>
      <c r="C53" s="99"/>
      <c r="D53" s="99"/>
      <c r="E53" s="99"/>
      <c r="F53" s="99"/>
      <c r="G53" s="99"/>
      <c r="H53" s="99"/>
    </row>
    <row r="54" spans="1:8" x14ac:dyDescent="0.35">
      <c r="A54" s="99"/>
      <c r="B54" s="99"/>
      <c r="C54" s="99"/>
      <c r="D54" s="99"/>
      <c r="E54" s="99"/>
      <c r="F54" s="99"/>
      <c r="G54" s="99"/>
      <c r="H54" s="99"/>
    </row>
    <row r="55" spans="1:8" x14ac:dyDescent="0.35">
      <c r="A55" s="99"/>
      <c r="B55" s="99"/>
      <c r="C55" s="99"/>
      <c r="D55" s="99"/>
      <c r="E55" s="99"/>
      <c r="F55" s="99"/>
      <c r="G55" s="99"/>
      <c r="H55" s="99"/>
    </row>
    <row r="56" spans="1:8" x14ac:dyDescent="0.35">
      <c r="A56" s="99"/>
      <c r="B56" s="99"/>
      <c r="C56" s="99"/>
      <c r="D56" s="99"/>
      <c r="E56" s="99"/>
      <c r="F56" s="99"/>
      <c r="G56" s="99"/>
      <c r="H56" s="99"/>
    </row>
    <row r="57" spans="1:8" x14ac:dyDescent="0.35">
      <c r="A57" s="99"/>
      <c r="B57" s="99"/>
      <c r="C57" s="99"/>
      <c r="D57" s="99"/>
      <c r="E57" s="99"/>
      <c r="F57" s="99"/>
      <c r="G57" s="99"/>
      <c r="H57" s="99"/>
    </row>
    <row r="58" spans="1:8" x14ac:dyDescent="0.35">
      <c r="A58" s="99"/>
      <c r="B58" s="99"/>
      <c r="C58" s="99"/>
      <c r="D58" s="99"/>
      <c r="E58" s="99"/>
      <c r="F58" s="99"/>
      <c r="G58" s="99"/>
      <c r="H58" s="99"/>
    </row>
    <row r="59" spans="1:8" x14ac:dyDescent="0.35">
      <c r="A59" s="99"/>
      <c r="B59" s="99"/>
      <c r="C59" s="99"/>
      <c r="D59" s="99"/>
      <c r="E59" s="99"/>
      <c r="F59" s="99"/>
      <c r="G59" s="99"/>
      <c r="H59" s="99"/>
    </row>
    <row r="60" spans="1:8" x14ac:dyDescent="0.35">
      <c r="A60" s="99"/>
      <c r="B60" s="99"/>
      <c r="C60" s="99"/>
      <c r="D60" s="99"/>
      <c r="E60" s="99"/>
      <c r="F60" s="99"/>
      <c r="G60" s="99"/>
      <c r="H60" s="99"/>
    </row>
    <row r="61" spans="1:8" x14ac:dyDescent="0.35">
      <c r="A61" s="99"/>
      <c r="B61" s="99"/>
      <c r="C61" s="99"/>
      <c r="D61" s="99"/>
      <c r="E61" s="99"/>
      <c r="F61" s="99"/>
      <c r="G61" s="99"/>
      <c r="H61" s="99"/>
    </row>
    <row r="62" spans="1:8" x14ac:dyDescent="0.35">
      <c r="A62" s="99"/>
      <c r="B62" s="99"/>
      <c r="C62" s="99"/>
      <c r="D62" s="99"/>
      <c r="E62" s="99"/>
      <c r="F62" s="99"/>
      <c r="G62" s="99"/>
      <c r="H62" s="99"/>
    </row>
    <row r="63" spans="1:8" x14ac:dyDescent="0.35">
      <c r="A63" s="99"/>
      <c r="B63" s="99"/>
      <c r="C63" s="99"/>
      <c r="D63" s="99"/>
      <c r="E63" s="99"/>
      <c r="F63" s="99"/>
      <c r="G63" s="99"/>
      <c r="H63" s="99"/>
    </row>
    <row r="64" spans="1:8" x14ac:dyDescent="0.35">
      <c r="A64" s="99"/>
      <c r="B64" s="99"/>
      <c r="C64" s="99"/>
      <c r="D64" s="99"/>
      <c r="E64" s="99"/>
      <c r="F64" s="99"/>
      <c r="G64" s="99"/>
      <c r="H64" s="99"/>
    </row>
    <row r="65" spans="1:8" x14ac:dyDescent="0.35">
      <c r="A65" s="99"/>
      <c r="B65" s="99"/>
      <c r="C65" s="99"/>
      <c r="D65" s="99"/>
      <c r="E65" s="99"/>
      <c r="F65" s="99"/>
      <c r="G65" s="99"/>
      <c r="H65" s="99"/>
    </row>
    <row r="66" spans="1:8" x14ac:dyDescent="0.35">
      <c r="A66" s="99"/>
      <c r="B66" s="99"/>
      <c r="C66" s="99"/>
      <c r="D66" s="99"/>
      <c r="E66" s="99"/>
      <c r="F66" s="99"/>
      <c r="G66" s="99"/>
      <c r="H66" s="99"/>
    </row>
    <row r="67" spans="1:8" x14ac:dyDescent="0.35">
      <c r="A67" s="99"/>
      <c r="B67" s="99"/>
      <c r="C67" s="99"/>
      <c r="D67" s="99"/>
      <c r="E67" s="99"/>
      <c r="F67" s="99"/>
      <c r="G67" s="99"/>
      <c r="H67" s="99"/>
    </row>
    <row r="68" spans="1:8" x14ac:dyDescent="0.35">
      <c r="A68" s="99"/>
      <c r="B68" s="99"/>
      <c r="C68" s="99"/>
      <c r="D68" s="99"/>
      <c r="E68" s="99"/>
      <c r="F68" s="99"/>
      <c r="G68" s="99"/>
      <c r="H68" s="99"/>
    </row>
    <row r="93" spans="4:4" hidden="1" x14ac:dyDescent="0.35">
      <c r="D93">
        <v>2</v>
      </c>
    </row>
    <row r="94" spans="4:4" hidden="1" x14ac:dyDescent="0.35">
      <c r="D94">
        <v>3</v>
      </c>
    </row>
    <row r="95" spans="4:4" hidden="1" x14ac:dyDescent="0.35">
      <c r="D95">
        <v>4</v>
      </c>
    </row>
    <row r="96" spans="4:4" hidden="1" x14ac:dyDescent="0.35">
      <c r="D96">
        <v>5</v>
      </c>
    </row>
  </sheetData>
  <sheetProtection sheet="1" objects="1" scenarios="1"/>
  <customSheetViews>
    <customSheetView guid="{17302493-42B1-4877-869E-E424A97AE78B}" hiddenRows="1">
      <selection activeCell="D6" sqref="D6"/>
      <pageMargins left="0.7" right="0.7" top="0.75" bottom="0.75" header="0.3" footer="0.3"/>
      <pageSetup orientation="portrait" horizontalDpi="1200" verticalDpi="1200" r:id="rId1"/>
    </customSheetView>
    <customSheetView guid="{5C0BA3A5-859C-46C2-B685-44D9A90065E4}" hiddenRows="1">
      <selection activeCell="D6" sqref="D6"/>
      <pageMargins left="0.7" right="0.7" top="0.75" bottom="0.75" header="0.3" footer="0.3"/>
      <pageSetup orientation="portrait" horizontalDpi="1200" verticalDpi="1200" r:id="rId2"/>
    </customSheetView>
  </customSheetViews>
  <mergeCells count="9">
    <mergeCell ref="B23:C23"/>
    <mergeCell ref="B24:C24"/>
    <mergeCell ref="B25:C25"/>
    <mergeCell ref="A3:J3"/>
    <mergeCell ref="A14:H17"/>
    <mergeCell ref="B19:C19"/>
    <mergeCell ref="B20:C20"/>
    <mergeCell ref="B21:C21"/>
    <mergeCell ref="B22:C22"/>
  </mergeCells>
  <pageMargins left="0.7" right="0.7" top="0.75" bottom="0.75" header="0.3" footer="0.3"/>
  <pageSetup scale="45" fitToHeight="0" orientation="portrait" horizontalDpi="1200" verticalDpi="12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8971D"/>
    <pageSetUpPr fitToPage="1"/>
  </sheetPr>
  <dimension ref="A1:D46"/>
  <sheetViews>
    <sheetView workbookViewId="0">
      <selection activeCell="C26" sqref="C26"/>
    </sheetView>
  </sheetViews>
  <sheetFormatPr defaultColWidth="9.1796875"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777</v>
      </c>
      <c r="B1" s="3"/>
    </row>
    <row r="2" spans="1:4" ht="21" x14ac:dyDescent="0.5">
      <c r="A2" s="2" t="s">
        <v>775</v>
      </c>
      <c r="B2" s="2"/>
    </row>
    <row r="3" spans="1:4" ht="25" customHeight="1" x14ac:dyDescent="0.5">
      <c r="A3" s="5" t="s">
        <v>673</v>
      </c>
    </row>
    <row r="4" spans="1:4" ht="25" customHeight="1" x14ac:dyDescent="0.5">
      <c r="A4" s="235" t="str">
        <f>Results!A4</f>
        <v>Final Adjustments</v>
      </c>
    </row>
    <row r="6" spans="1:4" x14ac:dyDescent="0.35">
      <c r="A6" s="1" t="s">
        <v>776</v>
      </c>
      <c r="C6" s="414" t="str">
        <f>Results!$C$6</f>
        <v>WellPower</v>
      </c>
    </row>
    <row r="7" spans="1:4" x14ac:dyDescent="0.35">
      <c r="A7" s="1" t="s">
        <v>0</v>
      </c>
      <c r="C7" s="35">
        <f>Results!$C$7</f>
        <v>45473</v>
      </c>
      <c r="D7" s="56"/>
    </row>
    <row r="9" spans="1:4" ht="15" customHeight="1" x14ac:dyDescent="0.35">
      <c r="A9" t="s">
        <v>249</v>
      </c>
    </row>
    <row r="10" spans="1:4" ht="15" customHeight="1" x14ac:dyDescent="0.35"/>
    <row r="11" spans="1:4" ht="15" customHeight="1" x14ac:dyDescent="0.35">
      <c r="A11" t="s">
        <v>244</v>
      </c>
      <c r="B11" s="552" t="str">
        <f>'As-Filed Schedule 1B'!B10</f>
        <v>Indirect costs reported in Schedule 1 Column 2 are allocated based on percent of FTEs reported in each column of Schedule 1.  The percent of FTEs is multiplied by total Indirect expense.  Then total Indirect expense is allocated to that column.  Note: The indirect Allocations schedule shows each Indirect expense multiplied by percent of FTEs, but only the total Indirect expense is allocated to each column on Schedule 1.</v>
      </c>
      <c r="C11" s="552"/>
      <c r="D11" s="552"/>
    </row>
    <row r="12" spans="1:4" ht="15" customHeight="1" x14ac:dyDescent="0.35">
      <c r="B12" s="552"/>
      <c r="C12" s="552"/>
      <c r="D12" s="552"/>
    </row>
    <row r="13" spans="1:4" ht="15" customHeight="1" x14ac:dyDescent="0.35">
      <c r="B13" s="552"/>
      <c r="C13" s="552"/>
      <c r="D13" s="552"/>
    </row>
    <row r="14" spans="1:4" x14ac:dyDescent="0.35">
      <c r="B14" s="552"/>
      <c r="C14" s="552"/>
      <c r="D14" s="552"/>
    </row>
    <row r="15" spans="1:4" x14ac:dyDescent="0.35">
      <c r="B15" s="552"/>
      <c r="C15" s="552"/>
      <c r="D15" s="552"/>
    </row>
    <row r="17" spans="1:4" ht="15" customHeight="1" x14ac:dyDescent="0.35">
      <c r="A17" t="s">
        <v>245</v>
      </c>
      <c r="B17" s="551">
        <f>'As-Filed Schedule 1B'!B15</f>
        <v>0</v>
      </c>
      <c r="C17" s="551"/>
      <c r="D17" s="551"/>
    </row>
    <row r="18" spans="1:4" ht="15" customHeight="1" x14ac:dyDescent="0.35">
      <c r="B18" s="551"/>
      <c r="C18" s="551"/>
      <c r="D18" s="551"/>
    </row>
    <row r="19" spans="1:4" x14ac:dyDescent="0.35">
      <c r="B19" s="551"/>
      <c r="C19" s="551"/>
      <c r="D19" s="551"/>
    </row>
    <row r="20" spans="1:4" x14ac:dyDescent="0.35">
      <c r="B20" s="551"/>
      <c r="C20" s="551"/>
      <c r="D20" s="551"/>
    </row>
    <row r="22" spans="1:4" ht="15" customHeight="1" x14ac:dyDescent="0.35">
      <c r="A22" t="s">
        <v>246</v>
      </c>
      <c r="B22" s="551">
        <f>'As-Filed Schedule 1B'!B20</f>
        <v>0</v>
      </c>
      <c r="C22" s="551"/>
      <c r="D22" s="551"/>
    </row>
    <row r="23" spans="1:4" ht="15" customHeight="1" x14ac:dyDescent="0.35">
      <c r="B23" s="551"/>
      <c r="C23" s="551"/>
      <c r="D23" s="551"/>
    </row>
    <row r="24" spans="1:4" x14ac:dyDescent="0.35">
      <c r="B24" s="551"/>
      <c r="C24" s="551"/>
      <c r="D24" s="551"/>
    </row>
    <row r="25" spans="1:4" x14ac:dyDescent="0.35">
      <c r="B25" s="551"/>
      <c r="C25" s="551"/>
      <c r="D25" s="551"/>
    </row>
    <row r="27" spans="1:4" ht="15" customHeight="1" x14ac:dyDescent="0.35">
      <c r="A27" t="s">
        <v>247</v>
      </c>
      <c r="B27" s="551">
        <f>'As-Filed Schedule 1B'!B25</f>
        <v>0</v>
      </c>
      <c r="C27" s="551"/>
      <c r="D27" s="551"/>
    </row>
    <row r="28" spans="1:4" ht="15" customHeight="1" x14ac:dyDescent="0.35">
      <c r="B28" s="551"/>
      <c r="C28" s="551"/>
      <c r="D28" s="551"/>
    </row>
    <row r="29" spans="1:4" x14ac:dyDescent="0.35">
      <c r="B29" s="551"/>
      <c r="C29" s="551"/>
      <c r="D29" s="551"/>
    </row>
    <row r="30" spans="1:4" x14ac:dyDescent="0.35">
      <c r="B30" s="551"/>
      <c r="C30" s="551"/>
      <c r="D30" s="551"/>
    </row>
    <row r="32" spans="1:4" ht="15" customHeight="1" x14ac:dyDescent="0.35">
      <c r="A32" t="s">
        <v>248</v>
      </c>
      <c r="B32" s="551">
        <f>'As-Filed Schedule 1B'!B30</f>
        <v>0</v>
      </c>
      <c r="C32" s="551"/>
      <c r="D32" s="551"/>
    </row>
    <row r="33" spans="1:4" ht="15" customHeight="1" x14ac:dyDescent="0.35">
      <c r="B33" s="551"/>
      <c r="C33" s="551"/>
      <c r="D33" s="551"/>
    </row>
    <row r="34" spans="1:4" x14ac:dyDescent="0.35">
      <c r="B34" s="551"/>
      <c r="C34" s="551"/>
      <c r="D34" s="551"/>
    </row>
    <row r="35" spans="1:4" x14ac:dyDescent="0.35">
      <c r="B35" s="551"/>
      <c r="C35" s="551"/>
      <c r="D35" s="551"/>
    </row>
    <row r="37" spans="1:4" x14ac:dyDescent="0.35">
      <c r="A37" t="s">
        <v>205</v>
      </c>
      <c r="D37" s="115" t="s">
        <v>1035</v>
      </c>
    </row>
    <row r="39" spans="1:4" x14ac:dyDescent="0.35">
      <c r="A39" t="s">
        <v>206</v>
      </c>
    </row>
    <row r="40" spans="1:4" x14ac:dyDescent="0.35">
      <c r="A40" s="551">
        <f>'As-Filed Schedule 1B'!A38</f>
        <v>0</v>
      </c>
      <c r="B40" s="551"/>
      <c r="C40" s="551"/>
      <c r="D40" s="551"/>
    </row>
    <row r="41" spans="1:4" x14ac:dyDescent="0.35">
      <c r="A41" s="551"/>
      <c r="B41" s="551"/>
      <c r="C41" s="551"/>
      <c r="D41" s="551"/>
    </row>
    <row r="42" spans="1:4" x14ac:dyDescent="0.35">
      <c r="A42" s="551"/>
      <c r="B42" s="551"/>
      <c r="C42" s="551"/>
      <c r="D42" s="551"/>
    </row>
    <row r="43" spans="1:4" x14ac:dyDescent="0.35">
      <c r="A43" s="551"/>
      <c r="B43" s="551"/>
      <c r="C43" s="551"/>
      <c r="D43" s="551"/>
    </row>
    <row r="44" spans="1:4" x14ac:dyDescent="0.35">
      <c r="A44" s="551"/>
      <c r="B44" s="551"/>
      <c r="C44" s="551"/>
      <c r="D44" s="551"/>
    </row>
    <row r="45" spans="1:4" x14ac:dyDescent="0.35">
      <c r="A45" s="551"/>
      <c r="B45" s="551"/>
      <c r="C45" s="551"/>
      <c r="D45" s="551"/>
    </row>
    <row r="46" spans="1:4" x14ac:dyDescent="0.35">
      <c r="A46" s="551"/>
      <c r="B46" s="551"/>
      <c r="C46" s="551"/>
      <c r="D46" s="551"/>
    </row>
  </sheetData>
  <sheetProtection sheet="1" objects="1" scenarios="1"/>
  <customSheetViews>
    <customSheetView guid="{17302493-42B1-4877-869E-E424A97AE78B}">
      <selection activeCell="B11" sqref="B11:D14"/>
      <pageMargins left="0.7" right="0.7" top="0.75" bottom="0.75" header="0.3" footer="0.3"/>
      <pageSetup orientation="portrait" horizontalDpi="1200" verticalDpi="1200" r:id="rId1"/>
    </customSheetView>
    <customSheetView guid="{5C0BA3A5-859C-46C2-B685-44D9A90065E4}">
      <selection activeCell="B11" sqref="B11:D14"/>
      <pageMargins left="0.7" right="0.7" top="0.75" bottom="0.75" header="0.3" footer="0.3"/>
      <pageSetup orientation="portrait" horizontalDpi="1200" verticalDpi="1200" r:id="rId2"/>
    </customSheetView>
  </customSheetViews>
  <mergeCells count="6">
    <mergeCell ref="A40:D46"/>
    <mergeCell ref="B11:D15"/>
    <mergeCell ref="B17:D20"/>
    <mergeCell ref="B22:D25"/>
    <mergeCell ref="B27:D30"/>
    <mergeCell ref="B32:D35"/>
  </mergeCells>
  <pageMargins left="0.7" right="0.7" top="0.75" bottom="0.75" header="0.3" footer="0.3"/>
  <pageSetup fitToHeight="0" orientation="portrait" horizontalDpi="1200" verticalDpi="12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8971D"/>
    <pageSetUpPr fitToPage="1"/>
  </sheetPr>
  <dimension ref="A1:X100"/>
  <sheetViews>
    <sheetView workbookViewId="0">
      <selection activeCell="C26" sqref="C26"/>
    </sheetView>
  </sheetViews>
  <sheetFormatPr defaultColWidth="9.1796875" defaultRowHeight="14.5" x14ac:dyDescent="0.35"/>
  <cols>
    <col min="1" max="1" width="6.54296875" customWidth="1"/>
    <col min="2" max="2" width="18.453125" customWidth="1"/>
    <col min="3" max="3" width="12.54296875" bestFit="1"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777</v>
      </c>
      <c r="B1" s="3"/>
      <c r="C1" s="3"/>
    </row>
    <row r="2" spans="1:24" ht="21" x14ac:dyDescent="0.5">
      <c r="A2" s="2" t="s">
        <v>775</v>
      </c>
      <c r="B2" s="2"/>
      <c r="C2" s="2"/>
    </row>
    <row r="3" spans="1:24" ht="25" customHeight="1" x14ac:dyDescent="0.5">
      <c r="A3" s="5" t="s">
        <v>674</v>
      </c>
    </row>
    <row r="4" spans="1:24" ht="25" customHeight="1" x14ac:dyDescent="0.5">
      <c r="A4" s="235" t="str">
        <f>Results!A4</f>
        <v>Final Adjustments</v>
      </c>
    </row>
    <row r="6" spans="1:24" x14ac:dyDescent="0.35">
      <c r="A6" s="1" t="s">
        <v>776</v>
      </c>
      <c r="C6" s="414" t="str">
        <f>Results!$C$6</f>
        <v>WellPower</v>
      </c>
      <c r="D6" s="233"/>
    </row>
    <row r="7" spans="1:24" x14ac:dyDescent="0.35">
      <c r="A7" s="1" t="s">
        <v>0</v>
      </c>
      <c r="C7" s="35">
        <f>Results!$C$7</f>
        <v>45473</v>
      </c>
      <c r="D7" s="35"/>
      <c r="E7" s="56"/>
      <c r="G7" s="40"/>
      <c r="K7" s="122"/>
      <c r="L7" s="122"/>
      <c r="M7" s="122"/>
    </row>
    <row r="8" spans="1:24" x14ac:dyDescent="0.35">
      <c r="G8" s="40"/>
      <c r="K8" s="40"/>
      <c r="L8" s="40"/>
      <c r="M8" s="40"/>
    </row>
    <row r="9" spans="1:24" x14ac:dyDescent="0.35">
      <c r="A9" s="1" t="s">
        <v>272</v>
      </c>
      <c r="G9" s="40"/>
      <c r="K9" s="40"/>
      <c r="L9" s="40"/>
      <c r="M9" s="40"/>
    </row>
    <row r="10" spans="1:24" ht="15" customHeight="1" x14ac:dyDescent="0.35">
      <c r="A10" s="554" t="s">
        <v>491</v>
      </c>
      <c r="B10" s="554"/>
      <c r="C10" s="554"/>
      <c r="D10" s="554"/>
      <c r="E10" s="554"/>
      <c r="F10" s="554"/>
      <c r="G10" s="554"/>
      <c r="H10" s="554"/>
      <c r="I10" s="554"/>
      <c r="J10" s="64"/>
      <c r="K10" s="40"/>
      <c r="L10" s="40"/>
      <c r="M10" s="40"/>
      <c r="T10" s="65"/>
      <c r="U10" s="65"/>
      <c r="V10" s="65"/>
      <c r="W10" s="65"/>
      <c r="X10" s="65"/>
    </row>
    <row r="11" spans="1:24" ht="15" customHeight="1" x14ac:dyDescent="0.35">
      <c r="A11" s="554"/>
      <c r="B11" s="554"/>
      <c r="C11" s="554"/>
      <c r="D11" s="554"/>
      <c r="E11" s="554"/>
      <c r="F11" s="554"/>
      <c r="G11" s="554"/>
      <c r="H11" s="554"/>
      <c r="I11" s="554"/>
      <c r="J11" s="64"/>
      <c r="K11" s="40"/>
      <c r="L11" s="40"/>
      <c r="M11" s="40"/>
      <c r="T11" s="65"/>
      <c r="U11" s="65"/>
      <c r="V11" s="65"/>
      <c r="W11" s="65"/>
      <c r="X11" s="65"/>
    </row>
    <row r="12" spans="1:24" x14ac:dyDescent="0.35">
      <c r="A12" s="554"/>
      <c r="B12" s="554"/>
      <c r="C12" s="554"/>
      <c r="D12" s="554"/>
      <c r="E12" s="554"/>
      <c r="F12" s="554"/>
      <c r="G12" s="554"/>
      <c r="H12" s="554"/>
      <c r="I12" s="554"/>
      <c r="J12" s="64"/>
      <c r="T12" s="65"/>
      <c r="U12" s="65"/>
      <c r="V12" s="65"/>
      <c r="W12" s="65"/>
      <c r="X12" s="65"/>
    </row>
    <row r="13" spans="1:24" x14ac:dyDescent="0.35">
      <c r="A13" s="181"/>
      <c r="B13" s="181"/>
      <c r="C13" s="181"/>
      <c r="D13" s="181"/>
      <c r="E13" s="181"/>
      <c r="F13" s="181"/>
      <c r="G13" s="181"/>
      <c r="H13" s="181"/>
      <c r="I13" s="181"/>
      <c r="J13" s="64"/>
      <c r="T13" s="65"/>
      <c r="U13" s="65"/>
      <c r="V13" s="65"/>
      <c r="W13" s="65"/>
      <c r="X13" s="65"/>
    </row>
    <row r="14" spans="1:24" ht="15" customHeight="1" x14ac:dyDescent="0.35">
      <c r="A14" s="182"/>
      <c r="B14" s="555">
        <v>1</v>
      </c>
      <c r="C14" s="555"/>
      <c r="D14" s="167">
        <v>2</v>
      </c>
      <c r="E14" s="167">
        <v>3</v>
      </c>
      <c r="F14" s="167">
        <v>4</v>
      </c>
      <c r="G14" s="167">
        <v>5</v>
      </c>
      <c r="H14" s="167">
        <v>6</v>
      </c>
      <c r="I14" s="167">
        <v>7</v>
      </c>
      <c r="J14" s="64"/>
      <c r="T14" s="65"/>
      <c r="U14" s="65"/>
      <c r="V14" s="65"/>
      <c r="W14" s="65"/>
      <c r="X14" s="65"/>
    </row>
    <row r="15" spans="1:24" s="4" customFormat="1" ht="72.5" x14ac:dyDescent="0.35">
      <c r="A15" s="183"/>
      <c r="B15" s="550" t="s">
        <v>585</v>
      </c>
      <c r="C15" s="556"/>
      <c r="D15" s="142" t="s">
        <v>783</v>
      </c>
      <c r="E15" s="184" t="s">
        <v>677</v>
      </c>
      <c r="F15" s="142" t="s">
        <v>787</v>
      </c>
      <c r="G15" s="185" t="s">
        <v>678</v>
      </c>
      <c r="H15" s="184" t="s">
        <v>679</v>
      </c>
      <c r="I15" s="142" t="s">
        <v>680</v>
      </c>
      <c r="J15" s="66"/>
      <c r="T15" s="67"/>
      <c r="U15" s="67"/>
      <c r="V15" s="67"/>
      <c r="W15" s="67"/>
      <c r="X15" s="67"/>
    </row>
    <row r="16" spans="1:24" s="4" customFormat="1" ht="15" customHeight="1" x14ac:dyDescent="0.35">
      <c r="A16" s="174">
        <v>1</v>
      </c>
      <c r="B16" s="545" t="str">
        <f>'Schedule 1C Adjustments'!B15:C15</f>
        <v/>
      </c>
      <c r="C16" s="545"/>
      <c r="D16" s="172">
        <f>'Schedule 1C Adjustments'!F15</f>
        <v>0</v>
      </c>
      <c r="E16" s="172">
        <f>'Schedule 1C Adjustments'!I15</f>
        <v>0</v>
      </c>
      <c r="F16" s="186">
        <f>IF(D16-E16&lt;0,0,D16-E16)</f>
        <v>0</v>
      </c>
      <c r="G16" s="187" t="str">
        <f>'Schedule 1C Adjustments'!L15</f>
        <v/>
      </c>
      <c r="H16" s="170" t="str">
        <f>'Schedule 1C Adjustments'!M15</f>
        <v/>
      </c>
      <c r="I16" s="188" t="str">
        <f>'Schedule 1C Adjustments'!N15</f>
        <v/>
      </c>
      <c r="J16" s="66"/>
      <c r="T16" s="67"/>
      <c r="U16" s="67"/>
      <c r="V16" s="67"/>
      <c r="W16" s="67"/>
      <c r="X16" s="67"/>
    </row>
    <row r="17" spans="1:24" s="4" customFormat="1" ht="15" customHeight="1" x14ac:dyDescent="0.35">
      <c r="A17" s="174">
        <f>A16+1</f>
        <v>2</v>
      </c>
      <c r="B17" s="545" t="str">
        <f>'Schedule 1C Adjustments'!B16:C16</f>
        <v/>
      </c>
      <c r="C17" s="545"/>
      <c r="D17" s="172">
        <f>'Schedule 1C Adjustments'!F16</f>
        <v>0</v>
      </c>
      <c r="E17" s="172">
        <f>'Schedule 1C Adjustments'!I16</f>
        <v>0</v>
      </c>
      <c r="F17" s="186">
        <f t="shared" ref="F17:F25" si="0">IF(D17-E17&lt;0,0,D17-E17)</f>
        <v>0</v>
      </c>
      <c r="G17" s="187" t="str">
        <f>'Schedule 1C Adjustments'!L16</f>
        <v/>
      </c>
      <c r="H17" s="170" t="str">
        <f>'Schedule 1C Adjustments'!M16</f>
        <v/>
      </c>
      <c r="I17" s="188" t="str">
        <f>'Schedule 1C Adjustments'!N16</f>
        <v/>
      </c>
      <c r="J17" s="133"/>
      <c r="T17" s="67"/>
      <c r="U17" s="67"/>
      <c r="V17" s="67"/>
      <c r="W17" s="67"/>
      <c r="X17" s="67"/>
    </row>
    <row r="18" spans="1:24" s="4" customFormat="1" ht="15" customHeight="1" x14ac:dyDescent="0.35">
      <c r="A18" s="174">
        <f t="shared" ref="A18:A31" si="1">A17+1</f>
        <v>3</v>
      </c>
      <c r="B18" s="545" t="str">
        <f>'Schedule 1C Adjustments'!B17:C17</f>
        <v/>
      </c>
      <c r="C18" s="545"/>
      <c r="D18" s="172">
        <f>'Schedule 1C Adjustments'!F17</f>
        <v>0</v>
      </c>
      <c r="E18" s="172">
        <f>'Schedule 1C Adjustments'!I17</f>
        <v>0</v>
      </c>
      <c r="F18" s="186">
        <f t="shared" si="0"/>
        <v>0</v>
      </c>
      <c r="G18" s="187" t="str">
        <f>'Schedule 1C Adjustments'!L17</f>
        <v/>
      </c>
      <c r="H18" s="170" t="str">
        <f>'Schedule 1C Adjustments'!M17</f>
        <v/>
      </c>
      <c r="I18" s="188" t="str">
        <f>'Schedule 1C Adjustments'!N17</f>
        <v/>
      </c>
      <c r="J18" s="66"/>
      <c r="T18" s="67"/>
      <c r="U18" s="67"/>
      <c r="V18" s="67"/>
      <c r="W18" s="67"/>
      <c r="X18" s="67"/>
    </row>
    <row r="19" spans="1:24" s="4" customFormat="1" ht="15" customHeight="1" x14ac:dyDescent="0.35">
      <c r="A19" s="174">
        <f t="shared" si="1"/>
        <v>4</v>
      </c>
      <c r="B19" s="545" t="str">
        <f>'Schedule 1C Adjustments'!B18:C18</f>
        <v/>
      </c>
      <c r="C19" s="545"/>
      <c r="D19" s="172">
        <f>'Schedule 1C Adjustments'!F18</f>
        <v>0</v>
      </c>
      <c r="E19" s="172">
        <f>'Schedule 1C Adjustments'!I18</f>
        <v>0</v>
      </c>
      <c r="F19" s="186">
        <f t="shared" si="0"/>
        <v>0</v>
      </c>
      <c r="G19" s="187" t="str">
        <f>'Schedule 1C Adjustments'!L18</f>
        <v/>
      </c>
      <c r="H19" s="170" t="str">
        <f>'Schedule 1C Adjustments'!M18</f>
        <v/>
      </c>
      <c r="I19" s="188" t="str">
        <f>'Schedule 1C Adjustments'!N18</f>
        <v/>
      </c>
      <c r="J19" s="66"/>
      <c r="T19" s="67"/>
      <c r="U19" s="67"/>
      <c r="V19" s="67"/>
      <c r="W19" s="67"/>
      <c r="X19" s="67"/>
    </row>
    <row r="20" spans="1:24" s="4" customFormat="1" ht="15" customHeight="1" x14ac:dyDescent="0.35">
      <c r="A20" s="174">
        <f t="shared" si="1"/>
        <v>5</v>
      </c>
      <c r="B20" s="545" t="str">
        <f>'Schedule 1C Adjustments'!B19:C19</f>
        <v/>
      </c>
      <c r="C20" s="545"/>
      <c r="D20" s="172">
        <f>'Schedule 1C Adjustments'!F19</f>
        <v>0</v>
      </c>
      <c r="E20" s="172">
        <f>'Schedule 1C Adjustments'!I19</f>
        <v>0</v>
      </c>
      <c r="F20" s="186">
        <f t="shared" si="0"/>
        <v>0</v>
      </c>
      <c r="G20" s="187" t="str">
        <f>'Schedule 1C Adjustments'!L19</f>
        <v/>
      </c>
      <c r="H20" s="170" t="str">
        <f>'Schedule 1C Adjustments'!M19</f>
        <v/>
      </c>
      <c r="I20" s="188" t="str">
        <f>'Schedule 1C Adjustments'!N19</f>
        <v/>
      </c>
      <c r="J20" s="66"/>
      <c r="T20" s="67"/>
      <c r="U20" s="67"/>
      <c r="V20" s="67"/>
      <c r="W20" s="67"/>
      <c r="X20" s="67"/>
    </row>
    <row r="21" spans="1:24" s="4" customFormat="1" ht="15" customHeight="1" x14ac:dyDescent="0.35">
      <c r="A21" s="174">
        <f t="shared" si="1"/>
        <v>6</v>
      </c>
      <c r="B21" s="545" t="str">
        <f>'Schedule 1C Adjustments'!B20:C20</f>
        <v/>
      </c>
      <c r="C21" s="545"/>
      <c r="D21" s="172">
        <f>'Schedule 1C Adjustments'!F20</f>
        <v>0</v>
      </c>
      <c r="E21" s="172">
        <f>'Schedule 1C Adjustments'!I20</f>
        <v>0</v>
      </c>
      <c r="F21" s="186">
        <f t="shared" si="0"/>
        <v>0</v>
      </c>
      <c r="G21" s="187" t="str">
        <f>'Schedule 1C Adjustments'!L20</f>
        <v/>
      </c>
      <c r="H21" s="170" t="str">
        <f>'Schedule 1C Adjustments'!M20</f>
        <v/>
      </c>
      <c r="I21" s="188" t="str">
        <f>'Schedule 1C Adjustments'!N20</f>
        <v/>
      </c>
      <c r="J21" s="66"/>
      <c r="T21" s="67"/>
      <c r="U21" s="67"/>
      <c r="V21" s="67"/>
      <c r="W21" s="67"/>
      <c r="X21" s="67"/>
    </row>
    <row r="22" spans="1:24" s="4" customFormat="1" ht="15" customHeight="1" x14ac:dyDescent="0.35">
      <c r="A22" s="174">
        <f t="shared" si="1"/>
        <v>7</v>
      </c>
      <c r="B22" s="545" t="str">
        <f>'Schedule 1C Adjustments'!B21:C21</f>
        <v/>
      </c>
      <c r="C22" s="545"/>
      <c r="D22" s="172">
        <f>'Schedule 1C Adjustments'!F21</f>
        <v>0</v>
      </c>
      <c r="E22" s="172">
        <f>'Schedule 1C Adjustments'!I21</f>
        <v>0</v>
      </c>
      <c r="F22" s="186">
        <f t="shared" si="0"/>
        <v>0</v>
      </c>
      <c r="G22" s="187" t="str">
        <f>'Schedule 1C Adjustments'!L21</f>
        <v/>
      </c>
      <c r="H22" s="170" t="str">
        <f>'Schedule 1C Adjustments'!M21</f>
        <v/>
      </c>
      <c r="I22" s="188" t="str">
        <f>'Schedule 1C Adjustments'!N21</f>
        <v/>
      </c>
      <c r="J22" s="66"/>
      <c r="T22" s="67"/>
      <c r="U22" s="67"/>
      <c r="V22" s="67"/>
      <c r="W22" s="67"/>
      <c r="X22" s="67"/>
    </row>
    <row r="23" spans="1:24" s="4" customFormat="1" ht="15" customHeight="1" x14ac:dyDescent="0.35">
      <c r="A23" s="174">
        <f t="shared" si="1"/>
        <v>8</v>
      </c>
      <c r="B23" s="545" t="str">
        <f>'Schedule 1C Adjustments'!B22:C22</f>
        <v/>
      </c>
      <c r="C23" s="545"/>
      <c r="D23" s="172">
        <f>'Schedule 1C Adjustments'!F22</f>
        <v>0</v>
      </c>
      <c r="E23" s="172">
        <f>'Schedule 1C Adjustments'!I22</f>
        <v>0</v>
      </c>
      <c r="F23" s="186">
        <f t="shared" si="0"/>
        <v>0</v>
      </c>
      <c r="G23" s="187" t="str">
        <f>'Schedule 1C Adjustments'!L22</f>
        <v/>
      </c>
      <c r="H23" s="170" t="str">
        <f>'Schedule 1C Adjustments'!M22</f>
        <v/>
      </c>
      <c r="I23" s="188" t="str">
        <f>'Schedule 1C Adjustments'!N22</f>
        <v/>
      </c>
      <c r="J23" s="66"/>
      <c r="T23" s="67"/>
      <c r="U23" s="67"/>
      <c r="V23" s="67"/>
      <c r="W23" s="67"/>
      <c r="X23" s="67"/>
    </row>
    <row r="24" spans="1:24" s="4" customFormat="1" ht="15" customHeight="1" x14ac:dyDescent="0.35">
      <c r="A24" s="174">
        <f t="shared" si="1"/>
        <v>9</v>
      </c>
      <c r="B24" s="545" t="str">
        <f>'Schedule 1C Adjustments'!B23:C23</f>
        <v/>
      </c>
      <c r="C24" s="545"/>
      <c r="D24" s="172">
        <f>'Schedule 1C Adjustments'!F23</f>
        <v>0</v>
      </c>
      <c r="E24" s="172">
        <f>'Schedule 1C Adjustments'!I23</f>
        <v>0</v>
      </c>
      <c r="F24" s="186">
        <f t="shared" si="0"/>
        <v>0</v>
      </c>
      <c r="G24" s="187" t="str">
        <f>'Schedule 1C Adjustments'!L23</f>
        <v/>
      </c>
      <c r="H24" s="170" t="str">
        <f>'Schedule 1C Adjustments'!M23</f>
        <v/>
      </c>
      <c r="I24" s="188" t="str">
        <f>'Schedule 1C Adjustments'!N23</f>
        <v/>
      </c>
      <c r="J24" s="66"/>
      <c r="T24" s="67"/>
      <c r="U24" s="67"/>
      <c r="V24" s="67"/>
      <c r="W24" s="67"/>
      <c r="X24" s="67"/>
    </row>
    <row r="25" spans="1:24" s="4" customFormat="1" ht="15" customHeight="1" x14ac:dyDescent="0.35">
      <c r="A25" s="174">
        <f t="shared" si="1"/>
        <v>10</v>
      </c>
      <c r="B25" s="545" t="str">
        <f>'Schedule 1C Adjustments'!B24:C24</f>
        <v/>
      </c>
      <c r="C25" s="545"/>
      <c r="D25" s="172">
        <f>'Schedule 1C Adjustments'!F24</f>
        <v>0</v>
      </c>
      <c r="E25" s="172">
        <f>'Schedule 1C Adjustments'!I24</f>
        <v>0</v>
      </c>
      <c r="F25" s="186">
        <f t="shared" si="0"/>
        <v>0</v>
      </c>
      <c r="G25" s="187" t="str">
        <f>'Schedule 1C Adjustments'!L24</f>
        <v/>
      </c>
      <c r="H25" s="170" t="str">
        <f>'Schedule 1C Adjustments'!M24</f>
        <v/>
      </c>
      <c r="I25" s="188" t="str">
        <f>'Schedule 1C Adjustments'!N24</f>
        <v/>
      </c>
      <c r="J25" s="66"/>
      <c r="T25" s="67"/>
      <c r="U25" s="67"/>
      <c r="V25" s="67"/>
      <c r="W25" s="67"/>
      <c r="X25" s="67"/>
    </row>
    <row r="26" spans="1:24" s="4" customFormat="1" ht="15" customHeight="1" x14ac:dyDescent="0.35">
      <c r="A26" s="174">
        <f t="shared" si="1"/>
        <v>11</v>
      </c>
      <c r="B26" s="311" t="s">
        <v>592</v>
      </c>
      <c r="C26" s="183"/>
      <c r="D26" s="189"/>
      <c r="E26" s="183"/>
      <c r="F26" s="177">
        <f>SUM(F16:F25)</f>
        <v>0</v>
      </c>
      <c r="G26" s="183"/>
      <c r="H26" s="190"/>
      <c r="I26" s="183"/>
      <c r="J26" s="66"/>
      <c r="T26" s="67"/>
      <c r="U26" s="67"/>
      <c r="V26" s="67"/>
      <c r="W26" s="67"/>
      <c r="X26" s="67"/>
    </row>
    <row r="27" spans="1:24" s="4" customFormat="1" ht="15" customHeight="1" x14ac:dyDescent="0.35">
      <c r="A27" s="191"/>
      <c r="B27" s="183"/>
      <c r="C27" s="183"/>
      <c r="D27" s="189"/>
      <c r="E27" s="183"/>
      <c r="F27" s="183"/>
      <c r="G27" s="183"/>
      <c r="H27" s="190"/>
      <c r="I27" s="183"/>
      <c r="J27" s="66"/>
      <c r="T27" s="67"/>
      <c r="U27" s="67"/>
      <c r="V27" s="67"/>
      <c r="W27" s="67"/>
      <c r="X27" s="67"/>
    </row>
    <row r="28" spans="1:24" x14ac:dyDescent="0.35">
      <c r="A28" s="174">
        <v>12</v>
      </c>
      <c r="B28" s="99"/>
      <c r="C28" s="99"/>
      <c r="D28" s="99"/>
      <c r="E28" s="176" t="s">
        <v>184</v>
      </c>
      <c r="F28" s="177">
        <f>SUMIF($G$16:$G$25,2,$F$16:$F$25)</f>
        <v>0</v>
      </c>
      <c r="G28" s="183"/>
      <c r="H28" s="99"/>
      <c r="I28" s="99"/>
    </row>
    <row r="29" spans="1:24" x14ac:dyDescent="0.35">
      <c r="A29" s="174">
        <v>13</v>
      </c>
      <c r="B29" s="99"/>
      <c r="C29" s="99"/>
      <c r="D29" s="99"/>
      <c r="E29" s="176" t="s">
        <v>182</v>
      </c>
      <c r="F29" s="177">
        <f>SUMIF($G$16:$G$25,3,$F$16:$F$25)</f>
        <v>0</v>
      </c>
      <c r="G29" s="183"/>
      <c r="H29" s="99"/>
      <c r="I29" s="99"/>
    </row>
    <row r="30" spans="1:24" x14ac:dyDescent="0.35">
      <c r="A30" s="174">
        <f t="shared" si="1"/>
        <v>14</v>
      </c>
      <c r="B30" s="99"/>
      <c r="C30" s="99"/>
      <c r="D30" s="99"/>
      <c r="E30" s="176" t="s">
        <v>183</v>
      </c>
      <c r="F30" s="177">
        <f>SUMIF($G$16:$G$25,4,$F$16:$F$25)</f>
        <v>0</v>
      </c>
      <c r="G30" s="183"/>
      <c r="H30" s="99"/>
      <c r="I30" s="99"/>
    </row>
    <row r="31" spans="1:24" x14ac:dyDescent="0.35">
      <c r="A31" s="174">
        <f t="shared" si="1"/>
        <v>15</v>
      </c>
      <c r="B31" s="99"/>
      <c r="C31" s="99"/>
      <c r="D31" s="99"/>
      <c r="E31" s="176" t="s">
        <v>185</v>
      </c>
      <c r="F31" s="177">
        <f>SUMIF($G$16:$G$25,5,$F$16:$F$25)</f>
        <v>0</v>
      </c>
      <c r="G31" s="183"/>
      <c r="H31" s="99"/>
      <c r="I31" s="99"/>
    </row>
    <row r="32" spans="1:24" x14ac:dyDescent="0.35">
      <c r="A32" s="99"/>
      <c r="B32" s="99"/>
      <c r="C32" s="99"/>
      <c r="D32" s="99"/>
      <c r="E32" s="99"/>
      <c r="F32" s="178" t="str">
        <f>IF(SUM(F28:F31)&lt;&gt;F26,"error","")</f>
        <v/>
      </c>
      <c r="G32" s="183"/>
      <c r="H32" s="99"/>
      <c r="I32" s="99"/>
    </row>
    <row r="33" spans="1:24" ht="15.65" customHeight="1" x14ac:dyDescent="0.35">
      <c r="A33" s="99"/>
      <c r="B33" s="179"/>
      <c r="C33" s="179"/>
      <c r="D33" s="179"/>
      <c r="E33" s="179"/>
      <c r="F33" s="180" t="s">
        <v>271</v>
      </c>
      <c r="G33" s="180"/>
      <c r="H33" s="179"/>
      <c r="I33" s="179"/>
      <c r="J33" s="64"/>
      <c r="T33" s="65"/>
      <c r="U33" s="65"/>
      <c r="V33" s="65"/>
      <c r="W33" s="65"/>
      <c r="X33" s="65"/>
    </row>
    <row r="34" spans="1:24" x14ac:dyDescent="0.35">
      <c r="A34" s="192"/>
      <c r="B34" s="193"/>
      <c r="C34" s="193"/>
      <c r="D34" s="194"/>
      <c r="E34" s="193"/>
      <c r="F34" s="193"/>
      <c r="G34" s="193"/>
      <c r="H34" s="195"/>
      <c r="I34" s="193"/>
      <c r="J34" s="64"/>
      <c r="T34" s="65"/>
      <c r="U34" s="65"/>
      <c r="V34" s="65"/>
      <c r="W34" s="65"/>
      <c r="X34" s="65"/>
    </row>
    <row r="35" spans="1:24" ht="15.65" customHeight="1" x14ac:dyDescent="0.35">
      <c r="A35" s="553" t="s">
        <v>492</v>
      </c>
      <c r="B35" s="553"/>
      <c r="C35" s="553"/>
      <c r="D35" s="553"/>
      <c r="E35" s="553"/>
      <c r="F35" s="553"/>
      <c r="G35" s="553"/>
      <c r="H35" s="553"/>
      <c r="I35" s="553"/>
      <c r="J35" s="64"/>
      <c r="T35" s="65"/>
      <c r="U35" s="65"/>
      <c r="V35" s="65"/>
      <c r="W35" s="65"/>
      <c r="X35" s="65"/>
    </row>
    <row r="36" spans="1:24" x14ac:dyDescent="0.35">
      <c r="A36" s="553"/>
      <c r="B36" s="553"/>
      <c r="C36" s="553"/>
      <c r="D36" s="553"/>
      <c r="E36" s="553"/>
      <c r="F36" s="553"/>
      <c r="G36" s="553"/>
      <c r="H36" s="553"/>
      <c r="I36" s="553"/>
      <c r="J36" s="64"/>
      <c r="T36" s="65"/>
      <c r="U36" s="65"/>
      <c r="V36" s="65"/>
      <c r="W36" s="65"/>
      <c r="X36" s="65"/>
    </row>
    <row r="37" spans="1:24" x14ac:dyDescent="0.35">
      <c r="A37" s="553"/>
      <c r="B37" s="553"/>
      <c r="C37" s="553"/>
      <c r="D37" s="553"/>
      <c r="E37" s="553"/>
      <c r="F37" s="553"/>
      <c r="G37" s="553"/>
      <c r="H37" s="553"/>
      <c r="I37" s="553"/>
      <c r="J37" s="64"/>
      <c r="T37" s="65"/>
      <c r="U37" s="65"/>
      <c r="V37" s="65"/>
      <c r="W37" s="65"/>
      <c r="X37" s="65"/>
    </row>
    <row r="38" spans="1:24" x14ac:dyDescent="0.35">
      <c r="A38" s="553"/>
      <c r="B38" s="553"/>
      <c r="C38" s="553"/>
      <c r="D38" s="553"/>
      <c r="E38" s="553"/>
      <c r="F38" s="553"/>
      <c r="G38" s="553"/>
      <c r="H38" s="553"/>
      <c r="I38" s="553"/>
      <c r="J38" s="64"/>
      <c r="T38" s="65"/>
      <c r="U38" s="65"/>
      <c r="V38" s="65"/>
      <c r="W38" s="65"/>
      <c r="X38" s="65"/>
    </row>
    <row r="39" spans="1:24" x14ac:dyDescent="0.35">
      <c r="A39" s="553"/>
      <c r="B39" s="553"/>
      <c r="C39" s="553"/>
      <c r="D39" s="553"/>
      <c r="E39" s="553"/>
      <c r="F39" s="553"/>
      <c r="G39" s="553"/>
      <c r="H39" s="553"/>
      <c r="I39" s="553"/>
      <c r="J39" s="64"/>
      <c r="T39" s="65"/>
      <c r="U39" s="65"/>
      <c r="V39" s="65"/>
      <c r="W39" s="65"/>
      <c r="X39" s="65"/>
    </row>
    <row r="40" spans="1:24" x14ac:dyDescent="0.35">
      <c r="A40" s="553"/>
      <c r="B40" s="553"/>
      <c r="C40" s="553"/>
      <c r="D40" s="553"/>
      <c r="E40" s="553"/>
      <c r="F40" s="553"/>
      <c r="G40" s="553"/>
      <c r="H40" s="553"/>
      <c r="I40" s="553"/>
      <c r="J40" s="64"/>
      <c r="T40" s="65"/>
      <c r="U40" s="65"/>
      <c r="V40" s="65"/>
      <c r="W40" s="65"/>
      <c r="X40" s="65"/>
    </row>
    <row r="41" spans="1:24" ht="14.25" customHeight="1" x14ac:dyDescent="0.35">
      <c r="A41" s="99"/>
      <c r="B41" s="99"/>
      <c r="C41" s="99"/>
      <c r="D41" s="99"/>
      <c r="E41" s="99"/>
      <c r="F41" s="99"/>
      <c r="G41" s="99"/>
      <c r="H41" s="112"/>
      <c r="I41" s="99"/>
    </row>
    <row r="42" spans="1:24" x14ac:dyDescent="0.35">
      <c r="A42" s="99"/>
      <c r="B42" s="99"/>
      <c r="C42" s="99"/>
      <c r="D42" s="99"/>
      <c r="E42" s="99"/>
      <c r="F42" s="99"/>
      <c r="G42" s="99"/>
      <c r="H42" s="112"/>
      <c r="I42" s="99"/>
    </row>
    <row r="43" spans="1:24" x14ac:dyDescent="0.35">
      <c r="A43" s="99"/>
      <c r="B43" s="99"/>
      <c r="C43" s="99"/>
      <c r="D43" s="99"/>
      <c r="E43" s="99"/>
      <c r="F43" s="99"/>
      <c r="G43" s="99"/>
      <c r="H43" s="112"/>
      <c r="I43" s="99"/>
    </row>
    <row r="44" spans="1:24" x14ac:dyDescent="0.35">
      <c r="A44" s="99"/>
      <c r="B44" s="99"/>
      <c r="C44" s="99"/>
      <c r="D44" s="99"/>
      <c r="E44" s="99"/>
      <c r="F44" s="99"/>
      <c r="G44" s="99"/>
      <c r="H44" s="112"/>
      <c r="I44" s="99"/>
    </row>
    <row r="45" spans="1:24" x14ac:dyDescent="0.35">
      <c r="A45" s="99"/>
      <c r="B45" s="99"/>
      <c r="C45" s="99"/>
      <c r="D45" s="99"/>
      <c r="E45" s="99"/>
      <c r="F45" s="99"/>
      <c r="G45" s="99"/>
      <c r="H45" s="112"/>
      <c r="I45" s="99"/>
    </row>
    <row r="46" spans="1:24" x14ac:dyDescent="0.35">
      <c r="A46" s="99"/>
      <c r="B46" s="99"/>
      <c r="C46" s="99"/>
      <c r="D46" s="99"/>
      <c r="E46" s="99"/>
      <c r="F46" s="99"/>
      <c r="G46" s="99"/>
      <c r="H46" s="112"/>
      <c r="I46" s="99"/>
    </row>
    <row r="47" spans="1:24" x14ac:dyDescent="0.35">
      <c r="A47" s="99"/>
      <c r="B47" s="99"/>
      <c r="C47" s="99"/>
      <c r="D47" s="99"/>
      <c r="E47" s="99"/>
      <c r="F47" s="99"/>
      <c r="G47" s="99"/>
      <c r="H47" s="112"/>
      <c r="I47" s="99"/>
    </row>
    <row r="48" spans="1:24" x14ac:dyDescent="0.35">
      <c r="A48" s="99"/>
      <c r="B48" s="99"/>
      <c r="C48" s="99"/>
      <c r="D48" s="99"/>
      <c r="E48" s="99"/>
      <c r="F48" s="99"/>
      <c r="G48" s="99"/>
      <c r="H48" s="112"/>
      <c r="I48" s="99"/>
    </row>
    <row r="49" spans="1:9" x14ac:dyDescent="0.35">
      <c r="A49" s="99"/>
      <c r="B49" s="99"/>
      <c r="C49" s="99"/>
      <c r="D49" s="99"/>
      <c r="E49" s="99"/>
      <c r="F49" s="99"/>
      <c r="G49" s="99"/>
      <c r="H49" s="112"/>
      <c r="I49" s="99"/>
    </row>
    <row r="50" spans="1:9" x14ac:dyDescent="0.35">
      <c r="A50" s="99"/>
      <c r="B50" s="99"/>
      <c r="C50" s="99"/>
      <c r="D50" s="99"/>
      <c r="E50" s="99"/>
      <c r="F50" s="99"/>
      <c r="G50" s="99"/>
      <c r="H50" s="112"/>
      <c r="I50" s="99"/>
    </row>
    <row r="51" spans="1:9" x14ac:dyDescent="0.35">
      <c r="A51" s="99"/>
      <c r="B51" s="99"/>
      <c r="C51" s="99"/>
      <c r="D51" s="99"/>
      <c r="E51" s="99"/>
      <c r="F51" s="99"/>
      <c r="G51" s="99"/>
      <c r="H51" s="112"/>
      <c r="I51" s="99"/>
    </row>
    <row r="52" spans="1:9" x14ac:dyDescent="0.35">
      <c r="A52" s="99"/>
      <c r="B52" s="99"/>
      <c r="C52" s="99"/>
      <c r="D52" s="99"/>
      <c r="E52" s="99"/>
      <c r="F52" s="99"/>
      <c r="G52" s="99"/>
      <c r="H52" s="112"/>
      <c r="I52" s="99"/>
    </row>
    <row r="53" spans="1:9" x14ac:dyDescent="0.35">
      <c r="A53" s="99"/>
      <c r="B53" s="99"/>
      <c r="C53" s="99"/>
      <c r="D53" s="99"/>
      <c r="E53" s="99"/>
      <c r="F53" s="99"/>
      <c r="G53" s="99"/>
      <c r="H53" s="112"/>
      <c r="I53" s="99"/>
    </row>
    <row r="54" spans="1:9" x14ac:dyDescent="0.35">
      <c r="A54" s="99"/>
      <c r="B54" s="99"/>
      <c r="C54" s="99"/>
      <c r="D54" s="99"/>
      <c r="E54" s="99"/>
      <c r="F54" s="99"/>
      <c r="G54" s="99"/>
      <c r="H54" s="112"/>
      <c r="I54" s="99"/>
    </row>
    <row r="55" spans="1:9" x14ac:dyDescent="0.35">
      <c r="A55" s="99"/>
      <c r="B55" s="99"/>
      <c r="C55" s="99"/>
      <c r="D55" s="99"/>
      <c r="E55" s="99"/>
      <c r="F55" s="99"/>
      <c r="G55" s="99"/>
      <c r="H55" s="112"/>
      <c r="I55" s="99"/>
    </row>
    <row r="56" spans="1:9" x14ac:dyDescent="0.35">
      <c r="A56" s="99"/>
      <c r="B56" s="99"/>
      <c r="C56" s="99"/>
      <c r="D56" s="99"/>
      <c r="E56" s="99"/>
      <c r="F56" s="99"/>
      <c r="G56" s="99"/>
      <c r="H56" s="112"/>
      <c r="I56" s="99"/>
    </row>
    <row r="57" spans="1:9" x14ac:dyDescent="0.35">
      <c r="A57" s="99"/>
      <c r="B57" s="99"/>
      <c r="C57" s="99"/>
      <c r="D57" s="99"/>
      <c r="E57" s="99"/>
      <c r="F57" s="99"/>
      <c r="G57" s="99"/>
      <c r="H57" s="112"/>
      <c r="I57" s="99"/>
    </row>
    <row r="58" spans="1:9" x14ac:dyDescent="0.35">
      <c r="A58" s="99"/>
      <c r="B58" s="99"/>
      <c r="C58" s="99"/>
      <c r="D58" s="99"/>
      <c r="E58" s="99"/>
      <c r="F58" s="99"/>
      <c r="G58" s="99"/>
      <c r="H58" s="112"/>
      <c r="I58" s="99"/>
    </row>
    <row r="59" spans="1:9" x14ac:dyDescent="0.35">
      <c r="A59" s="99"/>
      <c r="B59" s="99"/>
      <c r="C59" s="99"/>
      <c r="D59" s="99"/>
      <c r="E59" s="99"/>
      <c r="F59" s="99"/>
      <c r="G59" s="99"/>
      <c r="H59" s="112"/>
      <c r="I59" s="99"/>
    </row>
    <row r="60" spans="1:9" x14ac:dyDescent="0.35">
      <c r="A60" s="99"/>
      <c r="B60" s="99"/>
      <c r="C60" s="99"/>
      <c r="D60" s="99"/>
      <c r="E60" s="99"/>
      <c r="F60" s="99"/>
      <c r="G60" s="99"/>
      <c r="H60" s="112"/>
      <c r="I60" s="99"/>
    </row>
    <row r="61" spans="1:9" x14ac:dyDescent="0.35">
      <c r="A61" s="99"/>
      <c r="B61" s="99"/>
      <c r="C61" s="99"/>
      <c r="D61" s="99"/>
      <c r="E61" s="99"/>
      <c r="F61" s="99"/>
      <c r="G61" s="99"/>
      <c r="H61" s="112"/>
      <c r="I61" s="99"/>
    </row>
    <row r="62" spans="1:9" x14ac:dyDescent="0.35">
      <c r="A62" s="99"/>
      <c r="B62" s="99"/>
      <c r="C62" s="99"/>
      <c r="D62" s="99"/>
      <c r="E62" s="99"/>
      <c r="F62" s="99"/>
      <c r="G62" s="99"/>
      <c r="H62" s="112"/>
      <c r="I62" s="99"/>
    </row>
    <row r="63" spans="1:9" x14ac:dyDescent="0.35">
      <c r="A63" s="99"/>
      <c r="B63" s="99"/>
      <c r="C63" s="99"/>
      <c r="D63" s="99"/>
      <c r="E63" s="99"/>
      <c r="F63" s="99"/>
      <c r="G63" s="99"/>
      <c r="H63" s="112"/>
      <c r="I63" s="99"/>
    </row>
    <row r="64" spans="1:9" x14ac:dyDescent="0.35">
      <c r="A64" s="99"/>
      <c r="B64" s="99"/>
      <c r="C64" s="99"/>
      <c r="D64" s="99"/>
      <c r="E64" s="99"/>
      <c r="F64" s="99"/>
      <c r="G64" s="99"/>
      <c r="H64" s="112"/>
      <c r="I64" s="99"/>
    </row>
    <row r="65" spans="1:9" x14ac:dyDescent="0.35">
      <c r="A65" s="99"/>
      <c r="B65" s="99"/>
      <c r="C65" s="99"/>
      <c r="D65" s="99"/>
      <c r="E65" s="99"/>
      <c r="F65" s="99"/>
      <c r="G65" s="99"/>
      <c r="H65" s="112"/>
      <c r="I65" s="99"/>
    </row>
    <row r="66" spans="1:9" x14ac:dyDescent="0.35">
      <c r="A66" s="99"/>
      <c r="B66" s="99"/>
      <c r="C66" s="99"/>
      <c r="D66" s="99"/>
      <c r="E66" s="99"/>
      <c r="F66" s="99"/>
      <c r="G66" s="99"/>
      <c r="H66" s="112"/>
      <c r="I66" s="99"/>
    </row>
    <row r="67" spans="1:9" x14ac:dyDescent="0.35">
      <c r="A67" s="99"/>
      <c r="B67" s="99"/>
      <c r="C67" s="99"/>
      <c r="D67" s="99"/>
      <c r="E67" s="99"/>
      <c r="F67" s="99"/>
      <c r="G67" s="99"/>
      <c r="H67" s="112"/>
      <c r="I67" s="99"/>
    </row>
    <row r="68" spans="1:9" x14ac:dyDescent="0.35">
      <c r="A68" s="99"/>
      <c r="B68" s="99"/>
      <c r="C68" s="99"/>
      <c r="D68" s="99"/>
      <c r="E68" s="99"/>
      <c r="F68" s="99"/>
      <c r="G68" s="99"/>
      <c r="H68" s="112"/>
      <c r="I68" s="99"/>
    </row>
    <row r="69" spans="1:9" x14ac:dyDescent="0.35">
      <c r="A69" s="99"/>
      <c r="B69" s="99"/>
      <c r="C69" s="99"/>
      <c r="D69" s="99"/>
      <c r="E69" s="99"/>
      <c r="F69" s="99"/>
      <c r="G69" s="99"/>
      <c r="H69" s="112"/>
      <c r="I69" s="99"/>
    </row>
    <row r="70" spans="1:9" x14ac:dyDescent="0.35">
      <c r="A70" s="99"/>
      <c r="B70" s="99"/>
      <c r="C70" s="99"/>
      <c r="D70" s="99"/>
      <c r="E70" s="99"/>
      <c r="F70" s="99"/>
      <c r="G70" s="99"/>
      <c r="H70" s="112"/>
      <c r="I70" s="99"/>
    </row>
    <row r="71" spans="1:9" x14ac:dyDescent="0.35">
      <c r="A71" s="99"/>
      <c r="B71" s="99"/>
      <c r="C71" s="99"/>
      <c r="D71" s="99"/>
      <c r="E71" s="99"/>
      <c r="F71" s="99"/>
      <c r="G71" s="99"/>
      <c r="H71" s="112"/>
      <c r="I71" s="99"/>
    </row>
    <row r="72" spans="1:9" x14ac:dyDescent="0.35">
      <c r="A72" s="99"/>
      <c r="B72" s="99"/>
      <c r="C72" s="99"/>
      <c r="D72" s="99"/>
      <c r="E72" s="99"/>
      <c r="F72" s="99"/>
      <c r="G72" s="99"/>
      <c r="H72" s="112"/>
      <c r="I72" s="99"/>
    </row>
    <row r="73" spans="1:9" x14ac:dyDescent="0.35">
      <c r="A73" s="99"/>
      <c r="B73" s="99"/>
      <c r="C73" s="99"/>
      <c r="D73" s="99"/>
      <c r="E73" s="99"/>
      <c r="F73" s="99"/>
      <c r="G73" s="99"/>
      <c r="H73" s="112"/>
      <c r="I73" s="99"/>
    </row>
    <row r="74" spans="1:9" x14ac:dyDescent="0.35">
      <c r="A74" s="99"/>
      <c r="B74" s="99"/>
      <c r="C74" s="99"/>
      <c r="D74" s="99"/>
      <c r="E74" s="99"/>
      <c r="F74" s="99"/>
      <c r="G74" s="99"/>
      <c r="H74" s="112"/>
      <c r="I74" s="99"/>
    </row>
    <row r="75" spans="1:9" x14ac:dyDescent="0.35">
      <c r="A75" s="99"/>
      <c r="B75" s="99"/>
      <c r="C75" s="99"/>
      <c r="D75" s="99"/>
      <c r="E75" s="99"/>
      <c r="F75" s="99"/>
      <c r="G75" s="99"/>
      <c r="H75" s="112"/>
      <c r="I75" s="99"/>
    </row>
    <row r="76" spans="1:9" x14ac:dyDescent="0.35">
      <c r="A76" s="99"/>
      <c r="B76" s="99"/>
      <c r="C76" s="99"/>
      <c r="D76" s="99"/>
      <c r="E76" s="99"/>
      <c r="F76" s="99"/>
      <c r="G76" s="99"/>
      <c r="H76" s="112"/>
      <c r="I76" s="99"/>
    </row>
    <row r="77" spans="1:9" x14ac:dyDescent="0.35">
      <c r="A77" s="99"/>
      <c r="B77" s="99"/>
      <c r="C77" s="99"/>
      <c r="D77" s="99"/>
      <c r="E77" s="99"/>
      <c r="F77" s="99"/>
      <c r="G77" s="99"/>
      <c r="H77" s="112"/>
      <c r="I77" s="99"/>
    </row>
    <row r="78" spans="1:9" x14ac:dyDescent="0.35">
      <c r="A78" s="99"/>
      <c r="B78" s="99"/>
      <c r="C78" s="99"/>
      <c r="D78" s="99"/>
      <c r="E78" s="99"/>
      <c r="F78" s="99"/>
      <c r="G78" s="99"/>
      <c r="H78" s="112"/>
      <c r="I78" s="99"/>
    </row>
    <row r="79" spans="1:9" x14ac:dyDescent="0.35">
      <c r="A79" s="99"/>
      <c r="B79" s="99"/>
      <c r="C79" s="99"/>
      <c r="D79" s="99"/>
      <c r="E79" s="99"/>
      <c r="F79" s="99"/>
      <c r="G79" s="99"/>
      <c r="H79" s="112"/>
      <c r="I79" s="99"/>
    </row>
    <row r="80" spans="1:9" x14ac:dyDescent="0.35">
      <c r="A80" s="99"/>
      <c r="B80" s="99"/>
      <c r="C80" s="99"/>
      <c r="D80" s="99"/>
      <c r="E80" s="99"/>
      <c r="F80" s="99"/>
      <c r="G80" s="99"/>
      <c r="H80" s="112"/>
      <c r="I80" s="99"/>
    </row>
    <row r="81" spans="1:9" x14ac:dyDescent="0.35">
      <c r="A81" s="99"/>
      <c r="B81" s="99"/>
      <c r="C81" s="99"/>
      <c r="D81" s="99"/>
      <c r="E81" s="99"/>
      <c r="F81" s="99"/>
      <c r="G81" s="99"/>
      <c r="H81" s="112"/>
      <c r="I81" s="99"/>
    </row>
    <row r="82" spans="1:9" x14ac:dyDescent="0.35">
      <c r="A82" s="99"/>
      <c r="B82" s="99"/>
      <c r="C82" s="99"/>
      <c r="D82" s="99"/>
      <c r="E82" s="99"/>
      <c r="F82" s="99"/>
      <c r="G82" s="99"/>
      <c r="H82" s="112"/>
      <c r="I82" s="99"/>
    </row>
    <row r="83" spans="1:9" x14ac:dyDescent="0.35">
      <c r="A83" s="99"/>
      <c r="B83" s="99"/>
      <c r="C83" s="99"/>
      <c r="D83" s="99"/>
      <c r="E83" s="99"/>
      <c r="F83" s="99"/>
      <c r="G83" s="99"/>
      <c r="H83" s="112"/>
      <c r="I83" s="99"/>
    </row>
    <row r="84" spans="1:9" x14ac:dyDescent="0.35">
      <c r="A84" s="99"/>
      <c r="B84" s="99"/>
      <c r="C84" s="99"/>
      <c r="D84" s="99"/>
      <c r="E84" s="99"/>
      <c r="F84" s="99"/>
      <c r="G84" s="99"/>
      <c r="H84" s="112"/>
      <c r="I84" s="99"/>
    </row>
    <row r="85" spans="1:9" x14ac:dyDescent="0.35">
      <c r="A85" s="99"/>
      <c r="B85" s="99"/>
      <c r="C85" s="99"/>
      <c r="D85" s="99"/>
      <c r="E85" s="99"/>
      <c r="F85" s="99"/>
      <c r="G85" s="99"/>
      <c r="H85" s="112"/>
      <c r="I85" s="99"/>
    </row>
    <row r="86" spans="1:9" x14ac:dyDescent="0.35">
      <c r="A86" s="99"/>
      <c r="B86" s="99"/>
      <c r="C86" s="99"/>
      <c r="D86" s="99"/>
      <c r="E86" s="99"/>
      <c r="F86" s="99"/>
      <c r="G86" s="99"/>
      <c r="H86" s="112"/>
      <c r="I86" s="99"/>
    </row>
    <row r="87" spans="1:9" x14ac:dyDescent="0.35">
      <c r="A87" s="99"/>
      <c r="B87" s="99"/>
      <c r="C87" s="99"/>
      <c r="D87" s="99"/>
      <c r="E87" s="99"/>
      <c r="F87" s="99"/>
      <c r="G87" s="99"/>
      <c r="H87" s="112"/>
      <c r="I87" s="99"/>
    </row>
    <row r="88" spans="1:9" x14ac:dyDescent="0.35">
      <c r="A88" s="99"/>
      <c r="B88" s="99"/>
      <c r="C88" s="99"/>
      <c r="D88" s="99"/>
      <c r="E88" s="99"/>
      <c r="F88" s="99"/>
      <c r="G88" s="99"/>
      <c r="H88" s="112"/>
      <c r="I88" s="99"/>
    </row>
    <row r="97" spans="7:7" hidden="1" x14ac:dyDescent="0.35">
      <c r="G97">
        <v>2</v>
      </c>
    </row>
    <row r="98" spans="7:7" hidden="1" x14ac:dyDescent="0.35">
      <c r="G98">
        <v>3</v>
      </c>
    </row>
    <row r="99" spans="7:7" hidden="1" x14ac:dyDescent="0.35">
      <c r="G99">
        <v>4</v>
      </c>
    </row>
    <row r="100" spans="7:7" hidden="1" x14ac:dyDescent="0.35">
      <c r="G100">
        <v>5</v>
      </c>
    </row>
  </sheetData>
  <sheetProtection sheet="1" objects="1" scenarios="1"/>
  <customSheetViews>
    <customSheetView guid="{17302493-42B1-4877-869E-E424A97AE78B}" hiddenRows="1">
      <selection activeCell="E17" sqref="E17"/>
      <pageMargins left="0.7" right="0.7" top="0.75" bottom="0.75" header="0.3" footer="0.3"/>
      <pageSetup orientation="portrait" horizontalDpi="1200" verticalDpi="1200" r:id="rId1"/>
    </customSheetView>
    <customSheetView guid="{5C0BA3A5-859C-46C2-B685-44D9A90065E4}" hiddenRows="1">
      <selection activeCell="E17" sqref="E17"/>
      <pageMargins left="0.7" right="0.7" top="0.75" bottom="0.75" header="0.3" footer="0.3"/>
      <pageSetup orientation="portrait" horizontalDpi="1200" verticalDpi="1200" r:id="rId2"/>
    </customSheetView>
  </customSheetViews>
  <mergeCells count="14">
    <mergeCell ref="B16:C16"/>
    <mergeCell ref="A10:I12"/>
    <mergeCell ref="B14:C14"/>
    <mergeCell ref="B15:C15"/>
    <mergeCell ref="B23:C23"/>
    <mergeCell ref="B24:C24"/>
    <mergeCell ref="B25:C25"/>
    <mergeCell ref="A35:I40"/>
    <mergeCell ref="B17:C17"/>
    <mergeCell ref="B18:C18"/>
    <mergeCell ref="B19:C19"/>
    <mergeCell ref="B20:C20"/>
    <mergeCell ref="B21:C21"/>
    <mergeCell ref="B22:C22"/>
  </mergeCells>
  <pageMargins left="0.7" right="0.7" top="0.75" bottom="0.75" header="0.3" footer="0.3"/>
  <pageSetup scale="51" fitToHeight="0"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8971D"/>
    <pageSetUpPr fitToPage="1"/>
  </sheetPr>
  <dimension ref="A1:K39"/>
  <sheetViews>
    <sheetView workbookViewId="0">
      <selection activeCell="C26" sqref="C26"/>
    </sheetView>
  </sheetViews>
  <sheetFormatPr defaultColWidth="9.1796875" defaultRowHeight="14.5" x14ac:dyDescent="0.35"/>
  <cols>
    <col min="1" max="1" width="4" customWidth="1"/>
    <col min="2" max="4" width="19.453125" customWidth="1"/>
    <col min="5" max="9" width="18.453125" customWidth="1"/>
    <col min="10" max="10" width="9.453125" customWidth="1"/>
    <col min="11" max="11" width="36.1796875" bestFit="1" customWidth="1"/>
  </cols>
  <sheetData>
    <row r="1" spans="1:10" ht="26" x14ac:dyDescent="0.6">
      <c r="A1" s="3" t="s">
        <v>777</v>
      </c>
    </row>
    <row r="2" spans="1:10" ht="21" x14ac:dyDescent="0.5">
      <c r="A2" s="2" t="s">
        <v>775</v>
      </c>
    </row>
    <row r="3" spans="1:10" ht="25" customHeight="1" x14ac:dyDescent="0.5">
      <c r="A3" s="546" t="s">
        <v>675</v>
      </c>
      <c r="B3" s="546"/>
      <c r="C3" s="546"/>
      <c r="D3" s="546"/>
      <c r="E3" s="546"/>
      <c r="F3" s="546"/>
      <c r="G3" s="546"/>
      <c r="H3" s="546"/>
      <c r="I3" s="546"/>
      <c r="J3" s="546"/>
    </row>
    <row r="4" spans="1:10" ht="25" customHeight="1" x14ac:dyDescent="0.5">
      <c r="A4" s="235" t="str">
        <f>Results!A4</f>
        <v>Final Adjustments</v>
      </c>
      <c r="B4" s="354"/>
      <c r="C4" s="354"/>
      <c r="D4" s="354"/>
      <c r="E4" s="354"/>
      <c r="F4" s="354"/>
      <c r="G4" s="354"/>
      <c r="H4" s="354"/>
      <c r="I4" s="354"/>
      <c r="J4" s="354"/>
    </row>
    <row r="6" spans="1:10" x14ac:dyDescent="0.35">
      <c r="A6" s="1" t="s">
        <v>776</v>
      </c>
      <c r="C6" s="414" t="str">
        <f>Results!$C$6</f>
        <v>WellPower</v>
      </c>
    </row>
    <row r="7" spans="1:10" x14ac:dyDescent="0.35">
      <c r="A7" s="1" t="s">
        <v>0</v>
      </c>
      <c r="C7" s="35">
        <f>Results!$C$7</f>
        <v>45473</v>
      </c>
      <c r="D7" s="35"/>
    </row>
    <row r="9" spans="1:10" x14ac:dyDescent="0.35">
      <c r="A9" s="1" t="s">
        <v>311</v>
      </c>
    </row>
    <row r="10" spans="1:10" x14ac:dyDescent="0.35">
      <c r="A10" s="1"/>
      <c r="B10" s="82"/>
      <c r="C10" s="82"/>
      <c r="D10" s="82"/>
    </row>
    <row r="11" spans="1:10" x14ac:dyDescent="0.35">
      <c r="A11" s="70"/>
      <c r="B11" s="560">
        <v>1</v>
      </c>
      <c r="C11" s="560"/>
      <c r="D11" s="23">
        <v>2</v>
      </c>
      <c r="E11" s="23">
        <v>3</v>
      </c>
      <c r="F11" s="23">
        <v>4</v>
      </c>
      <c r="G11" s="23">
        <v>5</v>
      </c>
      <c r="H11" s="23">
        <v>6</v>
      </c>
      <c r="I11" s="23">
        <v>7</v>
      </c>
    </row>
    <row r="12" spans="1:10" x14ac:dyDescent="0.35">
      <c r="B12" s="561" t="s">
        <v>178</v>
      </c>
      <c r="C12" s="561"/>
      <c r="D12" s="562" t="s">
        <v>180</v>
      </c>
      <c r="E12" s="563" t="s">
        <v>207</v>
      </c>
      <c r="F12" s="564"/>
      <c r="G12" s="563" t="s">
        <v>210</v>
      </c>
      <c r="H12" s="564"/>
      <c r="I12" s="561" t="s">
        <v>218</v>
      </c>
    </row>
    <row r="13" spans="1:10" ht="30" customHeight="1" x14ac:dyDescent="0.35">
      <c r="B13" s="561"/>
      <c r="C13" s="561"/>
      <c r="D13" s="562"/>
      <c r="E13" s="10" t="s">
        <v>681</v>
      </c>
      <c r="F13" s="10" t="s">
        <v>682</v>
      </c>
      <c r="G13" s="10" t="s">
        <v>681</v>
      </c>
      <c r="H13" s="10" t="s">
        <v>682</v>
      </c>
      <c r="I13" s="561"/>
    </row>
    <row r="14" spans="1:10" x14ac:dyDescent="0.35">
      <c r="A14" s="418" t="s">
        <v>841</v>
      </c>
      <c r="B14" s="196"/>
      <c r="C14" s="196"/>
      <c r="D14" s="196"/>
      <c r="E14" s="196"/>
      <c r="F14" s="196"/>
      <c r="G14" s="196"/>
      <c r="H14" s="196"/>
      <c r="I14" s="196"/>
    </row>
    <row r="15" spans="1:10" x14ac:dyDescent="0.35">
      <c r="A15" s="24">
        <v>1</v>
      </c>
      <c r="B15" s="557" t="s">
        <v>211</v>
      </c>
      <c r="C15" s="557"/>
      <c r="D15" s="24" t="s">
        <v>12</v>
      </c>
      <c r="E15" s="26">
        <f>'Adjusted Schedule 2A'!F74</f>
        <v>9771359.4962465614</v>
      </c>
      <c r="F15" s="26">
        <f>'Adjusted Schedule 2A'!G74</f>
        <v>2539598.4340161034</v>
      </c>
      <c r="G15" s="26">
        <f>'Adjusted Schedule 2A'!J74</f>
        <v>10459.615277839328</v>
      </c>
      <c r="H15" s="26">
        <f>'Adjusted Schedule 2A'!K74</f>
        <v>2718.4776683546752</v>
      </c>
      <c r="I15" s="68">
        <f>SUM(E15:H15)</f>
        <v>12324136.023208858</v>
      </c>
    </row>
    <row r="16" spans="1:10" x14ac:dyDescent="0.35">
      <c r="A16" s="24">
        <v>2</v>
      </c>
      <c r="B16" s="557" t="s">
        <v>213</v>
      </c>
      <c r="C16" s="557"/>
      <c r="D16" s="24" t="s">
        <v>13</v>
      </c>
      <c r="E16" s="26">
        <f>'Adjusted Schedule 2B'!$F$74</f>
        <v>1356204.1123984661</v>
      </c>
      <c r="F16" s="26">
        <f>'Adjusted Schedule 2B'!G74</f>
        <v>352480.51628602529</v>
      </c>
      <c r="G16" s="26">
        <f>'Adjusted Schedule 2B'!$J$74</f>
        <v>2013551.2458322109</v>
      </c>
      <c r="H16" s="26">
        <f>'Adjusted Schedule 2B'!K74</f>
        <v>523326.52305863181</v>
      </c>
      <c r="I16" s="68">
        <f>SUM(E16:H16)</f>
        <v>4245562.3975753337</v>
      </c>
    </row>
    <row r="17" spans="1:11" x14ac:dyDescent="0.35">
      <c r="A17" s="24">
        <v>3</v>
      </c>
      <c r="B17" s="557" t="s">
        <v>201</v>
      </c>
      <c r="C17" s="557"/>
      <c r="D17" s="24" t="s">
        <v>14</v>
      </c>
      <c r="E17" s="26">
        <f>'Adjusted Schedule 2C'!$F$74</f>
        <v>40600007.097050093</v>
      </c>
      <c r="F17" s="26">
        <f>'Adjusted Schedule 2C'!G74</f>
        <v>10552033.673954738</v>
      </c>
      <c r="G17" s="26">
        <f>'Adjusted Schedule 2C'!$J$74</f>
        <v>20560002.017054714</v>
      </c>
      <c r="H17" s="26">
        <f>'Adjusted Schedule 2C'!K74</f>
        <v>5343591.0270149121</v>
      </c>
      <c r="I17" s="68">
        <f>SUM(E17:H17)</f>
        <v>77055633.815074459</v>
      </c>
      <c r="K17" s="48"/>
    </row>
    <row r="18" spans="1:11" x14ac:dyDescent="0.35">
      <c r="A18" s="24">
        <v>4</v>
      </c>
      <c r="B18" s="557" t="s">
        <v>212</v>
      </c>
      <c r="C18" s="557"/>
      <c r="D18" s="24" t="s">
        <v>179</v>
      </c>
      <c r="E18" s="26">
        <f>'Adjusted Schedule 2D'!$F$74</f>
        <v>22447702.34899725</v>
      </c>
      <c r="F18" s="26">
        <f>'Adjusted Schedule 2D'!G74</f>
        <v>5834208.6129029831</v>
      </c>
      <c r="G18" s="26">
        <f>'Adjusted Schedule 2D'!$J$74</f>
        <v>2155413.3185681859</v>
      </c>
      <c r="H18" s="26">
        <f>'Adjusted Schedule 2D'!K74</f>
        <v>560196.79662751954</v>
      </c>
      <c r="I18" s="68">
        <f>SUM(E18:H18)</f>
        <v>30997521.077095937</v>
      </c>
    </row>
    <row r="19" spans="1:11" x14ac:dyDescent="0.35">
      <c r="A19" s="418" t="s">
        <v>794</v>
      </c>
      <c r="B19" s="196"/>
      <c r="C19" s="196"/>
      <c r="D19" s="196"/>
      <c r="E19" s="196"/>
      <c r="F19" s="196"/>
      <c r="G19" s="196"/>
      <c r="H19" s="196"/>
      <c r="I19" s="196"/>
      <c r="J19" s="99"/>
      <c r="K19" s="48"/>
    </row>
    <row r="20" spans="1:11" x14ac:dyDescent="0.35">
      <c r="A20" s="146">
        <v>5</v>
      </c>
      <c r="B20" s="558" t="s">
        <v>795</v>
      </c>
      <c r="C20" s="558"/>
      <c r="D20" s="146" t="s">
        <v>796</v>
      </c>
      <c r="E20" s="26">
        <f>'Adjusted Schedule 2E'!F$74</f>
        <v>0</v>
      </c>
      <c r="F20" s="26">
        <f>'Adjusted Schedule 2E'!G$74</f>
        <v>0</v>
      </c>
      <c r="G20" s="26">
        <f>'Adjusted Schedule 2E'!J$74</f>
        <v>0</v>
      </c>
      <c r="H20" s="26">
        <f>'Adjusted Schedule 2E'!K$74</f>
        <v>0</v>
      </c>
      <c r="I20" s="173">
        <f t="shared" ref="I20:I27" si="0">SUM(E20:H20)</f>
        <v>0</v>
      </c>
      <c r="J20" s="99"/>
      <c r="K20" s="48"/>
    </row>
    <row r="21" spans="1:11" x14ac:dyDescent="0.35">
      <c r="A21" s="146">
        <v>6</v>
      </c>
      <c r="B21" s="558" t="s">
        <v>797</v>
      </c>
      <c r="C21" s="558"/>
      <c r="D21" s="146" t="s">
        <v>798</v>
      </c>
      <c r="E21" s="26">
        <f>'Adjusted Schedule 2F'!F$74</f>
        <v>0</v>
      </c>
      <c r="F21" s="26">
        <f>'Adjusted Schedule 2F'!G$74</f>
        <v>0</v>
      </c>
      <c r="G21" s="26">
        <f>'Adjusted Schedule 2F'!J$74</f>
        <v>0</v>
      </c>
      <c r="H21" s="26">
        <f>'Adjusted Schedule 2F'!K$74</f>
        <v>0</v>
      </c>
      <c r="I21" s="173">
        <f t="shared" si="0"/>
        <v>0</v>
      </c>
      <c r="J21" s="99"/>
      <c r="K21" s="48"/>
    </row>
    <row r="22" spans="1:11" x14ac:dyDescent="0.35">
      <c r="A22" s="146">
        <v>7</v>
      </c>
      <c r="B22" s="558" t="s">
        <v>799</v>
      </c>
      <c r="C22" s="558"/>
      <c r="D22" s="146" t="s">
        <v>800</v>
      </c>
      <c r="E22" s="26">
        <f>'Adjusted Schedule 2G'!F$74</f>
        <v>0</v>
      </c>
      <c r="F22" s="26">
        <f>'Adjusted Schedule 2G'!G$74</f>
        <v>0</v>
      </c>
      <c r="G22" s="26">
        <f>'Adjusted Schedule 2G'!J$74</f>
        <v>0</v>
      </c>
      <c r="H22" s="26">
        <f>'Adjusted Schedule 2G'!K$74</f>
        <v>0</v>
      </c>
      <c r="I22" s="173">
        <f t="shared" si="0"/>
        <v>0</v>
      </c>
      <c r="J22" s="99"/>
      <c r="K22" s="48"/>
    </row>
    <row r="23" spans="1:11" x14ac:dyDescent="0.35">
      <c r="A23" s="146">
        <v>8</v>
      </c>
      <c r="B23" s="558" t="s">
        <v>801</v>
      </c>
      <c r="C23" s="558"/>
      <c r="D23" s="146" t="s">
        <v>802</v>
      </c>
      <c r="E23" s="26">
        <f>'Adjusted Schedule 2H'!F$74</f>
        <v>0</v>
      </c>
      <c r="F23" s="26">
        <f>'Adjusted Schedule 2H'!G$74</f>
        <v>0</v>
      </c>
      <c r="G23" s="26">
        <f>'Adjusted Schedule 2H'!J$74</f>
        <v>0</v>
      </c>
      <c r="H23" s="26">
        <f>'Adjusted Schedule 2H'!K$74</f>
        <v>0</v>
      </c>
      <c r="I23" s="173">
        <f t="shared" si="0"/>
        <v>0</v>
      </c>
      <c r="J23" s="99"/>
      <c r="K23" s="48"/>
    </row>
    <row r="24" spans="1:11" x14ac:dyDescent="0.35">
      <c r="A24" s="146">
        <v>9</v>
      </c>
      <c r="B24" s="558" t="s">
        <v>803</v>
      </c>
      <c r="C24" s="558"/>
      <c r="D24" s="146" t="s">
        <v>804</v>
      </c>
      <c r="E24" s="26">
        <f>'Adjusted Schedule 2I'!F$74</f>
        <v>0</v>
      </c>
      <c r="F24" s="26">
        <f>'Adjusted Schedule 2I'!G$74</f>
        <v>0</v>
      </c>
      <c r="G24" s="26">
        <f>'Adjusted Schedule 2I'!J$74</f>
        <v>0</v>
      </c>
      <c r="H24" s="26">
        <f>'Adjusted Schedule 2I'!K$74</f>
        <v>0</v>
      </c>
      <c r="I24" s="173">
        <f t="shared" si="0"/>
        <v>0</v>
      </c>
      <c r="J24" s="99"/>
      <c r="K24" s="48"/>
    </row>
    <row r="25" spans="1:11" x14ac:dyDescent="0.35">
      <c r="A25" s="146">
        <v>10</v>
      </c>
      <c r="B25" s="558" t="s">
        <v>805</v>
      </c>
      <c r="C25" s="558"/>
      <c r="D25" s="146" t="s">
        <v>806</v>
      </c>
      <c r="E25" s="26">
        <f>'Adjusted Schedule 2J'!F$74</f>
        <v>0</v>
      </c>
      <c r="F25" s="26">
        <f>'Adjusted Schedule 2J'!G$74</f>
        <v>0</v>
      </c>
      <c r="G25" s="26">
        <f>'Adjusted Schedule 2J'!J$74</f>
        <v>0</v>
      </c>
      <c r="H25" s="26">
        <f>'Adjusted Schedule 2J'!K$74</f>
        <v>0</v>
      </c>
      <c r="I25" s="173">
        <f t="shared" si="0"/>
        <v>0</v>
      </c>
      <c r="J25" s="99"/>
      <c r="K25" s="48"/>
    </row>
    <row r="26" spans="1:11" x14ac:dyDescent="0.35">
      <c r="A26" s="146">
        <v>11</v>
      </c>
      <c r="B26" s="558" t="s">
        <v>807</v>
      </c>
      <c r="C26" s="558"/>
      <c r="D26" s="146" t="s">
        <v>808</v>
      </c>
      <c r="E26" s="26">
        <f>'Adjusted Schedule 2K'!F$74</f>
        <v>0</v>
      </c>
      <c r="F26" s="26">
        <f>'Adjusted Schedule 2K'!G$74</f>
        <v>0</v>
      </c>
      <c r="G26" s="26">
        <f>'Adjusted Schedule 2K'!J$74</f>
        <v>0</v>
      </c>
      <c r="H26" s="26">
        <f>'Adjusted Schedule 2K'!K$74</f>
        <v>0</v>
      </c>
      <c r="I26" s="173">
        <f t="shared" si="0"/>
        <v>0</v>
      </c>
      <c r="J26" s="99"/>
      <c r="K26" s="48"/>
    </row>
    <row r="27" spans="1:11" x14ac:dyDescent="0.35">
      <c r="A27" s="146">
        <v>12</v>
      </c>
      <c r="B27" s="558" t="s">
        <v>809</v>
      </c>
      <c r="C27" s="558"/>
      <c r="D27" s="146" t="s">
        <v>810</v>
      </c>
      <c r="E27" s="26">
        <f>'Adjusted Schedule 2L'!F$74</f>
        <v>0</v>
      </c>
      <c r="F27" s="26">
        <f>'Adjusted Schedule 2L'!G$74</f>
        <v>0</v>
      </c>
      <c r="G27" s="26">
        <f>'Adjusted Schedule 2L'!J$74</f>
        <v>0</v>
      </c>
      <c r="H27" s="26">
        <f>'Adjusted Schedule 2L'!K$74</f>
        <v>0</v>
      </c>
      <c r="I27" s="173">
        <f t="shared" si="0"/>
        <v>0</v>
      </c>
      <c r="J27" s="99"/>
      <c r="K27" s="48"/>
    </row>
    <row r="28" spans="1:11" ht="29.25" customHeight="1" x14ac:dyDescent="0.35">
      <c r="A28" s="146">
        <v>13</v>
      </c>
      <c r="B28" s="559" t="s">
        <v>811</v>
      </c>
      <c r="C28" s="559"/>
      <c r="D28" s="146" t="s">
        <v>812</v>
      </c>
      <c r="E28" s="26">
        <f>'Adjusted Schedule 2M'!F$74</f>
        <v>0</v>
      </c>
      <c r="F28" s="26">
        <f>'Adjusted Schedule 2M'!G$74</f>
        <v>0</v>
      </c>
      <c r="G28" s="26">
        <f>'Adjusted Schedule 2M'!J$74</f>
        <v>0</v>
      </c>
      <c r="H28" s="26">
        <f>'Adjusted Schedule 2M'!K$74</f>
        <v>0</v>
      </c>
      <c r="I28" s="173">
        <f>SUM(E28:H28)</f>
        <v>0</v>
      </c>
      <c r="J28" s="99"/>
    </row>
    <row r="29" spans="1:11" x14ac:dyDescent="0.35">
      <c r="A29" s="24">
        <v>5</v>
      </c>
      <c r="E29" s="18">
        <f>SUM(E15:E28)</f>
        <v>74175273.054692373</v>
      </c>
      <c r="F29" s="18">
        <f t="shared" ref="F29:H29" si="1">SUM(F15:F28)</f>
        <v>19278321.237159852</v>
      </c>
      <c r="G29" s="18">
        <f>SUM(G15:G28)</f>
        <v>24739426.196732949</v>
      </c>
      <c r="H29" s="18">
        <f t="shared" si="1"/>
        <v>6429832.8243694184</v>
      </c>
    </row>
    <row r="30" spans="1:11" s="57" customFormat="1" ht="12" x14ac:dyDescent="0.3">
      <c r="D30" s="76" t="s">
        <v>216</v>
      </c>
      <c r="E30" s="58">
        <f>'Adjusted Schedule 1'!F92</f>
        <v>74175272.114692375</v>
      </c>
      <c r="G30" s="58">
        <f>'Adjusted Schedule 1'!H92</f>
        <v>24739427.136732947</v>
      </c>
    </row>
    <row r="31" spans="1:11" s="57" customFormat="1" ht="12" x14ac:dyDescent="0.3">
      <c r="D31" s="76" t="s">
        <v>10</v>
      </c>
      <c r="E31" s="59">
        <f>E29-E30</f>
        <v>0.93999999761581421</v>
      </c>
      <c r="G31" s="59">
        <f>G29-G30</f>
        <v>-0.93999999761581421</v>
      </c>
    </row>
    <row r="32" spans="1:11" s="57" customFormat="1" ht="12" x14ac:dyDescent="0.3">
      <c r="D32" s="76"/>
      <c r="E32" s="59"/>
      <c r="G32" s="59"/>
    </row>
    <row r="34" spans="1:10" x14ac:dyDescent="0.35">
      <c r="E34" s="10" t="s">
        <v>218</v>
      </c>
    </row>
    <row r="35" spans="1:10" x14ac:dyDescent="0.35">
      <c r="A35" s="24">
        <v>6</v>
      </c>
      <c r="B35" s="557" t="s">
        <v>219</v>
      </c>
      <c r="C35" s="557"/>
      <c r="D35" s="24" t="s">
        <v>110</v>
      </c>
      <c r="E35" s="26">
        <f>'Adjusted Schedule 3'!M168</f>
        <v>24778961.236166928</v>
      </c>
      <c r="I35" s="18">
        <f>SUM(I15:I28)+E35</f>
        <v>149401814.54912153</v>
      </c>
      <c r="J35" s="71" t="s">
        <v>3</v>
      </c>
    </row>
    <row r="36" spans="1:10" ht="12.75" customHeight="1" x14ac:dyDescent="0.35">
      <c r="D36" s="76" t="s">
        <v>217</v>
      </c>
      <c r="E36" s="58">
        <f>'Adjusted Schedule 1'!G96</f>
        <v>24778961.236166928</v>
      </c>
    </row>
    <row r="37" spans="1:10" ht="12.75" customHeight="1" x14ac:dyDescent="0.35">
      <c r="D37" s="76" t="s">
        <v>10</v>
      </c>
      <c r="E37" s="59">
        <f>E35-E36</f>
        <v>0</v>
      </c>
    </row>
    <row r="39" spans="1:10" x14ac:dyDescent="0.35">
      <c r="B39" s="48"/>
    </row>
  </sheetData>
  <sheetProtection sheet="1" objects="1" scenarios="1"/>
  <customSheetViews>
    <customSheetView guid="{17302493-42B1-4877-869E-E424A97AE78B}" topLeftCell="A7">
      <selection activeCell="D32" sqref="D32"/>
      <pageMargins left="0.7" right="0.7" top="0.75" bottom="0.75" header="0.3" footer="0.3"/>
      <pageSetup orientation="portrait" horizontalDpi="1200" verticalDpi="1200" r:id="rId1"/>
    </customSheetView>
    <customSheetView guid="{5C0BA3A5-859C-46C2-B685-44D9A90065E4}" topLeftCell="A7">
      <selection activeCell="D32" sqref="D32"/>
      <pageMargins left="0.7" right="0.7" top="0.75" bottom="0.75" header="0.3" footer="0.3"/>
      <pageSetup orientation="portrait" horizontalDpi="1200" verticalDpi="1200" r:id="rId2"/>
    </customSheetView>
  </customSheetViews>
  <mergeCells count="21">
    <mergeCell ref="A3:J3"/>
    <mergeCell ref="B11:C11"/>
    <mergeCell ref="B12:C13"/>
    <mergeCell ref="D12:D13"/>
    <mergeCell ref="E12:F12"/>
    <mergeCell ref="G12:H12"/>
    <mergeCell ref="I12:I13"/>
    <mergeCell ref="B15:C15"/>
    <mergeCell ref="B16:C16"/>
    <mergeCell ref="B17:C17"/>
    <mergeCell ref="B18:C18"/>
    <mergeCell ref="B35:C35"/>
    <mergeCell ref="B20:C20"/>
    <mergeCell ref="B21:C21"/>
    <mergeCell ref="B22:C22"/>
    <mergeCell ref="B23:C23"/>
    <mergeCell ref="B24:C24"/>
    <mergeCell ref="B25:C25"/>
    <mergeCell ref="B26:C26"/>
    <mergeCell ref="B27:C27"/>
    <mergeCell ref="B28:C28"/>
  </mergeCells>
  <pageMargins left="0.7" right="0.7" top="0.75" bottom="0.75" header="0.3" footer="0.3"/>
  <pageSetup scale="55" fitToHeight="0" orientation="portrait" horizontalDpi="1200" verticalDpi="12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8971D"/>
    <pageSetUpPr fitToPage="1"/>
  </sheetPr>
  <dimension ref="A1:S76"/>
  <sheetViews>
    <sheetView workbookViewId="0">
      <selection activeCell="C26" sqref="C26"/>
    </sheetView>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777</v>
      </c>
    </row>
    <row r="2" spans="1:19" ht="21" x14ac:dyDescent="0.5">
      <c r="A2" s="2" t="s">
        <v>775</v>
      </c>
    </row>
    <row r="3" spans="1:19" ht="25" customHeight="1" x14ac:dyDescent="0.5">
      <c r="A3" s="546" t="s">
        <v>676</v>
      </c>
      <c r="B3" s="546"/>
      <c r="C3" s="546"/>
      <c r="D3" s="546"/>
      <c r="E3" s="546"/>
      <c r="F3" s="546"/>
    </row>
    <row r="4" spans="1:19" ht="25" customHeight="1" x14ac:dyDescent="0.5">
      <c r="A4" s="235" t="str">
        <f>Results!A4</f>
        <v>Final Adjustments</v>
      </c>
      <c r="B4" s="354"/>
      <c r="C4" s="354"/>
      <c r="D4" s="354"/>
      <c r="E4" s="354"/>
      <c r="F4" s="354"/>
    </row>
    <row r="5" spans="1:19" x14ac:dyDescent="0.35">
      <c r="A5" s="48"/>
    </row>
    <row r="6" spans="1:19" x14ac:dyDescent="0.35">
      <c r="A6" s="1" t="s">
        <v>776</v>
      </c>
      <c r="C6" s="414" t="str">
        <f>Results!$C$6</f>
        <v>WellPower</v>
      </c>
    </row>
    <row r="7" spans="1:19" x14ac:dyDescent="0.35">
      <c r="A7" s="1" t="s">
        <v>0</v>
      </c>
      <c r="C7" s="35">
        <f>Results!$C$7</f>
        <v>45473</v>
      </c>
      <c r="F7" s="35"/>
      <c r="N7" s="122"/>
      <c r="O7" s="122"/>
      <c r="P7" s="122"/>
    </row>
    <row r="8" spans="1:19" x14ac:dyDescent="0.35">
      <c r="N8" s="40"/>
      <c r="O8" s="40"/>
      <c r="P8" s="40"/>
    </row>
    <row r="9" spans="1:19" x14ac:dyDescent="0.35">
      <c r="A9" s="1" t="s">
        <v>253</v>
      </c>
      <c r="B9" s="1" t="s">
        <v>747</v>
      </c>
      <c r="C9" s="1"/>
      <c r="D9" s="116" t="str">
        <f>'Schedule 2A Adjustments'!D8</f>
        <v>Yes</v>
      </c>
      <c r="E9" s="41" t="s">
        <v>259</v>
      </c>
      <c r="N9" s="40"/>
      <c r="O9" s="40"/>
      <c r="P9" s="40"/>
    </row>
    <row r="10" spans="1:19" x14ac:dyDescent="0.35">
      <c r="N10" s="122"/>
      <c r="O10" s="122"/>
      <c r="P10" s="122"/>
    </row>
    <row r="11" spans="1:19" x14ac:dyDescent="0.35">
      <c r="A11" s="1" t="s">
        <v>254</v>
      </c>
      <c r="B11" s="1" t="s">
        <v>256</v>
      </c>
      <c r="C11" s="1"/>
      <c r="N11" s="40"/>
      <c r="O11" s="40"/>
      <c r="P11" s="40"/>
    </row>
    <row r="12" spans="1:19" x14ac:dyDescent="0.35">
      <c r="A12" s="1"/>
      <c r="B12" s="311" t="s">
        <v>592</v>
      </c>
      <c r="C12" s="1"/>
      <c r="N12" s="40"/>
      <c r="O12" s="40"/>
      <c r="P12" s="40"/>
    </row>
    <row r="13" spans="1:19" x14ac:dyDescent="0.35">
      <c r="B13" s="560">
        <v>1</v>
      </c>
      <c r="C13" s="560"/>
      <c r="D13" s="560"/>
      <c r="F13" s="23">
        <v>2</v>
      </c>
      <c r="G13" s="23">
        <v>3</v>
      </c>
      <c r="H13" s="23">
        <v>4</v>
      </c>
      <c r="J13" s="23">
        <v>5</v>
      </c>
      <c r="K13" s="23">
        <v>6</v>
      </c>
      <c r="L13" s="23">
        <v>7</v>
      </c>
      <c r="N13" s="23">
        <v>8</v>
      </c>
      <c r="O13" s="23">
        <v>9</v>
      </c>
      <c r="Q13" s="40"/>
      <c r="R13" s="40"/>
      <c r="S13" s="40"/>
    </row>
    <row r="14" spans="1:19" x14ac:dyDescent="0.35">
      <c r="B14" s="569" t="s">
        <v>606</v>
      </c>
      <c r="C14" s="570"/>
      <c r="D14" s="571"/>
      <c r="F14" s="563" t="s">
        <v>261</v>
      </c>
      <c r="G14" s="568"/>
      <c r="H14" s="564"/>
      <c r="J14" s="563" t="s">
        <v>262</v>
      </c>
      <c r="K14" s="568"/>
      <c r="L14" s="564"/>
      <c r="N14" s="566" t="s">
        <v>686</v>
      </c>
      <c r="O14" s="566" t="s">
        <v>687</v>
      </c>
      <c r="Q14" s="40"/>
      <c r="R14" s="40"/>
      <c r="S14" s="40"/>
    </row>
    <row r="15" spans="1:19" ht="56.25" customHeight="1" x14ac:dyDescent="0.35">
      <c r="B15" s="572"/>
      <c r="C15" s="573"/>
      <c r="D15" s="574"/>
      <c r="F15" s="10" t="s">
        <v>683</v>
      </c>
      <c r="G15" s="142" t="s">
        <v>684</v>
      </c>
      <c r="H15" s="142" t="s">
        <v>685</v>
      </c>
      <c r="I15" s="99"/>
      <c r="J15" s="10" t="s">
        <v>683</v>
      </c>
      <c r="K15" s="142" t="s">
        <v>684</v>
      </c>
      <c r="L15" s="142" t="s">
        <v>685</v>
      </c>
      <c r="N15" s="567"/>
      <c r="O15" s="567"/>
    </row>
    <row r="16" spans="1:19" x14ac:dyDescent="0.35">
      <c r="A16" s="24">
        <v>1</v>
      </c>
      <c r="B16" s="565" t="str">
        <f>'Schedule 2A Adjustments'!B15:D15</f>
        <v>100-815-Co-Responder</v>
      </c>
      <c r="C16" s="565"/>
      <c r="D16" s="565"/>
      <c r="F16" s="114">
        <f>'Schedule 2A Adjustments'!H15</f>
        <v>4051436.3881671191</v>
      </c>
      <c r="G16" s="68">
        <f>'Schedule 2A Adjustments'!J15</f>
        <v>1052977.4808569227</v>
      </c>
      <c r="H16" s="68">
        <f>SUM(F16:G16)</f>
        <v>5104413.869024042</v>
      </c>
      <c r="J16" s="114">
        <f>'Schedule 2A Adjustments'!P15</f>
        <v>393.04816773938444</v>
      </c>
      <c r="K16" s="68">
        <f>'Schedule 2A Adjustments'!R15</f>
        <v>102.15410779505847</v>
      </c>
      <c r="L16" s="68">
        <f>SUM(J16:K16)</f>
        <v>495.20227553444289</v>
      </c>
      <c r="N16" s="117">
        <f>'Schedule 2A Adjustments'!X15</f>
        <v>39.379125000000009</v>
      </c>
      <c r="O16" s="117">
        <f>'Schedule 2A Adjustments'!AA15</f>
        <v>2910</v>
      </c>
    </row>
    <row r="17" spans="1:15" x14ac:dyDescent="0.35">
      <c r="A17" s="24">
        <v>2</v>
      </c>
      <c r="B17" s="565" t="str">
        <f>'Schedule 2A Adjustments'!B16:D16</f>
        <v>100-818-STAR</v>
      </c>
      <c r="C17" s="565"/>
      <c r="D17" s="565"/>
      <c r="F17" s="114">
        <f>'Schedule 2A Adjustments'!H16</f>
        <v>1619494.454371474</v>
      </c>
      <c r="G17" s="68">
        <f>'Schedule 2A Adjustments'!J16</f>
        <v>420910.27167708037</v>
      </c>
      <c r="H17" s="68">
        <f t="shared" ref="H17:H73" si="0">SUM(F17:G17)</f>
        <v>2040404.7260485543</v>
      </c>
      <c r="J17" s="114">
        <f>'Schedule 2A Adjustments'!P16</f>
        <v>223.65621905355084</v>
      </c>
      <c r="K17" s="68">
        <f>'Schedule 2A Adjustments'!R16</f>
        <v>58.128757199501564</v>
      </c>
      <c r="L17" s="68">
        <f t="shared" ref="L17:L73" si="1">SUM(J17:K17)</f>
        <v>281.78497625305238</v>
      </c>
      <c r="N17" s="117">
        <f>'Schedule 2A Adjustments'!X16</f>
        <v>15.781249999999998</v>
      </c>
      <c r="O17" s="117">
        <f>'Schedule 2A Adjustments'!AA16</f>
        <v>2911</v>
      </c>
    </row>
    <row r="18" spans="1:15" x14ac:dyDescent="0.35">
      <c r="A18" s="24">
        <v>3</v>
      </c>
      <c r="B18" s="565" t="str">
        <f>'Schedule 2A Adjustments'!B17:D17</f>
        <v>100-822-Adams County Co-Responder</v>
      </c>
      <c r="C18" s="565"/>
      <c r="D18" s="565"/>
      <c r="F18" s="114">
        <f>'Schedule 2A Adjustments'!H17</f>
        <v>188855.89809854078</v>
      </c>
      <c r="G18" s="68">
        <f>'Schedule 2A Adjustments'!J17</f>
        <v>49084.075071641055</v>
      </c>
      <c r="H18" s="68">
        <f t="shared" si="0"/>
        <v>237939.97317018185</v>
      </c>
      <c r="J18" s="114">
        <f>'Schedule 2A Adjustments'!P17</f>
        <v>17.378348357224983</v>
      </c>
      <c r="K18" s="68">
        <f>'Schedule 2A Adjustments'!R17</f>
        <v>4.5166720445346362</v>
      </c>
      <c r="L18" s="68">
        <f t="shared" si="1"/>
        <v>21.89502040175962</v>
      </c>
      <c r="N18" s="117">
        <f>'Schedule 2A Adjustments'!X17</f>
        <v>2.1</v>
      </c>
      <c r="O18" s="117">
        <f>'Schedule 2A Adjustments'!AA17</f>
        <v>95</v>
      </c>
    </row>
    <row r="19" spans="1:15" x14ac:dyDescent="0.35">
      <c r="A19" s="24">
        <v>4</v>
      </c>
      <c r="B19" s="565" t="str">
        <f>'Schedule 2A Adjustments'!B18:D18</f>
        <v>100-826-Arvada Fire Dept STAR</v>
      </c>
      <c r="C19" s="565"/>
      <c r="D19" s="565"/>
      <c r="F19" s="114">
        <f>'Schedule 2A Adjustments'!H18</f>
        <v>105293.98982642549</v>
      </c>
      <c r="G19" s="68">
        <f>'Schedule 2A Adjustments'!J18</f>
        <v>27366.146110703925</v>
      </c>
      <c r="H19" s="68">
        <f t="shared" si="0"/>
        <v>132660.13593712941</v>
      </c>
      <c r="J19" s="114">
        <f>'Schedule 2A Adjustments'!P18</f>
        <v>11.378680471992549</v>
      </c>
      <c r="K19" s="68">
        <f>'Schedule 2A Adjustments'!R18</f>
        <v>2.9573447910643451</v>
      </c>
      <c r="L19" s="68">
        <f t="shared" si="1"/>
        <v>14.336025263056895</v>
      </c>
      <c r="N19" s="117">
        <f>'Schedule 2A Adjustments'!X18</f>
        <v>1.375</v>
      </c>
      <c r="O19" s="117">
        <f>'Schedule 2A Adjustments'!AA18</f>
        <v>124</v>
      </c>
    </row>
    <row r="20" spans="1:15" x14ac:dyDescent="0.35">
      <c r="A20" s="24">
        <v>5</v>
      </c>
      <c r="B20" s="565" t="str">
        <f>'Schedule 2A Adjustments'!B19:D19</f>
        <v>100-870-Walk-in Center</v>
      </c>
      <c r="C20" s="565"/>
      <c r="D20" s="565"/>
      <c r="F20" s="114">
        <f>'Schedule 2A Adjustments'!H19</f>
        <v>2650811.6607168736</v>
      </c>
      <c r="G20" s="68">
        <f>'Schedule 2A Adjustments'!J19</f>
        <v>688951.94624802587</v>
      </c>
      <c r="H20" s="68">
        <f t="shared" si="0"/>
        <v>3339763.6069648992</v>
      </c>
      <c r="J20" s="114">
        <f>'Schedule 2A Adjustments'!P19</f>
        <v>9743.1602059014185</v>
      </c>
      <c r="K20" s="68">
        <f>'Schedule 2A Adjustments'!R19</f>
        <v>2532.2693746740129</v>
      </c>
      <c r="L20" s="68">
        <f t="shared" si="1"/>
        <v>12275.429580575432</v>
      </c>
      <c r="N20" s="117">
        <f>'Schedule 2A Adjustments'!X19</f>
        <v>16.487437499999999</v>
      </c>
      <c r="O20" s="117">
        <f>'Schedule 2A Adjustments'!AA19</f>
        <v>2478</v>
      </c>
    </row>
    <row r="21" spans="1:15" x14ac:dyDescent="0.35">
      <c r="A21" s="24">
        <v>6</v>
      </c>
      <c r="B21" s="565" t="str">
        <f>'Schedule 2A Adjustments'!B20:D20</f>
        <v>100-872-TherapyDirect</v>
      </c>
      <c r="C21" s="565"/>
      <c r="D21" s="565"/>
      <c r="F21" s="114">
        <f>'Schedule 2A Adjustments'!H20</f>
        <v>1155467.1050661281</v>
      </c>
      <c r="G21" s="68">
        <f>'Schedule 2A Adjustments'!J20</f>
        <v>300308.51405172935</v>
      </c>
      <c r="H21" s="68">
        <f t="shared" si="0"/>
        <v>1455775.6191178574</v>
      </c>
      <c r="J21" s="114">
        <f>'Schedule 2A Adjustments'!P20</f>
        <v>70.993656315756411</v>
      </c>
      <c r="K21" s="68">
        <f>'Schedule 2A Adjustments'!R20</f>
        <v>18.451411850503369</v>
      </c>
      <c r="L21" s="68">
        <f t="shared" si="1"/>
        <v>89.445068166259773</v>
      </c>
      <c r="N21" s="117">
        <f>'Schedule 2A Adjustments'!X20</f>
        <v>8.5788749999999983</v>
      </c>
      <c r="O21" s="117">
        <f>'Schedule 2A Adjustments'!AA20</f>
        <v>854</v>
      </c>
    </row>
    <row r="22" spans="1:15" x14ac:dyDescent="0.35">
      <c r="A22" s="24">
        <v>7</v>
      </c>
      <c r="B22" s="565" t="str">
        <f>'Schedule 2A Adjustments'!B21:D21</f>
        <v/>
      </c>
      <c r="C22" s="565"/>
      <c r="D22" s="565"/>
      <c r="F22" s="114">
        <f>'Schedule 2A Adjustments'!H21</f>
        <v>0</v>
      </c>
      <c r="G22" s="68">
        <f>'Schedule 2A Adjustments'!J21</f>
        <v>0</v>
      </c>
      <c r="H22" s="68">
        <f t="shared" si="0"/>
        <v>0</v>
      </c>
      <c r="J22" s="114">
        <f>'Schedule 2A Adjustments'!P21</f>
        <v>0</v>
      </c>
      <c r="K22" s="68">
        <f>'Schedule 2A Adjustments'!R21</f>
        <v>0</v>
      </c>
      <c r="L22" s="68">
        <f t="shared" si="1"/>
        <v>0</v>
      </c>
      <c r="N22" s="117">
        <f>'Schedule 2A Adjustments'!X21</f>
        <v>0</v>
      </c>
      <c r="O22" s="117">
        <f>'Schedule 2A Adjustments'!AA21</f>
        <v>0</v>
      </c>
    </row>
    <row r="23" spans="1:15" x14ac:dyDescent="0.35">
      <c r="A23" s="24">
        <v>8</v>
      </c>
      <c r="B23" s="565" t="str">
        <f>'Schedule 2A Adjustments'!B22:D22</f>
        <v/>
      </c>
      <c r="C23" s="565"/>
      <c r="D23" s="565"/>
      <c r="F23" s="114">
        <f>'Schedule 2A Adjustments'!H22</f>
        <v>0</v>
      </c>
      <c r="G23" s="68">
        <f>'Schedule 2A Adjustments'!J22</f>
        <v>0</v>
      </c>
      <c r="H23" s="68">
        <f t="shared" si="0"/>
        <v>0</v>
      </c>
      <c r="J23" s="114">
        <f>'Schedule 2A Adjustments'!P22</f>
        <v>0</v>
      </c>
      <c r="K23" s="68">
        <f>'Schedule 2A Adjustments'!R22</f>
        <v>0</v>
      </c>
      <c r="L23" s="68">
        <f t="shared" si="1"/>
        <v>0</v>
      </c>
      <c r="N23" s="117">
        <f>'Schedule 2A Adjustments'!X22</f>
        <v>0</v>
      </c>
      <c r="O23" s="117">
        <f>'Schedule 2A Adjustments'!AA22</f>
        <v>0</v>
      </c>
    </row>
    <row r="24" spans="1:15" x14ac:dyDescent="0.35">
      <c r="A24" s="24">
        <v>9</v>
      </c>
      <c r="B24" s="565" t="str">
        <f>'Schedule 2A Adjustments'!B23:D23</f>
        <v/>
      </c>
      <c r="C24" s="565"/>
      <c r="D24" s="565"/>
      <c r="F24" s="114">
        <f>'Schedule 2A Adjustments'!H23</f>
        <v>0</v>
      </c>
      <c r="G24" s="68">
        <f>'Schedule 2A Adjustments'!J23</f>
        <v>0</v>
      </c>
      <c r="H24" s="68">
        <f t="shared" si="0"/>
        <v>0</v>
      </c>
      <c r="J24" s="114">
        <f>'Schedule 2A Adjustments'!P23</f>
        <v>0</v>
      </c>
      <c r="K24" s="68">
        <f>'Schedule 2A Adjustments'!R23</f>
        <v>0</v>
      </c>
      <c r="L24" s="68">
        <f t="shared" si="1"/>
        <v>0</v>
      </c>
      <c r="N24" s="117">
        <f>'Schedule 2A Adjustments'!X23</f>
        <v>0</v>
      </c>
      <c r="O24" s="117">
        <f>'Schedule 2A Adjustments'!AA23</f>
        <v>0</v>
      </c>
    </row>
    <row r="25" spans="1:15" x14ac:dyDescent="0.35">
      <c r="A25" s="24">
        <v>10</v>
      </c>
      <c r="B25" s="565" t="str">
        <f>'Schedule 2A Adjustments'!B24:D24</f>
        <v/>
      </c>
      <c r="C25" s="565"/>
      <c r="D25" s="565"/>
      <c r="F25" s="114">
        <f>'Schedule 2A Adjustments'!H24</f>
        <v>0</v>
      </c>
      <c r="G25" s="68">
        <f>'Schedule 2A Adjustments'!J24</f>
        <v>0</v>
      </c>
      <c r="H25" s="68">
        <f t="shared" si="0"/>
        <v>0</v>
      </c>
      <c r="J25" s="114">
        <f>'Schedule 2A Adjustments'!P24</f>
        <v>0</v>
      </c>
      <c r="K25" s="68">
        <f>'Schedule 2A Adjustments'!R24</f>
        <v>0</v>
      </c>
      <c r="L25" s="68">
        <f t="shared" si="1"/>
        <v>0</v>
      </c>
      <c r="N25" s="117">
        <f>'Schedule 2A Adjustments'!X24</f>
        <v>0</v>
      </c>
      <c r="O25" s="117">
        <f>'Schedule 2A Adjustments'!AA24</f>
        <v>0</v>
      </c>
    </row>
    <row r="26" spans="1:15" x14ac:dyDescent="0.35">
      <c r="A26" s="24">
        <v>11</v>
      </c>
      <c r="B26" s="565" t="str">
        <f>'Schedule 2A Adjustments'!B25:D25</f>
        <v/>
      </c>
      <c r="C26" s="565"/>
      <c r="D26" s="565"/>
      <c r="F26" s="114">
        <f>'Schedule 2A Adjustments'!H25</f>
        <v>0</v>
      </c>
      <c r="G26" s="68">
        <f>'Schedule 2A Adjustments'!J25</f>
        <v>0</v>
      </c>
      <c r="H26" s="68">
        <f t="shared" si="0"/>
        <v>0</v>
      </c>
      <c r="J26" s="114">
        <f>'Schedule 2A Adjustments'!P25</f>
        <v>0</v>
      </c>
      <c r="K26" s="68">
        <f>'Schedule 2A Adjustments'!R25</f>
        <v>0</v>
      </c>
      <c r="L26" s="68">
        <f t="shared" si="1"/>
        <v>0</v>
      </c>
      <c r="N26" s="117">
        <f>'Schedule 2A Adjustments'!X25</f>
        <v>0</v>
      </c>
      <c r="O26" s="117">
        <f>'Schedule 2A Adjustments'!AA25</f>
        <v>0</v>
      </c>
    </row>
    <row r="27" spans="1:15" x14ac:dyDescent="0.35">
      <c r="A27" s="24">
        <v>12</v>
      </c>
      <c r="B27" s="565" t="str">
        <f>'Schedule 2A Adjustments'!B26:D26</f>
        <v/>
      </c>
      <c r="C27" s="565"/>
      <c r="D27" s="565"/>
      <c r="F27" s="114">
        <f>'Schedule 2A Adjustments'!H26</f>
        <v>0</v>
      </c>
      <c r="G27" s="68">
        <f>'Schedule 2A Adjustments'!J26</f>
        <v>0</v>
      </c>
      <c r="H27" s="68">
        <f t="shared" si="0"/>
        <v>0</v>
      </c>
      <c r="J27" s="114">
        <f>'Schedule 2A Adjustments'!P26</f>
        <v>0</v>
      </c>
      <c r="K27" s="68">
        <f>'Schedule 2A Adjustments'!R26</f>
        <v>0</v>
      </c>
      <c r="L27" s="68">
        <f t="shared" si="1"/>
        <v>0</v>
      </c>
      <c r="N27" s="117">
        <f>'Schedule 2A Adjustments'!X26</f>
        <v>0</v>
      </c>
      <c r="O27" s="117">
        <f>'Schedule 2A Adjustments'!AA26</f>
        <v>0</v>
      </c>
    </row>
    <row r="28" spans="1:15" x14ac:dyDescent="0.35">
      <c r="A28" s="24">
        <v>13</v>
      </c>
      <c r="B28" s="565" t="str">
        <f>'Schedule 2A Adjustments'!B27:D27</f>
        <v/>
      </c>
      <c r="C28" s="565"/>
      <c r="D28" s="565"/>
      <c r="F28" s="114">
        <f>'Schedule 2A Adjustments'!H27</f>
        <v>0</v>
      </c>
      <c r="G28" s="68">
        <f>'Schedule 2A Adjustments'!J27</f>
        <v>0</v>
      </c>
      <c r="H28" s="68">
        <f t="shared" si="0"/>
        <v>0</v>
      </c>
      <c r="J28" s="114">
        <f>'Schedule 2A Adjustments'!P27</f>
        <v>0</v>
      </c>
      <c r="K28" s="68">
        <f>'Schedule 2A Adjustments'!R27</f>
        <v>0</v>
      </c>
      <c r="L28" s="68">
        <f t="shared" si="1"/>
        <v>0</v>
      </c>
      <c r="N28" s="117">
        <f>'Schedule 2A Adjustments'!X27</f>
        <v>0</v>
      </c>
      <c r="O28" s="117">
        <f>'Schedule 2A Adjustments'!AA27</f>
        <v>0</v>
      </c>
    </row>
    <row r="29" spans="1:15" x14ac:dyDescent="0.35">
      <c r="A29" s="24">
        <v>14</v>
      </c>
      <c r="B29" s="565" t="str">
        <f>'Schedule 2A Adjustments'!B28:D28</f>
        <v/>
      </c>
      <c r="C29" s="565"/>
      <c r="D29" s="565"/>
      <c r="F29" s="114">
        <f>'Schedule 2A Adjustments'!H28</f>
        <v>0</v>
      </c>
      <c r="G29" s="68">
        <f>'Schedule 2A Adjustments'!J28</f>
        <v>0</v>
      </c>
      <c r="H29" s="68">
        <f t="shared" si="0"/>
        <v>0</v>
      </c>
      <c r="J29" s="114">
        <f>'Schedule 2A Adjustments'!P28</f>
        <v>0</v>
      </c>
      <c r="K29" s="68">
        <f>'Schedule 2A Adjustments'!R28</f>
        <v>0</v>
      </c>
      <c r="L29" s="68">
        <f t="shared" si="1"/>
        <v>0</v>
      </c>
      <c r="N29" s="117">
        <f>'Schedule 2A Adjustments'!X28</f>
        <v>0</v>
      </c>
      <c r="O29" s="117">
        <f>'Schedule 2A Adjustments'!AA28</f>
        <v>0</v>
      </c>
    </row>
    <row r="30" spans="1:15" x14ac:dyDescent="0.35">
      <c r="A30" s="24">
        <v>15</v>
      </c>
      <c r="B30" s="565" t="str">
        <f>'Schedule 2A Adjustments'!B29:D29</f>
        <v/>
      </c>
      <c r="C30" s="565"/>
      <c r="D30" s="565"/>
      <c r="F30" s="114">
        <f>'Schedule 2A Adjustments'!H29</f>
        <v>0</v>
      </c>
      <c r="G30" s="68">
        <f>'Schedule 2A Adjustments'!J29</f>
        <v>0</v>
      </c>
      <c r="H30" s="68">
        <f t="shared" si="0"/>
        <v>0</v>
      </c>
      <c r="J30" s="114">
        <f>'Schedule 2A Adjustments'!P29</f>
        <v>0</v>
      </c>
      <c r="K30" s="68">
        <f>'Schedule 2A Adjustments'!R29</f>
        <v>0</v>
      </c>
      <c r="L30" s="68">
        <f t="shared" si="1"/>
        <v>0</v>
      </c>
      <c r="N30" s="117">
        <f>'Schedule 2A Adjustments'!X29</f>
        <v>0</v>
      </c>
      <c r="O30" s="117">
        <f>'Schedule 2A Adjustments'!AA29</f>
        <v>0</v>
      </c>
    </row>
    <row r="31" spans="1:15" x14ac:dyDescent="0.35">
      <c r="A31" s="24">
        <v>16</v>
      </c>
      <c r="B31" s="565" t="str">
        <f>'Schedule 2A Adjustments'!B30:D30</f>
        <v/>
      </c>
      <c r="C31" s="565"/>
      <c r="D31" s="565"/>
      <c r="F31" s="114">
        <f>'Schedule 2A Adjustments'!H30</f>
        <v>0</v>
      </c>
      <c r="G31" s="68">
        <f>'Schedule 2A Adjustments'!J30</f>
        <v>0</v>
      </c>
      <c r="H31" s="68">
        <f t="shared" si="0"/>
        <v>0</v>
      </c>
      <c r="J31" s="114">
        <f>'Schedule 2A Adjustments'!P30</f>
        <v>0</v>
      </c>
      <c r="K31" s="68">
        <f>'Schedule 2A Adjustments'!R30</f>
        <v>0</v>
      </c>
      <c r="L31" s="68">
        <f t="shared" si="1"/>
        <v>0</v>
      </c>
      <c r="N31" s="117">
        <f>'Schedule 2A Adjustments'!X30</f>
        <v>0</v>
      </c>
      <c r="O31" s="117">
        <f>'Schedule 2A Adjustments'!AA30</f>
        <v>0</v>
      </c>
    </row>
    <row r="32" spans="1:15" x14ac:dyDescent="0.35">
      <c r="A32" s="24">
        <v>17</v>
      </c>
      <c r="B32" s="565" t="str">
        <f>'Schedule 2A Adjustments'!B31:D31</f>
        <v/>
      </c>
      <c r="C32" s="565"/>
      <c r="D32" s="565"/>
      <c r="F32" s="114">
        <f>'Schedule 2A Adjustments'!H31</f>
        <v>0</v>
      </c>
      <c r="G32" s="68">
        <f>'Schedule 2A Adjustments'!J31</f>
        <v>0</v>
      </c>
      <c r="H32" s="68">
        <f t="shared" si="0"/>
        <v>0</v>
      </c>
      <c r="J32" s="114">
        <f>'Schedule 2A Adjustments'!P31</f>
        <v>0</v>
      </c>
      <c r="K32" s="68">
        <f>'Schedule 2A Adjustments'!R31</f>
        <v>0</v>
      </c>
      <c r="L32" s="68">
        <f t="shared" si="1"/>
        <v>0</v>
      </c>
      <c r="N32" s="117">
        <f>'Schedule 2A Adjustments'!X31</f>
        <v>0</v>
      </c>
      <c r="O32" s="117">
        <f>'Schedule 2A Adjustments'!AA31</f>
        <v>0</v>
      </c>
    </row>
    <row r="33" spans="1:15" x14ac:dyDescent="0.35">
      <c r="A33" s="24">
        <v>18</v>
      </c>
      <c r="B33" s="565" t="str">
        <f>'Schedule 2A Adjustments'!B32:D32</f>
        <v/>
      </c>
      <c r="C33" s="565"/>
      <c r="D33" s="565"/>
      <c r="F33" s="114">
        <f>'Schedule 2A Adjustments'!H32</f>
        <v>0</v>
      </c>
      <c r="G33" s="68">
        <f>'Schedule 2A Adjustments'!J32</f>
        <v>0</v>
      </c>
      <c r="H33" s="68">
        <f t="shared" si="0"/>
        <v>0</v>
      </c>
      <c r="J33" s="114">
        <f>'Schedule 2A Adjustments'!P32</f>
        <v>0</v>
      </c>
      <c r="K33" s="68">
        <f>'Schedule 2A Adjustments'!R32</f>
        <v>0</v>
      </c>
      <c r="L33" s="68">
        <f t="shared" si="1"/>
        <v>0</v>
      </c>
      <c r="N33" s="117">
        <f>'Schedule 2A Adjustments'!X32</f>
        <v>0</v>
      </c>
      <c r="O33" s="117">
        <f>'Schedule 2A Adjustments'!AA32</f>
        <v>0</v>
      </c>
    </row>
    <row r="34" spans="1:15" x14ac:dyDescent="0.35">
      <c r="A34" s="24">
        <v>19</v>
      </c>
      <c r="B34" s="565" t="str">
        <f>'Schedule 2A Adjustments'!B33:D33</f>
        <v/>
      </c>
      <c r="C34" s="565"/>
      <c r="D34" s="565"/>
      <c r="F34" s="114">
        <f>'Schedule 2A Adjustments'!H33</f>
        <v>0</v>
      </c>
      <c r="G34" s="68">
        <f>'Schedule 2A Adjustments'!J33</f>
        <v>0</v>
      </c>
      <c r="H34" s="68">
        <f t="shared" si="0"/>
        <v>0</v>
      </c>
      <c r="J34" s="114">
        <f>'Schedule 2A Adjustments'!P33</f>
        <v>0</v>
      </c>
      <c r="K34" s="68">
        <f>'Schedule 2A Adjustments'!R33</f>
        <v>0</v>
      </c>
      <c r="L34" s="68">
        <f t="shared" si="1"/>
        <v>0</v>
      </c>
      <c r="N34" s="117">
        <f>'Schedule 2A Adjustments'!X33</f>
        <v>0</v>
      </c>
      <c r="O34" s="117">
        <f>'Schedule 2A Adjustments'!AA33</f>
        <v>0</v>
      </c>
    </row>
    <row r="35" spans="1:15" x14ac:dyDescent="0.35">
      <c r="A35" s="24">
        <v>20</v>
      </c>
      <c r="B35" s="565" t="str">
        <f>'Schedule 2A Adjustments'!B34:D34</f>
        <v/>
      </c>
      <c r="C35" s="565"/>
      <c r="D35" s="565"/>
      <c r="F35" s="114">
        <f>'Schedule 2A Adjustments'!H34</f>
        <v>0</v>
      </c>
      <c r="G35" s="68">
        <f>'Schedule 2A Adjustments'!J34</f>
        <v>0</v>
      </c>
      <c r="H35" s="68">
        <f t="shared" si="0"/>
        <v>0</v>
      </c>
      <c r="J35" s="114">
        <f>'Schedule 2A Adjustments'!P34</f>
        <v>0</v>
      </c>
      <c r="K35" s="68">
        <f>'Schedule 2A Adjustments'!R34</f>
        <v>0</v>
      </c>
      <c r="L35" s="68">
        <f t="shared" si="1"/>
        <v>0</v>
      </c>
      <c r="N35" s="117">
        <f>'Schedule 2A Adjustments'!X34</f>
        <v>0</v>
      </c>
      <c r="O35" s="117">
        <f>'Schedule 2A Adjustments'!AA34</f>
        <v>0</v>
      </c>
    </row>
    <row r="36" spans="1:15" x14ac:dyDescent="0.35">
      <c r="A36" s="24">
        <v>21</v>
      </c>
      <c r="B36" s="565" t="str">
        <f>'Schedule 2A Adjustments'!B35:D35</f>
        <v/>
      </c>
      <c r="C36" s="565"/>
      <c r="D36" s="565"/>
      <c r="F36" s="114">
        <f>'Schedule 2A Adjustments'!H35</f>
        <v>0</v>
      </c>
      <c r="G36" s="68">
        <f>'Schedule 2A Adjustments'!J35</f>
        <v>0</v>
      </c>
      <c r="H36" s="68">
        <f t="shared" si="0"/>
        <v>0</v>
      </c>
      <c r="J36" s="114">
        <f>'Schedule 2A Adjustments'!P35</f>
        <v>0</v>
      </c>
      <c r="K36" s="68">
        <f>'Schedule 2A Adjustments'!R35</f>
        <v>0</v>
      </c>
      <c r="L36" s="68">
        <f t="shared" si="1"/>
        <v>0</v>
      </c>
      <c r="N36" s="117">
        <f>'Schedule 2A Adjustments'!X35</f>
        <v>0</v>
      </c>
      <c r="O36" s="117">
        <f>'Schedule 2A Adjustments'!AA35</f>
        <v>0</v>
      </c>
    </row>
    <row r="37" spans="1:15" x14ac:dyDescent="0.35">
      <c r="A37" s="24">
        <v>22</v>
      </c>
      <c r="B37" s="565" t="str">
        <f>'Schedule 2A Adjustments'!B36:D36</f>
        <v/>
      </c>
      <c r="C37" s="565"/>
      <c r="D37" s="565"/>
      <c r="F37" s="114">
        <f>'Schedule 2A Adjustments'!H36</f>
        <v>0</v>
      </c>
      <c r="G37" s="68">
        <f>'Schedule 2A Adjustments'!J36</f>
        <v>0</v>
      </c>
      <c r="H37" s="68">
        <f t="shared" si="0"/>
        <v>0</v>
      </c>
      <c r="J37" s="114">
        <f>'Schedule 2A Adjustments'!P36</f>
        <v>0</v>
      </c>
      <c r="K37" s="68">
        <f>'Schedule 2A Adjustments'!R36</f>
        <v>0</v>
      </c>
      <c r="L37" s="68">
        <f t="shared" si="1"/>
        <v>0</v>
      </c>
      <c r="N37" s="117">
        <f>'Schedule 2A Adjustments'!X36</f>
        <v>0</v>
      </c>
      <c r="O37" s="117">
        <f>'Schedule 2A Adjustments'!AA36</f>
        <v>0</v>
      </c>
    </row>
    <row r="38" spans="1:15" x14ac:dyDescent="0.35">
      <c r="A38" s="24">
        <v>23</v>
      </c>
      <c r="B38" s="565" t="str">
        <f>'Schedule 2A Adjustments'!B37:D37</f>
        <v/>
      </c>
      <c r="C38" s="565"/>
      <c r="D38" s="565"/>
      <c r="F38" s="114">
        <f>'Schedule 2A Adjustments'!H37</f>
        <v>0</v>
      </c>
      <c r="G38" s="68">
        <f>'Schedule 2A Adjustments'!J37</f>
        <v>0</v>
      </c>
      <c r="H38" s="68">
        <f t="shared" si="0"/>
        <v>0</v>
      </c>
      <c r="J38" s="114">
        <f>'Schedule 2A Adjustments'!P37</f>
        <v>0</v>
      </c>
      <c r="K38" s="68">
        <f>'Schedule 2A Adjustments'!R37</f>
        <v>0</v>
      </c>
      <c r="L38" s="68">
        <f t="shared" si="1"/>
        <v>0</v>
      </c>
      <c r="N38" s="117">
        <f>'Schedule 2A Adjustments'!X37</f>
        <v>0</v>
      </c>
      <c r="O38" s="117">
        <f>'Schedule 2A Adjustments'!AA37</f>
        <v>0</v>
      </c>
    </row>
    <row r="39" spans="1:15" x14ac:dyDescent="0.35">
      <c r="A39" s="24">
        <v>24</v>
      </c>
      <c r="B39" s="565" t="str">
        <f>'Schedule 2A Adjustments'!B38:D38</f>
        <v/>
      </c>
      <c r="C39" s="565"/>
      <c r="D39" s="565"/>
      <c r="F39" s="114">
        <f>'Schedule 2A Adjustments'!H38</f>
        <v>0</v>
      </c>
      <c r="G39" s="68">
        <f>'Schedule 2A Adjustments'!J38</f>
        <v>0</v>
      </c>
      <c r="H39" s="68">
        <f t="shared" si="0"/>
        <v>0</v>
      </c>
      <c r="J39" s="114">
        <f>'Schedule 2A Adjustments'!P38</f>
        <v>0</v>
      </c>
      <c r="K39" s="68">
        <f>'Schedule 2A Adjustments'!R38</f>
        <v>0</v>
      </c>
      <c r="L39" s="68">
        <f t="shared" si="1"/>
        <v>0</v>
      </c>
      <c r="N39" s="117">
        <f>'Schedule 2A Adjustments'!X38</f>
        <v>0</v>
      </c>
      <c r="O39" s="117">
        <f>'Schedule 2A Adjustments'!AA38</f>
        <v>0</v>
      </c>
    </row>
    <row r="40" spans="1:15" x14ac:dyDescent="0.35">
      <c r="A40" s="24">
        <v>25</v>
      </c>
      <c r="B40" s="565" t="str">
        <f>'Schedule 2A Adjustments'!B39:D39</f>
        <v/>
      </c>
      <c r="C40" s="565"/>
      <c r="D40" s="565"/>
      <c r="F40" s="114">
        <f>'Schedule 2A Adjustments'!H39</f>
        <v>0</v>
      </c>
      <c r="G40" s="68">
        <f>'Schedule 2A Adjustments'!J39</f>
        <v>0</v>
      </c>
      <c r="H40" s="68">
        <f t="shared" si="0"/>
        <v>0</v>
      </c>
      <c r="J40" s="114">
        <f>'Schedule 2A Adjustments'!P39</f>
        <v>0</v>
      </c>
      <c r="K40" s="68">
        <f>'Schedule 2A Adjustments'!R39</f>
        <v>0</v>
      </c>
      <c r="L40" s="68">
        <f t="shared" si="1"/>
        <v>0</v>
      </c>
      <c r="N40" s="117">
        <f>'Schedule 2A Adjustments'!X39</f>
        <v>0</v>
      </c>
      <c r="O40" s="117">
        <f>'Schedule 2A Adjustments'!AA39</f>
        <v>0</v>
      </c>
    </row>
    <row r="41" spans="1:15" x14ac:dyDescent="0.35">
      <c r="A41" s="24">
        <v>26</v>
      </c>
      <c r="B41" s="565" t="str">
        <f>'Schedule 2A Adjustments'!B40:D40</f>
        <v/>
      </c>
      <c r="C41" s="565"/>
      <c r="D41" s="565"/>
      <c r="F41" s="114">
        <f>'Schedule 2A Adjustments'!H40</f>
        <v>0</v>
      </c>
      <c r="G41" s="68">
        <f>'Schedule 2A Adjustments'!J40</f>
        <v>0</v>
      </c>
      <c r="H41" s="68">
        <f t="shared" si="0"/>
        <v>0</v>
      </c>
      <c r="J41" s="114">
        <f>'Schedule 2A Adjustments'!P40</f>
        <v>0</v>
      </c>
      <c r="K41" s="68">
        <f>'Schedule 2A Adjustments'!R40</f>
        <v>0</v>
      </c>
      <c r="L41" s="68">
        <f t="shared" si="1"/>
        <v>0</v>
      </c>
      <c r="N41" s="117">
        <f>'Schedule 2A Adjustments'!X40</f>
        <v>0</v>
      </c>
      <c r="O41" s="117">
        <f>'Schedule 2A Adjustments'!AA40</f>
        <v>0</v>
      </c>
    </row>
    <row r="42" spans="1:15" x14ac:dyDescent="0.35">
      <c r="A42" s="24">
        <v>27</v>
      </c>
      <c r="B42" s="565" t="str">
        <f>'Schedule 2A Adjustments'!B41:D41</f>
        <v/>
      </c>
      <c r="C42" s="565"/>
      <c r="D42" s="565"/>
      <c r="F42" s="114">
        <f>'Schedule 2A Adjustments'!H41</f>
        <v>0</v>
      </c>
      <c r="G42" s="68">
        <f>'Schedule 2A Adjustments'!J41</f>
        <v>0</v>
      </c>
      <c r="H42" s="68">
        <f t="shared" si="0"/>
        <v>0</v>
      </c>
      <c r="J42" s="114">
        <f>'Schedule 2A Adjustments'!P41</f>
        <v>0</v>
      </c>
      <c r="K42" s="68">
        <f>'Schedule 2A Adjustments'!R41</f>
        <v>0</v>
      </c>
      <c r="L42" s="68">
        <f t="shared" si="1"/>
        <v>0</v>
      </c>
      <c r="N42" s="117">
        <f>'Schedule 2A Adjustments'!X41</f>
        <v>0</v>
      </c>
      <c r="O42" s="117">
        <f>'Schedule 2A Adjustments'!AA41</f>
        <v>0</v>
      </c>
    </row>
    <row r="43" spans="1:15" x14ac:dyDescent="0.35">
      <c r="A43" s="24">
        <v>28</v>
      </c>
      <c r="B43" s="565" t="str">
        <f>'Schedule 2A Adjustments'!B42:D42</f>
        <v/>
      </c>
      <c r="C43" s="565"/>
      <c r="D43" s="565"/>
      <c r="F43" s="114">
        <f>'Schedule 2A Adjustments'!H42</f>
        <v>0</v>
      </c>
      <c r="G43" s="68">
        <f>'Schedule 2A Adjustments'!J42</f>
        <v>0</v>
      </c>
      <c r="H43" s="68">
        <f t="shared" si="0"/>
        <v>0</v>
      </c>
      <c r="J43" s="114">
        <f>'Schedule 2A Adjustments'!P42</f>
        <v>0</v>
      </c>
      <c r="K43" s="68">
        <f>'Schedule 2A Adjustments'!R42</f>
        <v>0</v>
      </c>
      <c r="L43" s="68">
        <f t="shared" si="1"/>
        <v>0</v>
      </c>
      <c r="N43" s="117">
        <f>'Schedule 2A Adjustments'!X42</f>
        <v>0</v>
      </c>
      <c r="O43" s="117">
        <f>'Schedule 2A Adjustments'!AA42</f>
        <v>0</v>
      </c>
    </row>
    <row r="44" spans="1:15" x14ac:dyDescent="0.35">
      <c r="A44" s="24">
        <v>29</v>
      </c>
      <c r="B44" s="565" t="str">
        <f>'Schedule 2A Adjustments'!B43:D43</f>
        <v/>
      </c>
      <c r="C44" s="565"/>
      <c r="D44" s="565"/>
      <c r="F44" s="114">
        <f>'Schedule 2A Adjustments'!H43</f>
        <v>0</v>
      </c>
      <c r="G44" s="68">
        <f>'Schedule 2A Adjustments'!J43</f>
        <v>0</v>
      </c>
      <c r="H44" s="68">
        <f t="shared" si="0"/>
        <v>0</v>
      </c>
      <c r="J44" s="114">
        <f>'Schedule 2A Adjustments'!P43</f>
        <v>0</v>
      </c>
      <c r="K44" s="68">
        <f>'Schedule 2A Adjustments'!R43</f>
        <v>0</v>
      </c>
      <c r="L44" s="68">
        <f t="shared" si="1"/>
        <v>0</v>
      </c>
      <c r="N44" s="117">
        <f>'Schedule 2A Adjustments'!X43</f>
        <v>0</v>
      </c>
      <c r="O44" s="117">
        <f>'Schedule 2A Adjustments'!AA43</f>
        <v>0</v>
      </c>
    </row>
    <row r="45" spans="1:15" x14ac:dyDescent="0.35">
      <c r="A45" s="24">
        <v>30</v>
      </c>
      <c r="B45" s="565" t="str">
        <f>'Schedule 2A Adjustments'!B44:D44</f>
        <v/>
      </c>
      <c r="C45" s="565"/>
      <c r="D45" s="565"/>
      <c r="F45" s="114">
        <f>'Schedule 2A Adjustments'!H44</f>
        <v>0</v>
      </c>
      <c r="G45" s="68">
        <f>'Schedule 2A Adjustments'!J44</f>
        <v>0</v>
      </c>
      <c r="H45" s="68">
        <f t="shared" si="0"/>
        <v>0</v>
      </c>
      <c r="J45" s="114">
        <f>'Schedule 2A Adjustments'!P44</f>
        <v>0</v>
      </c>
      <c r="K45" s="68">
        <f>'Schedule 2A Adjustments'!R44</f>
        <v>0</v>
      </c>
      <c r="L45" s="68">
        <f t="shared" si="1"/>
        <v>0</v>
      </c>
      <c r="N45" s="117">
        <f>'Schedule 2A Adjustments'!X44</f>
        <v>0</v>
      </c>
      <c r="O45" s="117">
        <f>'Schedule 2A Adjustments'!AA44</f>
        <v>0</v>
      </c>
    </row>
    <row r="46" spans="1:15" x14ac:dyDescent="0.35">
      <c r="A46" s="24">
        <v>31</v>
      </c>
      <c r="B46" s="565" t="str">
        <f>'Schedule 2A Adjustments'!B45:D45</f>
        <v/>
      </c>
      <c r="C46" s="565"/>
      <c r="D46" s="565"/>
      <c r="F46" s="114">
        <f>'Schedule 2A Adjustments'!H45</f>
        <v>0</v>
      </c>
      <c r="G46" s="68">
        <f>'Schedule 2A Adjustments'!J45</f>
        <v>0</v>
      </c>
      <c r="H46" s="68">
        <f t="shared" si="0"/>
        <v>0</v>
      </c>
      <c r="J46" s="114">
        <f>'Schedule 2A Adjustments'!P45</f>
        <v>0</v>
      </c>
      <c r="K46" s="68">
        <f>'Schedule 2A Adjustments'!R45</f>
        <v>0</v>
      </c>
      <c r="L46" s="68">
        <f t="shared" si="1"/>
        <v>0</v>
      </c>
      <c r="N46" s="117">
        <f>'Schedule 2A Adjustments'!X45</f>
        <v>0</v>
      </c>
      <c r="O46" s="117">
        <f>'Schedule 2A Adjustments'!AA45</f>
        <v>0</v>
      </c>
    </row>
    <row r="47" spans="1:15" x14ac:dyDescent="0.35">
      <c r="A47" s="24">
        <v>32</v>
      </c>
      <c r="B47" s="565" t="str">
        <f>'Schedule 2A Adjustments'!B46:D46</f>
        <v/>
      </c>
      <c r="C47" s="565"/>
      <c r="D47" s="565"/>
      <c r="F47" s="114">
        <f>'Schedule 2A Adjustments'!H46</f>
        <v>0</v>
      </c>
      <c r="G47" s="68">
        <f>'Schedule 2A Adjustments'!J46</f>
        <v>0</v>
      </c>
      <c r="H47" s="68">
        <f t="shared" si="0"/>
        <v>0</v>
      </c>
      <c r="J47" s="114">
        <f>'Schedule 2A Adjustments'!P46</f>
        <v>0</v>
      </c>
      <c r="K47" s="68">
        <f>'Schedule 2A Adjustments'!R46</f>
        <v>0</v>
      </c>
      <c r="L47" s="68">
        <f t="shared" si="1"/>
        <v>0</v>
      </c>
      <c r="N47" s="117">
        <f>'Schedule 2A Adjustments'!X46</f>
        <v>0</v>
      </c>
      <c r="O47" s="117">
        <f>'Schedule 2A Adjustments'!AA46</f>
        <v>0</v>
      </c>
    </row>
    <row r="48" spans="1:15" x14ac:dyDescent="0.35">
      <c r="A48" s="24">
        <v>33</v>
      </c>
      <c r="B48" s="565" t="str">
        <f>'Schedule 2A Adjustments'!B47:D47</f>
        <v/>
      </c>
      <c r="C48" s="565"/>
      <c r="D48" s="565"/>
      <c r="F48" s="114">
        <f>'Schedule 2A Adjustments'!H47</f>
        <v>0</v>
      </c>
      <c r="G48" s="68">
        <f>'Schedule 2A Adjustments'!J47</f>
        <v>0</v>
      </c>
      <c r="H48" s="68">
        <f t="shared" si="0"/>
        <v>0</v>
      </c>
      <c r="J48" s="114">
        <f>'Schedule 2A Adjustments'!P47</f>
        <v>0</v>
      </c>
      <c r="K48" s="68">
        <f>'Schedule 2A Adjustments'!R47</f>
        <v>0</v>
      </c>
      <c r="L48" s="68">
        <f t="shared" si="1"/>
        <v>0</v>
      </c>
      <c r="N48" s="117">
        <f>'Schedule 2A Adjustments'!X47</f>
        <v>0</v>
      </c>
      <c r="O48" s="117">
        <f>'Schedule 2A Adjustments'!AA47</f>
        <v>0</v>
      </c>
    </row>
    <row r="49" spans="1:15" x14ac:dyDescent="0.35">
      <c r="A49" s="24">
        <v>34</v>
      </c>
      <c r="B49" s="565" t="str">
        <f>'Schedule 2A Adjustments'!B48:D48</f>
        <v/>
      </c>
      <c r="C49" s="565"/>
      <c r="D49" s="565"/>
      <c r="F49" s="114">
        <f>'Schedule 2A Adjustments'!H48</f>
        <v>0</v>
      </c>
      <c r="G49" s="68">
        <f>'Schedule 2A Adjustments'!J48</f>
        <v>0</v>
      </c>
      <c r="H49" s="68">
        <f t="shared" si="0"/>
        <v>0</v>
      </c>
      <c r="J49" s="114">
        <f>'Schedule 2A Adjustments'!P48</f>
        <v>0</v>
      </c>
      <c r="K49" s="68">
        <f>'Schedule 2A Adjustments'!R48</f>
        <v>0</v>
      </c>
      <c r="L49" s="68">
        <f t="shared" si="1"/>
        <v>0</v>
      </c>
      <c r="N49" s="117">
        <f>'Schedule 2A Adjustments'!X48</f>
        <v>0</v>
      </c>
      <c r="O49" s="117">
        <f>'Schedule 2A Adjustments'!AA48</f>
        <v>0</v>
      </c>
    </row>
    <row r="50" spans="1:15" x14ac:dyDescent="0.35">
      <c r="A50" s="24">
        <v>35</v>
      </c>
      <c r="B50" s="565" t="str">
        <f>'Schedule 2A Adjustments'!B49:D49</f>
        <v/>
      </c>
      <c r="C50" s="565"/>
      <c r="D50" s="565"/>
      <c r="F50" s="114">
        <f>'Schedule 2A Adjustments'!H49</f>
        <v>0</v>
      </c>
      <c r="G50" s="68">
        <f>'Schedule 2A Adjustments'!J49</f>
        <v>0</v>
      </c>
      <c r="H50" s="68">
        <f t="shared" si="0"/>
        <v>0</v>
      </c>
      <c r="J50" s="114">
        <f>'Schedule 2A Adjustments'!P49</f>
        <v>0</v>
      </c>
      <c r="K50" s="68">
        <f>'Schedule 2A Adjustments'!R49</f>
        <v>0</v>
      </c>
      <c r="L50" s="68">
        <f t="shared" si="1"/>
        <v>0</v>
      </c>
      <c r="N50" s="117">
        <f>'Schedule 2A Adjustments'!X49</f>
        <v>0</v>
      </c>
      <c r="O50" s="117">
        <f>'Schedule 2A Adjustments'!AA49</f>
        <v>0</v>
      </c>
    </row>
    <row r="51" spans="1:15" x14ac:dyDescent="0.35">
      <c r="A51" s="24">
        <v>36</v>
      </c>
      <c r="B51" s="565" t="str">
        <f>'Schedule 2A Adjustments'!B50:D50</f>
        <v/>
      </c>
      <c r="C51" s="565"/>
      <c r="D51" s="565"/>
      <c r="F51" s="114">
        <f>'Schedule 2A Adjustments'!H50</f>
        <v>0</v>
      </c>
      <c r="G51" s="68">
        <f>'Schedule 2A Adjustments'!J50</f>
        <v>0</v>
      </c>
      <c r="H51" s="68">
        <f t="shared" si="0"/>
        <v>0</v>
      </c>
      <c r="J51" s="114">
        <f>'Schedule 2A Adjustments'!P50</f>
        <v>0</v>
      </c>
      <c r="K51" s="68">
        <f>'Schedule 2A Adjustments'!R50</f>
        <v>0</v>
      </c>
      <c r="L51" s="68">
        <f t="shared" si="1"/>
        <v>0</v>
      </c>
      <c r="N51" s="117">
        <f>'Schedule 2A Adjustments'!X50</f>
        <v>0</v>
      </c>
      <c r="O51" s="117">
        <f>'Schedule 2A Adjustments'!AA50</f>
        <v>0</v>
      </c>
    </row>
    <row r="52" spans="1:15" x14ac:dyDescent="0.35">
      <c r="A52" s="24">
        <v>37</v>
      </c>
      <c r="B52" s="565" t="str">
        <f>'Schedule 2A Adjustments'!B51:D51</f>
        <v/>
      </c>
      <c r="C52" s="565"/>
      <c r="D52" s="565"/>
      <c r="F52" s="114">
        <f>'Schedule 2A Adjustments'!H51</f>
        <v>0</v>
      </c>
      <c r="G52" s="68">
        <f>'Schedule 2A Adjustments'!J51</f>
        <v>0</v>
      </c>
      <c r="H52" s="68">
        <f t="shared" si="0"/>
        <v>0</v>
      </c>
      <c r="J52" s="114">
        <f>'Schedule 2A Adjustments'!P51</f>
        <v>0</v>
      </c>
      <c r="K52" s="68">
        <f>'Schedule 2A Adjustments'!R51</f>
        <v>0</v>
      </c>
      <c r="L52" s="68">
        <f t="shared" si="1"/>
        <v>0</v>
      </c>
      <c r="N52" s="117">
        <f>'Schedule 2A Adjustments'!X51</f>
        <v>0</v>
      </c>
      <c r="O52" s="117">
        <f>'Schedule 2A Adjustments'!AA51</f>
        <v>0</v>
      </c>
    </row>
    <row r="53" spans="1:15" x14ac:dyDescent="0.35">
      <c r="A53" s="24">
        <v>38</v>
      </c>
      <c r="B53" s="565" t="str">
        <f>'Schedule 2A Adjustments'!B52:D52</f>
        <v/>
      </c>
      <c r="C53" s="565"/>
      <c r="D53" s="565"/>
      <c r="F53" s="114">
        <f>'Schedule 2A Adjustments'!H52</f>
        <v>0</v>
      </c>
      <c r="G53" s="68">
        <f>'Schedule 2A Adjustments'!J52</f>
        <v>0</v>
      </c>
      <c r="H53" s="68">
        <f t="shared" si="0"/>
        <v>0</v>
      </c>
      <c r="J53" s="114">
        <f>'Schedule 2A Adjustments'!P52</f>
        <v>0</v>
      </c>
      <c r="K53" s="68">
        <f>'Schedule 2A Adjustments'!R52</f>
        <v>0</v>
      </c>
      <c r="L53" s="68">
        <f t="shared" si="1"/>
        <v>0</v>
      </c>
      <c r="N53" s="117">
        <f>'Schedule 2A Adjustments'!X52</f>
        <v>0</v>
      </c>
      <c r="O53" s="117">
        <f>'Schedule 2A Adjustments'!AA52</f>
        <v>0</v>
      </c>
    </row>
    <row r="54" spans="1:15" x14ac:dyDescent="0.35">
      <c r="A54" s="24">
        <v>39</v>
      </c>
      <c r="B54" s="565" t="str">
        <f>'Schedule 2A Adjustments'!B53:D53</f>
        <v/>
      </c>
      <c r="C54" s="565"/>
      <c r="D54" s="565"/>
      <c r="F54" s="114">
        <f>'Schedule 2A Adjustments'!H53</f>
        <v>0</v>
      </c>
      <c r="G54" s="68">
        <f>'Schedule 2A Adjustments'!J53</f>
        <v>0</v>
      </c>
      <c r="H54" s="68">
        <f t="shared" si="0"/>
        <v>0</v>
      </c>
      <c r="J54" s="114">
        <f>'Schedule 2A Adjustments'!P53</f>
        <v>0</v>
      </c>
      <c r="K54" s="68">
        <f>'Schedule 2A Adjustments'!R53</f>
        <v>0</v>
      </c>
      <c r="L54" s="68">
        <f t="shared" si="1"/>
        <v>0</v>
      </c>
      <c r="N54" s="117">
        <f>'Schedule 2A Adjustments'!X53</f>
        <v>0</v>
      </c>
      <c r="O54" s="117">
        <f>'Schedule 2A Adjustments'!AA53</f>
        <v>0</v>
      </c>
    </row>
    <row r="55" spans="1:15" x14ac:dyDescent="0.35">
      <c r="A55" s="24">
        <v>40</v>
      </c>
      <c r="B55" s="565" t="str">
        <f>'Schedule 2A Adjustments'!B54:D54</f>
        <v/>
      </c>
      <c r="C55" s="565"/>
      <c r="D55" s="565"/>
      <c r="F55" s="114">
        <f>'Schedule 2A Adjustments'!H54</f>
        <v>0</v>
      </c>
      <c r="G55" s="68">
        <f>'Schedule 2A Adjustments'!J54</f>
        <v>0</v>
      </c>
      <c r="H55" s="68">
        <f t="shared" si="0"/>
        <v>0</v>
      </c>
      <c r="J55" s="114">
        <f>'Schedule 2A Adjustments'!P54</f>
        <v>0</v>
      </c>
      <c r="K55" s="68">
        <f>'Schedule 2A Adjustments'!R54</f>
        <v>0</v>
      </c>
      <c r="L55" s="68">
        <f t="shared" si="1"/>
        <v>0</v>
      </c>
      <c r="N55" s="117">
        <f>'Schedule 2A Adjustments'!X54</f>
        <v>0</v>
      </c>
      <c r="O55" s="117">
        <f>'Schedule 2A Adjustments'!AA54</f>
        <v>0</v>
      </c>
    </row>
    <row r="56" spans="1:15" x14ac:dyDescent="0.35">
      <c r="A56" s="24">
        <v>41</v>
      </c>
      <c r="B56" s="565" t="str">
        <f>'Schedule 2A Adjustments'!B55:D55</f>
        <v/>
      </c>
      <c r="C56" s="565"/>
      <c r="D56" s="565"/>
      <c r="F56" s="114">
        <f>'Schedule 2A Adjustments'!H55</f>
        <v>0</v>
      </c>
      <c r="G56" s="68">
        <f>'Schedule 2A Adjustments'!J55</f>
        <v>0</v>
      </c>
      <c r="H56" s="68">
        <f t="shared" si="0"/>
        <v>0</v>
      </c>
      <c r="J56" s="114">
        <f>'Schedule 2A Adjustments'!P55</f>
        <v>0</v>
      </c>
      <c r="K56" s="68">
        <f>'Schedule 2A Adjustments'!R55</f>
        <v>0</v>
      </c>
      <c r="L56" s="68">
        <f t="shared" si="1"/>
        <v>0</v>
      </c>
      <c r="N56" s="117">
        <f>'Schedule 2A Adjustments'!X55</f>
        <v>0</v>
      </c>
      <c r="O56" s="117">
        <f>'Schedule 2A Adjustments'!AA55</f>
        <v>0</v>
      </c>
    </row>
    <row r="57" spans="1:15" x14ac:dyDescent="0.35">
      <c r="A57" s="24">
        <v>42</v>
      </c>
      <c r="B57" s="565" t="str">
        <f>'Schedule 2A Adjustments'!B56:D56</f>
        <v/>
      </c>
      <c r="C57" s="565"/>
      <c r="D57" s="565"/>
      <c r="F57" s="114">
        <f>'Schedule 2A Adjustments'!H56</f>
        <v>0</v>
      </c>
      <c r="G57" s="68">
        <f>'Schedule 2A Adjustments'!J56</f>
        <v>0</v>
      </c>
      <c r="H57" s="68">
        <f t="shared" si="0"/>
        <v>0</v>
      </c>
      <c r="J57" s="114">
        <f>'Schedule 2A Adjustments'!P56</f>
        <v>0</v>
      </c>
      <c r="K57" s="68">
        <f>'Schedule 2A Adjustments'!R56</f>
        <v>0</v>
      </c>
      <c r="L57" s="68">
        <f t="shared" si="1"/>
        <v>0</v>
      </c>
      <c r="N57" s="117">
        <f>'Schedule 2A Adjustments'!X56</f>
        <v>0</v>
      </c>
      <c r="O57" s="117">
        <f>'Schedule 2A Adjustments'!AA56</f>
        <v>0</v>
      </c>
    </row>
    <row r="58" spans="1:15" x14ac:dyDescent="0.35">
      <c r="A58" s="24">
        <v>43</v>
      </c>
      <c r="B58" s="565" t="str">
        <f>'Schedule 2A Adjustments'!B57:D57</f>
        <v/>
      </c>
      <c r="C58" s="565"/>
      <c r="D58" s="565"/>
      <c r="F58" s="114">
        <f>'Schedule 2A Adjustments'!H57</f>
        <v>0</v>
      </c>
      <c r="G58" s="68">
        <f>'Schedule 2A Adjustments'!J57</f>
        <v>0</v>
      </c>
      <c r="H58" s="68">
        <f t="shared" si="0"/>
        <v>0</v>
      </c>
      <c r="J58" s="114">
        <f>'Schedule 2A Adjustments'!P57</f>
        <v>0</v>
      </c>
      <c r="K58" s="68">
        <f>'Schedule 2A Adjustments'!R57</f>
        <v>0</v>
      </c>
      <c r="L58" s="68">
        <f t="shared" si="1"/>
        <v>0</v>
      </c>
      <c r="N58" s="117">
        <f>'Schedule 2A Adjustments'!X57</f>
        <v>0</v>
      </c>
      <c r="O58" s="117">
        <f>'Schedule 2A Adjustments'!AA57</f>
        <v>0</v>
      </c>
    </row>
    <row r="59" spans="1:15" x14ac:dyDescent="0.35">
      <c r="A59" s="24">
        <v>44</v>
      </c>
      <c r="B59" s="565" t="str">
        <f>'Schedule 2A Adjustments'!B58:D58</f>
        <v/>
      </c>
      <c r="C59" s="565"/>
      <c r="D59" s="565"/>
      <c r="F59" s="114">
        <f>'Schedule 2A Adjustments'!H58</f>
        <v>0</v>
      </c>
      <c r="G59" s="68">
        <f>'Schedule 2A Adjustments'!J58</f>
        <v>0</v>
      </c>
      <c r="H59" s="68">
        <f t="shared" si="0"/>
        <v>0</v>
      </c>
      <c r="J59" s="114">
        <f>'Schedule 2A Adjustments'!P58</f>
        <v>0</v>
      </c>
      <c r="K59" s="68">
        <f>'Schedule 2A Adjustments'!R58</f>
        <v>0</v>
      </c>
      <c r="L59" s="68">
        <f t="shared" si="1"/>
        <v>0</v>
      </c>
      <c r="N59" s="117">
        <f>'Schedule 2A Adjustments'!X58</f>
        <v>0</v>
      </c>
      <c r="O59" s="117">
        <f>'Schedule 2A Adjustments'!AA58</f>
        <v>0</v>
      </c>
    </row>
    <row r="60" spans="1:15" x14ac:dyDescent="0.35">
      <c r="A60" s="24">
        <v>45</v>
      </c>
      <c r="B60" s="565" t="str">
        <f>'Schedule 2A Adjustments'!B59:D59</f>
        <v/>
      </c>
      <c r="C60" s="565"/>
      <c r="D60" s="565"/>
      <c r="F60" s="114">
        <f>'Schedule 2A Adjustments'!H59</f>
        <v>0</v>
      </c>
      <c r="G60" s="68">
        <f>'Schedule 2A Adjustments'!J59</f>
        <v>0</v>
      </c>
      <c r="H60" s="68">
        <f t="shared" si="0"/>
        <v>0</v>
      </c>
      <c r="J60" s="114">
        <f>'Schedule 2A Adjustments'!P59</f>
        <v>0</v>
      </c>
      <c r="K60" s="68">
        <f>'Schedule 2A Adjustments'!R59</f>
        <v>0</v>
      </c>
      <c r="L60" s="68">
        <f t="shared" si="1"/>
        <v>0</v>
      </c>
      <c r="N60" s="117">
        <f>'Schedule 2A Adjustments'!X59</f>
        <v>0</v>
      </c>
      <c r="O60" s="117">
        <f>'Schedule 2A Adjustments'!AA59</f>
        <v>0</v>
      </c>
    </row>
    <row r="61" spans="1:15" x14ac:dyDescent="0.35">
      <c r="A61" s="24">
        <v>46</v>
      </c>
      <c r="B61" s="565" t="str">
        <f>'Schedule 2A Adjustments'!B60:D60</f>
        <v/>
      </c>
      <c r="C61" s="565"/>
      <c r="D61" s="565"/>
      <c r="F61" s="114">
        <f>'Schedule 2A Adjustments'!H60</f>
        <v>0</v>
      </c>
      <c r="G61" s="68">
        <f>'Schedule 2A Adjustments'!J60</f>
        <v>0</v>
      </c>
      <c r="H61" s="68">
        <f t="shared" si="0"/>
        <v>0</v>
      </c>
      <c r="J61" s="114">
        <f>'Schedule 2A Adjustments'!P60</f>
        <v>0</v>
      </c>
      <c r="K61" s="68">
        <f>'Schedule 2A Adjustments'!R60</f>
        <v>0</v>
      </c>
      <c r="L61" s="68">
        <f t="shared" si="1"/>
        <v>0</v>
      </c>
      <c r="N61" s="117">
        <f>'Schedule 2A Adjustments'!X60</f>
        <v>0</v>
      </c>
      <c r="O61" s="117">
        <f>'Schedule 2A Adjustments'!AA60</f>
        <v>0</v>
      </c>
    </row>
    <row r="62" spans="1:15" x14ac:dyDescent="0.35">
      <c r="A62" s="24">
        <v>47</v>
      </c>
      <c r="B62" s="565" t="str">
        <f>'Schedule 2A Adjustments'!B61:D61</f>
        <v/>
      </c>
      <c r="C62" s="565"/>
      <c r="D62" s="565"/>
      <c r="F62" s="114">
        <f>'Schedule 2A Adjustments'!H61</f>
        <v>0</v>
      </c>
      <c r="G62" s="68">
        <f>'Schedule 2A Adjustments'!J61</f>
        <v>0</v>
      </c>
      <c r="H62" s="68">
        <f t="shared" si="0"/>
        <v>0</v>
      </c>
      <c r="J62" s="114">
        <f>'Schedule 2A Adjustments'!P61</f>
        <v>0</v>
      </c>
      <c r="K62" s="68">
        <f>'Schedule 2A Adjustments'!R61</f>
        <v>0</v>
      </c>
      <c r="L62" s="68">
        <f t="shared" si="1"/>
        <v>0</v>
      </c>
      <c r="N62" s="117">
        <f>'Schedule 2A Adjustments'!X61</f>
        <v>0</v>
      </c>
      <c r="O62" s="117">
        <f>'Schedule 2A Adjustments'!AA61</f>
        <v>0</v>
      </c>
    </row>
    <row r="63" spans="1:15" x14ac:dyDescent="0.35">
      <c r="A63" s="24">
        <v>48</v>
      </c>
      <c r="B63" s="565" t="str">
        <f>'Schedule 2A Adjustments'!B62:D62</f>
        <v/>
      </c>
      <c r="C63" s="565"/>
      <c r="D63" s="565"/>
      <c r="F63" s="114">
        <f>'Schedule 2A Adjustments'!H62</f>
        <v>0</v>
      </c>
      <c r="G63" s="68">
        <f>'Schedule 2A Adjustments'!J62</f>
        <v>0</v>
      </c>
      <c r="H63" s="68">
        <f t="shared" si="0"/>
        <v>0</v>
      </c>
      <c r="J63" s="114">
        <f>'Schedule 2A Adjustments'!P62</f>
        <v>0</v>
      </c>
      <c r="K63" s="68">
        <f>'Schedule 2A Adjustments'!R62</f>
        <v>0</v>
      </c>
      <c r="L63" s="68">
        <f t="shared" si="1"/>
        <v>0</v>
      </c>
      <c r="N63" s="117">
        <f>'Schedule 2A Adjustments'!X62</f>
        <v>0</v>
      </c>
      <c r="O63" s="117">
        <f>'Schedule 2A Adjustments'!AA62</f>
        <v>0</v>
      </c>
    </row>
    <row r="64" spans="1:15" x14ac:dyDescent="0.35">
      <c r="A64" s="24">
        <v>49</v>
      </c>
      <c r="B64" s="565" t="str">
        <f>'Schedule 2A Adjustments'!B63:D63</f>
        <v/>
      </c>
      <c r="C64" s="565"/>
      <c r="D64" s="565"/>
      <c r="F64" s="114">
        <f>'Schedule 2A Adjustments'!H63</f>
        <v>0</v>
      </c>
      <c r="G64" s="68">
        <f>'Schedule 2A Adjustments'!J63</f>
        <v>0</v>
      </c>
      <c r="H64" s="68">
        <f t="shared" si="0"/>
        <v>0</v>
      </c>
      <c r="J64" s="114">
        <f>'Schedule 2A Adjustments'!P63</f>
        <v>0</v>
      </c>
      <c r="K64" s="68">
        <f>'Schedule 2A Adjustments'!R63</f>
        <v>0</v>
      </c>
      <c r="L64" s="68">
        <f t="shared" si="1"/>
        <v>0</v>
      </c>
      <c r="N64" s="117">
        <f>'Schedule 2A Adjustments'!X63</f>
        <v>0</v>
      </c>
      <c r="O64" s="117">
        <f>'Schedule 2A Adjustments'!AA63</f>
        <v>0</v>
      </c>
    </row>
    <row r="65" spans="1:15" x14ac:dyDescent="0.35">
      <c r="A65" s="24">
        <v>50</v>
      </c>
      <c r="B65" s="565" t="str">
        <f>'Schedule 2A Adjustments'!B64:D64</f>
        <v/>
      </c>
      <c r="C65" s="565"/>
      <c r="D65" s="565"/>
      <c r="F65" s="114">
        <f>'Schedule 2A Adjustments'!H64</f>
        <v>0</v>
      </c>
      <c r="G65" s="68">
        <f>'Schedule 2A Adjustments'!J64</f>
        <v>0</v>
      </c>
      <c r="H65" s="68">
        <f t="shared" si="0"/>
        <v>0</v>
      </c>
      <c r="J65" s="114">
        <f>'Schedule 2A Adjustments'!P64</f>
        <v>0</v>
      </c>
      <c r="K65" s="68">
        <f>'Schedule 2A Adjustments'!R64</f>
        <v>0</v>
      </c>
      <c r="L65" s="68">
        <f t="shared" si="1"/>
        <v>0</v>
      </c>
      <c r="N65" s="117">
        <f>'Schedule 2A Adjustments'!X64</f>
        <v>0</v>
      </c>
      <c r="O65" s="117">
        <f>'Schedule 2A Adjustments'!AA64</f>
        <v>0</v>
      </c>
    </row>
    <row r="66" spans="1:15" x14ac:dyDescent="0.35">
      <c r="A66" s="24">
        <v>51</v>
      </c>
      <c r="B66" s="565" t="str">
        <f>'Schedule 2A Adjustments'!B65:D65</f>
        <v/>
      </c>
      <c r="C66" s="565"/>
      <c r="D66" s="565"/>
      <c r="F66" s="114">
        <f>'Schedule 2A Adjustments'!H65</f>
        <v>0</v>
      </c>
      <c r="G66" s="68">
        <f>'Schedule 2A Adjustments'!J65</f>
        <v>0</v>
      </c>
      <c r="H66" s="68">
        <f t="shared" si="0"/>
        <v>0</v>
      </c>
      <c r="J66" s="114">
        <f>'Schedule 2A Adjustments'!P65</f>
        <v>0</v>
      </c>
      <c r="K66" s="68">
        <f>'Schedule 2A Adjustments'!R65</f>
        <v>0</v>
      </c>
      <c r="L66" s="68">
        <f t="shared" si="1"/>
        <v>0</v>
      </c>
      <c r="N66" s="117">
        <f>'Schedule 2A Adjustments'!X65</f>
        <v>0</v>
      </c>
      <c r="O66" s="117">
        <f>'Schedule 2A Adjustments'!AA65</f>
        <v>0</v>
      </c>
    </row>
    <row r="67" spans="1:15" x14ac:dyDescent="0.35">
      <c r="A67" s="24">
        <v>52</v>
      </c>
      <c r="B67" s="565" t="str">
        <f>'Schedule 2A Adjustments'!B66:D66</f>
        <v/>
      </c>
      <c r="C67" s="565"/>
      <c r="D67" s="565"/>
      <c r="F67" s="114">
        <f>'Schedule 2A Adjustments'!H66</f>
        <v>0</v>
      </c>
      <c r="G67" s="68">
        <f>'Schedule 2A Adjustments'!J66</f>
        <v>0</v>
      </c>
      <c r="H67" s="68">
        <f t="shared" si="0"/>
        <v>0</v>
      </c>
      <c r="J67" s="114">
        <f>'Schedule 2A Adjustments'!P66</f>
        <v>0</v>
      </c>
      <c r="K67" s="68">
        <f>'Schedule 2A Adjustments'!R66</f>
        <v>0</v>
      </c>
      <c r="L67" s="68">
        <f t="shared" si="1"/>
        <v>0</v>
      </c>
      <c r="N67" s="117">
        <f>'Schedule 2A Adjustments'!X66</f>
        <v>0</v>
      </c>
      <c r="O67" s="117">
        <f>'Schedule 2A Adjustments'!AA66</f>
        <v>0</v>
      </c>
    </row>
    <row r="68" spans="1:15" x14ac:dyDescent="0.35">
      <c r="A68" s="24">
        <v>53</v>
      </c>
      <c r="B68" s="565" t="str">
        <f>'Schedule 2A Adjustments'!B67:D67</f>
        <v/>
      </c>
      <c r="C68" s="565"/>
      <c r="D68" s="565"/>
      <c r="F68" s="114">
        <f>'Schedule 2A Adjustments'!H67</f>
        <v>0</v>
      </c>
      <c r="G68" s="68">
        <f>'Schedule 2A Adjustments'!J67</f>
        <v>0</v>
      </c>
      <c r="H68" s="68">
        <f t="shared" si="0"/>
        <v>0</v>
      </c>
      <c r="J68" s="114">
        <f>'Schedule 2A Adjustments'!P67</f>
        <v>0</v>
      </c>
      <c r="K68" s="68">
        <f>'Schedule 2A Adjustments'!R67</f>
        <v>0</v>
      </c>
      <c r="L68" s="68">
        <f t="shared" si="1"/>
        <v>0</v>
      </c>
      <c r="N68" s="117">
        <f>'Schedule 2A Adjustments'!X67</f>
        <v>0</v>
      </c>
      <c r="O68" s="117">
        <f>'Schedule 2A Adjustments'!AA67</f>
        <v>0</v>
      </c>
    </row>
    <row r="69" spans="1:15" x14ac:dyDescent="0.35">
      <c r="A69" s="24">
        <v>54</v>
      </c>
      <c r="B69" s="565" t="str">
        <f>'Schedule 2A Adjustments'!B68:D68</f>
        <v/>
      </c>
      <c r="C69" s="565"/>
      <c r="D69" s="565"/>
      <c r="F69" s="114">
        <f>'Schedule 2A Adjustments'!H68</f>
        <v>0</v>
      </c>
      <c r="G69" s="68">
        <f>'Schedule 2A Adjustments'!J68</f>
        <v>0</v>
      </c>
      <c r="H69" s="68">
        <f t="shared" si="0"/>
        <v>0</v>
      </c>
      <c r="J69" s="114">
        <f>'Schedule 2A Adjustments'!P68</f>
        <v>0</v>
      </c>
      <c r="K69" s="68">
        <f>'Schedule 2A Adjustments'!R68</f>
        <v>0</v>
      </c>
      <c r="L69" s="68">
        <f t="shared" si="1"/>
        <v>0</v>
      </c>
      <c r="N69" s="117">
        <f>'Schedule 2A Adjustments'!X68</f>
        <v>0</v>
      </c>
      <c r="O69" s="117">
        <f>'Schedule 2A Adjustments'!AA68</f>
        <v>0</v>
      </c>
    </row>
    <row r="70" spans="1:15" x14ac:dyDescent="0.35">
      <c r="A70" s="24">
        <v>55</v>
      </c>
      <c r="B70" s="565" t="str">
        <f>'Schedule 2A Adjustments'!B69:D69</f>
        <v/>
      </c>
      <c r="C70" s="565"/>
      <c r="D70" s="565"/>
      <c r="F70" s="114">
        <f>'Schedule 2A Adjustments'!H69</f>
        <v>0</v>
      </c>
      <c r="G70" s="68">
        <f>'Schedule 2A Adjustments'!J69</f>
        <v>0</v>
      </c>
      <c r="H70" s="68">
        <f t="shared" si="0"/>
        <v>0</v>
      </c>
      <c r="J70" s="114">
        <f>'Schedule 2A Adjustments'!P69</f>
        <v>0</v>
      </c>
      <c r="K70" s="68">
        <f>'Schedule 2A Adjustments'!R69</f>
        <v>0</v>
      </c>
      <c r="L70" s="68">
        <f t="shared" si="1"/>
        <v>0</v>
      </c>
      <c r="N70" s="117">
        <f>'Schedule 2A Adjustments'!X69</f>
        <v>0</v>
      </c>
      <c r="O70" s="117">
        <f>'Schedule 2A Adjustments'!AA69</f>
        <v>0</v>
      </c>
    </row>
    <row r="71" spans="1:15" x14ac:dyDescent="0.35">
      <c r="A71" s="24">
        <v>56</v>
      </c>
      <c r="B71" s="565" t="str">
        <f>'Schedule 2A Adjustments'!B70:D70</f>
        <v/>
      </c>
      <c r="C71" s="565"/>
      <c r="D71" s="565"/>
      <c r="F71" s="114">
        <f>'Schedule 2A Adjustments'!H70</f>
        <v>0</v>
      </c>
      <c r="G71" s="68">
        <f>'Schedule 2A Adjustments'!J70</f>
        <v>0</v>
      </c>
      <c r="H71" s="68">
        <f t="shared" si="0"/>
        <v>0</v>
      </c>
      <c r="J71" s="114">
        <f>'Schedule 2A Adjustments'!P70</f>
        <v>0</v>
      </c>
      <c r="K71" s="68">
        <f>'Schedule 2A Adjustments'!R70</f>
        <v>0</v>
      </c>
      <c r="L71" s="68">
        <f t="shared" si="1"/>
        <v>0</v>
      </c>
      <c r="N71" s="117">
        <f>'Schedule 2A Adjustments'!X70</f>
        <v>0</v>
      </c>
      <c r="O71" s="117">
        <f>'Schedule 2A Adjustments'!AA70</f>
        <v>0</v>
      </c>
    </row>
    <row r="72" spans="1:15" x14ac:dyDescent="0.35">
      <c r="A72" s="24">
        <v>57</v>
      </c>
      <c r="B72" s="565" t="str">
        <f>'Schedule 2A Adjustments'!B71:D71</f>
        <v/>
      </c>
      <c r="C72" s="565"/>
      <c r="D72" s="565"/>
      <c r="F72" s="114">
        <f>'Schedule 2A Adjustments'!H71</f>
        <v>0</v>
      </c>
      <c r="G72" s="68">
        <f>'Schedule 2A Adjustments'!J71</f>
        <v>0</v>
      </c>
      <c r="H72" s="68">
        <f t="shared" si="0"/>
        <v>0</v>
      </c>
      <c r="J72" s="114">
        <f>'Schedule 2A Adjustments'!P71</f>
        <v>0</v>
      </c>
      <c r="K72" s="68">
        <f>'Schedule 2A Adjustments'!R71</f>
        <v>0</v>
      </c>
      <c r="L72" s="68">
        <f t="shared" si="1"/>
        <v>0</v>
      </c>
      <c r="N72" s="117">
        <f>'Schedule 2A Adjustments'!X71</f>
        <v>0</v>
      </c>
      <c r="O72" s="117">
        <f>'Schedule 2A Adjustments'!AA71</f>
        <v>0</v>
      </c>
    </row>
    <row r="73" spans="1:15" x14ac:dyDescent="0.35">
      <c r="A73" s="24">
        <v>58</v>
      </c>
      <c r="B73" s="565" t="str">
        <f>'Schedule 2A Adjustments'!B72:D72</f>
        <v/>
      </c>
      <c r="C73" s="565"/>
      <c r="D73" s="565"/>
      <c r="F73" s="114">
        <f>'Schedule 2A Adjustments'!H72</f>
        <v>0</v>
      </c>
      <c r="G73" s="68">
        <f>'Schedule 2A Adjustments'!J72</f>
        <v>0</v>
      </c>
      <c r="H73" s="68">
        <f t="shared" si="0"/>
        <v>0</v>
      </c>
      <c r="J73" s="114">
        <f>'Schedule 2A Adjustments'!P72</f>
        <v>0</v>
      </c>
      <c r="K73" s="68">
        <f>'Schedule 2A Adjustments'!R72</f>
        <v>0</v>
      </c>
      <c r="L73" s="68">
        <f t="shared" si="1"/>
        <v>0</v>
      </c>
      <c r="N73" s="117">
        <f>'Schedule 2A Adjustments'!X72</f>
        <v>0</v>
      </c>
      <c r="O73" s="117">
        <f>'Schedule 2A Adjustments'!AA72</f>
        <v>0</v>
      </c>
    </row>
    <row r="74" spans="1:15" x14ac:dyDescent="0.35">
      <c r="A74" s="24">
        <v>59</v>
      </c>
      <c r="F74" s="18">
        <f>SUM(F16:F73)</f>
        <v>9771359.4962465614</v>
      </c>
      <c r="G74" s="18">
        <f t="shared" ref="G74" si="2">SUM(G16:G73)</f>
        <v>2539598.4340161034</v>
      </c>
      <c r="H74" s="18">
        <f>SUM(H16:H73)</f>
        <v>12310957.930262664</v>
      </c>
      <c r="J74" s="18">
        <f>SUM(J16:J73)</f>
        <v>10459.615277839328</v>
      </c>
      <c r="K74" s="18">
        <f t="shared" ref="K74:L74" si="3">SUM(K16:K73)</f>
        <v>2718.4776683546752</v>
      </c>
      <c r="L74" s="18">
        <f t="shared" si="3"/>
        <v>13178.092946194003</v>
      </c>
      <c r="O74" s="83" t="s">
        <v>313</v>
      </c>
    </row>
    <row r="75" spans="1:15" ht="15" thickBot="1" x14ac:dyDescent="0.4">
      <c r="H75" s="37" t="s">
        <v>257</v>
      </c>
      <c r="L75" s="37" t="s">
        <v>258</v>
      </c>
    </row>
    <row r="76" spans="1:15" ht="16" thickBot="1" x14ac:dyDescent="0.4">
      <c r="A76" s="24">
        <v>60</v>
      </c>
      <c r="B76" s="134" t="s">
        <v>463</v>
      </c>
      <c r="C76" s="72"/>
      <c r="E76" s="72"/>
      <c r="F76" s="75">
        <f>H74+L74</f>
        <v>12324136.023208858</v>
      </c>
      <c r="I76" s="74"/>
      <c r="J76" s="74"/>
      <c r="K76" s="74"/>
      <c r="L76" s="74"/>
      <c r="N76" s="72"/>
      <c r="O76" s="72"/>
    </row>
  </sheetData>
  <sheetProtection sheet="1" objects="1" scenarios="1"/>
  <customSheetViews>
    <customSheetView guid="{17302493-42B1-4877-869E-E424A97AE78B}">
      <selection activeCell="D9" sqref="D9"/>
      <pageMargins left="0.7" right="0.7" top="0.75" bottom="0.75" header="0.3" footer="0.3"/>
      <pageSetup orientation="portrait" horizontalDpi="1200" verticalDpi="1200" r:id="rId1"/>
    </customSheetView>
    <customSheetView guid="{5C0BA3A5-859C-46C2-B685-44D9A90065E4}">
      <selection activeCell="D9" sqref="D9"/>
      <pageMargins left="0.7" right="0.7" top="0.75" bottom="0.75" header="0.3" footer="0.3"/>
      <pageSetup orientation="portrait" horizontalDpi="1200" verticalDpi="1200" r:id="rId2"/>
    </customSheetView>
  </customSheetViews>
  <mergeCells count="65">
    <mergeCell ref="B20:D20"/>
    <mergeCell ref="A3:F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scale="37" fitToHeight="0" orientation="portrait" horizontalDpi="1200" verticalDpi="12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8971D"/>
    <pageSetUpPr fitToPage="1"/>
  </sheetPr>
  <dimension ref="A1:O76"/>
  <sheetViews>
    <sheetView workbookViewId="0">
      <selection activeCell="C26" sqref="C26"/>
    </sheetView>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5" width="12" customWidth="1"/>
  </cols>
  <sheetData>
    <row r="1" spans="1:15" ht="26" x14ac:dyDescent="0.6">
      <c r="A1" s="3" t="s">
        <v>777</v>
      </c>
    </row>
    <row r="2" spans="1:15" ht="21" x14ac:dyDescent="0.5">
      <c r="A2" s="2" t="s">
        <v>775</v>
      </c>
    </row>
    <row r="3" spans="1:15" ht="25" customHeight="1" x14ac:dyDescent="0.5">
      <c r="A3" s="546" t="s">
        <v>688</v>
      </c>
      <c r="B3" s="546"/>
      <c r="C3" s="546"/>
      <c r="D3" s="546"/>
      <c r="E3" s="546"/>
      <c r="F3" s="546"/>
      <c r="G3" s="546"/>
      <c r="H3" s="546"/>
    </row>
    <row r="4" spans="1:15" ht="25" customHeight="1" x14ac:dyDescent="0.5">
      <c r="A4" s="235" t="str">
        <f>Results!A4</f>
        <v>Final Adjustments</v>
      </c>
      <c r="B4" s="354"/>
      <c r="C4" s="354"/>
      <c r="D4" s="354"/>
      <c r="E4" s="354"/>
      <c r="F4" s="354"/>
      <c r="G4" s="354"/>
      <c r="H4" s="354"/>
    </row>
    <row r="6" spans="1:15" x14ac:dyDescent="0.35">
      <c r="A6" s="1" t="s">
        <v>776</v>
      </c>
      <c r="C6" s="414" t="str">
        <f>Results!$C$6</f>
        <v>WellPower</v>
      </c>
    </row>
    <row r="7" spans="1:15" x14ac:dyDescent="0.35">
      <c r="A7" s="1" t="s">
        <v>0</v>
      </c>
      <c r="C7" s="35">
        <f>Results!$C$7</f>
        <v>45473</v>
      </c>
      <c r="F7" s="35"/>
    </row>
    <row r="9" spans="1:15" x14ac:dyDescent="0.35">
      <c r="A9" s="1" t="s">
        <v>253</v>
      </c>
      <c r="B9" s="1" t="s">
        <v>748</v>
      </c>
      <c r="C9" s="1"/>
      <c r="F9" s="116" t="str">
        <f>'Schedule 2B Adjustments'!F8</f>
        <v>Yes</v>
      </c>
      <c r="G9" s="41" t="s">
        <v>259</v>
      </c>
    </row>
    <row r="11" spans="1:15" x14ac:dyDescent="0.35">
      <c r="A11" s="1" t="s">
        <v>254</v>
      </c>
      <c r="B11" s="1" t="s">
        <v>256</v>
      </c>
      <c r="C11" s="1"/>
    </row>
    <row r="12" spans="1:15" x14ac:dyDescent="0.35">
      <c r="B12" s="311" t="s">
        <v>592</v>
      </c>
    </row>
    <row r="13" spans="1:15" x14ac:dyDescent="0.35">
      <c r="B13" s="560">
        <v>1</v>
      </c>
      <c r="C13" s="560"/>
      <c r="D13" s="560"/>
      <c r="F13" s="23">
        <v>2</v>
      </c>
      <c r="G13" s="23">
        <v>3</v>
      </c>
      <c r="H13" s="23">
        <v>4</v>
      </c>
      <c r="J13" s="23">
        <v>5</v>
      </c>
      <c r="K13" s="23">
        <v>6</v>
      </c>
      <c r="L13" s="23">
        <v>7</v>
      </c>
      <c r="N13" s="23">
        <v>8</v>
      </c>
      <c r="O13" s="23">
        <v>9</v>
      </c>
    </row>
    <row r="14" spans="1:15" ht="15" customHeight="1" x14ac:dyDescent="0.35">
      <c r="B14" s="569" t="s">
        <v>606</v>
      </c>
      <c r="C14" s="570"/>
      <c r="D14" s="571"/>
      <c r="F14" s="563" t="s">
        <v>261</v>
      </c>
      <c r="G14" s="568"/>
      <c r="H14" s="564"/>
      <c r="J14" s="563" t="s">
        <v>262</v>
      </c>
      <c r="K14" s="568"/>
      <c r="L14" s="564"/>
      <c r="N14" s="566" t="s">
        <v>686</v>
      </c>
      <c r="O14" s="566" t="s">
        <v>687</v>
      </c>
    </row>
    <row r="15" spans="1:15" ht="55.5" customHeight="1" x14ac:dyDescent="0.35">
      <c r="B15" s="572"/>
      <c r="C15" s="573"/>
      <c r="D15" s="574"/>
      <c r="E15" s="48"/>
      <c r="F15" s="10" t="s">
        <v>683</v>
      </c>
      <c r="G15" s="142" t="s">
        <v>684</v>
      </c>
      <c r="H15" s="142" t="s">
        <v>685</v>
      </c>
      <c r="I15" s="99"/>
      <c r="J15" s="10" t="s">
        <v>683</v>
      </c>
      <c r="K15" s="142" t="s">
        <v>684</v>
      </c>
      <c r="L15" s="142" t="s">
        <v>685</v>
      </c>
      <c r="M15" s="48"/>
      <c r="N15" s="567"/>
      <c r="O15" s="567"/>
    </row>
    <row r="16" spans="1:15" x14ac:dyDescent="0.35">
      <c r="A16" s="24">
        <v>1</v>
      </c>
      <c r="B16" s="565" t="str">
        <f>'Schedule 2B Adjustments'!B15:D15</f>
        <v>100-883-Competency Restoration</v>
      </c>
      <c r="C16" s="565"/>
      <c r="D16" s="565"/>
      <c r="F16" s="114">
        <f>'Schedule 2B Adjustments'!H15</f>
        <v>492159.11870480696</v>
      </c>
      <c r="G16" s="173">
        <f>'Schedule 2B Adjustments'!J15</f>
        <v>127913.26812093935</v>
      </c>
      <c r="H16" s="173">
        <f>SUM(F16:G16)</f>
        <v>620072.38682574627</v>
      </c>
      <c r="I16" s="99"/>
      <c r="J16" s="172">
        <f>'Schedule 2B Adjustments'!P15</f>
        <v>48.310409679635868</v>
      </c>
      <c r="K16" s="173">
        <f>'Schedule 2B Adjustments'!R15</f>
        <v>12.555984744621028</v>
      </c>
      <c r="L16" s="68">
        <f>SUM(J16:K16)</f>
        <v>60.866394424256896</v>
      </c>
      <c r="N16" s="117">
        <f>'Schedule 2B Adjustments'!X15</f>
        <v>3.2458125</v>
      </c>
      <c r="O16" s="117">
        <f>'Schedule 2B Adjustments'!AA15</f>
        <v>5</v>
      </c>
    </row>
    <row r="17" spans="1:15" x14ac:dyDescent="0.35">
      <c r="A17" s="24">
        <v>2</v>
      </c>
      <c r="B17" s="565" t="str">
        <f>'Schedule 2B Adjustments'!B16:D16</f>
        <v>200-448-Right Start Colorado</v>
      </c>
      <c r="C17" s="565"/>
      <c r="D17" s="565"/>
      <c r="F17" s="114">
        <f>'Schedule 2B Adjustments'!H16</f>
        <v>863339.47369365918</v>
      </c>
      <c r="G17" s="173">
        <f>'Schedule 2B Adjustments'!J16</f>
        <v>224383.88192133498</v>
      </c>
      <c r="H17" s="68">
        <f t="shared" ref="H17:H73" si="0">SUM(F17:G17)</f>
        <v>1087723.3556149942</v>
      </c>
      <c r="J17" s="172">
        <f>'Schedule 2B Adjustments'!P16</f>
        <v>36.0497285862673</v>
      </c>
      <c r="K17" s="173">
        <f>'Schedule 2B Adjustments'!R16</f>
        <v>9.3694059971447654</v>
      </c>
      <c r="L17" s="68">
        <f t="shared" ref="L17:L73" si="1">SUM(J17:K17)</f>
        <v>45.419134583412067</v>
      </c>
      <c r="N17" s="117">
        <f>'Schedule 2B Adjustments'!X16</f>
        <v>4.3562499999999993</v>
      </c>
      <c r="O17" s="117">
        <f>'Schedule 2B Adjustments'!AA16</f>
        <v>85</v>
      </c>
    </row>
    <row r="18" spans="1:15" x14ac:dyDescent="0.35">
      <c r="A18" s="24">
        <v>3</v>
      </c>
      <c r="B18" s="565" t="str">
        <f>'Schedule 2B Adjustments'!B17:D17</f>
        <v>200-470-Dahlia Farm and Gardens</v>
      </c>
      <c r="C18" s="565"/>
      <c r="D18" s="565"/>
      <c r="F18" s="114">
        <f>'Schedule 2B Adjustments'!H17</f>
        <v>0</v>
      </c>
      <c r="G18" s="173">
        <f>'Schedule 2B Adjustments'!J17</f>
        <v>0</v>
      </c>
      <c r="H18" s="68">
        <f t="shared" si="0"/>
        <v>0</v>
      </c>
      <c r="J18" s="172">
        <f>'Schedule 2B Adjustments'!P17</f>
        <v>803255.4091492797</v>
      </c>
      <c r="K18" s="173">
        <f>'Schedule 2B Adjustments'!R17</f>
        <v>208767.89764761727</v>
      </c>
      <c r="L18" s="68">
        <f t="shared" si="1"/>
        <v>1012023.306796897</v>
      </c>
      <c r="N18" s="117">
        <f>'Schedule 2B Adjustments'!X17</f>
        <v>6.9390625000000004</v>
      </c>
      <c r="O18" s="117">
        <f>'Schedule 2B Adjustments'!AA17</f>
        <v>0</v>
      </c>
    </row>
    <row r="19" spans="1:15" x14ac:dyDescent="0.35">
      <c r="A19" s="24">
        <v>4</v>
      </c>
      <c r="B19" s="565" t="str">
        <f>'Schedule 2B Adjustments'!B18:D18</f>
        <v>200-727-Early Childhood MH Specialist</v>
      </c>
      <c r="C19" s="565"/>
      <c r="D19" s="565"/>
      <c r="F19" s="114">
        <f>'Schedule 2B Adjustments'!H18</f>
        <v>0</v>
      </c>
      <c r="G19" s="173">
        <f>'Schedule 2B Adjustments'!J18</f>
        <v>0</v>
      </c>
      <c r="H19" s="68">
        <f t="shared" si="0"/>
        <v>0</v>
      </c>
      <c r="J19" s="172">
        <f>'Schedule 2B Adjustments'!P18</f>
        <v>579964.03814955102</v>
      </c>
      <c r="K19" s="173">
        <f>'Schedule 2B Adjustments'!R18</f>
        <v>150733.96528252042</v>
      </c>
      <c r="L19" s="68">
        <f t="shared" si="1"/>
        <v>730698.00343207142</v>
      </c>
      <c r="N19" s="117">
        <f>'Schedule 2B Adjustments'!X18</f>
        <v>3.9999999999999996</v>
      </c>
      <c r="O19" s="117">
        <f>'Schedule 2B Adjustments'!AA18</f>
        <v>0</v>
      </c>
    </row>
    <row r="20" spans="1:15" x14ac:dyDescent="0.35">
      <c r="A20" s="24">
        <v>5</v>
      </c>
      <c r="B20" s="565" t="str">
        <f>'Schedule 2B Adjustments'!B19:D19</f>
        <v>200-728-ABC Play</v>
      </c>
      <c r="C20" s="565"/>
      <c r="D20" s="565"/>
      <c r="F20" s="114">
        <f>'Schedule 2B Adjustments'!H19</f>
        <v>705.52</v>
      </c>
      <c r="G20" s="173">
        <f>'Schedule 2B Adjustments'!J19</f>
        <v>183.36624375096375</v>
      </c>
      <c r="H20" s="68">
        <f t="shared" si="0"/>
        <v>888.88624375096379</v>
      </c>
      <c r="J20" s="172">
        <f>'Schedule 2B Adjustments'!P19</f>
        <v>630247.43839511427</v>
      </c>
      <c r="K20" s="173">
        <f>'Schedule 2B Adjustments'!R19</f>
        <v>163802.73473775233</v>
      </c>
      <c r="L20" s="68">
        <f t="shared" si="1"/>
        <v>794050.17313286662</v>
      </c>
      <c r="N20" s="117">
        <f>'Schedule 2B Adjustments'!X19</f>
        <v>4.5500000000000007</v>
      </c>
      <c r="O20" s="117">
        <f>'Schedule 2B Adjustments'!AA19</f>
        <v>1</v>
      </c>
    </row>
    <row r="21" spans="1:15" x14ac:dyDescent="0.35">
      <c r="A21" s="24">
        <v>6</v>
      </c>
      <c r="B21" s="565" t="str">
        <f>'Schedule 2B Adjustments'!B20:D20</f>
        <v/>
      </c>
      <c r="C21" s="565"/>
      <c r="D21" s="565"/>
      <c r="F21" s="114">
        <f>'Schedule 2B Adjustments'!H20</f>
        <v>0</v>
      </c>
      <c r="G21" s="173">
        <f>'Schedule 2B Adjustments'!J20</f>
        <v>0</v>
      </c>
      <c r="H21" s="68">
        <f t="shared" si="0"/>
        <v>0</v>
      </c>
      <c r="J21" s="172">
        <f>'Schedule 2B Adjustments'!P20</f>
        <v>0</v>
      </c>
      <c r="K21" s="173">
        <f>'Schedule 2B Adjustments'!R20</f>
        <v>0</v>
      </c>
      <c r="L21" s="68">
        <f t="shared" si="1"/>
        <v>0</v>
      </c>
      <c r="N21" s="117">
        <f>'Schedule 2B Adjustments'!X20</f>
        <v>0</v>
      </c>
      <c r="O21" s="117">
        <f>'Schedule 2B Adjustments'!AA20</f>
        <v>0</v>
      </c>
    </row>
    <row r="22" spans="1:15" x14ac:dyDescent="0.35">
      <c r="A22" s="24">
        <v>7</v>
      </c>
      <c r="B22" s="565" t="str">
        <f>'Schedule 2B Adjustments'!B21:D21</f>
        <v/>
      </c>
      <c r="C22" s="565"/>
      <c r="D22" s="565"/>
      <c r="F22" s="114">
        <f>'Schedule 2B Adjustments'!H21</f>
        <v>0</v>
      </c>
      <c r="G22" s="173">
        <f>'Schedule 2B Adjustments'!J21</f>
        <v>0</v>
      </c>
      <c r="H22" s="68">
        <f t="shared" si="0"/>
        <v>0</v>
      </c>
      <c r="J22" s="172">
        <f>'Schedule 2B Adjustments'!P21</f>
        <v>0</v>
      </c>
      <c r="K22" s="173">
        <f>'Schedule 2B Adjustments'!R21</f>
        <v>0</v>
      </c>
      <c r="L22" s="68">
        <f t="shared" si="1"/>
        <v>0</v>
      </c>
      <c r="N22" s="117">
        <f>'Schedule 2B Adjustments'!X21</f>
        <v>0</v>
      </c>
      <c r="O22" s="117">
        <f>'Schedule 2B Adjustments'!AA21</f>
        <v>0</v>
      </c>
    </row>
    <row r="23" spans="1:15" x14ac:dyDescent="0.35">
      <c r="A23" s="24">
        <v>8</v>
      </c>
      <c r="B23" s="565" t="str">
        <f>'Schedule 2B Adjustments'!B22:D22</f>
        <v/>
      </c>
      <c r="C23" s="565"/>
      <c r="D23" s="565"/>
      <c r="F23" s="114">
        <f>'Schedule 2B Adjustments'!H22</f>
        <v>0</v>
      </c>
      <c r="G23" s="173">
        <f>'Schedule 2B Adjustments'!J22</f>
        <v>0</v>
      </c>
      <c r="H23" s="68">
        <f t="shared" si="0"/>
        <v>0</v>
      </c>
      <c r="J23" s="172">
        <f>'Schedule 2B Adjustments'!P22</f>
        <v>0</v>
      </c>
      <c r="K23" s="173">
        <f>'Schedule 2B Adjustments'!R22</f>
        <v>0</v>
      </c>
      <c r="L23" s="68">
        <f t="shared" si="1"/>
        <v>0</v>
      </c>
      <c r="N23" s="117">
        <f>'Schedule 2B Adjustments'!X22</f>
        <v>0</v>
      </c>
      <c r="O23" s="117">
        <f>'Schedule 2B Adjustments'!AA22</f>
        <v>0</v>
      </c>
    </row>
    <row r="24" spans="1:15" x14ac:dyDescent="0.35">
      <c r="A24" s="24">
        <v>9</v>
      </c>
      <c r="B24" s="565" t="str">
        <f>'Schedule 2B Adjustments'!B23:D23</f>
        <v/>
      </c>
      <c r="C24" s="565"/>
      <c r="D24" s="565"/>
      <c r="F24" s="114">
        <f>'Schedule 2B Adjustments'!H23</f>
        <v>0</v>
      </c>
      <c r="G24" s="173">
        <f>'Schedule 2B Adjustments'!J23</f>
        <v>0</v>
      </c>
      <c r="H24" s="68">
        <f t="shared" si="0"/>
        <v>0</v>
      </c>
      <c r="J24" s="172">
        <f>'Schedule 2B Adjustments'!P23</f>
        <v>0</v>
      </c>
      <c r="K24" s="173">
        <f>'Schedule 2B Adjustments'!R23</f>
        <v>0</v>
      </c>
      <c r="L24" s="68">
        <f t="shared" si="1"/>
        <v>0</v>
      </c>
      <c r="N24" s="117">
        <f>'Schedule 2B Adjustments'!X23</f>
        <v>0</v>
      </c>
      <c r="O24" s="117">
        <f>'Schedule 2B Adjustments'!AA23</f>
        <v>0</v>
      </c>
    </row>
    <row r="25" spans="1:15" x14ac:dyDescent="0.35">
      <c r="A25" s="24">
        <v>10</v>
      </c>
      <c r="B25" s="565" t="str">
        <f>'Schedule 2B Adjustments'!B24:D24</f>
        <v/>
      </c>
      <c r="C25" s="565"/>
      <c r="D25" s="565"/>
      <c r="F25" s="114">
        <f>'Schedule 2B Adjustments'!H24</f>
        <v>0</v>
      </c>
      <c r="G25" s="173">
        <f>'Schedule 2B Adjustments'!J24</f>
        <v>0</v>
      </c>
      <c r="H25" s="68">
        <f t="shared" si="0"/>
        <v>0</v>
      </c>
      <c r="J25" s="172">
        <f>'Schedule 2B Adjustments'!P24</f>
        <v>0</v>
      </c>
      <c r="K25" s="173">
        <f>'Schedule 2B Adjustments'!R24</f>
        <v>0</v>
      </c>
      <c r="L25" s="68">
        <f t="shared" si="1"/>
        <v>0</v>
      </c>
      <c r="N25" s="117">
        <f>'Schedule 2B Adjustments'!X24</f>
        <v>0</v>
      </c>
      <c r="O25" s="117">
        <f>'Schedule 2B Adjustments'!AA24</f>
        <v>0</v>
      </c>
    </row>
    <row r="26" spans="1:15" x14ac:dyDescent="0.35">
      <c r="A26" s="24">
        <v>11</v>
      </c>
      <c r="B26" s="565" t="str">
        <f>'Schedule 2B Adjustments'!B25:D25</f>
        <v/>
      </c>
      <c r="C26" s="565"/>
      <c r="D26" s="565"/>
      <c r="F26" s="114">
        <f>'Schedule 2B Adjustments'!H25</f>
        <v>0</v>
      </c>
      <c r="G26" s="173">
        <f>'Schedule 2B Adjustments'!J25</f>
        <v>0</v>
      </c>
      <c r="H26" s="68">
        <f t="shared" si="0"/>
        <v>0</v>
      </c>
      <c r="J26" s="172">
        <f>'Schedule 2B Adjustments'!P25</f>
        <v>0</v>
      </c>
      <c r="K26" s="173">
        <f>'Schedule 2B Adjustments'!R25</f>
        <v>0</v>
      </c>
      <c r="L26" s="68">
        <f t="shared" si="1"/>
        <v>0</v>
      </c>
      <c r="N26" s="117">
        <f>'Schedule 2B Adjustments'!X25</f>
        <v>0</v>
      </c>
      <c r="O26" s="117">
        <f>'Schedule 2B Adjustments'!AA25</f>
        <v>0</v>
      </c>
    </row>
    <row r="27" spans="1:15" x14ac:dyDescent="0.35">
      <c r="A27" s="24">
        <v>12</v>
      </c>
      <c r="B27" s="565" t="str">
        <f>'Schedule 2B Adjustments'!B26:D26</f>
        <v/>
      </c>
      <c r="C27" s="565"/>
      <c r="D27" s="565"/>
      <c r="F27" s="114">
        <f>'Schedule 2B Adjustments'!H26</f>
        <v>0</v>
      </c>
      <c r="G27" s="173">
        <f>'Schedule 2B Adjustments'!J26</f>
        <v>0</v>
      </c>
      <c r="H27" s="68">
        <f t="shared" si="0"/>
        <v>0</v>
      </c>
      <c r="J27" s="172">
        <f>'Schedule 2B Adjustments'!P26</f>
        <v>0</v>
      </c>
      <c r="K27" s="173">
        <f>'Schedule 2B Adjustments'!R26</f>
        <v>0</v>
      </c>
      <c r="L27" s="68">
        <f t="shared" si="1"/>
        <v>0</v>
      </c>
      <c r="N27" s="117">
        <f>'Schedule 2B Adjustments'!X26</f>
        <v>0</v>
      </c>
      <c r="O27" s="117">
        <f>'Schedule 2B Adjustments'!AA26</f>
        <v>0</v>
      </c>
    </row>
    <row r="28" spans="1:15" x14ac:dyDescent="0.35">
      <c r="A28" s="24">
        <v>13</v>
      </c>
      <c r="B28" s="565" t="str">
        <f>'Schedule 2B Adjustments'!B27:D27</f>
        <v/>
      </c>
      <c r="C28" s="565"/>
      <c r="D28" s="565"/>
      <c r="F28" s="114">
        <f>'Schedule 2B Adjustments'!H27</f>
        <v>0</v>
      </c>
      <c r="G28" s="173">
        <f>'Schedule 2B Adjustments'!J27</f>
        <v>0</v>
      </c>
      <c r="H28" s="68">
        <f t="shared" si="0"/>
        <v>0</v>
      </c>
      <c r="J28" s="172">
        <f>'Schedule 2B Adjustments'!P27</f>
        <v>0</v>
      </c>
      <c r="K28" s="173">
        <f>'Schedule 2B Adjustments'!R27</f>
        <v>0</v>
      </c>
      <c r="L28" s="68">
        <f t="shared" si="1"/>
        <v>0</v>
      </c>
      <c r="N28" s="117">
        <f>'Schedule 2B Adjustments'!X27</f>
        <v>0</v>
      </c>
      <c r="O28" s="117">
        <f>'Schedule 2B Adjustments'!AA27</f>
        <v>0</v>
      </c>
    </row>
    <row r="29" spans="1:15" x14ac:dyDescent="0.35">
      <c r="A29" s="24">
        <v>14</v>
      </c>
      <c r="B29" s="565" t="str">
        <f>'Schedule 2B Adjustments'!B28:D28</f>
        <v/>
      </c>
      <c r="C29" s="565"/>
      <c r="D29" s="565"/>
      <c r="F29" s="114">
        <f>'Schedule 2B Adjustments'!H28</f>
        <v>0</v>
      </c>
      <c r="G29" s="173">
        <f>'Schedule 2B Adjustments'!J28</f>
        <v>0</v>
      </c>
      <c r="H29" s="68">
        <f t="shared" si="0"/>
        <v>0</v>
      </c>
      <c r="J29" s="172">
        <f>'Schedule 2B Adjustments'!P28</f>
        <v>0</v>
      </c>
      <c r="K29" s="173">
        <f>'Schedule 2B Adjustments'!R28</f>
        <v>0</v>
      </c>
      <c r="L29" s="68">
        <f t="shared" si="1"/>
        <v>0</v>
      </c>
      <c r="N29" s="117">
        <f>'Schedule 2B Adjustments'!X28</f>
        <v>0</v>
      </c>
      <c r="O29" s="117">
        <f>'Schedule 2B Adjustments'!AA28</f>
        <v>0</v>
      </c>
    </row>
    <row r="30" spans="1:15" x14ac:dyDescent="0.35">
      <c r="A30" s="24">
        <v>15</v>
      </c>
      <c r="B30" s="565" t="str">
        <f>'Schedule 2B Adjustments'!B29:D29</f>
        <v/>
      </c>
      <c r="C30" s="565"/>
      <c r="D30" s="565"/>
      <c r="F30" s="114">
        <f>'Schedule 2B Adjustments'!H29</f>
        <v>0</v>
      </c>
      <c r="G30" s="173">
        <f>'Schedule 2B Adjustments'!J29</f>
        <v>0</v>
      </c>
      <c r="H30" s="68">
        <f t="shared" si="0"/>
        <v>0</v>
      </c>
      <c r="J30" s="172">
        <f>'Schedule 2B Adjustments'!P29</f>
        <v>0</v>
      </c>
      <c r="K30" s="173">
        <f>'Schedule 2B Adjustments'!R29</f>
        <v>0</v>
      </c>
      <c r="L30" s="68">
        <f t="shared" si="1"/>
        <v>0</v>
      </c>
      <c r="N30" s="117">
        <f>'Schedule 2B Adjustments'!X29</f>
        <v>0</v>
      </c>
      <c r="O30" s="117">
        <f>'Schedule 2B Adjustments'!AA29</f>
        <v>0</v>
      </c>
    </row>
    <row r="31" spans="1:15" x14ac:dyDescent="0.35">
      <c r="A31" s="24">
        <v>16</v>
      </c>
      <c r="B31" s="565" t="str">
        <f>'Schedule 2B Adjustments'!B30:D30</f>
        <v/>
      </c>
      <c r="C31" s="565"/>
      <c r="D31" s="565"/>
      <c r="F31" s="114">
        <f>'Schedule 2B Adjustments'!H30</f>
        <v>0</v>
      </c>
      <c r="G31" s="173">
        <f>'Schedule 2B Adjustments'!J30</f>
        <v>0</v>
      </c>
      <c r="H31" s="68">
        <f t="shared" si="0"/>
        <v>0</v>
      </c>
      <c r="J31" s="172">
        <f>'Schedule 2B Adjustments'!P30</f>
        <v>0</v>
      </c>
      <c r="K31" s="173">
        <f>'Schedule 2B Adjustments'!R30</f>
        <v>0</v>
      </c>
      <c r="L31" s="68">
        <f t="shared" si="1"/>
        <v>0</v>
      </c>
      <c r="N31" s="117">
        <f>'Schedule 2B Adjustments'!X30</f>
        <v>0</v>
      </c>
      <c r="O31" s="117">
        <f>'Schedule 2B Adjustments'!AA30</f>
        <v>0</v>
      </c>
    </row>
    <row r="32" spans="1:15" x14ac:dyDescent="0.35">
      <c r="A32" s="24">
        <v>17</v>
      </c>
      <c r="B32" s="565" t="str">
        <f>'Schedule 2B Adjustments'!B31:D31</f>
        <v/>
      </c>
      <c r="C32" s="565"/>
      <c r="D32" s="565"/>
      <c r="F32" s="114">
        <f>'Schedule 2B Adjustments'!H31</f>
        <v>0</v>
      </c>
      <c r="G32" s="173">
        <f>'Schedule 2B Adjustments'!J31</f>
        <v>0</v>
      </c>
      <c r="H32" s="68">
        <f t="shared" si="0"/>
        <v>0</v>
      </c>
      <c r="J32" s="172">
        <f>'Schedule 2B Adjustments'!P31</f>
        <v>0</v>
      </c>
      <c r="K32" s="173">
        <f>'Schedule 2B Adjustments'!R31</f>
        <v>0</v>
      </c>
      <c r="L32" s="68">
        <f t="shared" si="1"/>
        <v>0</v>
      </c>
      <c r="N32" s="117">
        <f>'Schedule 2B Adjustments'!X31</f>
        <v>0</v>
      </c>
      <c r="O32" s="117">
        <f>'Schedule 2B Adjustments'!AA31</f>
        <v>0</v>
      </c>
    </row>
    <row r="33" spans="1:15" x14ac:dyDescent="0.35">
      <c r="A33" s="24">
        <v>18</v>
      </c>
      <c r="B33" s="565" t="str">
        <f>'Schedule 2B Adjustments'!B32:D32</f>
        <v/>
      </c>
      <c r="C33" s="565"/>
      <c r="D33" s="565"/>
      <c r="F33" s="114">
        <f>'Schedule 2B Adjustments'!H32</f>
        <v>0</v>
      </c>
      <c r="G33" s="173">
        <f>'Schedule 2B Adjustments'!J32</f>
        <v>0</v>
      </c>
      <c r="H33" s="68">
        <f t="shared" si="0"/>
        <v>0</v>
      </c>
      <c r="J33" s="172">
        <f>'Schedule 2B Adjustments'!P32</f>
        <v>0</v>
      </c>
      <c r="K33" s="173">
        <f>'Schedule 2B Adjustments'!R32</f>
        <v>0</v>
      </c>
      <c r="L33" s="68">
        <f t="shared" si="1"/>
        <v>0</v>
      </c>
      <c r="N33" s="117">
        <f>'Schedule 2B Adjustments'!X32</f>
        <v>0</v>
      </c>
      <c r="O33" s="117">
        <f>'Schedule 2B Adjustments'!AA32</f>
        <v>0</v>
      </c>
    </row>
    <row r="34" spans="1:15" x14ac:dyDescent="0.35">
      <c r="A34" s="24">
        <v>19</v>
      </c>
      <c r="B34" s="565" t="str">
        <f>'Schedule 2B Adjustments'!B33:D33</f>
        <v/>
      </c>
      <c r="C34" s="565"/>
      <c r="D34" s="565"/>
      <c r="F34" s="114">
        <f>'Schedule 2B Adjustments'!H33</f>
        <v>0</v>
      </c>
      <c r="G34" s="173">
        <f>'Schedule 2B Adjustments'!J33</f>
        <v>0</v>
      </c>
      <c r="H34" s="68">
        <f t="shared" si="0"/>
        <v>0</v>
      </c>
      <c r="J34" s="172">
        <f>'Schedule 2B Adjustments'!P33</f>
        <v>0</v>
      </c>
      <c r="K34" s="173">
        <f>'Schedule 2B Adjustments'!R33</f>
        <v>0</v>
      </c>
      <c r="L34" s="68">
        <f t="shared" si="1"/>
        <v>0</v>
      </c>
      <c r="N34" s="117">
        <f>'Schedule 2B Adjustments'!X33</f>
        <v>0</v>
      </c>
      <c r="O34" s="117">
        <f>'Schedule 2B Adjustments'!AA33</f>
        <v>0</v>
      </c>
    </row>
    <row r="35" spans="1:15" x14ac:dyDescent="0.35">
      <c r="A35" s="24">
        <v>20</v>
      </c>
      <c r="B35" s="565" t="str">
        <f>'Schedule 2B Adjustments'!B34:D34</f>
        <v/>
      </c>
      <c r="C35" s="565"/>
      <c r="D35" s="565"/>
      <c r="F35" s="114">
        <f>'Schedule 2B Adjustments'!H34</f>
        <v>0</v>
      </c>
      <c r="G35" s="173">
        <f>'Schedule 2B Adjustments'!J34</f>
        <v>0</v>
      </c>
      <c r="H35" s="68">
        <f t="shared" si="0"/>
        <v>0</v>
      </c>
      <c r="J35" s="172">
        <f>'Schedule 2B Adjustments'!P34</f>
        <v>0</v>
      </c>
      <c r="K35" s="173">
        <f>'Schedule 2B Adjustments'!R34</f>
        <v>0</v>
      </c>
      <c r="L35" s="68">
        <f t="shared" si="1"/>
        <v>0</v>
      </c>
      <c r="N35" s="117">
        <f>'Schedule 2B Adjustments'!X34</f>
        <v>0</v>
      </c>
      <c r="O35" s="117">
        <f>'Schedule 2B Adjustments'!AA34</f>
        <v>0</v>
      </c>
    </row>
    <row r="36" spans="1:15" x14ac:dyDescent="0.35">
      <c r="A36" s="24">
        <v>21</v>
      </c>
      <c r="B36" s="565" t="str">
        <f>'Schedule 2B Adjustments'!B35:D35</f>
        <v/>
      </c>
      <c r="C36" s="565"/>
      <c r="D36" s="565"/>
      <c r="F36" s="114">
        <f>'Schedule 2B Adjustments'!H35</f>
        <v>0</v>
      </c>
      <c r="G36" s="173">
        <f>'Schedule 2B Adjustments'!J35</f>
        <v>0</v>
      </c>
      <c r="H36" s="68">
        <f t="shared" si="0"/>
        <v>0</v>
      </c>
      <c r="J36" s="172">
        <f>'Schedule 2B Adjustments'!P35</f>
        <v>0</v>
      </c>
      <c r="K36" s="173">
        <f>'Schedule 2B Adjustments'!R35</f>
        <v>0</v>
      </c>
      <c r="L36" s="68">
        <f t="shared" si="1"/>
        <v>0</v>
      </c>
      <c r="N36" s="117">
        <f>'Schedule 2B Adjustments'!X35</f>
        <v>0</v>
      </c>
      <c r="O36" s="117">
        <f>'Schedule 2B Adjustments'!AA35</f>
        <v>0</v>
      </c>
    </row>
    <row r="37" spans="1:15" x14ac:dyDescent="0.35">
      <c r="A37" s="24">
        <v>22</v>
      </c>
      <c r="B37" s="565" t="str">
        <f>'Schedule 2B Adjustments'!B36:D36</f>
        <v/>
      </c>
      <c r="C37" s="565"/>
      <c r="D37" s="565"/>
      <c r="F37" s="114">
        <f>'Schedule 2B Adjustments'!H36</f>
        <v>0</v>
      </c>
      <c r="G37" s="173">
        <f>'Schedule 2B Adjustments'!J36</f>
        <v>0</v>
      </c>
      <c r="H37" s="68">
        <f t="shared" si="0"/>
        <v>0</v>
      </c>
      <c r="J37" s="172">
        <f>'Schedule 2B Adjustments'!P36</f>
        <v>0</v>
      </c>
      <c r="K37" s="173">
        <f>'Schedule 2B Adjustments'!R36</f>
        <v>0</v>
      </c>
      <c r="L37" s="68">
        <f t="shared" si="1"/>
        <v>0</v>
      </c>
      <c r="N37" s="117">
        <f>'Schedule 2B Adjustments'!X36</f>
        <v>0</v>
      </c>
      <c r="O37" s="117">
        <f>'Schedule 2B Adjustments'!AA36</f>
        <v>0</v>
      </c>
    </row>
    <row r="38" spans="1:15" x14ac:dyDescent="0.35">
      <c r="A38" s="24">
        <v>23</v>
      </c>
      <c r="B38" s="565" t="str">
        <f>'Schedule 2B Adjustments'!B37:D37</f>
        <v/>
      </c>
      <c r="C38" s="565"/>
      <c r="D38" s="565"/>
      <c r="F38" s="114">
        <f>'Schedule 2B Adjustments'!H37</f>
        <v>0</v>
      </c>
      <c r="G38" s="173">
        <f>'Schedule 2B Adjustments'!J37</f>
        <v>0</v>
      </c>
      <c r="H38" s="68">
        <f t="shared" si="0"/>
        <v>0</v>
      </c>
      <c r="J38" s="172">
        <f>'Schedule 2B Adjustments'!P37</f>
        <v>0</v>
      </c>
      <c r="K38" s="173">
        <f>'Schedule 2B Adjustments'!R37</f>
        <v>0</v>
      </c>
      <c r="L38" s="68">
        <f t="shared" si="1"/>
        <v>0</v>
      </c>
      <c r="N38" s="117">
        <f>'Schedule 2B Adjustments'!X37</f>
        <v>0</v>
      </c>
      <c r="O38" s="117">
        <f>'Schedule 2B Adjustments'!AA37</f>
        <v>0</v>
      </c>
    </row>
    <row r="39" spans="1:15" x14ac:dyDescent="0.35">
      <c r="A39" s="24">
        <v>24</v>
      </c>
      <c r="B39" s="565" t="str">
        <f>'Schedule 2B Adjustments'!B38:D38</f>
        <v/>
      </c>
      <c r="C39" s="565"/>
      <c r="D39" s="565"/>
      <c r="F39" s="114">
        <f>'Schedule 2B Adjustments'!H38</f>
        <v>0</v>
      </c>
      <c r="G39" s="173">
        <f>'Schedule 2B Adjustments'!J38</f>
        <v>0</v>
      </c>
      <c r="H39" s="68">
        <f t="shared" si="0"/>
        <v>0</v>
      </c>
      <c r="J39" s="172">
        <f>'Schedule 2B Adjustments'!P38</f>
        <v>0</v>
      </c>
      <c r="K39" s="173">
        <f>'Schedule 2B Adjustments'!R38</f>
        <v>0</v>
      </c>
      <c r="L39" s="68">
        <f t="shared" si="1"/>
        <v>0</v>
      </c>
      <c r="N39" s="117">
        <f>'Schedule 2B Adjustments'!X38</f>
        <v>0</v>
      </c>
      <c r="O39" s="117">
        <f>'Schedule 2B Adjustments'!AA38</f>
        <v>0</v>
      </c>
    </row>
    <row r="40" spans="1:15" x14ac:dyDescent="0.35">
      <c r="A40" s="24">
        <v>25</v>
      </c>
      <c r="B40" s="565" t="str">
        <f>'Schedule 2B Adjustments'!B39:D39</f>
        <v/>
      </c>
      <c r="C40" s="565"/>
      <c r="D40" s="565"/>
      <c r="F40" s="114">
        <f>'Schedule 2B Adjustments'!H39</f>
        <v>0</v>
      </c>
      <c r="G40" s="173">
        <f>'Schedule 2B Adjustments'!J39</f>
        <v>0</v>
      </c>
      <c r="H40" s="68">
        <f t="shared" si="0"/>
        <v>0</v>
      </c>
      <c r="J40" s="172">
        <f>'Schedule 2B Adjustments'!P39</f>
        <v>0</v>
      </c>
      <c r="K40" s="173">
        <f>'Schedule 2B Adjustments'!R39</f>
        <v>0</v>
      </c>
      <c r="L40" s="68">
        <f t="shared" si="1"/>
        <v>0</v>
      </c>
      <c r="N40" s="117">
        <f>'Schedule 2B Adjustments'!X39</f>
        <v>0</v>
      </c>
      <c r="O40" s="117">
        <f>'Schedule 2B Adjustments'!AA39</f>
        <v>0</v>
      </c>
    </row>
    <row r="41" spans="1:15" x14ac:dyDescent="0.35">
      <c r="A41" s="24">
        <v>26</v>
      </c>
      <c r="B41" s="565" t="str">
        <f>'Schedule 2B Adjustments'!B40:D40</f>
        <v/>
      </c>
      <c r="C41" s="565"/>
      <c r="D41" s="565"/>
      <c r="F41" s="114">
        <f>'Schedule 2B Adjustments'!H40</f>
        <v>0</v>
      </c>
      <c r="G41" s="173">
        <f>'Schedule 2B Adjustments'!J40</f>
        <v>0</v>
      </c>
      <c r="H41" s="68">
        <f t="shared" si="0"/>
        <v>0</v>
      </c>
      <c r="J41" s="172">
        <f>'Schedule 2B Adjustments'!P40</f>
        <v>0</v>
      </c>
      <c r="K41" s="173">
        <f>'Schedule 2B Adjustments'!R40</f>
        <v>0</v>
      </c>
      <c r="L41" s="68">
        <f t="shared" si="1"/>
        <v>0</v>
      </c>
      <c r="N41" s="117">
        <f>'Schedule 2B Adjustments'!X40</f>
        <v>0</v>
      </c>
      <c r="O41" s="117">
        <f>'Schedule 2B Adjustments'!AA40</f>
        <v>0</v>
      </c>
    </row>
    <row r="42" spans="1:15" x14ac:dyDescent="0.35">
      <c r="A42" s="24">
        <v>27</v>
      </c>
      <c r="B42" s="565" t="str">
        <f>'Schedule 2B Adjustments'!B41:D41</f>
        <v/>
      </c>
      <c r="C42" s="565"/>
      <c r="D42" s="565"/>
      <c r="F42" s="114">
        <f>'Schedule 2B Adjustments'!H41</f>
        <v>0</v>
      </c>
      <c r="G42" s="173">
        <f>'Schedule 2B Adjustments'!J41</f>
        <v>0</v>
      </c>
      <c r="H42" s="68">
        <f t="shared" si="0"/>
        <v>0</v>
      </c>
      <c r="J42" s="172">
        <f>'Schedule 2B Adjustments'!P41</f>
        <v>0</v>
      </c>
      <c r="K42" s="173">
        <f>'Schedule 2B Adjustments'!R41</f>
        <v>0</v>
      </c>
      <c r="L42" s="68">
        <f t="shared" si="1"/>
        <v>0</v>
      </c>
      <c r="N42" s="117">
        <f>'Schedule 2B Adjustments'!X41</f>
        <v>0</v>
      </c>
      <c r="O42" s="117">
        <f>'Schedule 2B Adjustments'!AA41</f>
        <v>0</v>
      </c>
    </row>
    <row r="43" spans="1:15" x14ac:dyDescent="0.35">
      <c r="A43" s="24">
        <v>28</v>
      </c>
      <c r="B43" s="565" t="str">
        <f>'Schedule 2B Adjustments'!B42:D42</f>
        <v/>
      </c>
      <c r="C43" s="565"/>
      <c r="D43" s="565"/>
      <c r="F43" s="114">
        <f>'Schedule 2B Adjustments'!H42</f>
        <v>0</v>
      </c>
      <c r="G43" s="173">
        <f>'Schedule 2B Adjustments'!J42</f>
        <v>0</v>
      </c>
      <c r="H43" s="68">
        <f t="shared" si="0"/>
        <v>0</v>
      </c>
      <c r="J43" s="172">
        <f>'Schedule 2B Adjustments'!P42</f>
        <v>0</v>
      </c>
      <c r="K43" s="173">
        <f>'Schedule 2B Adjustments'!R42</f>
        <v>0</v>
      </c>
      <c r="L43" s="68">
        <f t="shared" si="1"/>
        <v>0</v>
      </c>
      <c r="N43" s="117">
        <f>'Schedule 2B Adjustments'!X42</f>
        <v>0</v>
      </c>
      <c r="O43" s="117">
        <f>'Schedule 2B Adjustments'!AA42</f>
        <v>0</v>
      </c>
    </row>
    <row r="44" spans="1:15" x14ac:dyDescent="0.35">
      <c r="A44" s="24">
        <v>29</v>
      </c>
      <c r="B44" s="565" t="str">
        <f>'Schedule 2B Adjustments'!B43:D43</f>
        <v/>
      </c>
      <c r="C44" s="565"/>
      <c r="D44" s="565"/>
      <c r="F44" s="114">
        <f>'Schedule 2B Adjustments'!H43</f>
        <v>0</v>
      </c>
      <c r="G44" s="173">
        <f>'Schedule 2B Adjustments'!J43</f>
        <v>0</v>
      </c>
      <c r="H44" s="68">
        <f t="shared" si="0"/>
        <v>0</v>
      </c>
      <c r="J44" s="172">
        <f>'Schedule 2B Adjustments'!P43</f>
        <v>0</v>
      </c>
      <c r="K44" s="173">
        <f>'Schedule 2B Adjustments'!R43</f>
        <v>0</v>
      </c>
      <c r="L44" s="68">
        <f t="shared" si="1"/>
        <v>0</v>
      </c>
      <c r="N44" s="117">
        <f>'Schedule 2B Adjustments'!X43</f>
        <v>0</v>
      </c>
      <c r="O44" s="117">
        <f>'Schedule 2B Adjustments'!AA43</f>
        <v>0</v>
      </c>
    </row>
    <row r="45" spans="1:15" x14ac:dyDescent="0.35">
      <c r="A45" s="24">
        <v>30</v>
      </c>
      <c r="B45" s="565" t="str">
        <f>'Schedule 2B Adjustments'!B44:D44</f>
        <v/>
      </c>
      <c r="C45" s="565"/>
      <c r="D45" s="565"/>
      <c r="F45" s="114">
        <f>'Schedule 2B Adjustments'!H44</f>
        <v>0</v>
      </c>
      <c r="G45" s="173">
        <f>'Schedule 2B Adjustments'!J44</f>
        <v>0</v>
      </c>
      <c r="H45" s="68">
        <f t="shared" si="0"/>
        <v>0</v>
      </c>
      <c r="J45" s="172">
        <f>'Schedule 2B Adjustments'!P44</f>
        <v>0</v>
      </c>
      <c r="K45" s="173">
        <f>'Schedule 2B Adjustments'!R44</f>
        <v>0</v>
      </c>
      <c r="L45" s="68">
        <f t="shared" si="1"/>
        <v>0</v>
      </c>
      <c r="N45" s="117">
        <f>'Schedule 2B Adjustments'!X44</f>
        <v>0</v>
      </c>
      <c r="O45" s="117">
        <f>'Schedule 2B Adjustments'!AA44</f>
        <v>0</v>
      </c>
    </row>
    <row r="46" spans="1:15" x14ac:dyDescent="0.35">
      <c r="A46" s="24">
        <v>31</v>
      </c>
      <c r="B46" s="565" t="str">
        <f>'Schedule 2B Adjustments'!B45:D45</f>
        <v/>
      </c>
      <c r="C46" s="565"/>
      <c r="D46" s="565"/>
      <c r="F46" s="114">
        <f>'Schedule 2B Adjustments'!H45</f>
        <v>0</v>
      </c>
      <c r="G46" s="173">
        <f>'Schedule 2B Adjustments'!J45</f>
        <v>0</v>
      </c>
      <c r="H46" s="68">
        <f t="shared" si="0"/>
        <v>0</v>
      </c>
      <c r="J46" s="172">
        <f>'Schedule 2B Adjustments'!P45</f>
        <v>0</v>
      </c>
      <c r="K46" s="173">
        <f>'Schedule 2B Adjustments'!R45</f>
        <v>0</v>
      </c>
      <c r="L46" s="68">
        <f t="shared" si="1"/>
        <v>0</v>
      </c>
      <c r="N46" s="117">
        <f>'Schedule 2B Adjustments'!X45</f>
        <v>0</v>
      </c>
      <c r="O46" s="117">
        <f>'Schedule 2B Adjustments'!AA45</f>
        <v>0</v>
      </c>
    </row>
    <row r="47" spans="1:15" x14ac:dyDescent="0.35">
      <c r="A47" s="24">
        <v>32</v>
      </c>
      <c r="B47" s="565" t="str">
        <f>'Schedule 2B Adjustments'!B46:D46</f>
        <v/>
      </c>
      <c r="C47" s="565"/>
      <c r="D47" s="565"/>
      <c r="F47" s="114">
        <f>'Schedule 2B Adjustments'!H46</f>
        <v>0</v>
      </c>
      <c r="G47" s="173">
        <f>'Schedule 2B Adjustments'!J46</f>
        <v>0</v>
      </c>
      <c r="H47" s="68">
        <f t="shared" si="0"/>
        <v>0</v>
      </c>
      <c r="J47" s="172">
        <f>'Schedule 2B Adjustments'!P46</f>
        <v>0</v>
      </c>
      <c r="K47" s="173">
        <f>'Schedule 2B Adjustments'!R46</f>
        <v>0</v>
      </c>
      <c r="L47" s="68">
        <f t="shared" si="1"/>
        <v>0</v>
      </c>
      <c r="N47" s="117">
        <f>'Schedule 2B Adjustments'!X46</f>
        <v>0</v>
      </c>
      <c r="O47" s="117">
        <f>'Schedule 2B Adjustments'!AA46</f>
        <v>0</v>
      </c>
    </row>
    <row r="48" spans="1:15" x14ac:dyDescent="0.35">
      <c r="A48" s="24">
        <v>33</v>
      </c>
      <c r="B48" s="565" t="str">
        <f>'Schedule 2B Adjustments'!B47:D47</f>
        <v/>
      </c>
      <c r="C48" s="565"/>
      <c r="D48" s="565"/>
      <c r="F48" s="114">
        <f>'Schedule 2B Adjustments'!H47</f>
        <v>0</v>
      </c>
      <c r="G48" s="173">
        <f>'Schedule 2B Adjustments'!J47</f>
        <v>0</v>
      </c>
      <c r="H48" s="68">
        <f t="shared" si="0"/>
        <v>0</v>
      </c>
      <c r="J48" s="172">
        <f>'Schedule 2B Adjustments'!P47</f>
        <v>0</v>
      </c>
      <c r="K48" s="173">
        <f>'Schedule 2B Adjustments'!R47</f>
        <v>0</v>
      </c>
      <c r="L48" s="68">
        <f t="shared" si="1"/>
        <v>0</v>
      </c>
      <c r="N48" s="117">
        <f>'Schedule 2B Adjustments'!X47</f>
        <v>0</v>
      </c>
      <c r="O48" s="117">
        <f>'Schedule 2B Adjustments'!AA47</f>
        <v>0</v>
      </c>
    </row>
    <row r="49" spans="1:15" x14ac:dyDescent="0.35">
      <c r="A49" s="24">
        <v>34</v>
      </c>
      <c r="B49" s="565" t="str">
        <f>'Schedule 2B Adjustments'!B48:D48</f>
        <v/>
      </c>
      <c r="C49" s="565"/>
      <c r="D49" s="565"/>
      <c r="F49" s="114">
        <f>'Schedule 2B Adjustments'!H48</f>
        <v>0</v>
      </c>
      <c r="G49" s="173">
        <f>'Schedule 2B Adjustments'!J48</f>
        <v>0</v>
      </c>
      <c r="H49" s="68">
        <f t="shared" si="0"/>
        <v>0</v>
      </c>
      <c r="J49" s="172">
        <f>'Schedule 2B Adjustments'!P48</f>
        <v>0</v>
      </c>
      <c r="K49" s="173">
        <f>'Schedule 2B Adjustments'!R48</f>
        <v>0</v>
      </c>
      <c r="L49" s="68">
        <f t="shared" si="1"/>
        <v>0</v>
      </c>
      <c r="N49" s="117">
        <f>'Schedule 2B Adjustments'!X48</f>
        <v>0</v>
      </c>
      <c r="O49" s="117">
        <f>'Schedule 2B Adjustments'!AA48</f>
        <v>0</v>
      </c>
    </row>
    <row r="50" spans="1:15" x14ac:dyDescent="0.35">
      <c r="A50" s="24">
        <v>35</v>
      </c>
      <c r="B50" s="565" t="str">
        <f>'Schedule 2B Adjustments'!B49:D49</f>
        <v/>
      </c>
      <c r="C50" s="565"/>
      <c r="D50" s="565"/>
      <c r="F50" s="114">
        <f>'Schedule 2B Adjustments'!H49</f>
        <v>0</v>
      </c>
      <c r="G50" s="173">
        <f>'Schedule 2B Adjustments'!J49</f>
        <v>0</v>
      </c>
      <c r="H50" s="68">
        <f t="shared" si="0"/>
        <v>0</v>
      </c>
      <c r="J50" s="172">
        <f>'Schedule 2B Adjustments'!P49</f>
        <v>0</v>
      </c>
      <c r="K50" s="173">
        <f>'Schedule 2B Adjustments'!R49</f>
        <v>0</v>
      </c>
      <c r="L50" s="68">
        <f t="shared" si="1"/>
        <v>0</v>
      </c>
      <c r="N50" s="117">
        <f>'Schedule 2B Adjustments'!X49</f>
        <v>0</v>
      </c>
      <c r="O50" s="117">
        <f>'Schedule 2B Adjustments'!AA49</f>
        <v>0</v>
      </c>
    </row>
    <row r="51" spans="1:15" x14ac:dyDescent="0.35">
      <c r="A51" s="24">
        <v>36</v>
      </c>
      <c r="B51" s="565" t="str">
        <f>'Schedule 2B Adjustments'!B50:D50</f>
        <v/>
      </c>
      <c r="C51" s="565"/>
      <c r="D51" s="565"/>
      <c r="F51" s="114">
        <f>'Schedule 2B Adjustments'!H50</f>
        <v>0</v>
      </c>
      <c r="G51" s="173">
        <f>'Schedule 2B Adjustments'!J50</f>
        <v>0</v>
      </c>
      <c r="H51" s="68">
        <f t="shared" si="0"/>
        <v>0</v>
      </c>
      <c r="J51" s="172">
        <f>'Schedule 2B Adjustments'!P50</f>
        <v>0</v>
      </c>
      <c r="K51" s="173">
        <f>'Schedule 2B Adjustments'!R50</f>
        <v>0</v>
      </c>
      <c r="L51" s="68">
        <f t="shared" si="1"/>
        <v>0</v>
      </c>
      <c r="N51" s="117">
        <f>'Schedule 2B Adjustments'!X50</f>
        <v>0</v>
      </c>
      <c r="O51" s="117">
        <f>'Schedule 2B Adjustments'!AA50</f>
        <v>0</v>
      </c>
    </row>
    <row r="52" spans="1:15" x14ac:dyDescent="0.35">
      <c r="A52" s="24">
        <v>37</v>
      </c>
      <c r="B52" s="565" t="str">
        <f>'Schedule 2B Adjustments'!B51:D51</f>
        <v/>
      </c>
      <c r="C52" s="565"/>
      <c r="D52" s="565"/>
      <c r="F52" s="114">
        <f>'Schedule 2B Adjustments'!H51</f>
        <v>0</v>
      </c>
      <c r="G52" s="173">
        <f>'Schedule 2B Adjustments'!J51</f>
        <v>0</v>
      </c>
      <c r="H52" s="68">
        <f t="shared" si="0"/>
        <v>0</v>
      </c>
      <c r="J52" s="172">
        <f>'Schedule 2B Adjustments'!P51</f>
        <v>0</v>
      </c>
      <c r="K52" s="173">
        <f>'Schedule 2B Adjustments'!R51</f>
        <v>0</v>
      </c>
      <c r="L52" s="68">
        <f t="shared" si="1"/>
        <v>0</v>
      </c>
      <c r="N52" s="117">
        <f>'Schedule 2B Adjustments'!X51</f>
        <v>0</v>
      </c>
      <c r="O52" s="117">
        <f>'Schedule 2B Adjustments'!AA51</f>
        <v>0</v>
      </c>
    </row>
    <row r="53" spans="1:15" x14ac:dyDescent="0.35">
      <c r="A53" s="24">
        <v>38</v>
      </c>
      <c r="B53" s="565" t="str">
        <f>'Schedule 2B Adjustments'!B52:D52</f>
        <v/>
      </c>
      <c r="C53" s="565"/>
      <c r="D53" s="565"/>
      <c r="F53" s="114">
        <f>'Schedule 2B Adjustments'!H52</f>
        <v>0</v>
      </c>
      <c r="G53" s="173">
        <f>'Schedule 2B Adjustments'!J52</f>
        <v>0</v>
      </c>
      <c r="H53" s="68">
        <f t="shared" si="0"/>
        <v>0</v>
      </c>
      <c r="J53" s="172">
        <f>'Schedule 2B Adjustments'!P52</f>
        <v>0</v>
      </c>
      <c r="K53" s="173">
        <f>'Schedule 2B Adjustments'!R52</f>
        <v>0</v>
      </c>
      <c r="L53" s="68">
        <f t="shared" si="1"/>
        <v>0</v>
      </c>
      <c r="N53" s="117">
        <f>'Schedule 2B Adjustments'!X52</f>
        <v>0</v>
      </c>
      <c r="O53" s="117">
        <f>'Schedule 2B Adjustments'!AA52</f>
        <v>0</v>
      </c>
    </row>
    <row r="54" spans="1:15" x14ac:dyDescent="0.35">
      <c r="A54" s="24">
        <v>39</v>
      </c>
      <c r="B54" s="565" t="str">
        <f>'Schedule 2B Adjustments'!B53:D53</f>
        <v/>
      </c>
      <c r="C54" s="565"/>
      <c r="D54" s="565"/>
      <c r="F54" s="114">
        <f>'Schedule 2B Adjustments'!H53</f>
        <v>0</v>
      </c>
      <c r="G54" s="173">
        <f>'Schedule 2B Adjustments'!J53</f>
        <v>0</v>
      </c>
      <c r="H54" s="68">
        <f t="shared" si="0"/>
        <v>0</v>
      </c>
      <c r="J54" s="172">
        <f>'Schedule 2B Adjustments'!P53</f>
        <v>0</v>
      </c>
      <c r="K54" s="173">
        <f>'Schedule 2B Adjustments'!R53</f>
        <v>0</v>
      </c>
      <c r="L54" s="68">
        <f t="shared" si="1"/>
        <v>0</v>
      </c>
      <c r="N54" s="117">
        <f>'Schedule 2B Adjustments'!X53</f>
        <v>0</v>
      </c>
      <c r="O54" s="117">
        <f>'Schedule 2B Adjustments'!AA53</f>
        <v>0</v>
      </c>
    </row>
    <row r="55" spans="1:15" x14ac:dyDescent="0.35">
      <c r="A55" s="24">
        <v>40</v>
      </c>
      <c r="B55" s="565" t="str">
        <f>'Schedule 2B Adjustments'!B54:D54</f>
        <v/>
      </c>
      <c r="C55" s="565"/>
      <c r="D55" s="565"/>
      <c r="F55" s="114">
        <f>'Schedule 2B Adjustments'!H54</f>
        <v>0</v>
      </c>
      <c r="G55" s="173">
        <f>'Schedule 2B Adjustments'!J54</f>
        <v>0</v>
      </c>
      <c r="H55" s="68">
        <f t="shared" si="0"/>
        <v>0</v>
      </c>
      <c r="J55" s="172">
        <f>'Schedule 2B Adjustments'!P54</f>
        <v>0</v>
      </c>
      <c r="K55" s="173">
        <f>'Schedule 2B Adjustments'!R54</f>
        <v>0</v>
      </c>
      <c r="L55" s="68">
        <f t="shared" si="1"/>
        <v>0</v>
      </c>
      <c r="N55" s="117">
        <f>'Schedule 2B Adjustments'!X54</f>
        <v>0</v>
      </c>
      <c r="O55" s="117">
        <f>'Schedule 2B Adjustments'!AA54</f>
        <v>0</v>
      </c>
    </row>
    <row r="56" spans="1:15" x14ac:dyDescent="0.35">
      <c r="A56" s="24">
        <v>41</v>
      </c>
      <c r="B56" s="565" t="str">
        <f>'Schedule 2B Adjustments'!B55:D55</f>
        <v/>
      </c>
      <c r="C56" s="565"/>
      <c r="D56" s="565"/>
      <c r="F56" s="114">
        <f>'Schedule 2B Adjustments'!H55</f>
        <v>0</v>
      </c>
      <c r="G56" s="173">
        <f>'Schedule 2B Adjustments'!J55</f>
        <v>0</v>
      </c>
      <c r="H56" s="68">
        <f t="shared" si="0"/>
        <v>0</v>
      </c>
      <c r="J56" s="172">
        <f>'Schedule 2B Adjustments'!P55</f>
        <v>0</v>
      </c>
      <c r="K56" s="173">
        <f>'Schedule 2B Adjustments'!R55</f>
        <v>0</v>
      </c>
      <c r="L56" s="68">
        <f t="shared" si="1"/>
        <v>0</v>
      </c>
      <c r="N56" s="117">
        <f>'Schedule 2B Adjustments'!X55</f>
        <v>0</v>
      </c>
      <c r="O56" s="117">
        <f>'Schedule 2B Adjustments'!AA55</f>
        <v>0</v>
      </c>
    </row>
    <row r="57" spans="1:15" x14ac:dyDescent="0.35">
      <c r="A57" s="24">
        <v>42</v>
      </c>
      <c r="B57" s="565" t="str">
        <f>'Schedule 2B Adjustments'!B56:D56</f>
        <v/>
      </c>
      <c r="C57" s="565"/>
      <c r="D57" s="565"/>
      <c r="F57" s="114">
        <f>'Schedule 2B Adjustments'!H56</f>
        <v>0</v>
      </c>
      <c r="G57" s="173">
        <f>'Schedule 2B Adjustments'!J56</f>
        <v>0</v>
      </c>
      <c r="H57" s="68">
        <f t="shared" si="0"/>
        <v>0</v>
      </c>
      <c r="J57" s="172">
        <f>'Schedule 2B Adjustments'!P56</f>
        <v>0</v>
      </c>
      <c r="K57" s="173">
        <f>'Schedule 2B Adjustments'!R56</f>
        <v>0</v>
      </c>
      <c r="L57" s="68">
        <f t="shared" si="1"/>
        <v>0</v>
      </c>
      <c r="N57" s="117">
        <f>'Schedule 2B Adjustments'!X56</f>
        <v>0</v>
      </c>
      <c r="O57" s="117">
        <f>'Schedule 2B Adjustments'!AA56</f>
        <v>0</v>
      </c>
    </row>
    <row r="58" spans="1:15" x14ac:dyDescent="0.35">
      <c r="A58" s="24">
        <v>43</v>
      </c>
      <c r="B58" s="565" t="str">
        <f>'Schedule 2B Adjustments'!B57:D57</f>
        <v/>
      </c>
      <c r="C58" s="565"/>
      <c r="D58" s="565"/>
      <c r="F58" s="114">
        <f>'Schedule 2B Adjustments'!H57</f>
        <v>0</v>
      </c>
      <c r="G58" s="173">
        <f>'Schedule 2B Adjustments'!J57</f>
        <v>0</v>
      </c>
      <c r="H58" s="68">
        <f t="shared" si="0"/>
        <v>0</v>
      </c>
      <c r="J58" s="172">
        <f>'Schedule 2B Adjustments'!P57</f>
        <v>0</v>
      </c>
      <c r="K58" s="173">
        <f>'Schedule 2B Adjustments'!R57</f>
        <v>0</v>
      </c>
      <c r="L58" s="68">
        <f t="shared" si="1"/>
        <v>0</v>
      </c>
      <c r="N58" s="117">
        <f>'Schedule 2B Adjustments'!X57</f>
        <v>0</v>
      </c>
      <c r="O58" s="117">
        <f>'Schedule 2B Adjustments'!AA57</f>
        <v>0</v>
      </c>
    </row>
    <row r="59" spans="1:15" x14ac:dyDescent="0.35">
      <c r="A59" s="24">
        <v>44</v>
      </c>
      <c r="B59" s="565" t="str">
        <f>'Schedule 2B Adjustments'!B58:D58</f>
        <v/>
      </c>
      <c r="C59" s="565"/>
      <c r="D59" s="565"/>
      <c r="F59" s="114">
        <f>'Schedule 2B Adjustments'!H58</f>
        <v>0</v>
      </c>
      <c r="G59" s="173">
        <f>'Schedule 2B Adjustments'!J58</f>
        <v>0</v>
      </c>
      <c r="H59" s="68">
        <f t="shared" si="0"/>
        <v>0</v>
      </c>
      <c r="J59" s="172">
        <f>'Schedule 2B Adjustments'!P58</f>
        <v>0</v>
      </c>
      <c r="K59" s="173">
        <f>'Schedule 2B Adjustments'!R58</f>
        <v>0</v>
      </c>
      <c r="L59" s="68">
        <f t="shared" si="1"/>
        <v>0</v>
      </c>
      <c r="N59" s="117">
        <f>'Schedule 2B Adjustments'!X58</f>
        <v>0</v>
      </c>
      <c r="O59" s="117">
        <f>'Schedule 2B Adjustments'!AA58</f>
        <v>0</v>
      </c>
    </row>
    <row r="60" spans="1:15" x14ac:dyDescent="0.35">
      <c r="A60" s="24">
        <v>45</v>
      </c>
      <c r="B60" s="565" t="str">
        <f>'Schedule 2B Adjustments'!B59:D59</f>
        <v/>
      </c>
      <c r="C60" s="565"/>
      <c r="D60" s="565"/>
      <c r="F60" s="114">
        <f>'Schedule 2B Adjustments'!H59</f>
        <v>0</v>
      </c>
      <c r="G60" s="173">
        <f>'Schedule 2B Adjustments'!J59</f>
        <v>0</v>
      </c>
      <c r="H60" s="68">
        <f t="shared" si="0"/>
        <v>0</v>
      </c>
      <c r="J60" s="172">
        <f>'Schedule 2B Adjustments'!P59</f>
        <v>0</v>
      </c>
      <c r="K60" s="173">
        <f>'Schedule 2B Adjustments'!R59</f>
        <v>0</v>
      </c>
      <c r="L60" s="68">
        <f t="shared" si="1"/>
        <v>0</v>
      </c>
      <c r="N60" s="117">
        <f>'Schedule 2B Adjustments'!X59</f>
        <v>0</v>
      </c>
      <c r="O60" s="117">
        <f>'Schedule 2B Adjustments'!AA59</f>
        <v>0</v>
      </c>
    </row>
    <row r="61" spans="1:15" x14ac:dyDescent="0.35">
      <c r="A61" s="24">
        <v>46</v>
      </c>
      <c r="B61" s="565" t="str">
        <f>'Schedule 2B Adjustments'!B60:D60</f>
        <v/>
      </c>
      <c r="C61" s="565"/>
      <c r="D61" s="565"/>
      <c r="F61" s="114">
        <f>'Schedule 2B Adjustments'!H60</f>
        <v>0</v>
      </c>
      <c r="G61" s="173">
        <f>'Schedule 2B Adjustments'!J60</f>
        <v>0</v>
      </c>
      <c r="H61" s="68">
        <f t="shared" si="0"/>
        <v>0</v>
      </c>
      <c r="J61" s="172">
        <f>'Schedule 2B Adjustments'!P60</f>
        <v>0</v>
      </c>
      <c r="K61" s="173">
        <f>'Schedule 2B Adjustments'!R60</f>
        <v>0</v>
      </c>
      <c r="L61" s="68">
        <f t="shared" si="1"/>
        <v>0</v>
      </c>
      <c r="N61" s="117">
        <f>'Schedule 2B Adjustments'!X60</f>
        <v>0</v>
      </c>
      <c r="O61" s="117">
        <f>'Schedule 2B Adjustments'!AA60</f>
        <v>0</v>
      </c>
    </row>
    <row r="62" spans="1:15" x14ac:dyDescent="0.35">
      <c r="A62" s="24">
        <v>47</v>
      </c>
      <c r="B62" s="565" t="str">
        <f>'Schedule 2B Adjustments'!B61:D61</f>
        <v/>
      </c>
      <c r="C62" s="565"/>
      <c r="D62" s="565"/>
      <c r="F62" s="114">
        <f>'Schedule 2B Adjustments'!H61</f>
        <v>0</v>
      </c>
      <c r="G62" s="173">
        <f>'Schedule 2B Adjustments'!J61</f>
        <v>0</v>
      </c>
      <c r="H62" s="68">
        <f t="shared" si="0"/>
        <v>0</v>
      </c>
      <c r="J62" s="172">
        <f>'Schedule 2B Adjustments'!P61</f>
        <v>0</v>
      </c>
      <c r="K62" s="173">
        <f>'Schedule 2B Adjustments'!R61</f>
        <v>0</v>
      </c>
      <c r="L62" s="68">
        <f t="shared" si="1"/>
        <v>0</v>
      </c>
      <c r="N62" s="117">
        <f>'Schedule 2B Adjustments'!X61</f>
        <v>0</v>
      </c>
      <c r="O62" s="117">
        <f>'Schedule 2B Adjustments'!AA61</f>
        <v>0</v>
      </c>
    </row>
    <row r="63" spans="1:15" x14ac:dyDescent="0.35">
      <c r="A63" s="24">
        <v>48</v>
      </c>
      <c r="B63" s="565" t="str">
        <f>'Schedule 2B Adjustments'!B62:D62</f>
        <v/>
      </c>
      <c r="C63" s="565"/>
      <c r="D63" s="565"/>
      <c r="F63" s="114">
        <f>'Schedule 2B Adjustments'!H62</f>
        <v>0</v>
      </c>
      <c r="G63" s="173">
        <f>'Schedule 2B Adjustments'!J62</f>
        <v>0</v>
      </c>
      <c r="H63" s="68">
        <f t="shared" si="0"/>
        <v>0</v>
      </c>
      <c r="J63" s="172">
        <f>'Schedule 2B Adjustments'!P62</f>
        <v>0</v>
      </c>
      <c r="K63" s="173">
        <f>'Schedule 2B Adjustments'!R62</f>
        <v>0</v>
      </c>
      <c r="L63" s="68">
        <f t="shared" si="1"/>
        <v>0</v>
      </c>
      <c r="N63" s="117">
        <f>'Schedule 2B Adjustments'!X62</f>
        <v>0</v>
      </c>
      <c r="O63" s="117">
        <f>'Schedule 2B Adjustments'!AA62</f>
        <v>0</v>
      </c>
    </row>
    <row r="64" spans="1:15" x14ac:dyDescent="0.35">
      <c r="A64" s="24">
        <v>49</v>
      </c>
      <c r="B64" s="565" t="str">
        <f>'Schedule 2B Adjustments'!B63:D63</f>
        <v/>
      </c>
      <c r="C64" s="565"/>
      <c r="D64" s="565"/>
      <c r="F64" s="114">
        <f>'Schedule 2B Adjustments'!H63</f>
        <v>0</v>
      </c>
      <c r="G64" s="173">
        <f>'Schedule 2B Adjustments'!J63</f>
        <v>0</v>
      </c>
      <c r="H64" s="68">
        <f t="shared" si="0"/>
        <v>0</v>
      </c>
      <c r="J64" s="172">
        <f>'Schedule 2B Adjustments'!P63</f>
        <v>0</v>
      </c>
      <c r="K64" s="173">
        <f>'Schedule 2B Adjustments'!R63</f>
        <v>0</v>
      </c>
      <c r="L64" s="68">
        <f t="shared" si="1"/>
        <v>0</v>
      </c>
      <c r="N64" s="117">
        <f>'Schedule 2B Adjustments'!X63</f>
        <v>0</v>
      </c>
      <c r="O64" s="117">
        <f>'Schedule 2B Adjustments'!AA63</f>
        <v>0</v>
      </c>
    </row>
    <row r="65" spans="1:15" x14ac:dyDescent="0.35">
      <c r="A65" s="24">
        <v>50</v>
      </c>
      <c r="B65" s="565" t="str">
        <f>'Schedule 2B Adjustments'!B64:D64</f>
        <v/>
      </c>
      <c r="C65" s="565"/>
      <c r="D65" s="565"/>
      <c r="F65" s="114">
        <f>'Schedule 2B Adjustments'!H64</f>
        <v>0</v>
      </c>
      <c r="G65" s="173">
        <f>'Schedule 2B Adjustments'!J64</f>
        <v>0</v>
      </c>
      <c r="H65" s="68">
        <f t="shared" si="0"/>
        <v>0</v>
      </c>
      <c r="J65" s="172">
        <f>'Schedule 2B Adjustments'!P64</f>
        <v>0</v>
      </c>
      <c r="K65" s="173">
        <f>'Schedule 2B Adjustments'!R64</f>
        <v>0</v>
      </c>
      <c r="L65" s="68">
        <f t="shared" si="1"/>
        <v>0</v>
      </c>
      <c r="N65" s="117">
        <f>'Schedule 2B Adjustments'!X64</f>
        <v>0</v>
      </c>
      <c r="O65" s="117">
        <f>'Schedule 2B Adjustments'!AA64</f>
        <v>0</v>
      </c>
    </row>
    <row r="66" spans="1:15" x14ac:dyDescent="0.35">
      <c r="A66" s="24">
        <v>51</v>
      </c>
      <c r="B66" s="565" t="str">
        <f>'Schedule 2B Adjustments'!B65:D65</f>
        <v/>
      </c>
      <c r="C66" s="565"/>
      <c r="D66" s="565"/>
      <c r="F66" s="114">
        <f>'Schedule 2B Adjustments'!H65</f>
        <v>0</v>
      </c>
      <c r="G66" s="173">
        <f>'Schedule 2B Adjustments'!J65</f>
        <v>0</v>
      </c>
      <c r="H66" s="68">
        <f t="shared" si="0"/>
        <v>0</v>
      </c>
      <c r="J66" s="172">
        <f>'Schedule 2B Adjustments'!P65</f>
        <v>0</v>
      </c>
      <c r="K66" s="173">
        <f>'Schedule 2B Adjustments'!R65</f>
        <v>0</v>
      </c>
      <c r="L66" s="68">
        <f t="shared" si="1"/>
        <v>0</v>
      </c>
      <c r="N66" s="117">
        <f>'Schedule 2B Adjustments'!X65</f>
        <v>0</v>
      </c>
      <c r="O66" s="117">
        <f>'Schedule 2B Adjustments'!AA65</f>
        <v>0</v>
      </c>
    </row>
    <row r="67" spans="1:15" x14ac:dyDescent="0.35">
      <c r="A67" s="24">
        <v>52</v>
      </c>
      <c r="B67" s="565" t="str">
        <f>'Schedule 2B Adjustments'!B66:D66</f>
        <v/>
      </c>
      <c r="C67" s="565"/>
      <c r="D67" s="565"/>
      <c r="F67" s="114">
        <f>'Schedule 2B Adjustments'!H66</f>
        <v>0</v>
      </c>
      <c r="G67" s="173">
        <f>'Schedule 2B Adjustments'!J66</f>
        <v>0</v>
      </c>
      <c r="H67" s="68">
        <f t="shared" si="0"/>
        <v>0</v>
      </c>
      <c r="J67" s="172">
        <f>'Schedule 2B Adjustments'!P66</f>
        <v>0</v>
      </c>
      <c r="K67" s="173">
        <f>'Schedule 2B Adjustments'!R66</f>
        <v>0</v>
      </c>
      <c r="L67" s="68">
        <f t="shared" si="1"/>
        <v>0</v>
      </c>
      <c r="N67" s="117">
        <f>'Schedule 2B Adjustments'!X66</f>
        <v>0</v>
      </c>
      <c r="O67" s="117">
        <f>'Schedule 2B Adjustments'!AA66</f>
        <v>0</v>
      </c>
    </row>
    <row r="68" spans="1:15" x14ac:dyDescent="0.35">
      <c r="A68" s="24">
        <v>53</v>
      </c>
      <c r="B68" s="565" t="str">
        <f>'Schedule 2B Adjustments'!B67:D67</f>
        <v/>
      </c>
      <c r="C68" s="565"/>
      <c r="D68" s="565"/>
      <c r="F68" s="114">
        <f>'Schedule 2B Adjustments'!H67</f>
        <v>0</v>
      </c>
      <c r="G68" s="173">
        <f>'Schedule 2B Adjustments'!J67</f>
        <v>0</v>
      </c>
      <c r="H68" s="68">
        <f t="shared" si="0"/>
        <v>0</v>
      </c>
      <c r="J68" s="172">
        <f>'Schedule 2B Adjustments'!P67</f>
        <v>0</v>
      </c>
      <c r="K68" s="173">
        <f>'Schedule 2B Adjustments'!R67</f>
        <v>0</v>
      </c>
      <c r="L68" s="68">
        <f t="shared" si="1"/>
        <v>0</v>
      </c>
      <c r="N68" s="117">
        <f>'Schedule 2B Adjustments'!X67</f>
        <v>0</v>
      </c>
      <c r="O68" s="117">
        <f>'Schedule 2B Adjustments'!AA67</f>
        <v>0</v>
      </c>
    </row>
    <row r="69" spans="1:15" x14ac:dyDescent="0.35">
      <c r="A69" s="24">
        <v>54</v>
      </c>
      <c r="B69" s="565" t="str">
        <f>'Schedule 2B Adjustments'!B68:D68</f>
        <v/>
      </c>
      <c r="C69" s="565"/>
      <c r="D69" s="565"/>
      <c r="F69" s="114">
        <f>'Schedule 2B Adjustments'!H68</f>
        <v>0</v>
      </c>
      <c r="G69" s="173">
        <f>'Schedule 2B Adjustments'!J68</f>
        <v>0</v>
      </c>
      <c r="H69" s="68">
        <f t="shared" si="0"/>
        <v>0</v>
      </c>
      <c r="J69" s="172">
        <f>'Schedule 2B Adjustments'!P68</f>
        <v>0</v>
      </c>
      <c r="K69" s="173">
        <f>'Schedule 2B Adjustments'!R68</f>
        <v>0</v>
      </c>
      <c r="L69" s="68">
        <f t="shared" si="1"/>
        <v>0</v>
      </c>
      <c r="N69" s="117">
        <f>'Schedule 2B Adjustments'!X68</f>
        <v>0</v>
      </c>
      <c r="O69" s="117">
        <f>'Schedule 2B Adjustments'!AA68</f>
        <v>0</v>
      </c>
    </row>
    <row r="70" spans="1:15" x14ac:dyDescent="0.35">
      <c r="A70" s="24">
        <v>55</v>
      </c>
      <c r="B70" s="565" t="str">
        <f>'Schedule 2B Adjustments'!B69:D69</f>
        <v/>
      </c>
      <c r="C70" s="565"/>
      <c r="D70" s="565"/>
      <c r="F70" s="114">
        <f>'Schedule 2B Adjustments'!H69</f>
        <v>0</v>
      </c>
      <c r="G70" s="173">
        <f>'Schedule 2B Adjustments'!J69</f>
        <v>0</v>
      </c>
      <c r="H70" s="68">
        <f t="shared" si="0"/>
        <v>0</v>
      </c>
      <c r="J70" s="172">
        <f>'Schedule 2B Adjustments'!P69</f>
        <v>0</v>
      </c>
      <c r="K70" s="173">
        <f>'Schedule 2B Adjustments'!R69</f>
        <v>0</v>
      </c>
      <c r="L70" s="68">
        <f t="shared" si="1"/>
        <v>0</v>
      </c>
      <c r="N70" s="117">
        <f>'Schedule 2B Adjustments'!X69</f>
        <v>0</v>
      </c>
      <c r="O70" s="117">
        <f>'Schedule 2B Adjustments'!AA69</f>
        <v>0</v>
      </c>
    </row>
    <row r="71" spans="1:15" x14ac:dyDescent="0.35">
      <c r="A71" s="24">
        <v>56</v>
      </c>
      <c r="B71" s="565" t="str">
        <f>'Schedule 2B Adjustments'!B70:D70</f>
        <v/>
      </c>
      <c r="C71" s="565"/>
      <c r="D71" s="565"/>
      <c r="F71" s="114">
        <f>'Schedule 2B Adjustments'!H70</f>
        <v>0</v>
      </c>
      <c r="G71" s="173">
        <f>'Schedule 2B Adjustments'!J70</f>
        <v>0</v>
      </c>
      <c r="H71" s="68">
        <f t="shared" si="0"/>
        <v>0</v>
      </c>
      <c r="J71" s="172">
        <f>'Schedule 2B Adjustments'!P70</f>
        <v>0</v>
      </c>
      <c r="K71" s="173">
        <f>'Schedule 2B Adjustments'!R70</f>
        <v>0</v>
      </c>
      <c r="L71" s="68">
        <f t="shared" si="1"/>
        <v>0</v>
      </c>
      <c r="N71" s="117">
        <f>'Schedule 2B Adjustments'!X70</f>
        <v>0</v>
      </c>
      <c r="O71" s="117">
        <f>'Schedule 2B Adjustments'!AA70</f>
        <v>0</v>
      </c>
    </row>
    <row r="72" spans="1:15" x14ac:dyDescent="0.35">
      <c r="A72" s="24">
        <v>57</v>
      </c>
      <c r="B72" s="565" t="str">
        <f>'Schedule 2B Adjustments'!B71:D71</f>
        <v/>
      </c>
      <c r="C72" s="565"/>
      <c r="D72" s="565"/>
      <c r="F72" s="114">
        <f>'Schedule 2B Adjustments'!H71</f>
        <v>0</v>
      </c>
      <c r="G72" s="173">
        <f>'Schedule 2B Adjustments'!J71</f>
        <v>0</v>
      </c>
      <c r="H72" s="68">
        <f t="shared" si="0"/>
        <v>0</v>
      </c>
      <c r="J72" s="172">
        <f>'Schedule 2B Adjustments'!P71</f>
        <v>0</v>
      </c>
      <c r="K72" s="173">
        <f>'Schedule 2B Adjustments'!R71</f>
        <v>0</v>
      </c>
      <c r="L72" s="68">
        <f t="shared" si="1"/>
        <v>0</v>
      </c>
      <c r="N72" s="117">
        <f>'Schedule 2B Adjustments'!X71</f>
        <v>0</v>
      </c>
      <c r="O72" s="117">
        <f>'Schedule 2B Adjustments'!AA71</f>
        <v>0</v>
      </c>
    </row>
    <row r="73" spans="1:15" x14ac:dyDescent="0.35">
      <c r="A73" s="24">
        <v>58</v>
      </c>
      <c r="B73" s="565" t="str">
        <f>'Schedule 2B Adjustments'!B72:D72</f>
        <v/>
      </c>
      <c r="C73" s="565"/>
      <c r="D73" s="565"/>
      <c r="F73" s="114">
        <f>'Schedule 2B Adjustments'!H72</f>
        <v>0</v>
      </c>
      <c r="G73" s="173">
        <f>'Schedule 2B Adjustments'!J72</f>
        <v>0</v>
      </c>
      <c r="H73" s="68">
        <f t="shared" si="0"/>
        <v>0</v>
      </c>
      <c r="J73" s="172">
        <f>'Schedule 2B Adjustments'!P72</f>
        <v>0</v>
      </c>
      <c r="K73" s="173">
        <f>'Schedule 2B Adjustments'!R72</f>
        <v>0</v>
      </c>
      <c r="L73" s="68">
        <f t="shared" si="1"/>
        <v>0</v>
      </c>
      <c r="N73" s="117">
        <f>'Schedule 2B Adjustments'!X72</f>
        <v>0</v>
      </c>
      <c r="O73" s="117">
        <f>'Schedule 2B Adjustments'!AA72</f>
        <v>0</v>
      </c>
    </row>
    <row r="74" spans="1:15" x14ac:dyDescent="0.35">
      <c r="A74" s="24">
        <v>59</v>
      </c>
      <c r="F74" s="18">
        <f>SUM(F16:F73)</f>
        <v>1356204.1123984661</v>
      </c>
      <c r="G74" s="18">
        <f t="shared" ref="G74:H74" si="2">SUM(G16:G73)</f>
        <v>352480.51628602529</v>
      </c>
      <c r="H74" s="18">
        <f t="shared" si="2"/>
        <v>1708684.6286844916</v>
      </c>
      <c r="J74" s="18">
        <f>SUM(J16:J73)</f>
        <v>2013551.2458322109</v>
      </c>
      <c r="K74" s="18">
        <f t="shared" ref="K74:L74" si="3">SUM(K16:K73)</f>
        <v>523326.52305863181</v>
      </c>
      <c r="L74" s="18">
        <f t="shared" si="3"/>
        <v>2536877.7688908428</v>
      </c>
      <c r="O74" s="83" t="s">
        <v>313</v>
      </c>
    </row>
    <row r="75" spans="1:15" ht="15" thickBot="1" x14ac:dyDescent="0.4">
      <c r="H75" s="37" t="s">
        <v>257</v>
      </c>
      <c r="L75" s="37" t="s">
        <v>258</v>
      </c>
    </row>
    <row r="76" spans="1:15" s="72" customFormat="1" ht="16" thickBot="1" x14ac:dyDescent="0.4">
      <c r="A76" s="24">
        <v>60</v>
      </c>
      <c r="B76" s="73" t="s">
        <v>460</v>
      </c>
      <c r="F76" s="75">
        <f>H74+L74</f>
        <v>4245562.3975753346</v>
      </c>
      <c r="G76" s="74"/>
      <c r="H76" s="74"/>
      <c r="I76" s="74"/>
      <c r="J76" s="74"/>
      <c r="K76" s="74"/>
    </row>
  </sheetData>
  <sheetProtection sheet="1" objects="1" scenarios="1"/>
  <customSheetViews>
    <customSheetView guid="{17302493-42B1-4877-869E-E424A97AE78B}">
      <selection activeCell="F9" sqref="F9"/>
      <pageMargins left="0.7" right="0.7" top="0.75" bottom="0.75" header="0.3" footer="0.3"/>
      <pageSetup orientation="portrait" horizontalDpi="1200" verticalDpi="1200" r:id="rId1"/>
    </customSheetView>
    <customSheetView guid="{5C0BA3A5-859C-46C2-B685-44D9A90065E4}">
      <selection activeCell="F9" sqref="F9"/>
      <pageMargins left="0.7" right="0.7" top="0.75" bottom="0.75" header="0.3" footer="0.3"/>
      <pageSetup orientation="portrait" horizontalDpi="1200" verticalDpi="1200" r:id="rId2"/>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scale="36" fitToHeight="0" orientation="portrait" horizontalDpi="1200" verticalDpi="12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8971D"/>
    <pageSetUpPr fitToPage="1"/>
  </sheetPr>
  <dimension ref="A1:O76"/>
  <sheetViews>
    <sheetView workbookViewId="0">
      <selection activeCell="C26" sqref="C2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453125" customWidth="1"/>
    <col min="15" max="15" width="12" customWidth="1"/>
  </cols>
  <sheetData>
    <row r="1" spans="1:15" ht="26" x14ac:dyDescent="0.6">
      <c r="A1" s="3" t="s">
        <v>777</v>
      </c>
    </row>
    <row r="2" spans="1:15" ht="21" x14ac:dyDescent="0.5">
      <c r="A2" s="2" t="s">
        <v>775</v>
      </c>
    </row>
    <row r="3" spans="1:15" ht="25" customHeight="1" x14ac:dyDescent="0.5">
      <c r="A3" s="546" t="s">
        <v>689</v>
      </c>
      <c r="B3" s="546"/>
      <c r="C3" s="546"/>
      <c r="D3" s="546"/>
      <c r="E3" s="546"/>
      <c r="F3" s="546"/>
      <c r="G3" s="546"/>
      <c r="H3" s="546"/>
    </row>
    <row r="4" spans="1:15" ht="25" customHeight="1" x14ac:dyDescent="0.5">
      <c r="A4" s="235" t="str">
        <f>Results!A4</f>
        <v>Final Adjustments</v>
      </c>
      <c r="B4" s="354"/>
      <c r="C4" s="354"/>
      <c r="D4" s="354"/>
      <c r="E4" s="354"/>
      <c r="F4" s="354"/>
      <c r="G4" s="354"/>
      <c r="H4" s="354"/>
    </row>
    <row r="6" spans="1:15" x14ac:dyDescent="0.35">
      <c r="A6" s="1" t="s">
        <v>776</v>
      </c>
      <c r="C6" s="414" t="str">
        <f>Results!$C$6</f>
        <v>WellPower</v>
      </c>
    </row>
    <row r="7" spans="1:15" x14ac:dyDescent="0.35">
      <c r="A7" s="1" t="s">
        <v>0</v>
      </c>
      <c r="C7" s="35">
        <f>Results!$C$7</f>
        <v>45473</v>
      </c>
      <c r="F7" s="35"/>
    </row>
    <row r="9" spans="1:15" x14ac:dyDescent="0.35">
      <c r="A9" s="1" t="s">
        <v>253</v>
      </c>
      <c r="B9" s="1" t="s">
        <v>749</v>
      </c>
      <c r="C9" s="1"/>
      <c r="D9" s="116" t="str">
        <f>'Schedule 2C Adjustments'!D8</f>
        <v>Yes</v>
      </c>
      <c r="E9" s="41" t="s">
        <v>259</v>
      </c>
    </row>
    <row r="11" spans="1:15" x14ac:dyDescent="0.35">
      <c r="A11" s="1" t="s">
        <v>254</v>
      </c>
      <c r="B11" s="1" t="s">
        <v>256</v>
      </c>
      <c r="C11" s="1"/>
    </row>
    <row r="12" spans="1:15" x14ac:dyDescent="0.35">
      <c r="B12" s="311" t="s">
        <v>592</v>
      </c>
    </row>
    <row r="13" spans="1:15" x14ac:dyDescent="0.35">
      <c r="B13" s="560">
        <v>1</v>
      </c>
      <c r="C13" s="560"/>
      <c r="D13" s="560"/>
      <c r="F13" s="23">
        <v>2</v>
      </c>
      <c r="G13" s="23">
        <v>3</v>
      </c>
      <c r="H13" s="23">
        <v>4</v>
      </c>
      <c r="J13" s="23">
        <v>5</v>
      </c>
      <c r="K13" s="23">
        <v>6</v>
      </c>
      <c r="L13" s="23">
        <v>7</v>
      </c>
      <c r="N13" s="23">
        <v>8</v>
      </c>
      <c r="O13" s="23">
        <v>9</v>
      </c>
    </row>
    <row r="14" spans="1:15" ht="15" customHeight="1" x14ac:dyDescent="0.35">
      <c r="B14" s="569" t="s">
        <v>606</v>
      </c>
      <c r="C14" s="570"/>
      <c r="D14" s="571"/>
      <c r="F14" s="563" t="s">
        <v>261</v>
      </c>
      <c r="G14" s="568"/>
      <c r="H14" s="564"/>
      <c r="J14" s="563" t="s">
        <v>262</v>
      </c>
      <c r="K14" s="568"/>
      <c r="L14" s="564"/>
      <c r="N14" s="566" t="s">
        <v>686</v>
      </c>
      <c r="O14" s="566" t="s">
        <v>687</v>
      </c>
    </row>
    <row r="15" spans="1:15" ht="55.5" customHeight="1" x14ac:dyDescent="0.35">
      <c r="B15" s="572"/>
      <c r="C15" s="573"/>
      <c r="D15" s="574"/>
      <c r="E15" s="48"/>
      <c r="F15" s="10" t="s">
        <v>683</v>
      </c>
      <c r="G15" s="142" t="s">
        <v>684</v>
      </c>
      <c r="H15" s="142" t="s">
        <v>685</v>
      </c>
      <c r="I15" s="99"/>
      <c r="J15" s="10" t="s">
        <v>683</v>
      </c>
      <c r="K15" s="142" t="s">
        <v>684</v>
      </c>
      <c r="L15" s="142" t="s">
        <v>685</v>
      </c>
      <c r="M15" s="48"/>
      <c r="N15" s="567"/>
      <c r="O15" s="567"/>
    </row>
    <row r="16" spans="1:15" x14ac:dyDescent="0.35">
      <c r="A16" s="24">
        <v>1</v>
      </c>
      <c r="B16" s="565" t="str">
        <f>'Schedule 2C Adjustments'!B15:D15</f>
        <v>100-222-ARS Outpatient Willow</v>
      </c>
      <c r="C16" s="565"/>
      <c r="D16" s="565"/>
      <c r="F16" s="114">
        <f>'Schedule 2C Adjustments'!H15</f>
        <v>3042604.8020187248</v>
      </c>
      <c r="G16" s="68">
        <f>'Schedule 2C Adjustments'!J15</f>
        <v>790779.86983334029</v>
      </c>
      <c r="H16" s="68">
        <f>SUM(F16:G16)</f>
        <v>3833384.6718520653</v>
      </c>
      <c r="J16" s="114">
        <f>'Schedule 2C Adjustments'!P15</f>
        <v>52044.997659355424</v>
      </c>
      <c r="K16" s="68">
        <f>'Schedule 2C Adjustments'!R15</f>
        <v>13526.612607472083</v>
      </c>
      <c r="L16" s="68">
        <f>SUM(J16:K16)</f>
        <v>65571.610266827513</v>
      </c>
      <c r="N16" s="117">
        <f>'Schedule 2C Adjustments'!X15</f>
        <v>23.175625</v>
      </c>
      <c r="O16" s="117">
        <f>'Schedule 2C Adjustments'!AA15</f>
        <v>2448</v>
      </c>
    </row>
    <row r="17" spans="1:15" x14ac:dyDescent="0.35">
      <c r="A17" s="24">
        <v>2</v>
      </c>
      <c r="B17" s="565" t="str">
        <f>'Schedule 2C Adjustments'!B16:D16</f>
        <v>100-225-Zero Suicide Peer Specialists</v>
      </c>
      <c r="C17" s="565"/>
      <c r="D17" s="565"/>
      <c r="F17" s="114">
        <f>'Schedule 2C Adjustments'!H16</f>
        <v>228443</v>
      </c>
      <c r="G17" s="68">
        <f>'Schedule 2C Adjustments'!J16</f>
        <v>59372.852394264388</v>
      </c>
      <c r="H17" s="68">
        <f t="shared" ref="H17:H73" si="0">SUM(F17:G17)</f>
        <v>287815.85239426437</v>
      </c>
      <c r="J17" s="114">
        <f>'Schedule 2C Adjustments'!P16</f>
        <v>-0.44250827451469377</v>
      </c>
      <c r="K17" s="68">
        <f>'Schedule 2C Adjustments'!R16</f>
        <v>-0.11500890141523942</v>
      </c>
      <c r="L17" s="68">
        <f t="shared" ref="L17:L73" si="1">SUM(J17:K17)</f>
        <v>-0.55751717592993322</v>
      </c>
      <c r="N17" s="117">
        <f>'Schedule 2C Adjustments'!X16</f>
        <v>1.9750000000000001</v>
      </c>
      <c r="O17" s="117">
        <f>'Schedule 2C Adjustments'!AA16</f>
        <v>195</v>
      </c>
    </row>
    <row r="18" spans="1:15" x14ac:dyDescent="0.35">
      <c r="A18" s="24">
        <v>3</v>
      </c>
      <c r="B18" s="565" t="str">
        <f>'Schedule 2C Adjustments'!B17:D17</f>
        <v>100-226-ARS Outpatient Evergreen</v>
      </c>
      <c r="C18" s="565"/>
      <c r="D18" s="565"/>
      <c r="F18" s="114">
        <f>'Schedule 2C Adjustments'!H17</f>
        <v>2508560.3483315012</v>
      </c>
      <c r="G18" s="68">
        <f>'Schedule 2C Adjustments'!J17</f>
        <v>651980.50841387419</v>
      </c>
      <c r="H18" s="68">
        <f t="shared" si="0"/>
        <v>3160540.8567453753</v>
      </c>
      <c r="J18" s="114">
        <f>'Schedule 2C Adjustments'!P17</f>
        <v>38194.557536292785</v>
      </c>
      <c r="K18" s="68">
        <f>'Schedule 2C Adjustments'!R17</f>
        <v>9926.851892448225</v>
      </c>
      <c r="L18" s="68">
        <f t="shared" si="1"/>
        <v>48121.409428741012</v>
      </c>
      <c r="N18" s="117">
        <f>'Schedule 2C Adjustments'!X17</f>
        <v>15.916749999999997</v>
      </c>
      <c r="O18" s="117">
        <f>'Schedule 2C Adjustments'!AA17</f>
        <v>1953</v>
      </c>
    </row>
    <row r="19" spans="1:15" x14ac:dyDescent="0.35">
      <c r="A19" s="24">
        <v>4</v>
      </c>
      <c r="B19" s="565" t="str">
        <f>'Schedule 2C Adjustments'!B18:D18</f>
        <v>100-227-ARS Outpatient Aspen</v>
      </c>
      <c r="C19" s="565"/>
      <c r="D19" s="565"/>
      <c r="F19" s="114">
        <f>'Schedule 2C Adjustments'!H18</f>
        <v>2022971.3102476548</v>
      </c>
      <c r="G19" s="68">
        <f>'Schedule 2C Adjustments'!J18</f>
        <v>525774.81910658511</v>
      </c>
      <c r="H19" s="68">
        <f t="shared" si="0"/>
        <v>2548746.1293542399</v>
      </c>
      <c r="J19" s="114">
        <f>'Schedule 2C Adjustments'!P18</f>
        <v>98404.333030055408</v>
      </c>
      <c r="K19" s="68">
        <f>'Schedule 2C Adjustments'!R18</f>
        <v>25575.508726244687</v>
      </c>
      <c r="L19" s="68">
        <f t="shared" si="1"/>
        <v>123979.8417563001</v>
      </c>
      <c r="N19" s="117">
        <f>'Schedule 2C Adjustments'!X18</f>
        <v>14.4625</v>
      </c>
      <c r="O19" s="117">
        <f>'Schedule 2C Adjustments'!AA18</f>
        <v>1753</v>
      </c>
    </row>
    <row r="20" spans="1:15" x14ac:dyDescent="0.35">
      <c r="A20" s="24">
        <v>5</v>
      </c>
      <c r="B20" s="565" t="str">
        <f>'Schedule 2C Adjustments'!B19:D19</f>
        <v>100-230-ARS Outpatient Birch</v>
      </c>
      <c r="C20" s="565"/>
      <c r="D20" s="565"/>
      <c r="F20" s="114">
        <f>'Schedule 2C Adjustments'!H19</f>
        <v>2106573.9036387573</v>
      </c>
      <c r="G20" s="68">
        <f>'Schedule 2C Adjustments'!J19</f>
        <v>547503.32222196902</v>
      </c>
      <c r="H20" s="68">
        <f t="shared" si="0"/>
        <v>2654077.2258607261</v>
      </c>
      <c r="J20" s="114">
        <f>'Schedule 2C Adjustments'!P19</f>
        <v>41620.341546242591</v>
      </c>
      <c r="K20" s="68">
        <f>'Schedule 2C Adjustments'!R19</f>
        <v>10817.22090510075</v>
      </c>
      <c r="L20" s="68">
        <f t="shared" si="1"/>
        <v>52437.562451343343</v>
      </c>
      <c r="N20" s="117">
        <f>'Schedule 2C Adjustments'!X19</f>
        <v>13.937874999999998</v>
      </c>
      <c r="O20" s="117">
        <f>'Schedule 2C Adjustments'!AA19</f>
        <v>1612</v>
      </c>
    </row>
    <row r="21" spans="1:15" x14ac:dyDescent="0.35">
      <c r="A21" s="24">
        <v>6</v>
      </c>
      <c r="B21" s="565" t="str">
        <f>'Schedule 2C Adjustments'!B20:D20</f>
        <v>100-725-Living &amp; Learning with HIV</v>
      </c>
      <c r="C21" s="565"/>
      <c r="D21" s="565"/>
      <c r="F21" s="114">
        <f>'Schedule 2C Adjustments'!H20</f>
        <v>184106.89533944457</v>
      </c>
      <c r="G21" s="68">
        <f>'Schedule 2C Adjustments'!J20</f>
        <v>47849.79851321828</v>
      </c>
      <c r="H21" s="68">
        <f t="shared" si="0"/>
        <v>231956.69385266287</v>
      </c>
      <c r="J21" s="114">
        <f>'Schedule 2C Adjustments'!P20</f>
        <v>56.425565571483332</v>
      </c>
      <c r="K21" s="68">
        <f>'Schedule 2C Adjustments'!R20</f>
        <v>14.665132115838814</v>
      </c>
      <c r="L21" s="68">
        <f t="shared" si="1"/>
        <v>71.090697687322148</v>
      </c>
      <c r="N21" s="117">
        <f>'Schedule 2C Adjustments'!X20</f>
        <v>1.4000000000000001</v>
      </c>
      <c r="O21" s="117">
        <f>'Schedule 2C Adjustments'!AA20</f>
        <v>51</v>
      </c>
    </row>
    <row r="22" spans="1:15" x14ac:dyDescent="0.35">
      <c r="A22" s="24">
        <v>7</v>
      </c>
      <c r="B22" s="565" t="str">
        <f>'Schedule 2C Adjustments'!B21:D21</f>
        <v>100-255-ARS Outpatient - Emerson</v>
      </c>
      <c r="C22" s="565"/>
      <c r="D22" s="565"/>
      <c r="F22" s="114">
        <f>'Schedule 2C Adjustments'!H21</f>
        <v>2298964.576334801</v>
      </c>
      <c r="G22" s="68">
        <f>'Schedule 2C Adjustments'!J21</f>
        <v>597506.09320648341</v>
      </c>
      <c r="H22" s="68">
        <f t="shared" si="0"/>
        <v>2896470.6695412844</v>
      </c>
      <c r="J22" s="114">
        <f>'Schedule 2C Adjustments'!P21</f>
        <v>4767.5668654209603</v>
      </c>
      <c r="K22" s="68">
        <f>'Schedule 2C Adjustments'!R21</f>
        <v>1239.1014116450249</v>
      </c>
      <c r="L22" s="68">
        <f t="shared" si="1"/>
        <v>6006.6682770659854</v>
      </c>
      <c r="N22" s="117">
        <f>'Schedule 2C Adjustments'!X21</f>
        <v>17.381249999999998</v>
      </c>
      <c r="O22" s="117">
        <f>'Schedule 2C Adjustments'!AA21</f>
        <v>481</v>
      </c>
    </row>
    <row r="23" spans="1:15" x14ac:dyDescent="0.35">
      <c r="A23" s="24">
        <v>8</v>
      </c>
      <c r="B23" s="565" t="str">
        <f>'Schedule 2C Adjustments'!B22:D22</f>
        <v>100-829-PriCare (Primary Care)</v>
      </c>
      <c r="C23" s="565"/>
      <c r="D23" s="565"/>
      <c r="F23" s="114">
        <f>'Schedule 2C Adjustments'!H22</f>
        <v>561167.99794820044</v>
      </c>
      <c r="G23" s="68">
        <f>'Schedule 2C Adjustments'!J22</f>
        <v>145848.83192115041</v>
      </c>
      <c r="H23" s="68">
        <f t="shared" si="0"/>
        <v>707016.82986935088</v>
      </c>
      <c r="J23" s="114">
        <f>'Schedule 2C Adjustments'!P22</f>
        <v>28551.873005078629</v>
      </c>
      <c r="K23" s="68">
        <f>'Schedule 2C Adjustments'!R22</f>
        <v>7420.6963728821429</v>
      </c>
      <c r="L23" s="68">
        <f t="shared" si="1"/>
        <v>35972.569377960768</v>
      </c>
      <c r="N23" s="117">
        <f>'Schedule 2C Adjustments'!X22</f>
        <v>4.7312500000000002</v>
      </c>
      <c r="O23" s="117">
        <f>'Schedule 2C Adjustments'!AA22</f>
        <v>508</v>
      </c>
    </row>
    <row r="24" spans="1:15" x14ac:dyDescent="0.35">
      <c r="A24" s="24">
        <v>9</v>
      </c>
      <c r="B24" s="565" t="str">
        <f>'Schedule 2C Adjustments'!B23:D23</f>
        <v>100-750-Wellshire Behavioral Services</v>
      </c>
      <c r="C24" s="565"/>
      <c r="D24" s="565"/>
      <c r="F24" s="114">
        <f>'Schedule 2C Adjustments'!H23</f>
        <v>2646333.8126377813</v>
      </c>
      <c r="G24" s="68">
        <f>'Schedule 2C Adjustments'!J23</f>
        <v>687788.14340423606</v>
      </c>
      <c r="H24" s="68">
        <f t="shared" si="0"/>
        <v>3334121.9560420173</v>
      </c>
      <c r="J24" s="114">
        <f>'Schedule 2C Adjustments'!P23</f>
        <v>48530.586892876432</v>
      </c>
      <c r="K24" s="68">
        <f>'Schedule 2C Adjustments'!R23</f>
        <v>12613.209300340892</v>
      </c>
      <c r="L24" s="68">
        <f t="shared" si="1"/>
        <v>61143.79619321732</v>
      </c>
      <c r="N24" s="117">
        <f>'Schedule 2C Adjustments'!X23</f>
        <v>16.192187499999999</v>
      </c>
      <c r="O24" s="117">
        <f>'Schedule 2C Adjustments'!AA23</f>
        <v>1640</v>
      </c>
    </row>
    <row r="25" spans="1:15" x14ac:dyDescent="0.35">
      <c r="A25" s="24">
        <v>10</v>
      </c>
      <c r="B25" s="565" t="str">
        <f>'Schedule 2C Adjustments'!B24:D24</f>
        <v>100-911-Access Center</v>
      </c>
      <c r="C25" s="565"/>
      <c r="D25" s="565"/>
      <c r="F25" s="114">
        <f>'Schedule 2C Adjustments'!H24</f>
        <v>2161339.3505503978</v>
      </c>
      <c r="G25" s="68">
        <f>'Schedule 2C Adjustments'!J24</f>
        <v>561736.98574324453</v>
      </c>
      <c r="H25" s="68">
        <f t="shared" si="0"/>
        <v>2723076.3362936424</v>
      </c>
      <c r="J25" s="114">
        <f>'Schedule 2C Adjustments'!P24</f>
        <v>330.89186765372608</v>
      </c>
      <c r="K25" s="68">
        <f>'Schedule 2C Adjustments'!R24</f>
        <v>85.999544817162899</v>
      </c>
      <c r="L25" s="68">
        <f t="shared" si="1"/>
        <v>416.89141247088901</v>
      </c>
      <c r="N25" s="117">
        <f>'Schedule 2C Adjustments'!X24</f>
        <v>17</v>
      </c>
      <c r="O25" s="117">
        <f>'Schedule 2C Adjustments'!AA24</f>
        <v>5162</v>
      </c>
    </row>
    <row r="26" spans="1:15" x14ac:dyDescent="0.35">
      <c r="A26" s="24">
        <v>11</v>
      </c>
      <c r="B26" s="565" t="str">
        <f>'Schedule 2C Adjustments'!B25:D25</f>
        <v>200-401-School-Based Svcs</v>
      </c>
      <c r="C26" s="565"/>
      <c r="D26" s="565"/>
      <c r="F26" s="114">
        <f>'Schedule 2C Adjustments'!H25</f>
        <v>1709541.042027635</v>
      </c>
      <c r="G26" s="68">
        <f>'Schedule 2C Adjustments'!J25</f>
        <v>444313.58347703237</v>
      </c>
      <c r="H26" s="68">
        <f t="shared" si="0"/>
        <v>2153854.6255046674</v>
      </c>
      <c r="J26" s="114">
        <f>'Schedule 2C Adjustments'!P25</f>
        <v>107.16648153622072</v>
      </c>
      <c r="K26" s="68">
        <f>'Schedule 2C Adjustments'!R25</f>
        <v>27.852810941296919</v>
      </c>
      <c r="L26" s="68">
        <f t="shared" si="1"/>
        <v>135.01929247751764</v>
      </c>
      <c r="N26" s="117">
        <f>'Schedule 2C Adjustments'!X25</f>
        <v>12.949999999999998</v>
      </c>
      <c r="O26" s="117">
        <f>'Schedule 2C Adjustments'!AA25</f>
        <v>583</v>
      </c>
    </row>
    <row r="27" spans="1:15" x14ac:dyDescent="0.35">
      <c r="A27" s="24">
        <v>12</v>
      </c>
      <c r="B27" s="565" t="str">
        <f>'Schedule 2C Adjustments'!B26:D26</f>
        <v>200-446-West Denver Child &amp; Family</v>
      </c>
      <c r="C27" s="565"/>
      <c r="D27" s="565"/>
      <c r="F27" s="114">
        <f>'Schedule 2C Adjustments'!H26</f>
        <v>3931303.8813351342</v>
      </c>
      <c r="G27" s="68">
        <f>'Schedule 2C Adjustments'!J26</f>
        <v>1021754.7706145935</v>
      </c>
      <c r="H27" s="68">
        <f t="shared" si="0"/>
        <v>4953058.6519497279</v>
      </c>
      <c r="J27" s="114">
        <f>'Schedule 2C Adjustments'!P26</f>
        <v>562.04690825986961</v>
      </c>
      <c r="K27" s="68">
        <f>'Schedule 2C Adjustments'!R26</f>
        <v>146.07726269907982</v>
      </c>
      <c r="L27" s="68">
        <f t="shared" si="1"/>
        <v>708.12417095894943</v>
      </c>
      <c r="N27" s="117">
        <f>'Schedule 2C Adjustments'!X26</f>
        <v>24.0625</v>
      </c>
      <c r="O27" s="117">
        <f>'Schedule 2C Adjustments'!AA26</f>
        <v>1842</v>
      </c>
    </row>
    <row r="28" spans="1:15" x14ac:dyDescent="0.35">
      <c r="A28" s="24">
        <v>13</v>
      </c>
      <c r="B28" s="565" t="str">
        <f>'Schedule 2C Adjustments'!B27:D27</f>
        <v>200-447-Intensive Treatment and Resource Svcs</v>
      </c>
      <c r="C28" s="565"/>
      <c r="D28" s="565"/>
      <c r="F28" s="114">
        <f>'Schedule 2C Adjustments'!H27</f>
        <v>1994543.9210587598</v>
      </c>
      <c r="G28" s="68">
        <f>'Schedule 2C Adjustments'!J27</f>
        <v>518386.47635908768</v>
      </c>
      <c r="H28" s="68">
        <f t="shared" si="0"/>
        <v>2512930.3974178475</v>
      </c>
      <c r="J28" s="114">
        <f>'Schedule 2C Adjustments'!P27</f>
        <v>113.58664338616816</v>
      </c>
      <c r="K28" s="68">
        <f>'Schedule 2C Adjustments'!R27</f>
        <v>29.521425527273365</v>
      </c>
      <c r="L28" s="68">
        <f t="shared" si="1"/>
        <v>143.10806891344151</v>
      </c>
      <c r="N28" s="117">
        <f>'Schedule 2C Adjustments'!X27</f>
        <v>13.725812499999998</v>
      </c>
      <c r="O28" s="117">
        <f>'Schedule 2C Adjustments'!AA27</f>
        <v>404</v>
      </c>
    </row>
    <row r="29" spans="1:15" x14ac:dyDescent="0.35">
      <c r="A29" s="24">
        <v>14</v>
      </c>
      <c r="B29" s="565" t="str">
        <f>'Schedule 2C Adjustments'!B28:D28</f>
        <v>200-449-Right Start</v>
      </c>
      <c r="C29" s="565"/>
      <c r="D29" s="565"/>
      <c r="F29" s="114">
        <f>'Schedule 2C Adjustments'!H28</f>
        <v>994774.28615380148</v>
      </c>
      <c r="G29" s="68">
        <f>'Schedule 2C Adjustments'!J28</f>
        <v>258544.08696007048</v>
      </c>
      <c r="H29" s="68">
        <f t="shared" si="0"/>
        <v>1253318.373113872</v>
      </c>
      <c r="J29" s="114">
        <f>'Schedule 2C Adjustments'!P28</f>
        <v>51.798856785002449</v>
      </c>
      <c r="K29" s="68">
        <f>'Schedule 2C Adjustments'!R28</f>
        <v>13.462640037504283</v>
      </c>
      <c r="L29" s="68">
        <f t="shared" si="1"/>
        <v>65.261496822506729</v>
      </c>
      <c r="N29" s="117">
        <f>'Schedule 2C Adjustments'!X28</f>
        <v>6.2593750000000004</v>
      </c>
      <c r="O29" s="117">
        <f>'Schedule 2C Adjustments'!AA28</f>
        <v>271</v>
      </c>
    </row>
    <row r="30" spans="1:15" x14ac:dyDescent="0.35">
      <c r="A30" s="24">
        <v>15</v>
      </c>
      <c r="B30" s="565" t="str">
        <f>'Schedule 2C Adjustments'!B29:D29</f>
        <v>200-462-Care Management</v>
      </c>
      <c r="C30" s="565"/>
      <c r="D30" s="565"/>
      <c r="F30" s="114">
        <f>'Schedule 2C Adjustments'!H29</f>
        <v>1395284.2530672648</v>
      </c>
      <c r="G30" s="68">
        <f>'Schedule 2C Adjustments'!J29</f>
        <v>362637.53323763103</v>
      </c>
      <c r="H30" s="68">
        <f t="shared" si="0"/>
        <v>1757921.7863048958</v>
      </c>
      <c r="J30" s="114">
        <f>'Schedule 2C Adjustments'!P29</f>
        <v>608.20323183704761</v>
      </c>
      <c r="K30" s="68">
        <f>'Schedule 2C Adjustments'!R29</f>
        <v>158.07339559354233</v>
      </c>
      <c r="L30" s="68">
        <f t="shared" si="1"/>
        <v>766.27662743059</v>
      </c>
      <c r="N30" s="117">
        <f>'Schedule 2C Adjustments'!X29</f>
        <v>8</v>
      </c>
      <c r="O30" s="117">
        <f>'Schedule 2C Adjustments'!AA29</f>
        <v>1596</v>
      </c>
    </row>
    <row r="31" spans="1:15" x14ac:dyDescent="0.35">
      <c r="A31" s="24">
        <v>16</v>
      </c>
      <c r="B31" s="565" t="str">
        <f>'Schedule 2C Adjustments'!B30:D30</f>
        <v>200-463-CYMHTA</v>
      </c>
      <c r="C31" s="565"/>
      <c r="D31" s="565"/>
      <c r="F31" s="114">
        <f>'Schedule 2C Adjustments'!H30</f>
        <v>0</v>
      </c>
      <c r="G31" s="68">
        <f>'Schedule 2C Adjustments'!J30</f>
        <v>0</v>
      </c>
      <c r="H31" s="68">
        <f t="shared" si="0"/>
        <v>0</v>
      </c>
      <c r="J31" s="114">
        <f>'Schedule 2C Adjustments'!P30</f>
        <v>14279.69</v>
      </c>
      <c r="K31" s="68">
        <f>'Schedule 2C Adjustments'!R30</f>
        <v>3711.3237289207955</v>
      </c>
      <c r="L31" s="68">
        <f t="shared" si="1"/>
        <v>17991.013728920796</v>
      </c>
      <c r="N31" s="117">
        <f>'Schedule 2C Adjustments'!X30</f>
        <v>0</v>
      </c>
      <c r="O31" s="117">
        <f>'Schedule 2C Adjustments'!AA30</f>
        <v>7</v>
      </c>
    </row>
    <row r="32" spans="1:15" x14ac:dyDescent="0.35">
      <c r="A32" s="24">
        <v>17</v>
      </c>
      <c r="B32" s="565" t="str">
        <f>'Schedule 2C Adjustments'!B31:D31</f>
        <v>200-466-Stay Safe Youth Program</v>
      </c>
      <c r="C32" s="565"/>
      <c r="D32" s="565"/>
      <c r="F32" s="114">
        <f>'Schedule 2C Adjustments'!H31</f>
        <v>727250.17109370814</v>
      </c>
      <c r="G32" s="68">
        <f>'Schedule 2C Adjustments'!J31</f>
        <v>189013.96436769897</v>
      </c>
      <c r="H32" s="68">
        <f t="shared" si="0"/>
        <v>916264.13546140713</v>
      </c>
      <c r="J32" s="114">
        <f>'Schedule 2C Adjustments'!P31</f>
        <v>45.020462447900115</v>
      </c>
      <c r="K32" s="68">
        <f>'Schedule 2C Adjustments'!R31</f>
        <v>11.700920017863083</v>
      </c>
      <c r="L32" s="68">
        <f t="shared" si="1"/>
        <v>56.721382465763199</v>
      </c>
      <c r="N32" s="117">
        <f>'Schedule 2C Adjustments'!X31</f>
        <v>5.0125000000000002</v>
      </c>
      <c r="O32" s="117">
        <f>'Schedule 2C Adjustments'!AA31</f>
        <v>84</v>
      </c>
    </row>
    <row r="33" spans="1:15" x14ac:dyDescent="0.35">
      <c r="A33" s="24">
        <v>18</v>
      </c>
      <c r="B33" s="565" t="str">
        <f>'Schedule 2C Adjustments'!B32:D32</f>
        <v>200-720-Centro de las Familias</v>
      </c>
      <c r="C33" s="565"/>
      <c r="D33" s="565"/>
      <c r="F33" s="114">
        <f>'Schedule 2C Adjustments'!H32</f>
        <v>1647122.6541787381</v>
      </c>
      <c r="G33" s="68">
        <f>'Schedule 2C Adjustments'!J32</f>
        <v>428090.90329667885</v>
      </c>
      <c r="H33" s="68">
        <f t="shared" si="0"/>
        <v>2075213.5574754169</v>
      </c>
      <c r="J33" s="114">
        <f>'Schedule 2C Adjustments'!P32</f>
        <v>7199.8159954701896</v>
      </c>
      <c r="K33" s="68">
        <f>'Schedule 2C Adjustments'!R32</f>
        <v>1871.2484618259928</v>
      </c>
      <c r="L33" s="68">
        <f t="shared" si="1"/>
        <v>9071.0644572961828</v>
      </c>
      <c r="N33" s="117">
        <f>'Schedule 2C Adjustments'!X32</f>
        <v>9.8709375000000001</v>
      </c>
      <c r="O33" s="117">
        <f>'Schedule 2C Adjustments'!AA32</f>
        <v>585</v>
      </c>
    </row>
    <row r="34" spans="1:15" x14ac:dyDescent="0.35">
      <c r="A34" s="24">
        <v>19</v>
      </c>
      <c r="B34" s="565" t="str">
        <f>'Schedule 2C Adjustments'!B33:D33</f>
        <v>200-724-Deaf Counseling Svcs</v>
      </c>
      <c r="C34" s="565"/>
      <c r="D34" s="565"/>
      <c r="F34" s="114">
        <f>'Schedule 2C Adjustments'!H33</f>
        <v>454132.70413340797</v>
      </c>
      <c r="G34" s="68">
        <f>'Schedule 2C Adjustments'!J33</f>
        <v>118030.11696537417</v>
      </c>
      <c r="H34" s="68">
        <f t="shared" si="0"/>
        <v>572162.82109878212</v>
      </c>
      <c r="J34" s="114">
        <f>'Schedule 2C Adjustments'!P33</f>
        <v>11.275403979630946</v>
      </c>
      <c r="K34" s="68">
        <f>'Schedule 2C Adjustments'!R33</f>
        <v>2.9305029971079413</v>
      </c>
      <c r="L34" s="68">
        <f t="shared" si="1"/>
        <v>14.205906976738888</v>
      </c>
      <c r="N34" s="117">
        <f>'Schedule 2C Adjustments'!X33</f>
        <v>1</v>
      </c>
      <c r="O34" s="117">
        <f>'Schedule 2C Adjustments'!AA33</f>
        <v>65</v>
      </c>
    </row>
    <row r="35" spans="1:15" x14ac:dyDescent="0.35">
      <c r="A35" s="24">
        <v>20</v>
      </c>
      <c r="B35" s="565" t="str">
        <f>'Schedule 2C Adjustments'!B34:D34</f>
        <v>300-240-Resource Center</v>
      </c>
      <c r="C35" s="565"/>
      <c r="D35" s="565"/>
      <c r="F35" s="114">
        <f>'Schedule 2C Adjustments'!H34</f>
        <v>3626757.7805914124</v>
      </c>
      <c r="G35" s="68">
        <f>'Schedule 2C Adjustments'!J34</f>
        <v>942602.55020641396</v>
      </c>
      <c r="H35" s="68">
        <f t="shared" si="0"/>
        <v>4569360.3307978269</v>
      </c>
      <c r="J35" s="114">
        <f>'Schedule 2C Adjustments'!P34</f>
        <v>199.09969418657934</v>
      </c>
      <c r="K35" s="68">
        <f>'Schedule 2C Adjustments'!R34</f>
        <v>51.746460844424888</v>
      </c>
      <c r="L35" s="68">
        <f t="shared" si="1"/>
        <v>250.84615503100423</v>
      </c>
      <c r="N35" s="117">
        <f>'Schedule 2C Adjustments'!X34</f>
        <v>17.228124999999999</v>
      </c>
      <c r="O35" s="117">
        <f>'Schedule 2C Adjustments'!AA34</f>
        <v>2006</v>
      </c>
    </row>
    <row r="36" spans="1:15" x14ac:dyDescent="0.35">
      <c r="A36" s="24">
        <v>21</v>
      </c>
      <c r="B36" s="565" t="str">
        <f>'Schedule 2C Adjustments'!B35:D35</f>
        <v>300-250-NextChapter</v>
      </c>
      <c r="C36" s="565"/>
      <c r="D36" s="565"/>
      <c r="F36" s="114">
        <f>'Schedule 2C Adjustments'!H35</f>
        <v>1990679.8426729476</v>
      </c>
      <c r="G36" s="68">
        <f>'Schedule 2C Adjustments'!J35</f>
        <v>517382.19364681066</v>
      </c>
      <c r="H36" s="68">
        <f t="shared" si="0"/>
        <v>2508062.0363197583</v>
      </c>
      <c r="J36" s="114">
        <f>'Schedule 2C Adjustments'!P35</f>
        <v>143.1251806787121</v>
      </c>
      <c r="K36" s="68">
        <f>'Schedule 2C Adjustments'!R35</f>
        <v>37.198558180113174</v>
      </c>
      <c r="L36" s="68">
        <f t="shared" si="1"/>
        <v>180.32373885882527</v>
      </c>
      <c r="N36" s="117">
        <f>'Schedule 2C Adjustments'!X35</f>
        <v>17.295249999999999</v>
      </c>
      <c r="O36" s="117">
        <f>'Schedule 2C Adjustments'!AA35</f>
        <v>730</v>
      </c>
    </row>
    <row r="37" spans="1:15" x14ac:dyDescent="0.35">
      <c r="A37" s="24">
        <v>22</v>
      </c>
      <c r="B37" s="565" t="str">
        <f>'Schedule 2C Adjustments'!B36:D36</f>
        <v>300-260-Peer Support</v>
      </c>
      <c r="C37" s="565"/>
      <c r="D37" s="565"/>
      <c r="F37" s="114">
        <f>'Schedule 2C Adjustments'!H36</f>
        <v>1691839.1329622185</v>
      </c>
      <c r="G37" s="68">
        <f>'Schedule 2C Adjustments'!J36</f>
        <v>439712.81727260648</v>
      </c>
      <c r="H37" s="68">
        <f t="shared" si="0"/>
        <v>2131551.9502348248</v>
      </c>
      <c r="J37" s="114">
        <f>'Schedule 2C Adjustments'!P36</f>
        <v>132.38370631315112</v>
      </c>
      <c r="K37" s="68">
        <f>'Schedule 2C Adjustments'!R36</f>
        <v>34.406824697348434</v>
      </c>
      <c r="L37" s="68">
        <f t="shared" si="1"/>
        <v>166.79053101049956</v>
      </c>
      <c r="N37" s="117">
        <f>'Schedule 2C Adjustments'!X36</f>
        <v>15.997249999999999</v>
      </c>
      <c r="O37" s="117">
        <f>'Schedule 2C Adjustments'!AA36</f>
        <v>189</v>
      </c>
    </row>
    <row r="38" spans="1:15" x14ac:dyDescent="0.35">
      <c r="A38" s="24">
        <v>23</v>
      </c>
      <c r="B38" s="565" t="str">
        <f>'Schedule 2C Adjustments'!B37:D37</f>
        <v>300-265-Supported Employment</v>
      </c>
      <c r="C38" s="565"/>
      <c r="D38" s="565"/>
      <c r="F38" s="114">
        <f>'Schedule 2C Adjustments'!H37</f>
        <v>1722972.2423278058</v>
      </c>
      <c r="G38" s="68">
        <f>'Schedule 2C Adjustments'!J37</f>
        <v>447804.38281384652</v>
      </c>
      <c r="H38" s="68">
        <f t="shared" si="0"/>
        <v>2170776.6251416523</v>
      </c>
      <c r="J38" s="114">
        <f>'Schedule 2C Adjustments'!P37</f>
        <v>136.13039546492902</v>
      </c>
      <c r="K38" s="68">
        <f>'Schedule 2C Adjustments'!R37</f>
        <v>35.380597682187982</v>
      </c>
      <c r="L38" s="68">
        <f t="shared" si="1"/>
        <v>171.51099314711701</v>
      </c>
      <c r="N38" s="117">
        <f>'Schedule 2C Adjustments'!X37</f>
        <v>16.449999999999996</v>
      </c>
      <c r="O38" s="117">
        <f>'Schedule 2C Adjustments'!AA37</f>
        <v>704</v>
      </c>
    </row>
    <row r="39" spans="1:15" x14ac:dyDescent="0.35">
      <c r="A39" s="24">
        <v>24</v>
      </c>
      <c r="B39" s="565" t="str">
        <f>'Schedule 2C Adjustments'!B38:D38</f>
        <v>500-135-Recovery Center Pharmacy</v>
      </c>
      <c r="C39" s="565"/>
      <c r="D39" s="565"/>
      <c r="F39" s="114">
        <f>'Schedule 2C Adjustments'!H38</f>
        <v>0</v>
      </c>
      <c r="G39" s="68">
        <f>'Schedule 2C Adjustments'!J38</f>
        <v>0</v>
      </c>
      <c r="H39" s="68">
        <f t="shared" si="0"/>
        <v>0</v>
      </c>
      <c r="J39" s="114">
        <f>'Schedule 2C Adjustments'!P38</f>
        <v>16472587.123449549</v>
      </c>
      <c r="K39" s="68">
        <f>'Schedule 2C Adjustments'!R38</f>
        <v>4281262.651218161</v>
      </c>
      <c r="L39" s="68">
        <f t="shared" si="1"/>
        <v>20753849.77466771</v>
      </c>
      <c r="N39" s="117">
        <f>'Schedule 2C Adjustments'!X38</f>
        <v>11.162624999999998</v>
      </c>
      <c r="O39" s="117">
        <f>'Schedule 2C Adjustments'!AA38</f>
        <v>129</v>
      </c>
    </row>
    <row r="40" spans="1:15" x14ac:dyDescent="0.35">
      <c r="A40" s="24">
        <v>25</v>
      </c>
      <c r="B40" s="565" t="str">
        <f>'Schedule 2C Adjustments'!B39:D39</f>
        <v>500-136-Wellshire Pharmacy</v>
      </c>
      <c r="C40" s="565"/>
      <c r="D40" s="565"/>
      <c r="F40" s="114">
        <f>'Schedule 2C Adjustments'!H39</f>
        <v>0</v>
      </c>
      <c r="G40" s="68">
        <f>'Schedule 2C Adjustments'!J39</f>
        <v>0</v>
      </c>
      <c r="H40" s="68">
        <f t="shared" si="0"/>
        <v>0</v>
      </c>
      <c r="J40" s="114">
        <f>'Schedule 2C Adjustments'!P39</f>
        <v>3649371.1089520487</v>
      </c>
      <c r="K40" s="68">
        <f>'Schedule 2C Adjustments'!R39</f>
        <v>948479.80539435626</v>
      </c>
      <c r="L40" s="68">
        <f t="shared" si="1"/>
        <v>4597850.9143464053</v>
      </c>
      <c r="N40" s="117">
        <f>'Schedule 2C Adjustments'!X39</f>
        <v>5.7187500000000009</v>
      </c>
      <c r="O40" s="117">
        <f>'Schedule 2C Adjustments'!AA39</f>
        <v>8</v>
      </c>
    </row>
    <row r="41" spans="1:15" x14ac:dyDescent="0.35">
      <c r="A41" s="24">
        <v>26</v>
      </c>
      <c r="B41" s="565" t="str">
        <f>'Schedule 2C Adjustments'!B40:D40</f>
        <v>Residential Teams 628, 634, 650, 652, 660, 670, 672, 682, 699 RVU expenses</v>
      </c>
      <c r="C41" s="565"/>
      <c r="D41" s="565"/>
      <c r="F41" s="114">
        <f>'Schedule 2C Adjustments'!H40</f>
        <v>93541.929599999974</v>
      </c>
      <c r="G41" s="68">
        <f>'Schedule 2C Adjustments'!J40</f>
        <v>24311.759076949038</v>
      </c>
      <c r="H41" s="68">
        <f t="shared" si="0"/>
        <v>117853.68867694901</v>
      </c>
      <c r="J41" s="114">
        <f>'Schedule 2C Adjustments'!P40</f>
        <v>0</v>
      </c>
      <c r="K41" s="68">
        <f>'Schedule 2C Adjustments'!R40</f>
        <v>0</v>
      </c>
      <c r="L41" s="68">
        <f t="shared" si="1"/>
        <v>0</v>
      </c>
      <c r="N41" s="117">
        <f>'Schedule 2C Adjustments'!X40</f>
        <v>0</v>
      </c>
      <c r="O41" s="117">
        <f>'Schedule 2C Adjustments'!AA40</f>
        <v>0</v>
      </c>
    </row>
    <row r="42" spans="1:15" x14ac:dyDescent="0.35">
      <c r="A42" s="24">
        <v>27</v>
      </c>
      <c r="B42" s="565" t="str">
        <f>'Schedule 2C Adjustments'!B41:D41</f>
        <v>Indirect Team 112 RVU expenses</v>
      </c>
      <c r="C42" s="565"/>
      <c r="D42" s="565"/>
      <c r="F42" s="114">
        <f>'Schedule 2C Adjustments'!H41</f>
        <v>9302.9387999999999</v>
      </c>
      <c r="G42" s="68">
        <f>'Schedule 2C Adjustments'!J41</f>
        <v>2417.854835583822</v>
      </c>
      <c r="H42" s="68">
        <f t="shared" si="0"/>
        <v>11720.793635583821</v>
      </c>
      <c r="J42" s="114">
        <f>'Schedule 2C Adjustments'!P41</f>
        <v>0</v>
      </c>
      <c r="K42" s="68">
        <f>'Schedule 2C Adjustments'!R41</f>
        <v>0</v>
      </c>
      <c r="L42" s="68">
        <f t="shared" si="1"/>
        <v>0</v>
      </c>
      <c r="N42" s="117">
        <f>'Schedule 2C Adjustments'!X41</f>
        <v>0</v>
      </c>
      <c r="O42" s="117">
        <f>'Schedule 2C Adjustments'!AA41</f>
        <v>0</v>
      </c>
    </row>
    <row r="43" spans="1:15" x14ac:dyDescent="0.35">
      <c r="A43" s="24">
        <v>28</v>
      </c>
      <c r="B43" s="565" t="str">
        <f>'Schedule 2C Adjustments'!B42:D42</f>
        <v>Reclass Service Units exp not recognized from Team S880</v>
      </c>
      <c r="C43" s="565"/>
      <c r="D43" s="565"/>
      <c r="F43" s="114">
        <f>'Schedule 2C Adjustments'!H42</f>
        <v>0</v>
      </c>
      <c r="G43" s="68">
        <f>'Schedule 2C Adjustments'!J42</f>
        <v>0</v>
      </c>
      <c r="H43" s="68">
        <f t="shared" si="0"/>
        <v>0</v>
      </c>
      <c r="J43" s="114">
        <f>'Schedule 2C Adjustments'!P42</f>
        <v>9108.42</v>
      </c>
      <c r="K43" s="68">
        <f>'Schedule 2C Adjustments'!R42</f>
        <v>2367.2989594995934</v>
      </c>
      <c r="L43" s="68">
        <f t="shared" si="1"/>
        <v>11475.718959499594</v>
      </c>
      <c r="N43" s="117">
        <f>'Schedule 2C Adjustments'!X42</f>
        <v>0</v>
      </c>
      <c r="O43" s="117">
        <f>'Schedule 2C Adjustments'!AA42</f>
        <v>0</v>
      </c>
    </row>
    <row r="44" spans="1:15" x14ac:dyDescent="0.35">
      <c r="A44" s="24">
        <v>29</v>
      </c>
      <c r="B44" s="565" t="str">
        <f>'Schedule 2C Adjustments'!B43:D43</f>
        <v>Reclass of Indirect Medications</v>
      </c>
      <c r="C44" s="565"/>
      <c r="D44" s="565"/>
      <c r="F44" s="114">
        <f>'Schedule 2C Adjustments'!H43</f>
        <v>0</v>
      </c>
      <c r="G44" s="68">
        <f>'Schedule 2C Adjustments'!J43</f>
        <v>0</v>
      </c>
      <c r="H44" s="68">
        <f t="shared" si="0"/>
        <v>0</v>
      </c>
      <c r="J44" s="114">
        <f>'Schedule 2C Adjustments'!P43</f>
        <v>355</v>
      </c>
      <c r="K44" s="68">
        <f>'Schedule 2C Adjustments'!R43</f>
        <v>92.265302941932376</v>
      </c>
      <c r="L44" s="68">
        <f t="shared" si="1"/>
        <v>447.26530294193236</v>
      </c>
      <c r="N44" s="117">
        <f>'Schedule 2C Adjustments'!X43</f>
        <v>0</v>
      </c>
      <c r="O44" s="117">
        <f>'Schedule 2C Adjustments'!AA43</f>
        <v>0</v>
      </c>
    </row>
    <row r="45" spans="1:15" x14ac:dyDescent="0.35">
      <c r="A45" s="24">
        <v>30</v>
      </c>
      <c r="B45" s="565" t="str">
        <f>'Schedule 2C Adjustments'!B44:D44</f>
        <v>Reclass of Residential Medications</v>
      </c>
      <c r="C45" s="565"/>
      <c r="D45" s="565"/>
      <c r="F45" s="114">
        <f>'Schedule 2C Adjustments'!H44</f>
        <v>0</v>
      </c>
      <c r="G45" s="68">
        <f>'Schedule 2C Adjustments'!J44</f>
        <v>0</v>
      </c>
      <c r="H45" s="68">
        <f t="shared" si="0"/>
        <v>0</v>
      </c>
      <c r="J45" s="114">
        <f>'Schedule 2C Adjustments'!P44</f>
        <v>92489.890232494945</v>
      </c>
      <c r="K45" s="68">
        <f>'Schedule 2C Adjustments'!R44</f>
        <v>24038.331665823149</v>
      </c>
      <c r="L45" s="68">
        <f t="shared" si="1"/>
        <v>116528.22189831809</v>
      </c>
      <c r="N45" s="117">
        <f>'Schedule 2C Adjustments'!X44</f>
        <v>0</v>
      </c>
      <c r="O45" s="117">
        <f>'Schedule 2C Adjustments'!AA44</f>
        <v>0</v>
      </c>
    </row>
    <row r="46" spans="1:15" x14ac:dyDescent="0.35">
      <c r="A46" s="24">
        <v>31</v>
      </c>
      <c r="B46" s="575" t="str">
        <f>'Schedule 2C Adjustments'!B45:D45</f>
        <v>Residential Team 880 encounterable expense</v>
      </c>
      <c r="C46" s="575"/>
      <c r="D46" s="575"/>
      <c r="F46" s="114">
        <f>'Schedule 2C Adjustments'!H45</f>
        <v>849894.32</v>
      </c>
      <c r="G46" s="68">
        <f>'Schedule 2C Adjustments'!J45</f>
        <v>220889.45606599326</v>
      </c>
      <c r="H46" s="68">
        <f t="shared" si="0"/>
        <v>1070783.7760659931</v>
      </c>
      <c r="J46" s="114">
        <f>'Schedule 2C Adjustments'!P45</f>
        <v>0</v>
      </c>
      <c r="K46" s="68">
        <f>'Schedule 2C Adjustments'!R45</f>
        <v>0</v>
      </c>
      <c r="L46" s="68">
        <f t="shared" si="1"/>
        <v>0</v>
      </c>
      <c r="N46" s="117">
        <f>'Schedule 2C Adjustments'!X45</f>
        <v>0</v>
      </c>
      <c r="O46" s="117">
        <f>'Schedule 2C Adjustments'!AA45</f>
        <v>0</v>
      </c>
    </row>
    <row r="47" spans="1:15" x14ac:dyDescent="0.35">
      <c r="A47" s="24">
        <v>32</v>
      </c>
      <c r="B47" s="565" t="str">
        <f>'Schedule 2C Adjustments'!B46:D46</f>
        <v/>
      </c>
      <c r="C47" s="565"/>
      <c r="D47" s="565"/>
      <c r="F47" s="114">
        <f>'Schedule 2C Adjustments'!H46</f>
        <v>0</v>
      </c>
      <c r="G47" s="68">
        <f>'Schedule 2C Adjustments'!J46</f>
        <v>0</v>
      </c>
      <c r="H47" s="68">
        <f t="shared" si="0"/>
        <v>0</v>
      </c>
      <c r="J47" s="114">
        <f>'Schedule 2C Adjustments'!P46</f>
        <v>0</v>
      </c>
      <c r="K47" s="68">
        <f>'Schedule 2C Adjustments'!R46</f>
        <v>0</v>
      </c>
      <c r="L47" s="68">
        <f t="shared" si="1"/>
        <v>0</v>
      </c>
      <c r="N47" s="117">
        <f>'Schedule 2C Adjustments'!X46</f>
        <v>0</v>
      </c>
      <c r="O47" s="117">
        <f>'Schedule 2C Adjustments'!AA46</f>
        <v>0</v>
      </c>
    </row>
    <row r="48" spans="1:15" x14ac:dyDescent="0.35">
      <c r="A48" s="24">
        <v>33</v>
      </c>
      <c r="B48" s="565" t="str">
        <f>'Schedule 2C Adjustments'!B47:D47</f>
        <v/>
      </c>
      <c r="C48" s="565"/>
      <c r="D48" s="565"/>
      <c r="F48" s="114">
        <f>'Schedule 2C Adjustments'!H47</f>
        <v>0</v>
      </c>
      <c r="G48" s="68">
        <f>'Schedule 2C Adjustments'!J47</f>
        <v>0</v>
      </c>
      <c r="H48" s="68">
        <f t="shared" si="0"/>
        <v>0</v>
      </c>
      <c r="J48" s="114">
        <f>'Schedule 2C Adjustments'!P47</f>
        <v>0</v>
      </c>
      <c r="K48" s="68">
        <f>'Schedule 2C Adjustments'!R47</f>
        <v>0</v>
      </c>
      <c r="L48" s="68">
        <f t="shared" si="1"/>
        <v>0</v>
      </c>
      <c r="N48" s="117">
        <f>'Schedule 2C Adjustments'!X47</f>
        <v>0</v>
      </c>
      <c r="O48" s="117">
        <f>'Schedule 2C Adjustments'!AA47</f>
        <v>0</v>
      </c>
    </row>
    <row r="49" spans="1:15" x14ac:dyDescent="0.35">
      <c r="A49" s="24">
        <v>34</v>
      </c>
      <c r="B49" s="565" t="str">
        <f>'Schedule 2C Adjustments'!B48:D48</f>
        <v/>
      </c>
      <c r="C49" s="565"/>
      <c r="D49" s="565"/>
      <c r="F49" s="114">
        <f>'Schedule 2C Adjustments'!H48</f>
        <v>0</v>
      </c>
      <c r="G49" s="68">
        <f>'Schedule 2C Adjustments'!J48</f>
        <v>0</v>
      </c>
      <c r="H49" s="68">
        <f t="shared" si="0"/>
        <v>0</v>
      </c>
      <c r="J49" s="114">
        <f>'Schedule 2C Adjustments'!P48</f>
        <v>0</v>
      </c>
      <c r="K49" s="68">
        <f>'Schedule 2C Adjustments'!R48</f>
        <v>0</v>
      </c>
      <c r="L49" s="68">
        <f t="shared" si="1"/>
        <v>0</v>
      </c>
      <c r="N49" s="117">
        <f>'Schedule 2C Adjustments'!X48</f>
        <v>0</v>
      </c>
      <c r="O49" s="117">
        <f>'Schedule 2C Adjustments'!AA48</f>
        <v>0</v>
      </c>
    </row>
    <row r="50" spans="1:15" x14ac:dyDescent="0.35">
      <c r="A50" s="24">
        <v>35</v>
      </c>
      <c r="B50" s="565" t="str">
        <f>'Schedule 2C Adjustments'!B49:D49</f>
        <v/>
      </c>
      <c r="C50" s="565"/>
      <c r="D50" s="565"/>
      <c r="F50" s="114">
        <f>'Schedule 2C Adjustments'!H49</f>
        <v>0</v>
      </c>
      <c r="G50" s="68">
        <f>'Schedule 2C Adjustments'!J49</f>
        <v>0</v>
      </c>
      <c r="H50" s="68">
        <f t="shared" si="0"/>
        <v>0</v>
      </c>
      <c r="J50" s="114">
        <f>'Schedule 2C Adjustments'!P49</f>
        <v>0</v>
      </c>
      <c r="K50" s="68">
        <f>'Schedule 2C Adjustments'!R49</f>
        <v>0</v>
      </c>
      <c r="L50" s="68">
        <f t="shared" si="1"/>
        <v>0</v>
      </c>
      <c r="N50" s="117">
        <f>'Schedule 2C Adjustments'!X49</f>
        <v>0</v>
      </c>
      <c r="O50" s="117">
        <f>'Schedule 2C Adjustments'!AA49</f>
        <v>0</v>
      </c>
    </row>
    <row r="51" spans="1:15" x14ac:dyDescent="0.35">
      <c r="A51" s="24">
        <v>36</v>
      </c>
      <c r="B51" s="565" t="str">
        <f>'Schedule 2C Adjustments'!B50:D50</f>
        <v/>
      </c>
      <c r="C51" s="565"/>
      <c r="D51" s="565"/>
      <c r="F51" s="114">
        <f>'Schedule 2C Adjustments'!H50</f>
        <v>0</v>
      </c>
      <c r="G51" s="68">
        <f>'Schedule 2C Adjustments'!J50</f>
        <v>0</v>
      </c>
      <c r="H51" s="68">
        <f t="shared" si="0"/>
        <v>0</v>
      </c>
      <c r="J51" s="114">
        <f>'Schedule 2C Adjustments'!P50</f>
        <v>0</v>
      </c>
      <c r="K51" s="68">
        <f>'Schedule 2C Adjustments'!R50</f>
        <v>0</v>
      </c>
      <c r="L51" s="68">
        <f t="shared" si="1"/>
        <v>0</v>
      </c>
      <c r="N51" s="117">
        <f>'Schedule 2C Adjustments'!X50</f>
        <v>0</v>
      </c>
      <c r="O51" s="117">
        <f>'Schedule 2C Adjustments'!AA50</f>
        <v>0</v>
      </c>
    </row>
    <row r="52" spans="1:15" x14ac:dyDescent="0.35">
      <c r="A52" s="24">
        <v>37</v>
      </c>
      <c r="B52" s="565" t="str">
        <f>'Schedule 2C Adjustments'!B51:D51</f>
        <v/>
      </c>
      <c r="C52" s="565"/>
      <c r="D52" s="565"/>
      <c r="F52" s="114">
        <f>'Schedule 2C Adjustments'!H51</f>
        <v>0</v>
      </c>
      <c r="G52" s="68">
        <f>'Schedule 2C Adjustments'!J51</f>
        <v>0</v>
      </c>
      <c r="H52" s="68">
        <f t="shared" si="0"/>
        <v>0</v>
      </c>
      <c r="J52" s="114">
        <f>'Schedule 2C Adjustments'!P51</f>
        <v>0</v>
      </c>
      <c r="K52" s="68">
        <f>'Schedule 2C Adjustments'!R51</f>
        <v>0</v>
      </c>
      <c r="L52" s="68">
        <f t="shared" si="1"/>
        <v>0</v>
      </c>
      <c r="N52" s="117">
        <f>'Schedule 2C Adjustments'!X51</f>
        <v>0</v>
      </c>
      <c r="O52" s="117">
        <f>'Schedule 2C Adjustments'!AA51</f>
        <v>0</v>
      </c>
    </row>
    <row r="53" spans="1:15" x14ac:dyDescent="0.35">
      <c r="A53" s="24">
        <v>38</v>
      </c>
      <c r="B53" s="565" t="str">
        <f>'Schedule 2C Adjustments'!B52:D52</f>
        <v/>
      </c>
      <c r="C53" s="565"/>
      <c r="D53" s="565"/>
      <c r="F53" s="114">
        <f>'Schedule 2C Adjustments'!H52</f>
        <v>0</v>
      </c>
      <c r="G53" s="68">
        <f>'Schedule 2C Adjustments'!J52</f>
        <v>0</v>
      </c>
      <c r="H53" s="68">
        <f t="shared" si="0"/>
        <v>0</v>
      </c>
      <c r="J53" s="114">
        <f>'Schedule 2C Adjustments'!P52</f>
        <v>0</v>
      </c>
      <c r="K53" s="68">
        <f>'Schedule 2C Adjustments'!R52</f>
        <v>0</v>
      </c>
      <c r="L53" s="68">
        <f t="shared" si="1"/>
        <v>0</v>
      </c>
      <c r="N53" s="117">
        <f>'Schedule 2C Adjustments'!X52</f>
        <v>0</v>
      </c>
      <c r="O53" s="117">
        <f>'Schedule 2C Adjustments'!AA52</f>
        <v>0</v>
      </c>
    </row>
    <row r="54" spans="1:15" x14ac:dyDescent="0.35">
      <c r="A54" s="24">
        <v>39</v>
      </c>
      <c r="B54" s="565" t="str">
        <f>'Schedule 2C Adjustments'!B53:D53</f>
        <v/>
      </c>
      <c r="C54" s="565"/>
      <c r="D54" s="565"/>
      <c r="F54" s="114">
        <f>'Schedule 2C Adjustments'!H53</f>
        <v>0</v>
      </c>
      <c r="G54" s="68">
        <f>'Schedule 2C Adjustments'!J53</f>
        <v>0</v>
      </c>
      <c r="H54" s="68">
        <f t="shared" si="0"/>
        <v>0</v>
      </c>
      <c r="J54" s="114">
        <f>'Schedule 2C Adjustments'!P53</f>
        <v>0</v>
      </c>
      <c r="K54" s="68">
        <f>'Schedule 2C Adjustments'!R53</f>
        <v>0</v>
      </c>
      <c r="L54" s="68">
        <f t="shared" si="1"/>
        <v>0</v>
      </c>
      <c r="N54" s="117">
        <f>'Schedule 2C Adjustments'!X53</f>
        <v>0</v>
      </c>
      <c r="O54" s="117">
        <f>'Schedule 2C Adjustments'!AA53</f>
        <v>0</v>
      </c>
    </row>
    <row r="55" spans="1:15" x14ac:dyDescent="0.35">
      <c r="A55" s="24">
        <v>40</v>
      </c>
      <c r="B55" s="565" t="str">
        <f>'Schedule 2C Adjustments'!B54:D54</f>
        <v/>
      </c>
      <c r="C55" s="565"/>
      <c r="D55" s="565"/>
      <c r="F55" s="114">
        <f>'Schedule 2C Adjustments'!H54</f>
        <v>0</v>
      </c>
      <c r="G55" s="68">
        <f>'Schedule 2C Adjustments'!J54</f>
        <v>0</v>
      </c>
      <c r="H55" s="68">
        <f t="shared" si="0"/>
        <v>0</v>
      </c>
      <c r="J55" s="114">
        <f>'Schedule 2C Adjustments'!P54</f>
        <v>0</v>
      </c>
      <c r="K55" s="68">
        <f>'Schedule 2C Adjustments'!R54</f>
        <v>0</v>
      </c>
      <c r="L55" s="68">
        <f t="shared" si="1"/>
        <v>0</v>
      </c>
      <c r="N55" s="117">
        <f>'Schedule 2C Adjustments'!X54</f>
        <v>0</v>
      </c>
      <c r="O55" s="117">
        <f>'Schedule 2C Adjustments'!AA54</f>
        <v>0</v>
      </c>
    </row>
    <row r="56" spans="1:15" x14ac:dyDescent="0.35">
      <c r="A56" s="24">
        <v>41</v>
      </c>
      <c r="B56" s="565" t="str">
        <f>'Schedule 2C Adjustments'!B55:D55</f>
        <v/>
      </c>
      <c r="C56" s="565"/>
      <c r="D56" s="565"/>
      <c r="F56" s="114">
        <f>'Schedule 2C Adjustments'!H55</f>
        <v>0</v>
      </c>
      <c r="G56" s="68">
        <f>'Schedule 2C Adjustments'!J55</f>
        <v>0</v>
      </c>
      <c r="H56" s="68">
        <f t="shared" si="0"/>
        <v>0</v>
      </c>
      <c r="J56" s="114">
        <f>'Schedule 2C Adjustments'!P55</f>
        <v>0</v>
      </c>
      <c r="K56" s="68">
        <f>'Schedule 2C Adjustments'!R55</f>
        <v>0</v>
      </c>
      <c r="L56" s="68">
        <f t="shared" si="1"/>
        <v>0</v>
      </c>
      <c r="N56" s="117">
        <f>'Schedule 2C Adjustments'!X55</f>
        <v>0</v>
      </c>
      <c r="O56" s="117">
        <f>'Schedule 2C Adjustments'!AA55</f>
        <v>0</v>
      </c>
    </row>
    <row r="57" spans="1:15" x14ac:dyDescent="0.35">
      <c r="A57" s="24">
        <v>42</v>
      </c>
      <c r="B57" s="565" t="str">
        <f>'Schedule 2C Adjustments'!B56:D56</f>
        <v/>
      </c>
      <c r="C57" s="565"/>
      <c r="D57" s="565"/>
      <c r="F57" s="114">
        <f>'Schedule 2C Adjustments'!H56</f>
        <v>0</v>
      </c>
      <c r="G57" s="68">
        <f>'Schedule 2C Adjustments'!J56</f>
        <v>0</v>
      </c>
      <c r="H57" s="68">
        <f t="shared" si="0"/>
        <v>0</v>
      </c>
      <c r="J57" s="114">
        <f>'Schedule 2C Adjustments'!P56</f>
        <v>0</v>
      </c>
      <c r="K57" s="68">
        <f>'Schedule 2C Adjustments'!R56</f>
        <v>0</v>
      </c>
      <c r="L57" s="68">
        <f t="shared" si="1"/>
        <v>0</v>
      </c>
      <c r="N57" s="117">
        <f>'Schedule 2C Adjustments'!X56</f>
        <v>0</v>
      </c>
      <c r="O57" s="117">
        <f>'Schedule 2C Adjustments'!AA56</f>
        <v>0</v>
      </c>
    </row>
    <row r="58" spans="1:15" x14ac:dyDescent="0.35">
      <c r="A58" s="24">
        <v>43</v>
      </c>
      <c r="B58" s="565" t="str">
        <f>'Schedule 2C Adjustments'!B57:D57</f>
        <v/>
      </c>
      <c r="C58" s="565"/>
      <c r="D58" s="565"/>
      <c r="F58" s="114">
        <f>'Schedule 2C Adjustments'!H57</f>
        <v>0</v>
      </c>
      <c r="G58" s="68">
        <f>'Schedule 2C Adjustments'!J57</f>
        <v>0</v>
      </c>
      <c r="H58" s="68">
        <f t="shared" si="0"/>
        <v>0</v>
      </c>
      <c r="J58" s="114">
        <f>'Schedule 2C Adjustments'!P57</f>
        <v>0</v>
      </c>
      <c r="K58" s="68">
        <f>'Schedule 2C Adjustments'!R57</f>
        <v>0</v>
      </c>
      <c r="L58" s="68">
        <f t="shared" si="1"/>
        <v>0</v>
      </c>
      <c r="N58" s="117">
        <f>'Schedule 2C Adjustments'!X57</f>
        <v>0</v>
      </c>
      <c r="O58" s="117">
        <f>'Schedule 2C Adjustments'!AA57</f>
        <v>0</v>
      </c>
    </row>
    <row r="59" spans="1:15" x14ac:dyDescent="0.35">
      <c r="A59" s="24">
        <v>44</v>
      </c>
      <c r="B59" s="565" t="str">
        <f>'Schedule 2C Adjustments'!B58:D58</f>
        <v/>
      </c>
      <c r="C59" s="565"/>
      <c r="D59" s="565"/>
      <c r="F59" s="114">
        <f>'Schedule 2C Adjustments'!H58</f>
        <v>0</v>
      </c>
      <c r="G59" s="68">
        <f>'Schedule 2C Adjustments'!J58</f>
        <v>0</v>
      </c>
      <c r="H59" s="68">
        <f t="shared" si="0"/>
        <v>0</v>
      </c>
      <c r="J59" s="114">
        <f>'Schedule 2C Adjustments'!P58</f>
        <v>0</v>
      </c>
      <c r="K59" s="68">
        <f>'Schedule 2C Adjustments'!R58</f>
        <v>0</v>
      </c>
      <c r="L59" s="68">
        <f t="shared" si="1"/>
        <v>0</v>
      </c>
      <c r="N59" s="117">
        <f>'Schedule 2C Adjustments'!X58</f>
        <v>0</v>
      </c>
      <c r="O59" s="117">
        <f>'Schedule 2C Adjustments'!AA58</f>
        <v>0</v>
      </c>
    </row>
    <row r="60" spans="1:15" x14ac:dyDescent="0.35">
      <c r="A60" s="24">
        <v>45</v>
      </c>
      <c r="B60" s="565" t="str">
        <f>'Schedule 2C Adjustments'!B59:D59</f>
        <v/>
      </c>
      <c r="C60" s="565"/>
      <c r="D60" s="565"/>
      <c r="F60" s="114">
        <f>'Schedule 2C Adjustments'!H59</f>
        <v>0</v>
      </c>
      <c r="G60" s="68">
        <f>'Schedule 2C Adjustments'!J59</f>
        <v>0</v>
      </c>
      <c r="H60" s="68">
        <f t="shared" si="0"/>
        <v>0</v>
      </c>
      <c r="J60" s="114">
        <f>'Schedule 2C Adjustments'!P59</f>
        <v>0</v>
      </c>
      <c r="K60" s="68">
        <f>'Schedule 2C Adjustments'!R59</f>
        <v>0</v>
      </c>
      <c r="L60" s="68">
        <f t="shared" si="1"/>
        <v>0</v>
      </c>
      <c r="N60" s="117">
        <f>'Schedule 2C Adjustments'!X59</f>
        <v>0</v>
      </c>
      <c r="O60" s="117">
        <f>'Schedule 2C Adjustments'!AA59</f>
        <v>0</v>
      </c>
    </row>
    <row r="61" spans="1:15" x14ac:dyDescent="0.35">
      <c r="A61" s="24">
        <v>46</v>
      </c>
      <c r="B61" s="565" t="str">
        <f>'Schedule 2C Adjustments'!B60:D60</f>
        <v/>
      </c>
      <c r="C61" s="565"/>
      <c r="D61" s="565"/>
      <c r="F61" s="114">
        <f>'Schedule 2C Adjustments'!H60</f>
        <v>0</v>
      </c>
      <c r="G61" s="68">
        <f>'Schedule 2C Adjustments'!J60</f>
        <v>0</v>
      </c>
      <c r="H61" s="68">
        <f t="shared" si="0"/>
        <v>0</v>
      </c>
      <c r="J61" s="114">
        <f>'Schedule 2C Adjustments'!P60</f>
        <v>0</v>
      </c>
      <c r="K61" s="68">
        <f>'Schedule 2C Adjustments'!R60</f>
        <v>0</v>
      </c>
      <c r="L61" s="68">
        <f t="shared" si="1"/>
        <v>0</v>
      </c>
      <c r="N61" s="117">
        <f>'Schedule 2C Adjustments'!X60</f>
        <v>0</v>
      </c>
      <c r="O61" s="117">
        <f>'Schedule 2C Adjustments'!AA60</f>
        <v>0</v>
      </c>
    </row>
    <row r="62" spans="1:15" x14ac:dyDescent="0.35">
      <c r="A62" s="24">
        <v>47</v>
      </c>
      <c r="B62" s="565" t="str">
        <f>'Schedule 2C Adjustments'!B61:D61</f>
        <v/>
      </c>
      <c r="C62" s="565"/>
      <c r="D62" s="565"/>
      <c r="F62" s="114">
        <f>'Schedule 2C Adjustments'!H61</f>
        <v>0</v>
      </c>
      <c r="G62" s="68">
        <f>'Schedule 2C Adjustments'!J61</f>
        <v>0</v>
      </c>
      <c r="H62" s="68">
        <f t="shared" si="0"/>
        <v>0</v>
      </c>
      <c r="J62" s="114">
        <f>'Schedule 2C Adjustments'!P61</f>
        <v>0</v>
      </c>
      <c r="K62" s="68">
        <f>'Schedule 2C Adjustments'!R61</f>
        <v>0</v>
      </c>
      <c r="L62" s="68">
        <f t="shared" si="1"/>
        <v>0</v>
      </c>
      <c r="N62" s="117">
        <f>'Schedule 2C Adjustments'!X61</f>
        <v>0</v>
      </c>
      <c r="O62" s="117">
        <f>'Schedule 2C Adjustments'!AA61</f>
        <v>0</v>
      </c>
    </row>
    <row r="63" spans="1:15" x14ac:dyDescent="0.35">
      <c r="A63" s="24">
        <v>48</v>
      </c>
      <c r="B63" s="565" t="str">
        <f>'Schedule 2C Adjustments'!B62:D62</f>
        <v/>
      </c>
      <c r="C63" s="565"/>
      <c r="D63" s="565"/>
      <c r="F63" s="114">
        <f>'Schedule 2C Adjustments'!H62</f>
        <v>0</v>
      </c>
      <c r="G63" s="68">
        <f>'Schedule 2C Adjustments'!J62</f>
        <v>0</v>
      </c>
      <c r="H63" s="68">
        <f t="shared" si="0"/>
        <v>0</v>
      </c>
      <c r="J63" s="114">
        <f>'Schedule 2C Adjustments'!P62</f>
        <v>0</v>
      </c>
      <c r="K63" s="68">
        <f>'Schedule 2C Adjustments'!R62</f>
        <v>0</v>
      </c>
      <c r="L63" s="68">
        <f t="shared" si="1"/>
        <v>0</v>
      </c>
      <c r="N63" s="117">
        <f>'Schedule 2C Adjustments'!X62</f>
        <v>0</v>
      </c>
      <c r="O63" s="117">
        <f>'Schedule 2C Adjustments'!AA62</f>
        <v>0</v>
      </c>
    </row>
    <row r="64" spans="1:15" x14ac:dyDescent="0.35">
      <c r="A64" s="24">
        <v>49</v>
      </c>
      <c r="B64" s="565" t="str">
        <f>'Schedule 2C Adjustments'!B63:D63</f>
        <v/>
      </c>
      <c r="C64" s="565"/>
      <c r="D64" s="565"/>
      <c r="F64" s="114">
        <f>'Schedule 2C Adjustments'!H63</f>
        <v>0</v>
      </c>
      <c r="G64" s="68">
        <f>'Schedule 2C Adjustments'!J63</f>
        <v>0</v>
      </c>
      <c r="H64" s="68">
        <f t="shared" si="0"/>
        <v>0</v>
      </c>
      <c r="J64" s="114">
        <f>'Schedule 2C Adjustments'!P63</f>
        <v>0</v>
      </c>
      <c r="K64" s="68">
        <f>'Schedule 2C Adjustments'!R63</f>
        <v>0</v>
      </c>
      <c r="L64" s="68">
        <f t="shared" si="1"/>
        <v>0</v>
      </c>
      <c r="N64" s="117">
        <f>'Schedule 2C Adjustments'!X63</f>
        <v>0</v>
      </c>
      <c r="O64" s="117">
        <f>'Schedule 2C Adjustments'!AA63</f>
        <v>0</v>
      </c>
    </row>
    <row r="65" spans="1:15" x14ac:dyDescent="0.35">
      <c r="A65" s="24">
        <v>50</v>
      </c>
      <c r="B65" s="565" t="str">
        <f>'Schedule 2C Adjustments'!B64:D64</f>
        <v/>
      </c>
      <c r="C65" s="565"/>
      <c r="D65" s="565"/>
      <c r="F65" s="114">
        <f>'Schedule 2C Adjustments'!H64</f>
        <v>0</v>
      </c>
      <c r="G65" s="68">
        <f>'Schedule 2C Adjustments'!J64</f>
        <v>0</v>
      </c>
      <c r="H65" s="68">
        <f t="shared" si="0"/>
        <v>0</v>
      </c>
      <c r="J65" s="114">
        <f>'Schedule 2C Adjustments'!P64</f>
        <v>0</v>
      </c>
      <c r="K65" s="68">
        <f>'Schedule 2C Adjustments'!R64</f>
        <v>0</v>
      </c>
      <c r="L65" s="68">
        <f t="shared" si="1"/>
        <v>0</v>
      </c>
      <c r="N65" s="117">
        <f>'Schedule 2C Adjustments'!X64</f>
        <v>0</v>
      </c>
      <c r="O65" s="117">
        <f>'Schedule 2C Adjustments'!AA64</f>
        <v>0</v>
      </c>
    </row>
    <row r="66" spans="1:15" x14ac:dyDescent="0.35">
      <c r="A66" s="24">
        <v>51</v>
      </c>
      <c r="B66" s="565" t="str">
        <f>'Schedule 2C Adjustments'!B65:D65</f>
        <v/>
      </c>
      <c r="C66" s="565"/>
      <c r="D66" s="565"/>
      <c r="F66" s="114">
        <f>'Schedule 2C Adjustments'!H65</f>
        <v>0</v>
      </c>
      <c r="G66" s="68">
        <f>'Schedule 2C Adjustments'!J65</f>
        <v>0</v>
      </c>
      <c r="H66" s="68">
        <f t="shared" si="0"/>
        <v>0</v>
      </c>
      <c r="J66" s="114">
        <f>'Schedule 2C Adjustments'!P65</f>
        <v>0</v>
      </c>
      <c r="K66" s="68">
        <f>'Schedule 2C Adjustments'!R65</f>
        <v>0</v>
      </c>
      <c r="L66" s="68">
        <f t="shared" si="1"/>
        <v>0</v>
      </c>
      <c r="N66" s="117">
        <f>'Schedule 2C Adjustments'!X65</f>
        <v>0</v>
      </c>
      <c r="O66" s="117">
        <f>'Schedule 2C Adjustments'!AA65</f>
        <v>0</v>
      </c>
    </row>
    <row r="67" spans="1:15" x14ac:dyDescent="0.35">
      <c r="A67" s="24">
        <v>52</v>
      </c>
      <c r="B67" s="565" t="str">
        <f>'Schedule 2C Adjustments'!B66:D66</f>
        <v/>
      </c>
      <c r="C67" s="565"/>
      <c r="D67" s="565"/>
      <c r="F67" s="114">
        <f>'Schedule 2C Adjustments'!H66</f>
        <v>0</v>
      </c>
      <c r="G67" s="68">
        <f>'Schedule 2C Adjustments'!J66</f>
        <v>0</v>
      </c>
      <c r="H67" s="68">
        <f t="shared" si="0"/>
        <v>0</v>
      </c>
      <c r="J67" s="114">
        <f>'Schedule 2C Adjustments'!P66</f>
        <v>0</v>
      </c>
      <c r="K67" s="68">
        <f>'Schedule 2C Adjustments'!R66</f>
        <v>0</v>
      </c>
      <c r="L67" s="68">
        <f t="shared" si="1"/>
        <v>0</v>
      </c>
      <c r="N67" s="117">
        <f>'Schedule 2C Adjustments'!X66</f>
        <v>0</v>
      </c>
      <c r="O67" s="117">
        <f>'Schedule 2C Adjustments'!AA66</f>
        <v>0</v>
      </c>
    </row>
    <row r="68" spans="1:15" x14ac:dyDescent="0.35">
      <c r="A68" s="24">
        <v>53</v>
      </c>
      <c r="B68" s="565" t="str">
        <f>'Schedule 2C Adjustments'!B67:D67</f>
        <v/>
      </c>
      <c r="C68" s="565"/>
      <c r="D68" s="565"/>
      <c r="F68" s="114">
        <f>'Schedule 2C Adjustments'!H67</f>
        <v>0</v>
      </c>
      <c r="G68" s="68">
        <f>'Schedule 2C Adjustments'!J67</f>
        <v>0</v>
      </c>
      <c r="H68" s="68">
        <f t="shared" si="0"/>
        <v>0</v>
      </c>
      <c r="J68" s="114">
        <f>'Schedule 2C Adjustments'!P67</f>
        <v>0</v>
      </c>
      <c r="K68" s="68">
        <f>'Schedule 2C Adjustments'!R67</f>
        <v>0</v>
      </c>
      <c r="L68" s="68">
        <f t="shared" si="1"/>
        <v>0</v>
      </c>
      <c r="N68" s="117">
        <f>'Schedule 2C Adjustments'!X67</f>
        <v>0</v>
      </c>
      <c r="O68" s="117">
        <f>'Schedule 2C Adjustments'!AA67</f>
        <v>0</v>
      </c>
    </row>
    <row r="69" spans="1:15" x14ac:dyDescent="0.35">
      <c r="A69" s="24">
        <v>54</v>
      </c>
      <c r="B69" s="565" t="str">
        <f>'Schedule 2C Adjustments'!B68:D68</f>
        <v/>
      </c>
      <c r="C69" s="565"/>
      <c r="D69" s="565"/>
      <c r="F69" s="114">
        <f>'Schedule 2C Adjustments'!H68</f>
        <v>0</v>
      </c>
      <c r="G69" s="68">
        <f>'Schedule 2C Adjustments'!J68</f>
        <v>0</v>
      </c>
      <c r="H69" s="68">
        <f t="shared" si="0"/>
        <v>0</v>
      </c>
      <c r="J69" s="114">
        <f>'Schedule 2C Adjustments'!P68</f>
        <v>0</v>
      </c>
      <c r="K69" s="68">
        <f>'Schedule 2C Adjustments'!R68</f>
        <v>0</v>
      </c>
      <c r="L69" s="68">
        <f t="shared" si="1"/>
        <v>0</v>
      </c>
      <c r="N69" s="117">
        <f>'Schedule 2C Adjustments'!X68</f>
        <v>0</v>
      </c>
      <c r="O69" s="117">
        <f>'Schedule 2C Adjustments'!AA68</f>
        <v>0</v>
      </c>
    </row>
    <row r="70" spans="1:15" x14ac:dyDescent="0.35">
      <c r="A70" s="24">
        <v>55</v>
      </c>
      <c r="B70" s="565" t="str">
        <f>'Schedule 2C Adjustments'!B69:D69</f>
        <v/>
      </c>
      <c r="C70" s="565"/>
      <c r="D70" s="565"/>
      <c r="F70" s="114">
        <f>'Schedule 2C Adjustments'!H69</f>
        <v>0</v>
      </c>
      <c r="G70" s="68">
        <f>'Schedule 2C Adjustments'!J69</f>
        <v>0</v>
      </c>
      <c r="H70" s="68">
        <f t="shared" si="0"/>
        <v>0</v>
      </c>
      <c r="J70" s="114">
        <f>'Schedule 2C Adjustments'!P69</f>
        <v>0</v>
      </c>
      <c r="K70" s="68">
        <f>'Schedule 2C Adjustments'!R69</f>
        <v>0</v>
      </c>
      <c r="L70" s="68">
        <f t="shared" si="1"/>
        <v>0</v>
      </c>
      <c r="N70" s="117">
        <f>'Schedule 2C Adjustments'!X69</f>
        <v>0</v>
      </c>
      <c r="O70" s="117">
        <f>'Schedule 2C Adjustments'!AA69</f>
        <v>0</v>
      </c>
    </row>
    <row r="71" spans="1:15" x14ac:dyDescent="0.35">
      <c r="A71" s="24">
        <v>56</v>
      </c>
      <c r="B71" s="565" t="str">
        <f>'Schedule 2C Adjustments'!B70:D70</f>
        <v/>
      </c>
      <c r="C71" s="565"/>
      <c r="D71" s="565"/>
      <c r="F71" s="114">
        <f>'Schedule 2C Adjustments'!H70</f>
        <v>0</v>
      </c>
      <c r="G71" s="68">
        <f>'Schedule 2C Adjustments'!J70</f>
        <v>0</v>
      </c>
      <c r="H71" s="68">
        <f t="shared" si="0"/>
        <v>0</v>
      </c>
      <c r="J71" s="114">
        <f>'Schedule 2C Adjustments'!P70</f>
        <v>0</v>
      </c>
      <c r="K71" s="68">
        <f>'Schedule 2C Adjustments'!R70</f>
        <v>0</v>
      </c>
      <c r="L71" s="68">
        <f t="shared" si="1"/>
        <v>0</v>
      </c>
      <c r="N71" s="117">
        <f>'Schedule 2C Adjustments'!X70</f>
        <v>0</v>
      </c>
      <c r="O71" s="117">
        <f>'Schedule 2C Adjustments'!AA70</f>
        <v>0</v>
      </c>
    </row>
    <row r="72" spans="1:15" x14ac:dyDescent="0.35">
      <c r="A72" s="24">
        <v>57</v>
      </c>
      <c r="B72" s="565" t="str">
        <f>'Schedule 2C Adjustments'!B71:D71</f>
        <v/>
      </c>
      <c r="C72" s="565"/>
      <c r="D72" s="565"/>
      <c r="F72" s="114">
        <f>'Schedule 2C Adjustments'!H71</f>
        <v>0</v>
      </c>
      <c r="G72" s="68">
        <f>'Schedule 2C Adjustments'!J71</f>
        <v>0</v>
      </c>
      <c r="H72" s="68">
        <f t="shared" si="0"/>
        <v>0</v>
      </c>
      <c r="J72" s="114">
        <f>'Schedule 2C Adjustments'!P71</f>
        <v>0</v>
      </c>
      <c r="K72" s="68">
        <f>'Schedule 2C Adjustments'!R71</f>
        <v>0</v>
      </c>
      <c r="L72" s="68">
        <f t="shared" si="1"/>
        <v>0</v>
      </c>
      <c r="N72" s="117">
        <f>'Schedule 2C Adjustments'!X71</f>
        <v>0</v>
      </c>
      <c r="O72" s="117">
        <f>'Schedule 2C Adjustments'!AA71</f>
        <v>0</v>
      </c>
    </row>
    <row r="73" spans="1:15" x14ac:dyDescent="0.35">
      <c r="A73" s="24">
        <v>58</v>
      </c>
      <c r="B73" s="565" t="str">
        <f>'Schedule 2C Adjustments'!B72:D72</f>
        <v/>
      </c>
      <c r="C73" s="565"/>
      <c r="D73" s="565"/>
      <c r="F73" s="114">
        <f>'Schedule 2C Adjustments'!H72</f>
        <v>0</v>
      </c>
      <c r="G73" s="68">
        <f>'Schedule 2C Adjustments'!J72</f>
        <v>0</v>
      </c>
      <c r="H73" s="68">
        <f t="shared" si="0"/>
        <v>0</v>
      </c>
      <c r="J73" s="114">
        <f>'Schedule 2C Adjustments'!P72</f>
        <v>0</v>
      </c>
      <c r="K73" s="68">
        <f>'Schedule 2C Adjustments'!R72</f>
        <v>0</v>
      </c>
      <c r="L73" s="68">
        <f t="shared" si="1"/>
        <v>0</v>
      </c>
      <c r="N73" s="117">
        <f>'Schedule 2C Adjustments'!X72</f>
        <v>0</v>
      </c>
      <c r="O73" s="117">
        <f>'Schedule 2C Adjustments'!AA72</f>
        <v>0</v>
      </c>
    </row>
    <row r="74" spans="1:15" x14ac:dyDescent="0.35">
      <c r="A74" s="24">
        <v>59</v>
      </c>
      <c r="F74" s="18">
        <f>SUM(F16:F73)</f>
        <v>40600007.097050093</v>
      </c>
      <c r="G74" s="18">
        <f t="shared" ref="G74:H74" si="2">SUM(G16:G73)</f>
        <v>10552033.673954738</v>
      </c>
      <c r="H74" s="18">
        <f t="shared" si="2"/>
        <v>51152040.771004818</v>
      </c>
      <c r="J74" s="18">
        <f>SUM(J16:J73)</f>
        <v>20560002.017054714</v>
      </c>
      <c r="K74" s="18">
        <f>SUM(K16:K73)</f>
        <v>5343591.0270149121</v>
      </c>
      <c r="L74" s="18">
        <f>SUM(L16:L73)</f>
        <v>25903593.044069622</v>
      </c>
      <c r="O74" s="83" t="s">
        <v>313</v>
      </c>
    </row>
    <row r="75" spans="1:15" ht="15" thickBot="1" x14ac:dyDescent="0.4">
      <c r="H75" s="37" t="s">
        <v>257</v>
      </c>
      <c r="L75" s="37" t="s">
        <v>258</v>
      </c>
    </row>
    <row r="76" spans="1:15" s="72" customFormat="1" ht="16" thickBot="1" x14ac:dyDescent="0.4">
      <c r="A76" s="24">
        <v>60</v>
      </c>
      <c r="B76" s="73" t="s">
        <v>461</v>
      </c>
      <c r="F76" s="75">
        <f>H74+L74</f>
        <v>77055633.815074444</v>
      </c>
      <c r="G76" s="74"/>
      <c r="H76" s="74"/>
      <c r="I76" s="74"/>
      <c r="J76" s="74"/>
      <c r="K76" s="74"/>
    </row>
  </sheetData>
  <sheetProtection sheet="1" objects="1" scenarios="1"/>
  <customSheetViews>
    <customSheetView guid="{17302493-42B1-4877-869E-E424A97AE78B}">
      <selection activeCell="D9" sqref="D9"/>
      <pageMargins left="0.7" right="0.7" top="0.75" bottom="0.75" header="0.3" footer="0.3"/>
    </customSheetView>
    <customSheetView guid="{5C0BA3A5-859C-46C2-B685-44D9A90065E4}">
      <selection activeCell="D9" sqref="D9"/>
      <pageMargins left="0.7" right="0.7" top="0.75" bottom="0.75" header="0.3" footer="0.3"/>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scale="37"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8971D"/>
    <pageSetUpPr fitToPage="1"/>
  </sheetPr>
  <dimension ref="A1:O76"/>
  <sheetViews>
    <sheetView workbookViewId="0">
      <selection activeCell="C26" sqref="C2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46" t="s">
        <v>690</v>
      </c>
      <c r="B3" s="546"/>
      <c r="C3" s="546"/>
      <c r="D3" s="546"/>
      <c r="E3" s="546"/>
      <c r="F3" s="546"/>
      <c r="G3" s="546"/>
      <c r="H3" s="546"/>
    </row>
    <row r="4" spans="1:15" ht="25" customHeight="1" x14ac:dyDescent="0.5">
      <c r="A4" s="235" t="str">
        <f>Results!A4</f>
        <v>Final Adjustments</v>
      </c>
      <c r="B4" s="354"/>
      <c r="C4" s="354"/>
      <c r="D4" s="354"/>
      <c r="E4" s="354"/>
      <c r="F4" s="354"/>
      <c r="G4" s="354"/>
      <c r="H4" s="354"/>
    </row>
    <row r="6" spans="1:15" x14ac:dyDescent="0.35">
      <c r="A6" s="1" t="s">
        <v>776</v>
      </c>
      <c r="C6" s="414" t="str">
        <f>Results!$C$6</f>
        <v>WellPower</v>
      </c>
    </row>
    <row r="7" spans="1:15" x14ac:dyDescent="0.35">
      <c r="A7" s="1" t="s">
        <v>0</v>
      </c>
      <c r="C7" s="35">
        <f>Results!$C$7</f>
        <v>45473</v>
      </c>
      <c r="F7" s="35"/>
    </row>
    <row r="9" spans="1:15" x14ac:dyDescent="0.35">
      <c r="A9" s="1" t="s">
        <v>253</v>
      </c>
      <c r="B9" s="1" t="s">
        <v>622</v>
      </c>
      <c r="C9" s="1"/>
      <c r="F9" s="116" t="str">
        <f>'Schedule 2D Adjustments'!F8</f>
        <v>Yes</v>
      </c>
      <c r="G9" s="41" t="s">
        <v>259</v>
      </c>
    </row>
    <row r="11" spans="1:15" x14ac:dyDescent="0.35">
      <c r="A11" s="1" t="s">
        <v>254</v>
      </c>
      <c r="B11" s="1" t="s">
        <v>256</v>
      </c>
      <c r="C11" s="1"/>
    </row>
    <row r="12" spans="1:15" x14ac:dyDescent="0.35">
      <c r="B12" s="311" t="s">
        <v>592</v>
      </c>
    </row>
    <row r="13" spans="1:15" x14ac:dyDescent="0.35">
      <c r="B13" s="560">
        <v>1</v>
      </c>
      <c r="C13" s="560"/>
      <c r="D13" s="560"/>
      <c r="F13" s="23">
        <v>2</v>
      </c>
      <c r="G13" s="23">
        <v>3</v>
      </c>
      <c r="H13" s="23">
        <v>4</v>
      </c>
      <c r="J13" s="23">
        <v>5</v>
      </c>
      <c r="K13" s="23">
        <v>6</v>
      </c>
      <c r="L13" s="23">
        <v>7</v>
      </c>
      <c r="N13" s="23">
        <v>8</v>
      </c>
      <c r="O13" s="23">
        <v>9</v>
      </c>
    </row>
    <row r="14" spans="1:15" ht="15" customHeight="1" x14ac:dyDescent="0.35">
      <c r="B14" s="569" t="s">
        <v>606</v>
      </c>
      <c r="C14" s="570"/>
      <c r="D14" s="571"/>
      <c r="F14" s="563" t="s">
        <v>261</v>
      </c>
      <c r="G14" s="568"/>
      <c r="H14" s="564"/>
      <c r="J14" s="563" t="s">
        <v>262</v>
      </c>
      <c r="K14" s="568"/>
      <c r="L14" s="564"/>
      <c r="N14" s="566" t="s">
        <v>686</v>
      </c>
      <c r="O14" s="566" t="s">
        <v>687</v>
      </c>
    </row>
    <row r="15" spans="1:15" ht="55.5" customHeight="1" x14ac:dyDescent="0.35">
      <c r="B15" s="572"/>
      <c r="C15" s="573"/>
      <c r="D15" s="574"/>
      <c r="E15" s="48"/>
      <c r="F15" s="10" t="s">
        <v>683</v>
      </c>
      <c r="G15" s="142" t="s">
        <v>684</v>
      </c>
      <c r="H15" s="142" t="s">
        <v>685</v>
      </c>
      <c r="I15" s="99"/>
      <c r="J15" s="10" t="s">
        <v>683</v>
      </c>
      <c r="K15" s="142" t="s">
        <v>684</v>
      </c>
      <c r="L15" s="142" t="s">
        <v>685</v>
      </c>
      <c r="M15" s="48"/>
      <c r="N15" s="567"/>
      <c r="O15" s="567"/>
    </row>
    <row r="16" spans="1:15" x14ac:dyDescent="0.35">
      <c r="A16" s="24">
        <v>1</v>
      </c>
      <c r="B16" s="565" t="str">
        <f>'Schedule 2D Adjustments'!B15:D15</f>
        <v>100-228-Denver CO-ACT</v>
      </c>
      <c r="C16" s="565"/>
      <c r="D16" s="565"/>
      <c r="F16" s="114">
        <f>'Schedule 2D Adjustments'!H15</f>
        <v>1310729.5987648193</v>
      </c>
      <c r="G16" s="68">
        <f>'Schedule 2D Adjustments'!J15</f>
        <v>340661.58733800991</v>
      </c>
      <c r="H16" s="68">
        <f>SUM(F16:G16)</f>
        <v>1651391.1861028292</v>
      </c>
      <c r="J16" s="114">
        <f>'Schedule 2D Adjustments'!P15</f>
        <v>691.01140967135734</v>
      </c>
      <c r="K16" s="68">
        <f>'Schedule 2D Adjustments'!R15</f>
        <v>179.59542830890007</v>
      </c>
      <c r="L16" s="68">
        <f>SUM(J16:K16)</f>
        <v>870.60683798025741</v>
      </c>
      <c r="N16" s="117">
        <f>'Schedule 2D Adjustments'!X15</f>
        <v>11.225</v>
      </c>
      <c r="O16" s="117">
        <f>'Schedule 2D Adjustments'!AA15</f>
        <v>84</v>
      </c>
    </row>
    <row r="17" spans="1:15" x14ac:dyDescent="0.35">
      <c r="A17" s="24">
        <v>2</v>
      </c>
      <c r="B17" s="565" t="str">
        <f>'Schedule 2D Adjustments'!B16:D16</f>
        <v>100-300-Adult Spectrum Care</v>
      </c>
      <c r="C17" s="565"/>
      <c r="D17" s="565"/>
      <c r="F17" s="114">
        <f>'Schedule 2D Adjustments'!H16</f>
        <v>1078079.1084518391</v>
      </c>
      <c r="G17" s="68">
        <f>'Schedule 2D Adjustments'!J16</f>
        <v>280195.19869486563</v>
      </c>
      <c r="H17" s="68">
        <f t="shared" ref="H17:H73" si="0">SUM(F17:G17)</f>
        <v>1358274.3071467048</v>
      </c>
      <c r="J17" s="114">
        <f>'Schedule 2D Adjustments'!P16</f>
        <v>41.894232646881669</v>
      </c>
      <c r="K17" s="68">
        <f>'Schedule 2D Adjustments'!R16</f>
        <v>10.888405821646002</v>
      </c>
      <c r="L17" s="68">
        <f t="shared" ref="L17:L73" si="1">SUM(J17:K17)</f>
        <v>52.782638468527672</v>
      </c>
      <c r="N17" s="117">
        <f>'Schedule 2D Adjustments'!X16</f>
        <v>5.0625000000000009</v>
      </c>
      <c r="O17" s="117">
        <f>'Schedule 2D Adjustments'!AA16</f>
        <v>349</v>
      </c>
    </row>
    <row r="18" spans="1:15" x14ac:dyDescent="0.35">
      <c r="A18" s="24">
        <v>3</v>
      </c>
      <c r="B18" s="565" t="str">
        <f>'Schedule 2D Adjustments'!B17:D17</f>
        <v>100-760-Psychological Assessment</v>
      </c>
      <c r="C18" s="565"/>
      <c r="D18" s="565"/>
      <c r="F18" s="114">
        <f>'Schedule 2D Adjustments'!H17</f>
        <v>844335.40996275574</v>
      </c>
      <c r="G18" s="68">
        <f>'Schedule 2D Adjustments'!J17</f>
        <v>219444.68277412484</v>
      </c>
      <c r="H18" s="68">
        <f t="shared" si="0"/>
        <v>1063780.0927368805</v>
      </c>
      <c r="J18" s="114">
        <f>'Schedule 2D Adjustments'!P17</f>
        <v>50.117915351639915</v>
      </c>
      <c r="K18" s="68">
        <f>'Schedule 2D Adjustments'!R17</f>
        <v>13.02575955700614</v>
      </c>
      <c r="L18" s="68">
        <f t="shared" si="1"/>
        <v>63.143674908646055</v>
      </c>
      <c r="N18" s="117">
        <f>'Schedule 2D Adjustments'!X17</f>
        <v>6.0562500000000004</v>
      </c>
      <c r="O18" s="117">
        <f>'Schedule 2D Adjustments'!AA17</f>
        <v>159</v>
      </c>
    </row>
    <row r="19" spans="1:15" x14ac:dyDescent="0.35">
      <c r="A19" s="24">
        <v>4</v>
      </c>
      <c r="B19" s="565" t="str">
        <f>'Schedule 2D Adjustments'!B18:D18</f>
        <v>100-221-REACT</v>
      </c>
      <c r="C19" s="565"/>
      <c r="D19" s="565"/>
      <c r="F19" s="114">
        <f>'Schedule 2D Adjustments'!H18</f>
        <v>483322.59899887192</v>
      </c>
      <c r="G19" s="68">
        <f>'Schedule 2D Adjustments'!J18</f>
        <v>125616.63666285358</v>
      </c>
      <c r="H19" s="68">
        <f t="shared" si="0"/>
        <v>608939.23566172551</v>
      </c>
      <c r="J19" s="114">
        <f>'Schedule 2D Adjustments'!P18</f>
        <v>421.36079009713626</v>
      </c>
      <c r="K19" s="68">
        <f>'Schedule 2D Adjustments'!R18</f>
        <v>109.51262238356128</v>
      </c>
      <c r="L19" s="68">
        <f t="shared" si="1"/>
        <v>530.87341248069754</v>
      </c>
      <c r="N19" s="117">
        <f>'Schedule 2D Adjustments'!X18</f>
        <v>5.05</v>
      </c>
      <c r="O19" s="117">
        <f>'Schedule 2D Adjustments'!AA18</f>
        <v>275</v>
      </c>
    </row>
    <row r="20" spans="1:15" x14ac:dyDescent="0.35">
      <c r="A20" s="24">
        <v>5</v>
      </c>
      <c r="B20" s="565" t="str">
        <f>'Schedule 2D Adjustments'!B19:D19</f>
        <v>100-224-Downing Community Treatment Team</v>
      </c>
      <c r="C20" s="565"/>
      <c r="D20" s="565"/>
      <c r="F20" s="114">
        <f>'Schedule 2D Adjustments'!H19</f>
        <v>1057163.3739484735</v>
      </c>
      <c r="G20" s="68">
        <f>'Schedule 2D Adjustments'!J19</f>
        <v>274759.15199005982</v>
      </c>
      <c r="H20" s="68">
        <f t="shared" si="0"/>
        <v>1331922.5259385332</v>
      </c>
      <c r="J20" s="114">
        <f>'Schedule 2D Adjustments'!P19</f>
        <v>3287.93240601566</v>
      </c>
      <c r="K20" s="68">
        <f>'Schedule 2D Adjustments'!R19</f>
        <v>854.54106899614499</v>
      </c>
      <c r="L20" s="68">
        <f t="shared" si="1"/>
        <v>4142.473475011805</v>
      </c>
      <c r="N20" s="117">
        <f>'Schedule 2D Adjustments'!X19</f>
        <v>9.0499999999999972</v>
      </c>
      <c r="O20" s="117">
        <f>'Schedule 2D Adjustments'!AA19</f>
        <v>698</v>
      </c>
    </row>
    <row r="21" spans="1:15" x14ac:dyDescent="0.35">
      <c r="A21" s="24">
        <v>6</v>
      </c>
      <c r="B21" s="565" t="str">
        <f>'Schedule 2D Adjustments'!B20:D20</f>
        <v>100-622-HIATT</v>
      </c>
      <c r="C21" s="565"/>
      <c r="D21" s="565"/>
      <c r="F21" s="114">
        <f>'Schedule 2D Adjustments'!H20</f>
        <v>695618.73083985306</v>
      </c>
      <c r="G21" s="68">
        <f>'Schedule 2D Adjustments'!J20</f>
        <v>180792.88150146918</v>
      </c>
      <c r="H21" s="68">
        <f t="shared" si="0"/>
        <v>876411.61234132224</v>
      </c>
      <c r="J21" s="114">
        <f>'Schedule 2D Adjustments'!P20</f>
        <v>3909.2543808421387</v>
      </c>
      <c r="K21" s="68">
        <f>'Schedule 2D Adjustments'!R20</f>
        <v>1016.0240555647217</v>
      </c>
      <c r="L21" s="68">
        <f t="shared" si="1"/>
        <v>4925.2784364068602</v>
      </c>
      <c r="N21" s="117">
        <f>'Schedule 2D Adjustments'!X20</f>
        <v>7.7499999999999991</v>
      </c>
      <c r="O21" s="117">
        <f>'Schedule 2D Adjustments'!AA20</f>
        <v>442</v>
      </c>
    </row>
    <row r="22" spans="1:15" x14ac:dyDescent="0.35">
      <c r="A22" s="24">
        <v>7</v>
      </c>
      <c r="B22" s="565" t="str">
        <f>'Schedule 2D Adjustments'!B21:D21</f>
        <v>100-676-Supportive Living</v>
      </c>
      <c r="C22" s="565"/>
      <c r="D22" s="565"/>
      <c r="F22" s="114">
        <f>'Schedule 2D Adjustments'!H21</f>
        <v>1032487.0794389574</v>
      </c>
      <c r="G22" s="68">
        <f>'Schedule 2D Adjustments'!J21</f>
        <v>268345.72723398986</v>
      </c>
      <c r="H22" s="68">
        <f t="shared" si="0"/>
        <v>1300832.8066729472</v>
      </c>
      <c r="J22" s="114">
        <f>'Schedule 2D Adjustments'!P21</f>
        <v>4816.0073341507959</v>
      </c>
      <c r="K22" s="68">
        <f>'Schedule 2D Adjustments'!R21</f>
        <v>1251.6911990309613</v>
      </c>
      <c r="L22" s="68">
        <f t="shared" si="1"/>
        <v>6067.6985331817577</v>
      </c>
      <c r="N22" s="117">
        <f>'Schedule 2D Adjustments'!X21</f>
        <v>7.3249999999999984</v>
      </c>
      <c r="O22" s="117">
        <f>'Schedule 2D Adjustments'!AA21</f>
        <v>606</v>
      </c>
    </row>
    <row r="23" spans="1:15" x14ac:dyDescent="0.35">
      <c r="A23" s="24">
        <v>8</v>
      </c>
      <c r="B23" s="565" t="str">
        <f>'Schedule 2D Adjustments'!B22:D22</f>
        <v>100-805-Vine Community Treatment Team</v>
      </c>
      <c r="C23" s="565"/>
      <c r="D23" s="565"/>
      <c r="F23" s="114">
        <f>'Schedule 2D Adjustments'!H22</f>
        <v>1773634.89712547</v>
      </c>
      <c r="G23" s="68">
        <f>'Schedule 2D Adjustments'!J22</f>
        <v>460971.72138497053</v>
      </c>
      <c r="H23" s="68">
        <f t="shared" si="0"/>
        <v>2234606.6185104405</v>
      </c>
      <c r="J23" s="114">
        <f>'Schedule 2D Adjustments'!P22</f>
        <v>1867.3967171136985</v>
      </c>
      <c r="K23" s="68">
        <f>'Schedule 2D Adjustments'!R22</f>
        <v>485.34063047117007</v>
      </c>
      <c r="L23" s="68">
        <f t="shared" si="1"/>
        <v>2352.7373475848685</v>
      </c>
      <c r="N23" s="117">
        <f>'Schedule 2D Adjustments'!X22</f>
        <v>16.952249999999996</v>
      </c>
      <c r="O23" s="117">
        <f>'Schedule 2D Adjustments'!AA22</f>
        <v>1264</v>
      </c>
    </row>
    <row r="24" spans="1:15" x14ac:dyDescent="0.35">
      <c r="A24" s="24">
        <v>9</v>
      </c>
      <c r="B24" s="565" t="str">
        <f>'Schedule 2D Adjustments'!B23:D23</f>
        <v>100-808-FUSE (Frequent Users Service Enhancement)</v>
      </c>
      <c r="C24" s="565"/>
      <c r="D24" s="565"/>
      <c r="F24" s="114">
        <f>'Schedule 2D Adjustments'!H23</f>
        <v>173655.88271500313</v>
      </c>
      <c r="G24" s="68">
        <f>'Schedule 2D Adjustments'!J23</f>
        <v>45133.556693939274</v>
      </c>
      <c r="H24" s="68">
        <f t="shared" si="0"/>
        <v>218789.43940894242</v>
      </c>
      <c r="J24" s="114">
        <f>'Schedule 2D Adjustments'!P23</f>
        <v>136.10343361868257</v>
      </c>
      <c r="K24" s="68">
        <f>'Schedule 2D Adjustments'!R23</f>
        <v>35.373590237366002</v>
      </c>
      <c r="L24" s="68">
        <f t="shared" si="1"/>
        <v>171.47702385604856</v>
      </c>
      <c r="N24" s="117">
        <f>'Schedule 2D Adjustments'!X23</f>
        <v>1.5375000000000001</v>
      </c>
      <c r="O24" s="117">
        <f>'Schedule 2D Adjustments'!AA23</f>
        <v>69</v>
      </c>
    </row>
    <row r="25" spans="1:15" x14ac:dyDescent="0.35">
      <c r="A25" s="24">
        <v>10</v>
      </c>
      <c r="B25" s="565" t="str">
        <f>'Schedule 2D Adjustments'!B24:D24</f>
        <v>100-809-Street to Home</v>
      </c>
      <c r="C25" s="565"/>
      <c r="D25" s="565"/>
      <c r="F25" s="114">
        <f>'Schedule 2D Adjustments'!H24</f>
        <v>509845.22226944956</v>
      </c>
      <c r="G25" s="68">
        <f>'Schedule 2D Adjustments'!J24</f>
        <v>132509.92643996509</v>
      </c>
      <c r="H25" s="68">
        <f t="shared" si="0"/>
        <v>642355.14870941464</v>
      </c>
      <c r="J25" s="114">
        <f>'Schedule 2D Adjustments'!P24</f>
        <v>275.89214667395822</v>
      </c>
      <c r="K25" s="68">
        <f>'Schedule 2D Adjustments'!R24</f>
        <v>71.704992935698016</v>
      </c>
      <c r="L25" s="68">
        <f t="shared" si="1"/>
        <v>347.59713960965621</v>
      </c>
      <c r="N25" s="117">
        <f>'Schedule 2D Adjustments'!X24</f>
        <v>4.3468749999999998</v>
      </c>
      <c r="O25" s="117">
        <f>'Schedule 2D Adjustments'!AA24</f>
        <v>248</v>
      </c>
    </row>
    <row r="26" spans="1:15" x14ac:dyDescent="0.35">
      <c r="A26" s="24">
        <v>11</v>
      </c>
      <c r="B26" s="565" t="str">
        <f>'Schedule 2D Adjustments'!B25:D25</f>
        <v>100-812-Probation &amp; Anti-Recidivism</v>
      </c>
      <c r="C26" s="565"/>
      <c r="D26" s="565"/>
      <c r="F26" s="114">
        <f>'Schedule 2D Adjustments'!H25</f>
        <v>286571.73871220107</v>
      </c>
      <c r="G26" s="68">
        <f>'Schedule 2D Adjustments'!J25</f>
        <v>74480.643061626819</v>
      </c>
      <c r="H26" s="68">
        <f t="shared" si="0"/>
        <v>361052.38177382789</v>
      </c>
      <c r="J26" s="114">
        <f>'Schedule 2D Adjustments'!P25</f>
        <v>596.7262119388929</v>
      </c>
      <c r="K26" s="68">
        <f>'Schedule 2D Adjustments'!R25</f>
        <v>155.09049216319352</v>
      </c>
      <c r="L26" s="68">
        <f t="shared" si="1"/>
        <v>751.81670410208642</v>
      </c>
      <c r="N26" s="117">
        <f>'Schedule 2D Adjustments'!X25</f>
        <v>2.9999999999999996</v>
      </c>
      <c r="O26" s="117">
        <f>'Schedule 2D Adjustments'!AA25</f>
        <v>157</v>
      </c>
    </row>
    <row r="27" spans="1:15" x14ac:dyDescent="0.35">
      <c r="A27" s="24">
        <v>12</v>
      </c>
      <c r="B27" s="565" t="str">
        <f>'Schedule 2D Adjustments'!B26:D26</f>
        <v>100-813-Probation Liaison</v>
      </c>
      <c r="C27" s="565"/>
      <c r="D27" s="565"/>
      <c r="F27" s="114">
        <f>'Schedule 2D Adjustments'!H26</f>
        <v>81179.192057949112</v>
      </c>
      <c r="G27" s="68">
        <f>'Schedule 2D Adjustments'!J26</f>
        <v>21098.655627628126</v>
      </c>
      <c r="H27" s="68">
        <f t="shared" si="0"/>
        <v>102277.84768557723</v>
      </c>
      <c r="J27" s="114">
        <f>'Schedule 2D Adjustments'!P26</f>
        <v>29.180240155012861</v>
      </c>
      <c r="K27" s="68">
        <f>'Schedule 2D Adjustments'!R26</f>
        <v>7.58401041639606</v>
      </c>
      <c r="L27" s="68">
        <f t="shared" si="1"/>
        <v>36.764250571408922</v>
      </c>
      <c r="N27" s="117">
        <f>'Schedule 2D Adjustments'!X26</f>
        <v>0.98124999999999996</v>
      </c>
      <c r="O27" s="117">
        <f>'Schedule 2D Adjustments'!AA26</f>
        <v>99</v>
      </c>
    </row>
    <row r="28" spans="1:15" x14ac:dyDescent="0.35">
      <c r="A28" s="24">
        <v>13</v>
      </c>
      <c r="B28" s="565" t="str">
        <f>'Schedule 2D Adjustments'!B27:D27</f>
        <v>100-816-Bridges</v>
      </c>
      <c r="C28" s="565"/>
      <c r="D28" s="565"/>
      <c r="F28" s="114">
        <f>'Schedule 2D Adjustments'!H27</f>
        <v>4949.42</v>
      </c>
      <c r="G28" s="68">
        <f>'Schedule 2D Adjustments'!J27</f>
        <v>1286.3654526390392</v>
      </c>
      <c r="H28" s="68">
        <f t="shared" si="0"/>
        <v>6235.7854526390392</v>
      </c>
      <c r="J28" s="114">
        <f>'Schedule 2D Adjustments'!P27</f>
        <v>232145.10328275996</v>
      </c>
      <c r="K28" s="68">
        <f>'Schedule 2D Adjustments'!R27</f>
        <v>60335.037410901481</v>
      </c>
      <c r="L28" s="68">
        <f t="shared" si="1"/>
        <v>292480.14069366141</v>
      </c>
      <c r="N28" s="117">
        <f>'Schedule 2D Adjustments'!X27</f>
        <v>2</v>
      </c>
      <c r="O28" s="117">
        <f>'Schedule 2D Adjustments'!AA27</f>
        <v>198</v>
      </c>
    </row>
    <row r="29" spans="1:15" x14ac:dyDescent="0.35">
      <c r="A29" s="24">
        <v>14</v>
      </c>
      <c r="B29" s="565" t="str">
        <f>'Schedule 2D Adjustments'!B28:D28</f>
        <v>100-817-Competency Diversion Navigators</v>
      </c>
      <c r="C29" s="565"/>
      <c r="D29" s="565"/>
      <c r="F29" s="114">
        <f>'Schedule 2D Adjustments'!H28</f>
        <v>872023.08492944168</v>
      </c>
      <c r="G29" s="68">
        <f>'Schedule 2D Adjustments'!J28</f>
        <v>226640.77212217849</v>
      </c>
      <c r="H29" s="68">
        <f t="shared" si="0"/>
        <v>1098663.8570516203</v>
      </c>
      <c r="J29" s="114">
        <f>'Schedule 2D Adjustments'!P28</f>
        <v>552.21226228593332</v>
      </c>
      <c r="K29" s="68">
        <f>'Schedule 2D Adjustments'!R28</f>
        <v>143.52121596637031</v>
      </c>
      <c r="L29" s="68">
        <f t="shared" si="1"/>
        <v>695.7334782523036</v>
      </c>
      <c r="N29" s="117">
        <f>'Schedule 2D Adjustments'!X28</f>
        <v>5.6</v>
      </c>
      <c r="O29" s="117">
        <f>'Schedule 2D Adjustments'!AA28</f>
        <v>192</v>
      </c>
    </row>
    <row r="30" spans="1:15" x14ac:dyDescent="0.35">
      <c r="A30" s="24">
        <v>15</v>
      </c>
      <c r="B30" s="565" t="str">
        <f>'Schedule 2D Adjustments'!B29:D29</f>
        <v>100-830-Independent Living</v>
      </c>
      <c r="C30" s="565"/>
      <c r="D30" s="565"/>
      <c r="F30" s="114">
        <f>'Schedule 2D Adjustments'!H29</f>
        <v>1763242.5486927242</v>
      </c>
      <c r="G30" s="68">
        <f>'Schedule 2D Adjustments'!J29</f>
        <v>458270.72652180039</v>
      </c>
      <c r="H30" s="68">
        <f t="shared" si="0"/>
        <v>2221513.2752145245</v>
      </c>
      <c r="J30" s="114">
        <f>'Schedule 2D Adjustments'!P29</f>
        <v>2393.0553606488807</v>
      </c>
      <c r="K30" s="68">
        <f>'Schedule 2D Adjustments'!R29</f>
        <v>621.96050086502589</v>
      </c>
      <c r="L30" s="68">
        <f t="shared" si="1"/>
        <v>3015.0158615139067</v>
      </c>
      <c r="N30" s="117">
        <f>'Schedule 2D Adjustments'!X29</f>
        <v>15.396875000000001</v>
      </c>
      <c r="O30" s="117">
        <f>'Schedule 2D Adjustments'!AA29</f>
        <v>910</v>
      </c>
    </row>
    <row r="31" spans="1:15" x14ac:dyDescent="0.35">
      <c r="A31" s="24">
        <v>16</v>
      </c>
      <c r="B31" s="565" t="str">
        <f>'Schedule 2D Adjustments'!B30:D30</f>
        <v>100-840-Humboldt Community Treatment</v>
      </c>
      <c r="C31" s="565"/>
      <c r="D31" s="565"/>
      <c r="F31" s="114">
        <f>'Schedule 2D Adjustments'!H30</f>
        <v>1738523.4898185651</v>
      </c>
      <c r="G31" s="68">
        <f>'Schedule 2D Adjustments'!J30</f>
        <v>451846.18721063487</v>
      </c>
      <c r="H31" s="68">
        <f t="shared" si="0"/>
        <v>2190369.6770291999</v>
      </c>
      <c r="J31" s="114">
        <f>'Schedule 2D Adjustments'!P30</f>
        <v>28609.945817306696</v>
      </c>
      <c r="K31" s="68">
        <f>'Schedule 2D Adjustments'!R30</f>
        <v>7435.7896281297835</v>
      </c>
      <c r="L31" s="68">
        <f t="shared" si="1"/>
        <v>36045.735445436483</v>
      </c>
      <c r="N31" s="117">
        <f>'Schedule 2D Adjustments'!X30</f>
        <v>14.399999999999999</v>
      </c>
      <c r="O31" s="117">
        <f>'Schedule 2D Adjustments'!AA30</f>
        <v>733</v>
      </c>
    </row>
    <row r="32" spans="1:15" x14ac:dyDescent="0.35">
      <c r="A32" s="24">
        <v>17</v>
      </c>
      <c r="B32" s="565" t="str">
        <f>'Schedule 2D Adjustments'!B31:D31</f>
        <v>100-845-Medicaid Expansion Community Treatment</v>
      </c>
      <c r="C32" s="565"/>
      <c r="D32" s="565"/>
      <c r="F32" s="114">
        <f>'Schedule 2D Adjustments'!H31</f>
        <v>2340114.3569159778</v>
      </c>
      <c r="G32" s="68">
        <f>'Schedule 2D Adjustments'!J31</f>
        <v>608201.01425244496</v>
      </c>
      <c r="H32" s="68">
        <f t="shared" si="0"/>
        <v>2948315.3711684225</v>
      </c>
      <c r="J32" s="114">
        <f>'Schedule 2D Adjustments'!P31</f>
        <v>10284.094955761046</v>
      </c>
      <c r="K32" s="68">
        <f>'Schedule 2D Adjustments'!R31</f>
        <v>2672.8595396532155</v>
      </c>
      <c r="L32" s="68">
        <f t="shared" si="1"/>
        <v>12956.954495414262</v>
      </c>
      <c r="N32" s="117">
        <f>'Schedule 2D Adjustments'!X31</f>
        <v>21.55</v>
      </c>
      <c r="O32" s="117">
        <f>'Schedule 2D Adjustments'!AA31</f>
        <v>1084</v>
      </c>
    </row>
    <row r="33" spans="1:15" x14ac:dyDescent="0.35">
      <c r="A33" s="24">
        <v>18</v>
      </c>
      <c r="B33" s="565" t="str">
        <f>'Schedule 2D Adjustments'!B32:D32</f>
        <v>100-851-Downing High Intensity Treatment</v>
      </c>
      <c r="C33" s="565"/>
      <c r="D33" s="565"/>
      <c r="F33" s="114">
        <f>'Schedule 2D Adjustments'!H32</f>
        <v>1096744.3901704708</v>
      </c>
      <c r="G33" s="68">
        <f>'Schedule 2D Adjustments'!J32</f>
        <v>285046.34763082641</v>
      </c>
      <c r="H33" s="68">
        <f t="shared" si="0"/>
        <v>1381790.7378012971</v>
      </c>
      <c r="J33" s="114">
        <f>'Schedule 2D Adjustments'!P32</f>
        <v>2530.5888809534126</v>
      </c>
      <c r="K33" s="68">
        <f>'Schedule 2D Adjustments'!R32</f>
        <v>657.70577386662603</v>
      </c>
      <c r="L33" s="68">
        <f t="shared" si="1"/>
        <v>3188.2946548200389</v>
      </c>
      <c r="N33" s="117">
        <f>'Schedule 2D Adjustments'!X32</f>
        <v>9.9703749999999989</v>
      </c>
      <c r="O33" s="117">
        <f>'Schedule 2D Adjustments'!AA32</f>
        <v>722</v>
      </c>
    </row>
    <row r="34" spans="1:15" x14ac:dyDescent="0.35">
      <c r="A34" s="24">
        <v>19</v>
      </c>
      <c r="B34" s="565" t="str">
        <f>'Schedule 2D Adjustments'!B33:D33</f>
        <v>100-853-Enhanced High Intensity Treatment</v>
      </c>
      <c r="C34" s="565"/>
      <c r="D34" s="565"/>
      <c r="F34" s="114">
        <f>'Schedule 2D Adjustments'!H33</f>
        <v>401060.60619708151</v>
      </c>
      <c r="G34" s="68">
        <f>'Schedule 2D Adjustments'!J33</f>
        <v>104236.55867281342</v>
      </c>
      <c r="H34" s="68">
        <f t="shared" si="0"/>
        <v>505297.16486989491</v>
      </c>
      <c r="J34" s="114">
        <f>'Schedule 2D Adjustments'!P33</f>
        <v>653.43669671445002</v>
      </c>
      <c r="K34" s="68">
        <f>'Schedule 2D Adjustments'!R33</f>
        <v>169.82967542460372</v>
      </c>
      <c r="L34" s="68">
        <f t="shared" si="1"/>
        <v>823.26637213905371</v>
      </c>
      <c r="N34" s="117">
        <f>'Schedule 2D Adjustments'!X33</f>
        <v>4.1999999999999993</v>
      </c>
      <c r="O34" s="117">
        <f>'Schedule 2D Adjustments'!AA33</f>
        <v>124</v>
      </c>
    </row>
    <row r="35" spans="1:15" x14ac:dyDescent="0.35">
      <c r="A35" s="24">
        <v>20</v>
      </c>
      <c r="B35" s="565" t="str">
        <f>'Schedule 2D Adjustments'!B34:D34</f>
        <v>100-854-21st Century Care-High Risk</v>
      </c>
      <c r="C35" s="565"/>
      <c r="D35" s="565"/>
      <c r="F35" s="114">
        <f>'Schedule 2D Adjustments'!H34</f>
        <v>1588929.1396562669</v>
      </c>
      <c r="G35" s="68">
        <f>'Schedule 2D Adjustments'!J34</f>
        <v>412966.27724971675</v>
      </c>
      <c r="H35" s="68">
        <f t="shared" si="0"/>
        <v>2001895.4169059836</v>
      </c>
      <c r="J35" s="114">
        <f>'Schedule 2D Adjustments'!P34</f>
        <v>2231.2282347320952</v>
      </c>
      <c r="K35" s="68">
        <f>'Schedule 2D Adjustments'!R34</f>
        <v>579.90126481732329</v>
      </c>
      <c r="L35" s="68">
        <f t="shared" si="1"/>
        <v>2811.1294995494186</v>
      </c>
      <c r="N35" s="117">
        <f>'Schedule 2D Adjustments'!X34</f>
        <v>11.004687500000001</v>
      </c>
      <c r="O35" s="117">
        <f>'Schedule 2D Adjustments'!AA34</f>
        <v>971</v>
      </c>
    </row>
    <row r="36" spans="1:15" x14ac:dyDescent="0.35">
      <c r="A36" s="24">
        <v>21</v>
      </c>
      <c r="B36" s="565" t="str">
        <f>'Schedule 2D Adjustments'!B35:D35</f>
        <v>100-881-BHSC Shelter - 3rd Floor</v>
      </c>
      <c r="C36" s="565"/>
      <c r="D36" s="565"/>
      <c r="F36" s="114">
        <f>'Schedule 2D Adjustments'!H35</f>
        <v>0</v>
      </c>
      <c r="G36" s="68">
        <f>'Schedule 2D Adjustments'!J35</f>
        <v>0</v>
      </c>
      <c r="H36" s="68">
        <f t="shared" si="0"/>
        <v>0</v>
      </c>
      <c r="J36" s="114">
        <f>'Schedule 2D Adjustments'!P35</f>
        <v>1857191.2630751291</v>
      </c>
      <c r="K36" s="68">
        <f>'Schedule 2D Adjustments'!R35</f>
        <v>482688.20988376567</v>
      </c>
      <c r="L36" s="68">
        <f t="shared" si="1"/>
        <v>2339879.4729588949</v>
      </c>
      <c r="N36" s="117">
        <f>'Schedule 2D Adjustments'!X35</f>
        <v>14.754812499999996</v>
      </c>
      <c r="O36" s="117">
        <f>'Schedule 2D Adjustments'!AA35</f>
        <v>0</v>
      </c>
    </row>
    <row r="37" spans="1:15" x14ac:dyDescent="0.35">
      <c r="A37" s="24">
        <v>22</v>
      </c>
      <c r="B37" s="565" t="str">
        <f>'Schedule 2D Adjustments'!B36:D36</f>
        <v>100-882-Social Impact Bond (SIB)</v>
      </c>
      <c r="C37" s="565"/>
      <c r="D37" s="565"/>
      <c r="F37" s="114">
        <f>'Schedule 2D Adjustments'!H36</f>
        <v>1485131.3573034459</v>
      </c>
      <c r="G37" s="68">
        <f>'Schedule 2D Adjustments'!J36</f>
        <v>385988.99884553702</v>
      </c>
      <c r="H37" s="68">
        <f t="shared" si="0"/>
        <v>1871120.3561489829</v>
      </c>
      <c r="J37" s="114">
        <f>'Schedule 2D Adjustments'!P36</f>
        <v>2592.3463020822428</v>
      </c>
      <c r="K37" s="68">
        <f>'Schedule 2D Adjustments'!R36</f>
        <v>673.75666730145429</v>
      </c>
      <c r="L37" s="68">
        <f t="shared" si="1"/>
        <v>3266.1029693836972</v>
      </c>
      <c r="N37" s="117">
        <f>'Schedule 2D Adjustments'!X36</f>
        <v>15.600000000000001</v>
      </c>
      <c r="O37" s="117">
        <f>'Schedule 2D Adjustments'!AA36</f>
        <v>504</v>
      </c>
    </row>
    <row r="38" spans="1:15" x14ac:dyDescent="0.35">
      <c r="A38" s="24">
        <v>23</v>
      </c>
      <c r="B38" s="565" t="str">
        <f>'Schedule 2D Adjustments'!B37:D37</f>
        <v>200-422-Skyline Academy</v>
      </c>
      <c r="C38" s="565"/>
      <c r="D38" s="565"/>
      <c r="F38" s="114">
        <f>'Schedule 2D Adjustments'!H37</f>
        <v>1830361.1220276353</v>
      </c>
      <c r="G38" s="68">
        <f>'Schedule 2D Adjustments'!J37</f>
        <v>475714.99554088741</v>
      </c>
      <c r="H38" s="68">
        <f t="shared" si="0"/>
        <v>2306076.1175685227</v>
      </c>
      <c r="J38" s="114">
        <f>'Schedule 2D Adjustments'!P37</f>
        <v>107.16648153622073</v>
      </c>
      <c r="K38" s="68">
        <f>'Schedule 2D Adjustments'!R37</f>
        <v>27.852810941296923</v>
      </c>
      <c r="L38" s="68">
        <f t="shared" si="1"/>
        <v>135.01929247751764</v>
      </c>
      <c r="N38" s="117">
        <f>'Schedule 2D Adjustments'!X37</f>
        <v>12.95</v>
      </c>
      <c r="O38" s="117">
        <f>'Schedule 2D Adjustments'!AA37</f>
        <v>39</v>
      </c>
    </row>
    <row r="39" spans="1:15" x14ac:dyDescent="0.35">
      <c r="A39" s="24">
        <v>24</v>
      </c>
      <c r="B39" s="565" t="str">
        <f>'Schedule 2D Adjustments'!B38:D38</f>
        <v/>
      </c>
      <c r="C39" s="565"/>
      <c r="D39" s="565"/>
      <c r="F39" s="114">
        <f>'Schedule 2D Adjustments'!H38</f>
        <v>0</v>
      </c>
      <c r="G39" s="68">
        <f>'Schedule 2D Adjustments'!J38</f>
        <v>0</v>
      </c>
      <c r="H39" s="68">
        <f t="shared" si="0"/>
        <v>0</v>
      </c>
      <c r="J39" s="114">
        <f>'Schedule 2D Adjustments'!P38</f>
        <v>0</v>
      </c>
      <c r="K39" s="68">
        <f>'Schedule 2D Adjustments'!R38</f>
        <v>0</v>
      </c>
      <c r="L39" s="68">
        <f t="shared" si="1"/>
        <v>0</v>
      </c>
      <c r="N39" s="117">
        <f>'Schedule 2D Adjustments'!X38</f>
        <v>0</v>
      </c>
      <c r="O39" s="117">
        <f>'Schedule 2D Adjustments'!AA38</f>
        <v>0</v>
      </c>
    </row>
    <row r="40" spans="1:15" x14ac:dyDescent="0.35">
      <c r="A40" s="24">
        <v>25</v>
      </c>
      <c r="B40" s="565" t="str">
        <f>'Schedule 2D Adjustments'!B39:D39</f>
        <v/>
      </c>
      <c r="C40" s="565"/>
      <c r="D40" s="565"/>
      <c r="F40" s="114">
        <f>'Schedule 2D Adjustments'!H39</f>
        <v>0</v>
      </c>
      <c r="G40" s="68">
        <f>'Schedule 2D Adjustments'!J39</f>
        <v>0</v>
      </c>
      <c r="H40" s="68">
        <f t="shared" si="0"/>
        <v>0</v>
      </c>
      <c r="J40" s="114">
        <f>'Schedule 2D Adjustments'!P39</f>
        <v>0</v>
      </c>
      <c r="K40" s="68">
        <f>'Schedule 2D Adjustments'!R39</f>
        <v>0</v>
      </c>
      <c r="L40" s="68">
        <f t="shared" si="1"/>
        <v>0</v>
      </c>
      <c r="N40" s="117">
        <f>'Schedule 2D Adjustments'!X39</f>
        <v>0</v>
      </c>
      <c r="O40" s="117">
        <f>'Schedule 2D Adjustments'!AA39</f>
        <v>0</v>
      </c>
    </row>
    <row r="41" spans="1:15" x14ac:dyDescent="0.35">
      <c r="A41" s="24">
        <v>26</v>
      </c>
      <c r="B41" s="565" t="str">
        <f>'Schedule 2D Adjustments'!B40:D40</f>
        <v/>
      </c>
      <c r="C41" s="565"/>
      <c r="D41" s="565"/>
      <c r="F41" s="114">
        <f>'Schedule 2D Adjustments'!H40</f>
        <v>0</v>
      </c>
      <c r="G41" s="68">
        <f>'Schedule 2D Adjustments'!J40</f>
        <v>0</v>
      </c>
      <c r="H41" s="68">
        <f t="shared" si="0"/>
        <v>0</v>
      </c>
      <c r="J41" s="114">
        <f>'Schedule 2D Adjustments'!P40</f>
        <v>0</v>
      </c>
      <c r="K41" s="68">
        <f>'Schedule 2D Adjustments'!R40</f>
        <v>0</v>
      </c>
      <c r="L41" s="68">
        <f t="shared" si="1"/>
        <v>0</v>
      </c>
      <c r="N41" s="117">
        <f>'Schedule 2D Adjustments'!X40</f>
        <v>0</v>
      </c>
      <c r="O41" s="117">
        <f>'Schedule 2D Adjustments'!AA40</f>
        <v>0</v>
      </c>
    </row>
    <row r="42" spans="1:15" x14ac:dyDescent="0.35">
      <c r="A42" s="24">
        <v>27</v>
      </c>
      <c r="B42" s="565" t="str">
        <f>'Schedule 2D Adjustments'!B41:D41</f>
        <v/>
      </c>
      <c r="C42" s="565"/>
      <c r="D42" s="565"/>
      <c r="F42" s="114">
        <f>'Schedule 2D Adjustments'!H41</f>
        <v>0</v>
      </c>
      <c r="G42" s="68">
        <f>'Schedule 2D Adjustments'!J41</f>
        <v>0</v>
      </c>
      <c r="H42" s="68">
        <f t="shared" si="0"/>
        <v>0</v>
      </c>
      <c r="J42" s="114">
        <f>'Schedule 2D Adjustments'!P41</f>
        <v>0</v>
      </c>
      <c r="K42" s="68">
        <f>'Schedule 2D Adjustments'!R41</f>
        <v>0</v>
      </c>
      <c r="L42" s="68">
        <f t="shared" si="1"/>
        <v>0</v>
      </c>
      <c r="N42" s="117">
        <f>'Schedule 2D Adjustments'!X41</f>
        <v>0</v>
      </c>
      <c r="O42" s="117">
        <f>'Schedule 2D Adjustments'!AA41</f>
        <v>0</v>
      </c>
    </row>
    <row r="43" spans="1:15" x14ac:dyDescent="0.35">
      <c r="A43" s="24">
        <v>28</v>
      </c>
      <c r="B43" s="565" t="str">
        <f>'Schedule 2D Adjustments'!B42:D42</f>
        <v/>
      </c>
      <c r="C43" s="565"/>
      <c r="D43" s="565"/>
      <c r="F43" s="114">
        <f>'Schedule 2D Adjustments'!H42</f>
        <v>0</v>
      </c>
      <c r="G43" s="68">
        <f>'Schedule 2D Adjustments'!J42</f>
        <v>0</v>
      </c>
      <c r="H43" s="68">
        <f t="shared" si="0"/>
        <v>0</v>
      </c>
      <c r="J43" s="114">
        <f>'Schedule 2D Adjustments'!P42</f>
        <v>0</v>
      </c>
      <c r="K43" s="68">
        <f>'Schedule 2D Adjustments'!R42</f>
        <v>0</v>
      </c>
      <c r="L43" s="68">
        <f t="shared" si="1"/>
        <v>0</v>
      </c>
      <c r="N43" s="117">
        <f>'Schedule 2D Adjustments'!X42</f>
        <v>0</v>
      </c>
      <c r="O43" s="117">
        <f>'Schedule 2D Adjustments'!AA42</f>
        <v>0</v>
      </c>
    </row>
    <row r="44" spans="1:15" x14ac:dyDescent="0.35">
      <c r="A44" s="24">
        <v>29</v>
      </c>
      <c r="B44" s="565" t="str">
        <f>'Schedule 2D Adjustments'!B43:D43</f>
        <v/>
      </c>
      <c r="C44" s="565"/>
      <c r="D44" s="565"/>
      <c r="F44" s="114">
        <f>'Schedule 2D Adjustments'!H43</f>
        <v>0</v>
      </c>
      <c r="G44" s="68">
        <f>'Schedule 2D Adjustments'!J43</f>
        <v>0</v>
      </c>
      <c r="H44" s="68">
        <f t="shared" si="0"/>
        <v>0</v>
      </c>
      <c r="J44" s="114">
        <f>'Schedule 2D Adjustments'!P43</f>
        <v>0</v>
      </c>
      <c r="K44" s="68">
        <f>'Schedule 2D Adjustments'!R43</f>
        <v>0</v>
      </c>
      <c r="L44" s="68">
        <f t="shared" si="1"/>
        <v>0</v>
      </c>
      <c r="N44" s="117">
        <f>'Schedule 2D Adjustments'!X43</f>
        <v>0</v>
      </c>
      <c r="O44" s="117">
        <f>'Schedule 2D Adjustments'!AA43</f>
        <v>0</v>
      </c>
    </row>
    <row r="45" spans="1:15" x14ac:dyDescent="0.35">
      <c r="A45" s="24">
        <v>30</v>
      </c>
      <c r="B45" s="565" t="str">
        <f>'Schedule 2D Adjustments'!B44:D44</f>
        <v/>
      </c>
      <c r="C45" s="565"/>
      <c r="D45" s="565"/>
      <c r="F45" s="114">
        <f>'Schedule 2D Adjustments'!H44</f>
        <v>0</v>
      </c>
      <c r="G45" s="68">
        <f>'Schedule 2D Adjustments'!J44</f>
        <v>0</v>
      </c>
      <c r="H45" s="68">
        <f t="shared" si="0"/>
        <v>0</v>
      </c>
      <c r="J45" s="114">
        <f>'Schedule 2D Adjustments'!P44</f>
        <v>0</v>
      </c>
      <c r="K45" s="68">
        <f>'Schedule 2D Adjustments'!R44</f>
        <v>0</v>
      </c>
      <c r="L45" s="68">
        <f t="shared" si="1"/>
        <v>0</v>
      </c>
      <c r="N45" s="117">
        <f>'Schedule 2D Adjustments'!X44</f>
        <v>0</v>
      </c>
      <c r="O45" s="117">
        <f>'Schedule 2D Adjustments'!AA44</f>
        <v>0</v>
      </c>
    </row>
    <row r="46" spans="1:15" x14ac:dyDescent="0.35">
      <c r="A46" s="24">
        <v>31</v>
      </c>
      <c r="B46" s="565" t="str">
        <f>'Schedule 2D Adjustments'!B45:D45</f>
        <v/>
      </c>
      <c r="C46" s="565"/>
      <c r="D46" s="565"/>
      <c r="F46" s="114">
        <f>'Schedule 2D Adjustments'!H45</f>
        <v>0</v>
      </c>
      <c r="G46" s="68">
        <f>'Schedule 2D Adjustments'!J45</f>
        <v>0</v>
      </c>
      <c r="H46" s="68">
        <f t="shared" si="0"/>
        <v>0</v>
      </c>
      <c r="J46" s="114">
        <f>'Schedule 2D Adjustments'!P45</f>
        <v>0</v>
      </c>
      <c r="K46" s="68">
        <f>'Schedule 2D Adjustments'!R45</f>
        <v>0</v>
      </c>
      <c r="L46" s="68">
        <f t="shared" si="1"/>
        <v>0</v>
      </c>
      <c r="N46" s="117">
        <f>'Schedule 2D Adjustments'!X45</f>
        <v>0</v>
      </c>
      <c r="O46" s="117">
        <f>'Schedule 2D Adjustments'!AA45</f>
        <v>0</v>
      </c>
    </row>
    <row r="47" spans="1:15" x14ac:dyDescent="0.35">
      <c r="A47" s="24">
        <v>32</v>
      </c>
      <c r="B47" s="565" t="str">
        <f>'Schedule 2D Adjustments'!B46:D46</f>
        <v/>
      </c>
      <c r="C47" s="565"/>
      <c r="D47" s="565"/>
      <c r="F47" s="114">
        <f>'Schedule 2D Adjustments'!H46</f>
        <v>0</v>
      </c>
      <c r="G47" s="68">
        <f>'Schedule 2D Adjustments'!J46</f>
        <v>0</v>
      </c>
      <c r="H47" s="68">
        <f t="shared" si="0"/>
        <v>0</v>
      </c>
      <c r="J47" s="114">
        <f>'Schedule 2D Adjustments'!P46</f>
        <v>0</v>
      </c>
      <c r="K47" s="68">
        <f>'Schedule 2D Adjustments'!R46</f>
        <v>0</v>
      </c>
      <c r="L47" s="68">
        <f t="shared" si="1"/>
        <v>0</v>
      </c>
      <c r="N47" s="117">
        <f>'Schedule 2D Adjustments'!X46</f>
        <v>0</v>
      </c>
      <c r="O47" s="117">
        <f>'Schedule 2D Adjustments'!AA46</f>
        <v>0</v>
      </c>
    </row>
    <row r="48" spans="1:15" x14ac:dyDescent="0.35">
      <c r="A48" s="24">
        <v>33</v>
      </c>
      <c r="B48" s="565" t="str">
        <f>'Schedule 2D Adjustments'!B47:D47</f>
        <v/>
      </c>
      <c r="C48" s="565"/>
      <c r="D48" s="565"/>
      <c r="F48" s="114">
        <f>'Schedule 2D Adjustments'!H47</f>
        <v>0</v>
      </c>
      <c r="G48" s="68">
        <f>'Schedule 2D Adjustments'!J47</f>
        <v>0</v>
      </c>
      <c r="H48" s="68">
        <f t="shared" si="0"/>
        <v>0</v>
      </c>
      <c r="J48" s="114">
        <f>'Schedule 2D Adjustments'!P47</f>
        <v>0</v>
      </c>
      <c r="K48" s="68">
        <f>'Schedule 2D Adjustments'!R47</f>
        <v>0</v>
      </c>
      <c r="L48" s="68">
        <f t="shared" si="1"/>
        <v>0</v>
      </c>
      <c r="N48" s="117">
        <f>'Schedule 2D Adjustments'!X47</f>
        <v>0</v>
      </c>
      <c r="O48" s="117">
        <f>'Schedule 2D Adjustments'!AA47</f>
        <v>0</v>
      </c>
    </row>
    <row r="49" spans="1:15" x14ac:dyDescent="0.35">
      <c r="A49" s="24">
        <v>34</v>
      </c>
      <c r="B49" s="565" t="str">
        <f>'Schedule 2D Adjustments'!B48:D48</f>
        <v/>
      </c>
      <c r="C49" s="565"/>
      <c r="D49" s="565"/>
      <c r="F49" s="114">
        <f>'Schedule 2D Adjustments'!H48</f>
        <v>0</v>
      </c>
      <c r="G49" s="68">
        <f>'Schedule 2D Adjustments'!J48</f>
        <v>0</v>
      </c>
      <c r="H49" s="68">
        <f t="shared" si="0"/>
        <v>0</v>
      </c>
      <c r="J49" s="114">
        <f>'Schedule 2D Adjustments'!P48</f>
        <v>0</v>
      </c>
      <c r="K49" s="68">
        <f>'Schedule 2D Adjustments'!R48</f>
        <v>0</v>
      </c>
      <c r="L49" s="68">
        <f t="shared" si="1"/>
        <v>0</v>
      </c>
      <c r="N49" s="117">
        <f>'Schedule 2D Adjustments'!X48</f>
        <v>0</v>
      </c>
      <c r="O49" s="117">
        <f>'Schedule 2D Adjustments'!AA48</f>
        <v>0</v>
      </c>
    </row>
    <row r="50" spans="1:15" x14ac:dyDescent="0.35">
      <c r="A50" s="24">
        <v>35</v>
      </c>
      <c r="B50" s="565" t="str">
        <f>'Schedule 2D Adjustments'!B49:D49</f>
        <v/>
      </c>
      <c r="C50" s="565"/>
      <c r="D50" s="565"/>
      <c r="F50" s="114">
        <f>'Schedule 2D Adjustments'!H49</f>
        <v>0</v>
      </c>
      <c r="G50" s="68">
        <f>'Schedule 2D Adjustments'!J49</f>
        <v>0</v>
      </c>
      <c r="H50" s="68">
        <f t="shared" si="0"/>
        <v>0</v>
      </c>
      <c r="J50" s="114">
        <f>'Schedule 2D Adjustments'!P49</f>
        <v>0</v>
      </c>
      <c r="K50" s="68">
        <f>'Schedule 2D Adjustments'!R49</f>
        <v>0</v>
      </c>
      <c r="L50" s="68">
        <f t="shared" si="1"/>
        <v>0</v>
      </c>
      <c r="N50" s="117">
        <f>'Schedule 2D Adjustments'!X49</f>
        <v>0</v>
      </c>
      <c r="O50" s="117">
        <f>'Schedule 2D Adjustments'!AA49</f>
        <v>0</v>
      </c>
    </row>
    <row r="51" spans="1:15" x14ac:dyDescent="0.35">
      <c r="A51" s="24">
        <v>36</v>
      </c>
      <c r="B51" s="565" t="str">
        <f>'Schedule 2D Adjustments'!B50:D50</f>
        <v/>
      </c>
      <c r="C51" s="565"/>
      <c r="D51" s="565"/>
      <c r="F51" s="114">
        <f>'Schedule 2D Adjustments'!H50</f>
        <v>0</v>
      </c>
      <c r="G51" s="68">
        <f>'Schedule 2D Adjustments'!J50</f>
        <v>0</v>
      </c>
      <c r="H51" s="68">
        <f t="shared" si="0"/>
        <v>0</v>
      </c>
      <c r="J51" s="114">
        <f>'Schedule 2D Adjustments'!P50</f>
        <v>0</v>
      </c>
      <c r="K51" s="68">
        <f>'Schedule 2D Adjustments'!R50</f>
        <v>0</v>
      </c>
      <c r="L51" s="68">
        <f t="shared" si="1"/>
        <v>0</v>
      </c>
      <c r="N51" s="117">
        <f>'Schedule 2D Adjustments'!X50</f>
        <v>0</v>
      </c>
      <c r="O51" s="117">
        <f>'Schedule 2D Adjustments'!AA50</f>
        <v>0</v>
      </c>
    </row>
    <row r="52" spans="1:15" x14ac:dyDescent="0.35">
      <c r="A52" s="24">
        <v>37</v>
      </c>
      <c r="B52" s="565" t="str">
        <f>'Schedule 2D Adjustments'!B51:D51</f>
        <v/>
      </c>
      <c r="C52" s="565"/>
      <c r="D52" s="565"/>
      <c r="F52" s="114">
        <f>'Schedule 2D Adjustments'!H51</f>
        <v>0</v>
      </c>
      <c r="G52" s="68">
        <f>'Schedule 2D Adjustments'!J51</f>
        <v>0</v>
      </c>
      <c r="H52" s="68">
        <f t="shared" si="0"/>
        <v>0</v>
      </c>
      <c r="J52" s="114">
        <f>'Schedule 2D Adjustments'!P51</f>
        <v>0</v>
      </c>
      <c r="K52" s="68">
        <f>'Schedule 2D Adjustments'!R51</f>
        <v>0</v>
      </c>
      <c r="L52" s="68">
        <f t="shared" si="1"/>
        <v>0</v>
      </c>
      <c r="N52" s="117">
        <f>'Schedule 2D Adjustments'!X51</f>
        <v>0</v>
      </c>
      <c r="O52" s="117">
        <f>'Schedule 2D Adjustments'!AA51</f>
        <v>0</v>
      </c>
    </row>
    <row r="53" spans="1:15" x14ac:dyDescent="0.35">
      <c r="A53" s="24">
        <v>38</v>
      </c>
      <c r="B53" s="565" t="str">
        <f>'Schedule 2D Adjustments'!B52:D52</f>
        <v/>
      </c>
      <c r="C53" s="565"/>
      <c r="D53" s="565"/>
      <c r="F53" s="114">
        <f>'Schedule 2D Adjustments'!H52</f>
        <v>0</v>
      </c>
      <c r="G53" s="68">
        <f>'Schedule 2D Adjustments'!J52</f>
        <v>0</v>
      </c>
      <c r="H53" s="68">
        <f t="shared" si="0"/>
        <v>0</v>
      </c>
      <c r="J53" s="114">
        <f>'Schedule 2D Adjustments'!P52</f>
        <v>0</v>
      </c>
      <c r="K53" s="68">
        <f>'Schedule 2D Adjustments'!R52</f>
        <v>0</v>
      </c>
      <c r="L53" s="68">
        <f t="shared" si="1"/>
        <v>0</v>
      </c>
      <c r="N53" s="117">
        <f>'Schedule 2D Adjustments'!X52</f>
        <v>0</v>
      </c>
      <c r="O53" s="117">
        <f>'Schedule 2D Adjustments'!AA52</f>
        <v>0</v>
      </c>
    </row>
    <row r="54" spans="1:15" x14ac:dyDescent="0.35">
      <c r="A54" s="24">
        <v>39</v>
      </c>
      <c r="B54" s="565" t="str">
        <f>'Schedule 2D Adjustments'!B53:D53</f>
        <v/>
      </c>
      <c r="C54" s="565"/>
      <c r="D54" s="565"/>
      <c r="F54" s="114">
        <f>'Schedule 2D Adjustments'!H53</f>
        <v>0</v>
      </c>
      <c r="G54" s="68">
        <f>'Schedule 2D Adjustments'!J53</f>
        <v>0</v>
      </c>
      <c r="H54" s="68">
        <f t="shared" si="0"/>
        <v>0</v>
      </c>
      <c r="J54" s="114">
        <f>'Schedule 2D Adjustments'!P53</f>
        <v>0</v>
      </c>
      <c r="K54" s="68">
        <f>'Schedule 2D Adjustments'!R53</f>
        <v>0</v>
      </c>
      <c r="L54" s="68">
        <f t="shared" si="1"/>
        <v>0</v>
      </c>
      <c r="N54" s="117">
        <f>'Schedule 2D Adjustments'!X53</f>
        <v>0</v>
      </c>
      <c r="O54" s="117">
        <f>'Schedule 2D Adjustments'!AA53</f>
        <v>0</v>
      </c>
    </row>
    <row r="55" spans="1:15" x14ac:dyDescent="0.35">
      <c r="A55" s="24">
        <v>40</v>
      </c>
      <c r="B55" s="565" t="str">
        <f>'Schedule 2D Adjustments'!B54:D54</f>
        <v/>
      </c>
      <c r="C55" s="565"/>
      <c r="D55" s="565"/>
      <c r="F55" s="114">
        <f>'Schedule 2D Adjustments'!H54</f>
        <v>0</v>
      </c>
      <c r="G55" s="68">
        <f>'Schedule 2D Adjustments'!J54</f>
        <v>0</v>
      </c>
      <c r="H55" s="68">
        <f t="shared" si="0"/>
        <v>0</v>
      </c>
      <c r="J55" s="114">
        <f>'Schedule 2D Adjustments'!P54</f>
        <v>0</v>
      </c>
      <c r="K55" s="68">
        <f>'Schedule 2D Adjustments'!R54</f>
        <v>0</v>
      </c>
      <c r="L55" s="68">
        <f t="shared" si="1"/>
        <v>0</v>
      </c>
      <c r="N55" s="117">
        <f>'Schedule 2D Adjustments'!X54</f>
        <v>0</v>
      </c>
      <c r="O55" s="117">
        <f>'Schedule 2D Adjustments'!AA54</f>
        <v>0</v>
      </c>
    </row>
    <row r="56" spans="1:15" x14ac:dyDescent="0.35">
      <c r="A56" s="24">
        <v>41</v>
      </c>
      <c r="B56" s="565" t="str">
        <f>'Schedule 2D Adjustments'!B55:D55</f>
        <v/>
      </c>
      <c r="C56" s="565"/>
      <c r="D56" s="565"/>
      <c r="F56" s="114">
        <f>'Schedule 2D Adjustments'!H55</f>
        <v>0</v>
      </c>
      <c r="G56" s="68">
        <f>'Schedule 2D Adjustments'!J55</f>
        <v>0</v>
      </c>
      <c r="H56" s="68">
        <f t="shared" si="0"/>
        <v>0</v>
      </c>
      <c r="J56" s="114">
        <f>'Schedule 2D Adjustments'!P55</f>
        <v>0</v>
      </c>
      <c r="K56" s="68">
        <f>'Schedule 2D Adjustments'!R55</f>
        <v>0</v>
      </c>
      <c r="L56" s="68">
        <f t="shared" si="1"/>
        <v>0</v>
      </c>
      <c r="N56" s="117">
        <f>'Schedule 2D Adjustments'!X55</f>
        <v>0</v>
      </c>
      <c r="O56" s="117">
        <f>'Schedule 2D Adjustments'!AA55</f>
        <v>0</v>
      </c>
    </row>
    <row r="57" spans="1:15" x14ac:dyDescent="0.35">
      <c r="A57" s="24">
        <v>42</v>
      </c>
      <c r="B57" s="565" t="str">
        <f>'Schedule 2D Adjustments'!B56:D56</f>
        <v/>
      </c>
      <c r="C57" s="565"/>
      <c r="D57" s="565"/>
      <c r="F57" s="114">
        <f>'Schedule 2D Adjustments'!H56</f>
        <v>0</v>
      </c>
      <c r="G57" s="68">
        <f>'Schedule 2D Adjustments'!J56</f>
        <v>0</v>
      </c>
      <c r="H57" s="68">
        <f t="shared" si="0"/>
        <v>0</v>
      </c>
      <c r="J57" s="114">
        <f>'Schedule 2D Adjustments'!P56</f>
        <v>0</v>
      </c>
      <c r="K57" s="68">
        <f>'Schedule 2D Adjustments'!R56</f>
        <v>0</v>
      </c>
      <c r="L57" s="68">
        <f t="shared" si="1"/>
        <v>0</v>
      </c>
      <c r="N57" s="117">
        <f>'Schedule 2D Adjustments'!X56</f>
        <v>0</v>
      </c>
      <c r="O57" s="117">
        <f>'Schedule 2D Adjustments'!AA56</f>
        <v>0</v>
      </c>
    </row>
    <row r="58" spans="1:15" x14ac:dyDescent="0.35">
      <c r="A58" s="24">
        <v>43</v>
      </c>
      <c r="B58" s="565" t="str">
        <f>'Schedule 2D Adjustments'!B57:D57</f>
        <v/>
      </c>
      <c r="C58" s="565"/>
      <c r="D58" s="565"/>
      <c r="F58" s="114">
        <f>'Schedule 2D Adjustments'!H57</f>
        <v>0</v>
      </c>
      <c r="G58" s="68">
        <f>'Schedule 2D Adjustments'!J57</f>
        <v>0</v>
      </c>
      <c r="H58" s="68">
        <f t="shared" si="0"/>
        <v>0</v>
      </c>
      <c r="J58" s="114">
        <f>'Schedule 2D Adjustments'!P57</f>
        <v>0</v>
      </c>
      <c r="K58" s="68">
        <f>'Schedule 2D Adjustments'!R57</f>
        <v>0</v>
      </c>
      <c r="L58" s="68">
        <f t="shared" si="1"/>
        <v>0</v>
      </c>
      <c r="N58" s="117">
        <f>'Schedule 2D Adjustments'!X57</f>
        <v>0</v>
      </c>
      <c r="O58" s="117">
        <f>'Schedule 2D Adjustments'!AA57</f>
        <v>0</v>
      </c>
    </row>
    <row r="59" spans="1:15" x14ac:dyDescent="0.35">
      <c r="A59" s="24">
        <v>44</v>
      </c>
      <c r="B59" s="565" t="str">
        <f>'Schedule 2D Adjustments'!B58:D58</f>
        <v/>
      </c>
      <c r="C59" s="565"/>
      <c r="D59" s="565"/>
      <c r="F59" s="114">
        <f>'Schedule 2D Adjustments'!H58</f>
        <v>0</v>
      </c>
      <c r="G59" s="68">
        <f>'Schedule 2D Adjustments'!J58</f>
        <v>0</v>
      </c>
      <c r="H59" s="68">
        <f t="shared" si="0"/>
        <v>0</v>
      </c>
      <c r="J59" s="114">
        <f>'Schedule 2D Adjustments'!P58</f>
        <v>0</v>
      </c>
      <c r="K59" s="68">
        <f>'Schedule 2D Adjustments'!R58</f>
        <v>0</v>
      </c>
      <c r="L59" s="68">
        <f t="shared" si="1"/>
        <v>0</v>
      </c>
      <c r="N59" s="117">
        <f>'Schedule 2D Adjustments'!X58</f>
        <v>0</v>
      </c>
      <c r="O59" s="117">
        <f>'Schedule 2D Adjustments'!AA58</f>
        <v>0</v>
      </c>
    </row>
    <row r="60" spans="1:15" x14ac:dyDescent="0.35">
      <c r="A60" s="24">
        <v>45</v>
      </c>
      <c r="B60" s="565" t="str">
        <f>'Schedule 2D Adjustments'!B59:D59</f>
        <v/>
      </c>
      <c r="C60" s="565"/>
      <c r="D60" s="565"/>
      <c r="F60" s="114">
        <f>'Schedule 2D Adjustments'!H59</f>
        <v>0</v>
      </c>
      <c r="G60" s="68">
        <f>'Schedule 2D Adjustments'!J59</f>
        <v>0</v>
      </c>
      <c r="H60" s="68">
        <f t="shared" si="0"/>
        <v>0</v>
      </c>
      <c r="J60" s="114">
        <f>'Schedule 2D Adjustments'!P59</f>
        <v>0</v>
      </c>
      <c r="K60" s="68">
        <f>'Schedule 2D Adjustments'!R59</f>
        <v>0</v>
      </c>
      <c r="L60" s="68">
        <f t="shared" si="1"/>
        <v>0</v>
      </c>
      <c r="N60" s="117">
        <f>'Schedule 2D Adjustments'!X59</f>
        <v>0</v>
      </c>
      <c r="O60" s="117">
        <f>'Schedule 2D Adjustments'!AA59</f>
        <v>0</v>
      </c>
    </row>
    <row r="61" spans="1:15" x14ac:dyDescent="0.35">
      <c r="A61" s="24">
        <v>46</v>
      </c>
      <c r="B61" s="565" t="str">
        <f>'Schedule 2D Adjustments'!B60:D60</f>
        <v/>
      </c>
      <c r="C61" s="565"/>
      <c r="D61" s="565"/>
      <c r="F61" s="114">
        <f>'Schedule 2D Adjustments'!H60</f>
        <v>0</v>
      </c>
      <c r="G61" s="68">
        <f>'Schedule 2D Adjustments'!J60</f>
        <v>0</v>
      </c>
      <c r="H61" s="68">
        <f t="shared" si="0"/>
        <v>0</v>
      </c>
      <c r="J61" s="114">
        <f>'Schedule 2D Adjustments'!P60</f>
        <v>0</v>
      </c>
      <c r="K61" s="68">
        <f>'Schedule 2D Adjustments'!R60</f>
        <v>0</v>
      </c>
      <c r="L61" s="68">
        <f t="shared" si="1"/>
        <v>0</v>
      </c>
      <c r="N61" s="117">
        <f>'Schedule 2D Adjustments'!X60</f>
        <v>0</v>
      </c>
      <c r="O61" s="117">
        <f>'Schedule 2D Adjustments'!AA60</f>
        <v>0</v>
      </c>
    </row>
    <row r="62" spans="1:15" x14ac:dyDescent="0.35">
      <c r="A62" s="24">
        <v>47</v>
      </c>
      <c r="B62" s="565" t="str">
        <f>'Schedule 2D Adjustments'!B61:D61</f>
        <v/>
      </c>
      <c r="C62" s="565"/>
      <c r="D62" s="565"/>
      <c r="F62" s="114">
        <f>'Schedule 2D Adjustments'!H61</f>
        <v>0</v>
      </c>
      <c r="G62" s="68">
        <f>'Schedule 2D Adjustments'!J61</f>
        <v>0</v>
      </c>
      <c r="H62" s="68">
        <f t="shared" si="0"/>
        <v>0</v>
      </c>
      <c r="J62" s="114">
        <f>'Schedule 2D Adjustments'!P61</f>
        <v>0</v>
      </c>
      <c r="K62" s="68">
        <f>'Schedule 2D Adjustments'!R61</f>
        <v>0</v>
      </c>
      <c r="L62" s="68">
        <f t="shared" si="1"/>
        <v>0</v>
      </c>
      <c r="N62" s="117">
        <f>'Schedule 2D Adjustments'!X61</f>
        <v>0</v>
      </c>
      <c r="O62" s="117">
        <f>'Schedule 2D Adjustments'!AA61</f>
        <v>0</v>
      </c>
    </row>
    <row r="63" spans="1:15" x14ac:dyDescent="0.35">
      <c r="A63" s="24">
        <v>48</v>
      </c>
      <c r="B63" s="565" t="str">
        <f>'Schedule 2D Adjustments'!B62:D62</f>
        <v/>
      </c>
      <c r="C63" s="565"/>
      <c r="D63" s="565"/>
      <c r="F63" s="114">
        <f>'Schedule 2D Adjustments'!H62</f>
        <v>0</v>
      </c>
      <c r="G63" s="68">
        <f>'Schedule 2D Adjustments'!J62</f>
        <v>0</v>
      </c>
      <c r="H63" s="68">
        <f t="shared" si="0"/>
        <v>0</v>
      </c>
      <c r="J63" s="114">
        <f>'Schedule 2D Adjustments'!P62</f>
        <v>0</v>
      </c>
      <c r="K63" s="68">
        <f>'Schedule 2D Adjustments'!R62</f>
        <v>0</v>
      </c>
      <c r="L63" s="68">
        <f t="shared" si="1"/>
        <v>0</v>
      </c>
      <c r="N63" s="117">
        <f>'Schedule 2D Adjustments'!X62</f>
        <v>0</v>
      </c>
      <c r="O63" s="117">
        <f>'Schedule 2D Adjustments'!AA62</f>
        <v>0</v>
      </c>
    </row>
    <row r="64" spans="1:15" x14ac:dyDescent="0.35">
      <c r="A64" s="24">
        <v>49</v>
      </c>
      <c r="B64" s="565" t="str">
        <f>'Schedule 2D Adjustments'!B63:D63</f>
        <v/>
      </c>
      <c r="C64" s="565"/>
      <c r="D64" s="565"/>
      <c r="F64" s="114">
        <f>'Schedule 2D Adjustments'!H63</f>
        <v>0</v>
      </c>
      <c r="G64" s="68">
        <f>'Schedule 2D Adjustments'!J63</f>
        <v>0</v>
      </c>
      <c r="H64" s="68">
        <f t="shared" si="0"/>
        <v>0</v>
      </c>
      <c r="J64" s="114">
        <f>'Schedule 2D Adjustments'!P63</f>
        <v>0</v>
      </c>
      <c r="K64" s="68">
        <f>'Schedule 2D Adjustments'!R63</f>
        <v>0</v>
      </c>
      <c r="L64" s="68">
        <f t="shared" si="1"/>
        <v>0</v>
      </c>
      <c r="N64" s="117">
        <f>'Schedule 2D Adjustments'!X63</f>
        <v>0</v>
      </c>
      <c r="O64" s="117">
        <f>'Schedule 2D Adjustments'!AA63</f>
        <v>0</v>
      </c>
    </row>
    <row r="65" spans="1:15" x14ac:dyDescent="0.35">
      <c r="A65" s="24">
        <v>50</v>
      </c>
      <c r="B65" s="565" t="str">
        <f>'Schedule 2D Adjustments'!B64:D64</f>
        <v/>
      </c>
      <c r="C65" s="565"/>
      <c r="D65" s="565"/>
      <c r="F65" s="114">
        <f>'Schedule 2D Adjustments'!H64</f>
        <v>0</v>
      </c>
      <c r="G65" s="68">
        <f>'Schedule 2D Adjustments'!J64</f>
        <v>0</v>
      </c>
      <c r="H65" s="68">
        <f t="shared" si="0"/>
        <v>0</v>
      </c>
      <c r="J65" s="114">
        <f>'Schedule 2D Adjustments'!P64</f>
        <v>0</v>
      </c>
      <c r="K65" s="68">
        <f>'Schedule 2D Adjustments'!R64</f>
        <v>0</v>
      </c>
      <c r="L65" s="68">
        <f t="shared" si="1"/>
        <v>0</v>
      </c>
      <c r="N65" s="117">
        <f>'Schedule 2D Adjustments'!X64</f>
        <v>0</v>
      </c>
      <c r="O65" s="117">
        <f>'Schedule 2D Adjustments'!AA64</f>
        <v>0</v>
      </c>
    </row>
    <row r="66" spans="1:15" x14ac:dyDescent="0.35">
      <c r="A66" s="24">
        <v>51</v>
      </c>
      <c r="B66" s="565" t="str">
        <f>'Schedule 2D Adjustments'!B65:D65</f>
        <v/>
      </c>
      <c r="C66" s="565"/>
      <c r="D66" s="565"/>
      <c r="F66" s="114">
        <f>'Schedule 2D Adjustments'!H65</f>
        <v>0</v>
      </c>
      <c r="G66" s="68">
        <f>'Schedule 2D Adjustments'!J65</f>
        <v>0</v>
      </c>
      <c r="H66" s="68">
        <f t="shared" si="0"/>
        <v>0</v>
      </c>
      <c r="J66" s="114">
        <f>'Schedule 2D Adjustments'!P65</f>
        <v>0</v>
      </c>
      <c r="K66" s="68">
        <f>'Schedule 2D Adjustments'!R65</f>
        <v>0</v>
      </c>
      <c r="L66" s="68">
        <f t="shared" si="1"/>
        <v>0</v>
      </c>
      <c r="N66" s="117">
        <f>'Schedule 2D Adjustments'!X65</f>
        <v>0</v>
      </c>
      <c r="O66" s="117">
        <f>'Schedule 2D Adjustments'!AA65</f>
        <v>0</v>
      </c>
    </row>
    <row r="67" spans="1:15" x14ac:dyDescent="0.35">
      <c r="A67" s="24">
        <v>52</v>
      </c>
      <c r="B67" s="565" t="str">
        <f>'Schedule 2D Adjustments'!B66:D66</f>
        <v/>
      </c>
      <c r="C67" s="565"/>
      <c r="D67" s="565"/>
      <c r="F67" s="114">
        <f>'Schedule 2D Adjustments'!H66</f>
        <v>0</v>
      </c>
      <c r="G67" s="68">
        <f>'Schedule 2D Adjustments'!J66</f>
        <v>0</v>
      </c>
      <c r="H67" s="68">
        <f t="shared" si="0"/>
        <v>0</v>
      </c>
      <c r="J67" s="114">
        <f>'Schedule 2D Adjustments'!P66</f>
        <v>0</v>
      </c>
      <c r="K67" s="68">
        <f>'Schedule 2D Adjustments'!R66</f>
        <v>0</v>
      </c>
      <c r="L67" s="68">
        <f t="shared" si="1"/>
        <v>0</v>
      </c>
      <c r="N67" s="117">
        <f>'Schedule 2D Adjustments'!X66</f>
        <v>0</v>
      </c>
      <c r="O67" s="117">
        <f>'Schedule 2D Adjustments'!AA66</f>
        <v>0</v>
      </c>
    </row>
    <row r="68" spans="1:15" x14ac:dyDescent="0.35">
      <c r="A68" s="24">
        <v>53</v>
      </c>
      <c r="B68" s="565" t="str">
        <f>'Schedule 2D Adjustments'!B67:D67</f>
        <v/>
      </c>
      <c r="C68" s="565"/>
      <c r="D68" s="565"/>
      <c r="F68" s="114">
        <f>'Schedule 2D Adjustments'!H67</f>
        <v>0</v>
      </c>
      <c r="G68" s="68">
        <f>'Schedule 2D Adjustments'!J67</f>
        <v>0</v>
      </c>
      <c r="H68" s="68">
        <f t="shared" si="0"/>
        <v>0</v>
      </c>
      <c r="J68" s="114">
        <f>'Schedule 2D Adjustments'!P67</f>
        <v>0</v>
      </c>
      <c r="K68" s="68">
        <f>'Schedule 2D Adjustments'!R67</f>
        <v>0</v>
      </c>
      <c r="L68" s="68">
        <f t="shared" si="1"/>
        <v>0</v>
      </c>
      <c r="N68" s="117">
        <f>'Schedule 2D Adjustments'!X67</f>
        <v>0</v>
      </c>
      <c r="O68" s="117">
        <f>'Schedule 2D Adjustments'!AA67</f>
        <v>0</v>
      </c>
    </row>
    <row r="69" spans="1:15" x14ac:dyDescent="0.35">
      <c r="A69" s="24">
        <v>54</v>
      </c>
      <c r="B69" s="565" t="str">
        <f>'Schedule 2D Adjustments'!B68:D68</f>
        <v/>
      </c>
      <c r="C69" s="565"/>
      <c r="D69" s="565"/>
      <c r="F69" s="114">
        <f>'Schedule 2D Adjustments'!H68</f>
        <v>0</v>
      </c>
      <c r="G69" s="68">
        <f>'Schedule 2D Adjustments'!J68</f>
        <v>0</v>
      </c>
      <c r="H69" s="68">
        <f t="shared" si="0"/>
        <v>0</v>
      </c>
      <c r="J69" s="114">
        <f>'Schedule 2D Adjustments'!P68</f>
        <v>0</v>
      </c>
      <c r="K69" s="68">
        <f>'Schedule 2D Adjustments'!R68</f>
        <v>0</v>
      </c>
      <c r="L69" s="68">
        <f t="shared" si="1"/>
        <v>0</v>
      </c>
      <c r="N69" s="117">
        <f>'Schedule 2D Adjustments'!X68</f>
        <v>0</v>
      </c>
      <c r="O69" s="117">
        <f>'Schedule 2D Adjustments'!AA68</f>
        <v>0</v>
      </c>
    </row>
    <row r="70" spans="1:15" x14ac:dyDescent="0.35">
      <c r="A70" s="24">
        <v>55</v>
      </c>
      <c r="B70" s="565" t="str">
        <f>'Schedule 2D Adjustments'!B69:D69</f>
        <v/>
      </c>
      <c r="C70" s="565"/>
      <c r="D70" s="565"/>
      <c r="F70" s="114">
        <f>'Schedule 2D Adjustments'!H69</f>
        <v>0</v>
      </c>
      <c r="G70" s="68">
        <f>'Schedule 2D Adjustments'!J69</f>
        <v>0</v>
      </c>
      <c r="H70" s="68">
        <f t="shared" si="0"/>
        <v>0</v>
      </c>
      <c r="J70" s="114">
        <f>'Schedule 2D Adjustments'!P69</f>
        <v>0</v>
      </c>
      <c r="K70" s="68">
        <f>'Schedule 2D Adjustments'!R69</f>
        <v>0</v>
      </c>
      <c r="L70" s="68">
        <f t="shared" si="1"/>
        <v>0</v>
      </c>
      <c r="N70" s="117">
        <f>'Schedule 2D Adjustments'!X69</f>
        <v>0</v>
      </c>
      <c r="O70" s="117">
        <f>'Schedule 2D Adjustments'!AA69</f>
        <v>0</v>
      </c>
    </row>
    <row r="71" spans="1:15" x14ac:dyDescent="0.35">
      <c r="A71" s="24">
        <v>56</v>
      </c>
      <c r="B71" s="565" t="str">
        <f>'Schedule 2D Adjustments'!B70:D70</f>
        <v/>
      </c>
      <c r="C71" s="565"/>
      <c r="D71" s="565"/>
      <c r="F71" s="114">
        <f>'Schedule 2D Adjustments'!H70</f>
        <v>0</v>
      </c>
      <c r="G71" s="68">
        <f>'Schedule 2D Adjustments'!J70</f>
        <v>0</v>
      </c>
      <c r="H71" s="68">
        <f t="shared" si="0"/>
        <v>0</v>
      </c>
      <c r="J71" s="114">
        <f>'Schedule 2D Adjustments'!P70</f>
        <v>0</v>
      </c>
      <c r="K71" s="68">
        <f>'Schedule 2D Adjustments'!R70</f>
        <v>0</v>
      </c>
      <c r="L71" s="68">
        <f t="shared" si="1"/>
        <v>0</v>
      </c>
      <c r="N71" s="117">
        <f>'Schedule 2D Adjustments'!X70</f>
        <v>0</v>
      </c>
      <c r="O71" s="117">
        <f>'Schedule 2D Adjustments'!AA70</f>
        <v>0</v>
      </c>
    </row>
    <row r="72" spans="1:15" x14ac:dyDescent="0.35">
      <c r="A72" s="24">
        <v>57</v>
      </c>
      <c r="B72" s="565" t="str">
        <f>'Schedule 2D Adjustments'!B71:D71</f>
        <v/>
      </c>
      <c r="C72" s="565"/>
      <c r="D72" s="565"/>
      <c r="F72" s="114">
        <f>'Schedule 2D Adjustments'!H71</f>
        <v>0</v>
      </c>
      <c r="G72" s="68">
        <f>'Schedule 2D Adjustments'!J71</f>
        <v>0</v>
      </c>
      <c r="H72" s="68">
        <f t="shared" si="0"/>
        <v>0</v>
      </c>
      <c r="J72" s="114">
        <f>'Schedule 2D Adjustments'!P71</f>
        <v>0</v>
      </c>
      <c r="K72" s="68">
        <f>'Schedule 2D Adjustments'!R71</f>
        <v>0</v>
      </c>
      <c r="L72" s="68">
        <f t="shared" si="1"/>
        <v>0</v>
      </c>
      <c r="N72" s="117">
        <f>'Schedule 2D Adjustments'!X71</f>
        <v>0</v>
      </c>
      <c r="O72" s="117">
        <f>'Schedule 2D Adjustments'!AA71</f>
        <v>0</v>
      </c>
    </row>
    <row r="73" spans="1:15" x14ac:dyDescent="0.35">
      <c r="A73" s="24">
        <v>58</v>
      </c>
      <c r="B73" s="565" t="str">
        <f>'Schedule 2D Adjustments'!B72:D72</f>
        <v/>
      </c>
      <c r="C73" s="565"/>
      <c r="D73" s="565"/>
      <c r="F73" s="114">
        <f>'Schedule 2D Adjustments'!H72</f>
        <v>0</v>
      </c>
      <c r="G73" s="68">
        <f>'Schedule 2D Adjustments'!J72</f>
        <v>0</v>
      </c>
      <c r="H73" s="68">
        <f t="shared" si="0"/>
        <v>0</v>
      </c>
      <c r="J73" s="114">
        <f>'Schedule 2D Adjustments'!P72</f>
        <v>0</v>
      </c>
      <c r="K73" s="68">
        <f>'Schedule 2D Adjustments'!R72</f>
        <v>0</v>
      </c>
      <c r="L73" s="68">
        <f t="shared" si="1"/>
        <v>0</v>
      </c>
      <c r="N73" s="117">
        <f>'Schedule 2D Adjustments'!X72</f>
        <v>0</v>
      </c>
      <c r="O73" s="117">
        <f>'Schedule 2D Adjustments'!AA72</f>
        <v>0</v>
      </c>
    </row>
    <row r="74" spans="1:15" x14ac:dyDescent="0.35">
      <c r="A74" s="24">
        <v>59</v>
      </c>
      <c r="F74" s="18">
        <f>SUM(F16:F73)</f>
        <v>22447702.34899725</v>
      </c>
      <c r="G74" s="18">
        <f t="shared" ref="G74:H74" si="2">SUM(G16:G73)</f>
        <v>5834208.6129029831</v>
      </c>
      <c r="H74" s="18">
        <f t="shared" si="2"/>
        <v>28281910.961900238</v>
      </c>
      <c r="J74" s="18">
        <f>SUM(J16:J73)</f>
        <v>2155413.3185681859</v>
      </c>
      <c r="K74" s="18">
        <f t="shared" ref="K74:L74" si="3">SUM(K16:K73)</f>
        <v>560196.79662751954</v>
      </c>
      <c r="L74" s="18">
        <f t="shared" si="3"/>
        <v>2715610.1151957056</v>
      </c>
      <c r="O74" s="83" t="s">
        <v>313</v>
      </c>
    </row>
    <row r="75" spans="1:15" ht="15" thickBot="1" x14ac:dyDescent="0.4">
      <c r="H75" s="37" t="s">
        <v>257</v>
      </c>
      <c r="L75" s="37" t="s">
        <v>258</v>
      </c>
    </row>
    <row r="76" spans="1:15" s="72" customFormat="1" ht="16" thickBot="1" x14ac:dyDescent="0.4">
      <c r="A76" s="24">
        <v>60</v>
      </c>
      <c r="B76" s="73" t="s">
        <v>462</v>
      </c>
      <c r="F76" s="75">
        <f>H74+L74</f>
        <v>30997521.077095944</v>
      </c>
      <c r="G76" s="74"/>
      <c r="H76" s="74"/>
      <c r="I76" s="74"/>
      <c r="J76" s="74"/>
      <c r="K76" s="74"/>
    </row>
  </sheetData>
  <sheetProtection sheet="1" objects="1" scenarios="1"/>
  <customSheetViews>
    <customSheetView guid="{17302493-42B1-4877-869E-E424A97AE78B}">
      <selection activeCell="F9" sqref="F9"/>
      <pageMargins left="0.7" right="0.7" top="0.75" bottom="0.75" header="0.3" footer="0.3"/>
      <pageSetup orientation="portrait" horizontalDpi="1200" verticalDpi="1200" r:id="rId1"/>
    </customSheetView>
    <customSheetView guid="{5C0BA3A5-859C-46C2-B685-44D9A90065E4}">
      <selection activeCell="F9" sqref="F9"/>
      <pageMargins left="0.7" right="0.7" top="0.75" bottom="0.75" header="0.3" footer="0.3"/>
      <pageSetup orientation="portrait" horizontalDpi="1200" verticalDpi="1200" r:id="rId2"/>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scale="37" fitToHeight="0" orientation="portrait" horizontalDpi="1200" verticalDpi="12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18.453125" customWidth="1"/>
    <col min="3" max="3" width="19.453125" customWidth="1"/>
    <col min="4" max="4" width="17.17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 t="s">
        <v>851</v>
      </c>
      <c r="B3" s="5"/>
      <c r="C3" s="5"/>
      <c r="D3" s="5"/>
      <c r="E3" s="5"/>
      <c r="F3" s="5"/>
      <c r="G3" s="5"/>
      <c r="H3" s="5"/>
    </row>
    <row r="4" spans="1:15" ht="25" customHeight="1" x14ac:dyDescent="0.5">
      <c r="A4" s="235" t="str">
        <f>Results!A4</f>
        <v>Final Adjustments</v>
      </c>
      <c r="B4" s="354"/>
      <c r="C4" s="354"/>
      <c r="D4" s="354"/>
      <c r="E4" s="354"/>
      <c r="F4" s="354"/>
      <c r="G4" s="354"/>
      <c r="H4" s="354"/>
    </row>
    <row r="6" spans="1:15" x14ac:dyDescent="0.35">
      <c r="A6" s="1" t="s">
        <v>776</v>
      </c>
      <c r="C6" s="414" t="str">
        <f>Results!$C$6</f>
        <v>WellPower</v>
      </c>
    </row>
    <row r="7" spans="1:15" x14ac:dyDescent="0.35">
      <c r="A7" s="1" t="s">
        <v>0</v>
      </c>
      <c r="C7" s="35">
        <f>Results!$C$7</f>
        <v>45473</v>
      </c>
      <c r="F7" s="35"/>
    </row>
    <row r="9" spans="1:15" x14ac:dyDescent="0.35">
      <c r="A9" s="1" t="s">
        <v>253</v>
      </c>
      <c r="B9" s="1" t="s">
        <v>813</v>
      </c>
      <c r="C9" s="1"/>
      <c r="F9" s="116" t="str">
        <f>'Schedule 2E Adjustments'!F8</f>
        <v>Yes/No</v>
      </c>
      <c r="G9" s="41" t="s">
        <v>259</v>
      </c>
    </row>
    <row r="11" spans="1:15" x14ac:dyDescent="0.35">
      <c r="A11" s="1" t="s">
        <v>254</v>
      </c>
      <c r="B11" s="1" t="s">
        <v>256</v>
      </c>
      <c r="C11" s="1"/>
    </row>
    <row r="12" spans="1:15" x14ac:dyDescent="0.35">
      <c r="B12" s="311" t="s">
        <v>592</v>
      </c>
    </row>
    <row r="13" spans="1:15" x14ac:dyDescent="0.35">
      <c r="B13" s="560">
        <v>1</v>
      </c>
      <c r="C13" s="560"/>
      <c r="D13" s="560"/>
      <c r="F13" s="23">
        <v>2</v>
      </c>
      <c r="G13" s="23">
        <v>3</v>
      </c>
      <c r="H13" s="23">
        <v>4</v>
      </c>
      <c r="J13" s="23">
        <v>5</v>
      </c>
      <c r="K13" s="23">
        <v>6</v>
      </c>
      <c r="L13" s="23">
        <v>7</v>
      </c>
      <c r="N13" s="23">
        <v>8</v>
      </c>
      <c r="O13" s="23">
        <v>9</v>
      </c>
    </row>
    <row r="14" spans="1:15" ht="15" customHeight="1" x14ac:dyDescent="0.35">
      <c r="B14" s="569" t="s">
        <v>606</v>
      </c>
      <c r="C14" s="570"/>
      <c r="D14" s="571"/>
      <c r="F14" s="563" t="s">
        <v>261</v>
      </c>
      <c r="G14" s="568"/>
      <c r="H14" s="564"/>
      <c r="J14" s="563" t="s">
        <v>262</v>
      </c>
      <c r="K14" s="568"/>
      <c r="L14" s="564"/>
      <c r="N14" s="566" t="s">
        <v>686</v>
      </c>
      <c r="O14" s="566" t="s">
        <v>687</v>
      </c>
    </row>
    <row r="15" spans="1:15" ht="55.5" customHeight="1" x14ac:dyDescent="0.35">
      <c r="B15" s="572"/>
      <c r="C15" s="573"/>
      <c r="D15" s="574"/>
      <c r="E15" s="48"/>
      <c r="F15" s="10" t="s">
        <v>683</v>
      </c>
      <c r="G15" s="142" t="s">
        <v>684</v>
      </c>
      <c r="H15" s="142" t="s">
        <v>685</v>
      </c>
      <c r="I15" s="99"/>
      <c r="J15" s="10" t="s">
        <v>683</v>
      </c>
      <c r="K15" s="142" t="s">
        <v>684</v>
      </c>
      <c r="L15" s="142" t="s">
        <v>685</v>
      </c>
      <c r="M15" s="48"/>
      <c r="N15" s="567"/>
      <c r="O15" s="567"/>
    </row>
    <row r="16" spans="1:15" x14ac:dyDescent="0.35">
      <c r="A16" s="24">
        <v>1</v>
      </c>
      <c r="B16" s="565" t="str">
        <f>'Schedule 2E Adjustments'!B15:D15</f>
        <v/>
      </c>
      <c r="C16" s="565"/>
      <c r="D16" s="565"/>
      <c r="F16" s="114">
        <f>'Schedule 2E Adjustments'!H15</f>
        <v>0</v>
      </c>
      <c r="G16" s="68">
        <f>'Schedule 2E Adjustments'!J15</f>
        <v>0</v>
      </c>
      <c r="H16" s="68">
        <f>SUM(F16:G16)</f>
        <v>0</v>
      </c>
      <c r="J16" s="114">
        <f>'Schedule 2E Adjustments'!P15</f>
        <v>0</v>
      </c>
      <c r="K16" s="68">
        <f>'Schedule 2E Adjustments'!R15</f>
        <v>0</v>
      </c>
      <c r="L16" s="68">
        <f>SUM(J16:K16)</f>
        <v>0</v>
      </c>
      <c r="N16" s="117">
        <f>'Schedule 2E Adjustments'!X15</f>
        <v>0</v>
      </c>
      <c r="O16" s="117">
        <f>'Schedule 2E Adjustments'!AA15</f>
        <v>0</v>
      </c>
    </row>
    <row r="17" spans="1:15" x14ac:dyDescent="0.35">
      <c r="A17" s="24">
        <v>2</v>
      </c>
      <c r="B17" s="565" t="str">
        <f>'Schedule 2E Adjustments'!B16:D16</f>
        <v/>
      </c>
      <c r="C17" s="565"/>
      <c r="D17" s="565"/>
      <c r="F17" s="114">
        <f>'Schedule 2E Adjustments'!H16</f>
        <v>0</v>
      </c>
      <c r="G17" s="68">
        <f>'Schedule 2E Adjustments'!J16</f>
        <v>0</v>
      </c>
      <c r="H17" s="68">
        <f t="shared" ref="H17:H73" si="0">SUM(F17:G17)</f>
        <v>0</v>
      </c>
      <c r="J17" s="114">
        <f>'Schedule 2E Adjustments'!P16</f>
        <v>0</v>
      </c>
      <c r="K17" s="68">
        <f>'Schedule 2E Adjustments'!R16</f>
        <v>0</v>
      </c>
      <c r="L17" s="68">
        <f t="shared" ref="L17:L73" si="1">SUM(J17:K17)</f>
        <v>0</v>
      </c>
      <c r="N17" s="117">
        <f>'Schedule 2E Adjustments'!X16</f>
        <v>0</v>
      </c>
      <c r="O17" s="117">
        <f>'Schedule 2E Adjustments'!AA16</f>
        <v>0</v>
      </c>
    </row>
    <row r="18" spans="1:15" x14ac:dyDescent="0.35">
      <c r="A18" s="24">
        <v>3</v>
      </c>
      <c r="B18" s="565" t="str">
        <f>'Schedule 2E Adjustments'!B17:D17</f>
        <v/>
      </c>
      <c r="C18" s="565"/>
      <c r="D18" s="565"/>
      <c r="F18" s="114">
        <f>'Schedule 2E Adjustments'!H17</f>
        <v>0</v>
      </c>
      <c r="G18" s="68">
        <f>'Schedule 2E Adjustments'!J17</f>
        <v>0</v>
      </c>
      <c r="H18" s="68">
        <f t="shared" si="0"/>
        <v>0</v>
      </c>
      <c r="J18" s="114">
        <f>'Schedule 2E Adjustments'!P17</f>
        <v>0</v>
      </c>
      <c r="K18" s="68">
        <f>'Schedule 2E Adjustments'!R17</f>
        <v>0</v>
      </c>
      <c r="L18" s="68">
        <f t="shared" si="1"/>
        <v>0</v>
      </c>
      <c r="N18" s="117">
        <f>'Schedule 2E Adjustments'!X17</f>
        <v>0</v>
      </c>
      <c r="O18" s="117">
        <f>'Schedule 2E Adjustments'!AA17</f>
        <v>0</v>
      </c>
    </row>
    <row r="19" spans="1:15" x14ac:dyDescent="0.35">
      <c r="A19" s="24">
        <v>4</v>
      </c>
      <c r="B19" s="565" t="str">
        <f>'Schedule 2E Adjustments'!B18:D18</f>
        <v/>
      </c>
      <c r="C19" s="565"/>
      <c r="D19" s="565"/>
      <c r="F19" s="114">
        <f>'Schedule 2E Adjustments'!H18</f>
        <v>0</v>
      </c>
      <c r="G19" s="68">
        <f>'Schedule 2E Adjustments'!J18</f>
        <v>0</v>
      </c>
      <c r="H19" s="68">
        <f t="shared" si="0"/>
        <v>0</v>
      </c>
      <c r="J19" s="114">
        <f>'Schedule 2E Adjustments'!P18</f>
        <v>0</v>
      </c>
      <c r="K19" s="68">
        <f>'Schedule 2E Adjustments'!R18</f>
        <v>0</v>
      </c>
      <c r="L19" s="68">
        <f t="shared" si="1"/>
        <v>0</v>
      </c>
      <c r="N19" s="117">
        <f>'Schedule 2E Adjustments'!X18</f>
        <v>0</v>
      </c>
      <c r="O19" s="117">
        <f>'Schedule 2E Adjustments'!AA18</f>
        <v>0</v>
      </c>
    </row>
    <row r="20" spans="1:15" x14ac:dyDescent="0.35">
      <c r="A20" s="24">
        <v>5</v>
      </c>
      <c r="B20" s="565" t="str">
        <f>'Schedule 2E Adjustments'!B19:D19</f>
        <v/>
      </c>
      <c r="C20" s="565"/>
      <c r="D20" s="565"/>
      <c r="F20" s="114">
        <f>'Schedule 2E Adjustments'!H19</f>
        <v>0</v>
      </c>
      <c r="G20" s="68">
        <f>'Schedule 2E Adjustments'!J19</f>
        <v>0</v>
      </c>
      <c r="H20" s="68">
        <f t="shared" si="0"/>
        <v>0</v>
      </c>
      <c r="J20" s="114">
        <f>'Schedule 2E Adjustments'!P19</f>
        <v>0</v>
      </c>
      <c r="K20" s="68">
        <f>'Schedule 2E Adjustments'!R19</f>
        <v>0</v>
      </c>
      <c r="L20" s="68">
        <f t="shared" si="1"/>
        <v>0</v>
      </c>
      <c r="N20" s="117">
        <f>'Schedule 2E Adjustments'!X19</f>
        <v>0</v>
      </c>
      <c r="O20" s="117">
        <f>'Schedule 2E Adjustments'!AA19</f>
        <v>0</v>
      </c>
    </row>
    <row r="21" spans="1:15" x14ac:dyDescent="0.35">
      <c r="A21" s="24">
        <v>6</v>
      </c>
      <c r="B21" s="565" t="str">
        <f>'Schedule 2E Adjustments'!B20:D20</f>
        <v/>
      </c>
      <c r="C21" s="565"/>
      <c r="D21" s="565"/>
      <c r="F21" s="114">
        <f>'Schedule 2E Adjustments'!H20</f>
        <v>0</v>
      </c>
      <c r="G21" s="68">
        <f>'Schedule 2E Adjustments'!J20</f>
        <v>0</v>
      </c>
      <c r="H21" s="68">
        <f t="shared" si="0"/>
        <v>0</v>
      </c>
      <c r="J21" s="114">
        <f>'Schedule 2E Adjustments'!P20</f>
        <v>0</v>
      </c>
      <c r="K21" s="68">
        <f>'Schedule 2E Adjustments'!R20</f>
        <v>0</v>
      </c>
      <c r="L21" s="68">
        <f t="shared" si="1"/>
        <v>0</v>
      </c>
      <c r="N21" s="117">
        <f>'Schedule 2E Adjustments'!X20</f>
        <v>0</v>
      </c>
      <c r="O21" s="117">
        <f>'Schedule 2E Adjustments'!AA20</f>
        <v>0</v>
      </c>
    </row>
    <row r="22" spans="1:15" x14ac:dyDescent="0.35">
      <c r="A22" s="24">
        <v>7</v>
      </c>
      <c r="B22" s="565" t="str">
        <f>'Schedule 2E Adjustments'!B21:D21</f>
        <v/>
      </c>
      <c r="C22" s="565"/>
      <c r="D22" s="565"/>
      <c r="F22" s="114">
        <f>'Schedule 2E Adjustments'!H21</f>
        <v>0</v>
      </c>
      <c r="G22" s="68">
        <f>'Schedule 2E Adjustments'!J21</f>
        <v>0</v>
      </c>
      <c r="H22" s="68">
        <f t="shared" si="0"/>
        <v>0</v>
      </c>
      <c r="J22" s="114">
        <f>'Schedule 2E Adjustments'!P21</f>
        <v>0</v>
      </c>
      <c r="K22" s="68">
        <f>'Schedule 2E Adjustments'!R21</f>
        <v>0</v>
      </c>
      <c r="L22" s="68">
        <f t="shared" si="1"/>
        <v>0</v>
      </c>
      <c r="N22" s="117">
        <f>'Schedule 2E Adjustments'!X21</f>
        <v>0</v>
      </c>
      <c r="O22" s="117">
        <f>'Schedule 2E Adjustments'!AA21</f>
        <v>0</v>
      </c>
    </row>
    <row r="23" spans="1:15" x14ac:dyDescent="0.35">
      <c r="A23" s="24">
        <v>8</v>
      </c>
      <c r="B23" s="565" t="str">
        <f>'Schedule 2E Adjustments'!B22:D22</f>
        <v/>
      </c>
      <c r="C23" s="565"/>
      <c r="D23" s="565"/>
      <c r="F23" s="114">
        <f>'Schedule 2E Adjustments'!H22</f>
        <v>0</v>
      </c>
      <c r="G23" s="68">
        <f>'Schedule 2E Adjustments'!J22</f>
        <v>0</v>
      </c>
      <c r="H23" s="68">
        <f t="shared" si="0"/>
        <v>0</v>
      </c>
      <c r="J23" s="114">
        <f>'Schedule 2E Adjustments'!P22</f>
        <v>0</v>
      </c>
      <c r="K23" s="68">
        <f>'Schedule 2E Adjustments'!R22</f>
        <v>0</v>
      </c>
      <c r="L23" s="68">
        <f t="shared" si="1"/>
        <v>0</v>
      </c>
      <c r="N23" s="117">
        <f>'Schedule 2E Adjustments'!X22</f>
        <v>0</v>
      </c>
      <c r="O23" s="117">
        <f>'Schedule 2E Adjustments'!AA22</f>
        <v>0</v>
      </c>
    </row>
    <row r="24" spans="1:15" x14ac:dyDescent="0.35">
      <c r="A24" s="24">
        <v>9</v>
      </c>
      <c r="B24" s="565" t="str">
        <f>'Schedule 2E Adjustments'!B23:D23</f>
        <v/>
      </c>
      <c r="C24" s="565"/>
      <c r="D24" s="565"/>
      <c r="F24" s="114">
        <f>'Schedule 2E Adjustments'!H23</f>
        <v>0</v>
      </c>
      <c r="G24" s="68">
        <f>'Schedule 2E Adjustments'!J23</f>
        <v>0</v>
      </c>
      <c r="H24" s="68">
        <f t="shared" si="0"/>
        <v>0</v>
      </c>
      <c r="J24" s="114">
        <f>'Schedule 2E Adjustments'!P23</f>
        <v>0</v>
      </c>
      <c r="K24" s="68">
        <f>'Schedule 2E Adjustments'!R23</f>
        <v>0</v>
      </c>
      <c r="L24" s="68">
        <f t="shared" si="1"/>
        <v>0</v>
      </c>
      <c r="N24" s="117">
        <f>'Schedule 2E Adjustments'!X23</f>
        <v>0</v>
      </c>
      <c r="O24" s="117">
        <f>'Schedule 2E Adjustments'!AA23</f>
        <v>0</v>
      </c>
    </row>
    <row r="25" spans="1:15" x14ac:dyDescent="0.35">
      <c r="A25" s="24">
        <v>10</v>
      </c>
      <c r="B25" s="565" t="str">
        <f>'Schedule 2E Adjustments'!B24:D24</f>
        <v/>
      </c>
      <c r="C25" s="565"/>
      <c r="D25" s="565"/>
      <c r="F25" s="114">
        <f>'Schedule 2E Adjustments'!H24</f>
        <v>0</v>
      </c>
      <c r="G25" s="68">
        <f>'Schedule 2E Adjustments'!J24</f>
        <v>0</v>
      </c>
      <c r="H25" s="68">
        <f t="shared" si="0"/>
        <v>0</v>
      </c>
      <c r="J25" s="114">
        <f>'Schedule 2E Adjustments'!P24</f>
        <v>0</v>
      </c>
      <c r="K25" s="68">
        <f>'Schedule 2E Adjustments'!R24</f>
        <v>0</v>
      </c>
      <c r="L25" s="68">
        <f t="shared" si="1"/>
        <v>0</v>
      </c>
      <c r="N25" s="117">
        <f>'Schedule 2E Adjustments'!X24</f>
        <v>0</v>
      </c>
      <c r="O25" s="117">
        <f>'Schedule 2E Adjustments'!AA24</f>
        <v>0</v>
      </c>
    </row>
    <row r="26" spans="1:15" x14ac:dyDescent="0.35">
      <c r="A26" s="24">
        <v>11</v>
      </c>
      <c r="B26" s="565" t="str">
        <f>'Schedule 2E Adjustments'!B25:D25</f>
        <v/>
      </c>
      <c r="C26" s="565"/>
      <c r="D26" s="565"/>
      <c r="F26" s="114">
        <f>'Schedule 2E Adjustments'!H25</f>
        <v>0</v>
      </c>
      <c r="G26" s="68">
        <f>'Schedule 2E Adjustments'!J25</f>
        <v>0</v>
      </c>
      <c r="H26" s="68">
        <f t="shared" si="0"/>
        <v>0</v>
      </c>
      <c r="J26" s="114">
        <f>'Schedule 2E Adjustments'!P25</f>
        <v>0</v>
      </c>
      <c r="K26" s="68">
        <f>'Schedule 2E Adjustments'!R25</f>
        <v>0</v>
      </c>
      <c r="L26" s="68">
        <f t="shared" si="1"/>
        <v>0</v>
      </c>
      <c r="N26" s="117">
        <f>'Schedule 2E Adjustments'!X25</f>
        <v>0</v>
      </c>
      <c r="O26" s="117">
        <f>'Schedule 2E Adjustments'!AA25</f>
        <v>0</v>
      </c>
    </row>
    <row r="27" spans="1:15" x14ac:dyDescent="0.35">
      <c r="A27" s="24">
        <v>12</v>
      </c>
      <c r="B27" s="565" t="str">
        <f>'Schedule 2E Adjustments'!B26:D26</f>
        <v/>
      </c>
      <c r="C27" s="565"/>
      <c r="D27" s="565"/>
      <c r="F27" s="114">
        <f>'Schedule 2E Adjustments'!H26</f>
        <v>0</v>
      </c>
      <c r="G27" s="68">
        <f>'Schedule 2E Adjustments'!J26</f>
        <v>0</v>
      </c>
      <c r="H27" s="68">
        <f t="shared" si="0"/>
        <v>0</v>
      </c>
      <c r="J27" s="114">
        <f>'Schedule 2E Adjustments'!P26</f>
        <v>0</v>
      </c>
      <c r="K27" s="68">
        <f>'Schedule 2E Adjustments'!R26</f>
        <v>0</v>
      </c>
      <c r="L27" s="68">
        <f t="shared" si="1"/>
        <v>0</v>
      </c>
      <c r="N27" s="117">
        <f>'Schedule 2E Adjustments'!X26</f>
        <v>0</v>
      </c>
      <c r="O27" s="117">
        <f>'Schedule 2E Adjustments'!AA26</f>
        <v>0</v>
      </c>
    </row>
    <row r="28" spans="1:15" x14ac:dyDescent="0.35">
      <c r="A28" s="24">
        <v>13</v>
      </c>
      <c r="B28" s="565" t="str">
        <f>'Schedule 2E Adjustments'!B27:D27</f>
        <v/>
      </c>
      <c r="C28" s="565"/>
      <c r="D28" s="565"/>
      <c r="F28" s="114">
        <f>'Schedule 2E Adjustments'!H27</f>
        <v>0</v>
      </c>
      <c r="G28" s="68">
        <f>'Schedule 2E Adjustments'!J27</f>
        <v>0</v>
      </c>
      <c r="H28" s="68">
        <f t="shared" si="0"/>
        <v>0</v>
      </c>
      <c r="J28" s="114">
        <f>'Schedule 2E Adjustments'!P27</f>
        <v>0</v>
      </c>
      <c r="K28" s="68">
        <f>'Schedule 2E Adjustments'!R27</f>
        <v>0</v>
      </c>
      <c r="L28" s="68">
        <f t="shared" si="1"/>
        <v>0</v>
      </c>
      <c r="N28" s="117">
        <f>'Schedule 2E Adjustments'!X27</f>
        <v>0</v>
      </c>
      <c r="O28" s="117">
        <f>'Schedule 2E Adjustments'!AA27</f>
        <v>0</v>
      </c>
    </row>
    <row r="29" spans="1:15" x14ac:dyDescent="0.35">
      <c r="A29" s="24">
        <v>14</v>
      </c>
      <c r="B29" s="565" t="str">
        <f>'Schedule 2E Adjustments'!B28:D28</f>
        <v/>
      </c>
      <c r="C29" s="565"/>
      <c r="D29" s="565"/>
      <c r="F29" s="114">
        <f>'Schedule 2E Adjustments'!H28</f>
        <v>0</v>
      </c>
      <c r="G29" s="68">
        <f>'Schedule 2E Adjustments'!J28</f>
        <v>0</v>
      </c>
      <c r="H29" s="68">
        <f t="shared" si="0"/>
        <v>0</v>
      </c>
      <c r="J29" s="114">
        <f>'Schedule 2E Adjustments'!P28</f>
        <v>0</v>
      </c>
      <c r="K29" s="68">
        <f>'Schedule 2E Adjustments'!R28</f>
        <v>0</v>
      </c>
      <c r="L29" s="68">
        <f t="shared" si="1"/>
        <v>0</v>
      </c>
      <c r="N29" s="117">
        <f>'Schedule 2E Adjustments'!X28</f>
        <v>0</v>
      </c>
      <c r="O29" s="117">
        <f>'Schedule 2E Adjustments'!AA28</f>
        <v>0</v>
      </c>
    </row>
    <row r="30" spans="1:15" x14ac:dyDescent="0.35">
      <c r="A30" s="24">
        <v>15</v>
      </c>
      <c r="B30" s="565" t="str">
        <f>'Schedule 2E Adjustments'!B29:D29</f>
        <v/>
      </c>
      <c r="C30" s="565"/>
      <c r="D30" s="565"/>
      <c r="F30" s="114">
        <f>'Schedule 2E Adjustments'!H29</f>
        <v>0</v>
      </c>
      <c r="G30" s="68">
        <f>'Schedule 2E Adjustments'!J29</f>
        <v>0</v>
      </c>
      <c r="H30" s="68">
        <f t="shared" si="0"/>
        <v>0</v>
      </c>
      <c r="J30" s="114">
        <f>'Schedule 2E Adjustments'!P29</f>
        <v>0</v>
      </c>
      <c r="K30" s="68">
        <f>'Schedule 2E Adjustments'!R29</f>
        <v>0</v>
      </c>
      <c r="L30" s="68">
        <f t="shared" si="1"/>
        <v>0</v>
      </c>
      <c r="N30" s="117">
        <f>'Schedule 2E Adjustments'!X29</f>
        <v>0</v>
      </c>
      <c r="O30" s="117">
        <f>'Schedule 2E Adjustments'!AA29</f>
        <v>0</v>
      </c>
    </row>
    <row r="31" spans="1:15" x14ac:dyDescent="0.35">
      <c r="A31" s="24">
        <v>16</v>
      </c>
      <c r="B31" s="565" t="str">
        <f>'Schedule 2E Adjustments'!B30:D30</f>
        <v/>
      </c>
      <c r="C31" s="565"/>
      <c r="D31" s="565"/>
      <c r="F31" s="114">
        <f>'Schedule 2E Adjustments'!H30</f>
        <v>0</v>
      </c>
      <c r="G31" s="68">
        <f>'Schedule 2E Adjustments'!J30</f>
        <v>0</v>
      </c>
      <c r="H31" s="68">
        <f t="shared" si="0"/>
        <v>0</v>
      </c>
      <c r="J31" s="114">
        <f>'Schedule 2E Adjustments'!P30</f>
        <v>0</v>
      </c>
      <c r="K31" s="68">
        <f>'Schedule 2E Adjustments'!R30</f>
        <v>0</v>
      </c>
      <c r="L31" s="68">
        <f t="shared" si="1"/>
        <v>0</v>
      </c>
      <c r="N31" s="117">
        <f>'Schedule 2E Adjustments'!X30</f>
        <v>0</v>
      </c>
      <c r="O31" s="117">
        <f>'Schedule 2E Adjustments'!AA30</f>
        <v>0</v>
      </c>
    </row>
    <row r="32" spans="1:15" x14ac:dyDescent="0.35">
      <c r="A32" s="24">
        <v>17</v>
      </c>
      <c r="B32" s="565" t="str">
        <f>'Schedule 2E Adjustments'!B31:D31</f>
        <v/>
      </c>
      <c r="C32" s="565"/>
      <c r="D32" s="565"/>
      <c r="F32" s="114">
        <f>'Schedule 2E Adjustments'!H31</f>
        <v>0</v>
      </c>
      <c r="G32" s="68">
        <f>'Schedule 2E Adjustments'!J31</f>
        <v>0</v>
      </c>
      <c r="H32" s="68">
        <f t="shared" si="0"/>
        <v>0</v>
      </c>
      <c r="J32" s="114">
        <f>'Schedule 2E Adjustments'!P31</f>
        <v>0</v>
      </c>
      <c r="K32" s="68">
        <f>'Schedule 2E Adjustments'!R31</f>
        <v>0</v>
      </c>
      <c r="L32" s="68">
        <f t="shared" si="1"/>
        <v>0</v>
      </c>
      <c r="N32" s="117">
        <f>'Schedule 2E Adjustments'!X31</f>
        <v>0</v>
      </c>
      <c r="O32" s="117">
        <f>'Schedule 2E Adjustments'!AA31</f>
        <v>0</v>
      </c>
    </row>
    <row r="33" spans="1:15" x14ac:dyDescent="0.35">
      <c r="A33" s="24">
        <v>18</v>
      </c>
      <c r="B33" s="565" t="str">
        <f>'Schedule 2E Adjustments'!B32:D32</f>
        <v/>
      </c>
      <c r="C33" s="565"/>
      <c r="D33" s="565"/>
      <c r="F33" s="114">
        <f>'Schedule 2E Adjustments'!H32</f>
        <v>0</v>
      </c>
      <c r="G33" s="68">
        <f>'Schedule 2E Adjustments'!J32</f>
        <v>0</v>
      </c>
      <c r="H33" s="68">
        <f t="shared" si="0"/>
        <v>0</v>
      </c>
      <c r="J33" s="114">
        <f>'Schedule 2E Adjustments'!P32</f>
        <v>0</v>
      </c>
      <c r="K33" s="68">
        <f>'Schedule 2E Adjustments'!R32</f>
        <v>0</v>
      </c>
      <c r="L33" s="68">
        <f t="shared" si="1"/>
        <v>0</v>
      </c>
      <c r="N33" s="117">
        <f>'Schedule 2E Adjustments'!X32</f>
        <v>0</v>
      </c>
      <c r="O33" s="117">
        <f>'Schedule 2E Adjustments'!AA32</f>
        <v>0</v>
      </c>
    </row>
    <row r="34" spans="1:15" x14ac:dyDescent="0.35">
      <c r="A34" s="24">
        <v>19</v>
      </c>
      <c r="B34" s="565" t="str">
        <f>'Schedule 2E Adjustments'!B33:D33</f>
        <v/>
      </c>
      <c r="C34" s="565"/>
      <c r="D34" s="565"/>
      <c r="F34" s="114">
        <f>'Schedule 2E Adjustments'!H33</f>
        <v>0</v>
      </c>
      <c r="G34" s="68">
        <f>'Schedule 2E Adjustments'!J33</f>
        <v>0</v>
      </c>
      <c r="H34" s="68">
        <f t="shared" si="0"/>
        <v>0</v>
      </c>
      <c r="J34" s="114">
        <f>'Schedule 2E Adjustments'!P33</f>
        <v>0</v>
      </c>
      <c r="K34" s="68">
        <f>'Schedule 2E Adjustments'!R33</f>
        <v>0</v>
      </c>
      <c r="L34" s="68">
        <f t="shared" si="1"/>
        <v>0</v>
      </c>
      <c r="N34" s="117">
        <f>'Schedule 2E Adjustments'!X33</f>
        <v>0</v>
      </c>
      <c r="O34" s="117">
        <f>'Schedule 2E Adjustments'!AA33</f>
        <v>0</v>
      </c>
    </row>
    <row r="35" spans="1:15" x14ac:dyDescent="0.35">
      <c r="A35" s="24">
        <v>20</v>
      </c>
      <c r="B35" s="565" t="str">
        <f>'Schedule 2E Adjustments'!B34:D34</f>
        <v/>
      </c>
      <c r="C35" s="565"/>
      <c r="D35" s="565"/>
      <c r="F35" s="114">
        <f>'Schedule 2E Adjustments'!H34</f>
        <v>0</v>
      </c>
      <c r="G35" s="68">
        <f>'Schedule 2E Adjustments'!J34</f>
        <v>0</v>
      </c>
      <c r="H35" s="68">
        <f t="shared" si="0"/>
        <v>0</v>
      </c>
      <c r="J35" s="114">
        <f>'Schedule 2E Adjustments'!P34</f>
        <v>0</v>
      </c>
      <c r="K35" s="68">
        <f>'Schedule 2E Adjustments'!R34</f>
        <v>0</v>
      </c>
      <c r="L35" s="68">
        <f t="shared" si="1"/>
        <v>0</v>
      </c>
      <c r="N35" s="117">
        <f>'Schedule 2E Adjustments'!X34</f>
        <v>0</v>
      </c>
      <c r="O35" s="117">
        <f>'Schedule 2E Adjustments'!AA34</f>
        <v>0</v>
      </c>
    </row>
    <row r="36" spans="1:15" x14ac:dyDescent="0.35">
      <c r="A36" s="24">
        <v>21</v>
      </c>
      <c r="B36" s="565" t="str">
        <f>'Schedule 2E Adjustments'!B35:D35</f>
        <v/>
      </c>
      <c r="C36" s="565"/>
      <c r="D36" s="565"/>
      <c r="F36" s="114">
        <f>'Schedule 2E Adjustments'!H35</f>
        <v>0</v>
      </c>
      <c r="G36" s="68">
        <f>'Schedule 2E Adjustments'!J35</f>
        <v>0</v>
      </c>
      <c r="H36" s="68">
        <f t="shared" si="0"/>
        <v>0</v>
      </c>
      <c r="J36" s="114">
        <f>'Schedule 2E Adjustments'!P35</f>
        <v>0</v>
      </c>
      <c r="K36" s="68">
        <f>'Schedule 2E Adjustments'!R35</f>
        <v>0</v>
      </c>
      <c r="L36" s="68">
        <f t="shared" si="1"/>
        <v>0</v>
      </c>
      <c r="N36" s="117">
        <f>'Schedule 2E Adjustments'!X35</f>
        <v>0</v>
      </c>
      <c r="O36" s="117">
        <f>'Schedule 2E Adjustments'!AA35</f>
        <v>0</v>
      </c>
    </row>
    <row r="37" spans="1:15" x14ac:dyDescent="0.35">
      <c r="A37" s="24">
        <v>22</v>
      </c>
      <c r="B37" s="565" t="str">
        <f>'Schedule 2E Adjustments'!B36:D36</f>
        <v/>
      </c>
      <c r="C37" s="565"/>
      <c r="D37" s="565"/>
      <c r="F37" s="114">
        <f>'Schedule 2E Adjustments'!H36</f>
        <v>0</v>
      </c>
      <c r="G37" s="68">
        <f>'Schedule 2E Adjustments'!J36</f>
        <v>0</v>
      </c>
      <c r="H37" s="68">
        <f t="shared" si="0"/>
        <v>0</v>
      </c>
      <c r="J37" s="114">
        <f>'Schedule 2E Adjustments'!P36</f>
        <v>0</v>
      </c>
      <c r="K37" s="68">
        <f>'Schedule 2E Adjustments'!R36</f>
        <v>0</v>
      </c>
      <c r="L37" s="68">
        <f t="shared" si="1"/>
        <v>0</v>
      </c>
      <c r="N37" s="117">
        <f>'Schedule 2E Adjustments'!X36</f>
        <v>0</v>
      </c>
      <c r="O37" s="117">
        <f>'Schedule 2E Adjustments'!AA36</f>
        <v>0</v>
      </c>
    </row>
    <row r="38" spans="1:15" x14ac:dyDescent="0.35">
      <c r="A38" s="24">
        <v>23</v>
      </c>
      <c r="B38" s="565" t="str">
        <f>'Schedule 2E Adjustments'!B37:D37</f>
        <v/>
      </c>
      <c r="C38" s="565"/>
      <c r="D38" s="565"/>
      <c r="F38" s="114">
        <f>'Schedule 2E Adjustments'!H37</f>
        <v>0</v>
      </c>
      <c r="G38" s="68">
        <f>'Schedule 2E Adjustments'!J37</f>
        <v>0</v>
      </c>
      <c r="H38" s="68">
        <f t="shared" si="0"/>
        <v>0</v>
      </c>
      <c r="J38" s="114">
        <f>'Schedule 2E Adjustments'!P37</f>
        <v>0</v>
      </c>
      <c r="K38" s="68">
        <f>'Schedule 2E Adjustments'!R37</f>
        <v>0</v>
      </c>
      <c r="L38" s="68">
        <f t="shared" si="1"/>
        <v>0</v>
      </c>
      <c r="N38" s="117">
        <f>'Schedule 2E Adjustments'!X37</f>
        <v>0</v>
      </c>
      <c r="O38" s="117">
        <f>'Schedule 2E Adjustments'!AA37</f>
        <v>0</v>
      </c>
    </row>
    <row r="39" spans="1:15" x14ac:dyDescent="0.35">
      <c r="A39" s="24">
        <v>24</v>
      </c>
      <c r="B39" s="565" t="str">
        <f>'Schedule 2E Adjustments'!B38:D38</f>
        <v/>
      </c>
      <c r="C39" s="565"/>
      <c r="D39" s="565"/>
      <c r="F39" s="114">
        <f>'Schedule 2E Adjustments'!H38</f>
        <v>0</v>
      </c>
      <c r="G39" s="68">
        <f>'Schedule 2E Adjustments'!J38</f>
        <v>0</v>
      </c>
      <c r="H39" s="68">
        <f t="shared" si="0"/>
        <v>0</v>
      </c>
      <c r="J39" s="114">
        <f>'Schedule 2E Adjustments'!P38</f>
        <v>0</v>
      </c>
      <c r="K39" s="68">
        <f>'Schedule 2E Adjustments'!R38</f>
        <v>0</v>
      </c>
      <c r="L39" s="68">
        <f t="shared" si="1"/>
        <v>0</v>
      </c>
      <c r="N39" s="117">
        <f>'Schedule 2E Adjustments'!X38</f>
        <v>0</v>
      </c>
      <c r="O39" s="117">
        <f>'Schedule 2E Adjustments'!AA38</f>
        <v>0</v>
      </c>
    </row>
    <row r="40" spans="1:15" x14ac:dyDescent="0.35">
      <c r="A40" s="24">
        <v>25</v>
      </c>
      <c r="B40" s="565" t="str">
        <f>'Schedule 2E Adjustments'!B39:D39</f>
        <v/>
      </c>
      <c r="C40" s="565"/>
      <c r="D40" s="565"/>
      <c r="F40" s="114">
        <f>'Schedule 2E Adjustments'!H39</f>
        <v>0</v>
      </c>
      <c r="G40" s="68">
        <f>'Schedule 2E Adjustments'!J39</f>
        <v>0</v>
      </c>
      <c r="H40" s="68">
        <f t="shared" si="0"/>
        <v>0</v>
      </c>
      <c r="J40" s="114">
        <f>'Schedule 2E Adjustments'!P39</f>
        <v>0</v>
      </c>
      <c r="K40" s="68">
        <f>'Schedule 2E Adjustments'!R39</f>
        <v>0</v>
      </c>
      <c r="L40" s="68">
        <f t="shared" si="1"/>
        <v>0</v>
      </c>
      <c r="N40" s="117">
        <f>'Schedule 2E Adjustments'!X39</f>
        <v>0</v>
      </c>
      <c r="O40" s="117">
        <f>'Schedule 2E Adjustments'!AA39</f>
        <v>0</v>
      </c>
    </row>
    <row r="41" spans="1:15" x14ac:dyDescent="0.35">
      <c r="A41" s="24">
        <v>26</v>
      </c>
      <c r="B41" s="565" t="str">
        <f>'Schedule 2E Adjustments'!B40:D40</f>
        <v/>
      </c>
      <c r="C41" s="565"/>
      <c r="D41" s="565"/>
      <c r="F41" s="114">
        <f>'Schedule 2E Adjustments'!H40</f>
        <v>0</v>
      </c>
      <c r="G41" s="68">
        <f>'Schedule 2E Adjustments'!J40</f>
        <v>0</v>
      </c>
      <c r="H41" s="68">
        <f t="shared" si="0"/>
        <v>0</v>
      </c>
      <c r="J41" s="114">
        <f>'Schedule 2E Adjustments'!P40</f>
        <v>0</v>
      </c>
      <c r="K41" s="68">
        <f>'Schedule 2E Adjustments'!R40</f>
        <v>0</v>
      </c>
      <c r="L41" s="68">
        <f t="shared" si="1"/>
        <v>0</v>
      </c>
      <c r="N41" s="117">
        <f>'Schedule 2E Adjustments'!X40</f>
        <v>0</v>
      </c>
      <c r="O41" s="117">
        <f>'Schedule 2E Adjustments'!AA40</f>
        <v>0</v>
      </c>
    </row>
    <row r="42" spans="1:15" x14ac:dyDescent="0.35">
      <c r="A42" s="24">
        <v>27</v>
      </c>
      <c r="B42" s="565" t="str">
        <f>'Schedule 2E Adjustments'!B41:D41</f>
        <v/>
      </c>
      <c r="C42" s="565"/>
      <c r="D42" s="565"/>
      <c r="F42" s="114">
        <f>'Schedule 2E Adjustments'!H41</f>
        <v>0</v>
      </c>
      <c r="G42" s="68">
        <f>'Schedule 2E Adjustments'!J41</f>
        <v>0</v>
      </c>
      <c r="H42" s="68">
        <f t="shared" si="0"/>
        <v>0</v>
      </c>
      <c r="J42" s="114">
        <f>'Schedule 2E Adjustments'!P41</f>
        <v>0</v>
      </c>
      <c r="K42" s="68">
        <f>'Schedule 2E Adjustments'!R41</f>
        <v>0</v>
      </c>
      <c r="L42" s="68">
        <f t="shared" si="1"/>
        <v>0</v>
      </c>
      <c r="N42" s="117">
        <f>'Schedule 2E Adjustments'!X41</f>
        <v>0</v>
      </c>
      <c r="O42" s="117">
        <f>'Schedule 2E Adjustments'!AA41</f>
        <v>0</v>
      </c>
    </row>
    <row r="43" spans="1:15" x14ac:dyDescent="0.35">
      <c r="A43" s="24">
        <v>28</v>
      </c>
      <c r="B43" s="565" t="str">
        <f>'Schedule 2E Adjustments'!B42:D42</f>
        <v/>
      </c>
      <c r="C43" s="565"/>
      <c r="D43" s="565"/>
      <c r="F43" s="114">
        <f>'Schedule 2E Adjustments'!H42</f>
        <v>0</v>
      </c>
      <c r="G43" s="68">
        <f>'Schedule 2E Adjustments'!J42</f>
        <v>0</v>
      </c>
      <c r="H43" s="68">
        <f t="shared" si="0"/>
        <v>0</v>
      </c>
      <c r="J43" s="114">
        <f>'Schedule 2E Adjustments'!P42</f>
        <v>0</v>
      </c>
      <c r="K43" s="68">
        <f>'Schedule 2E Adjustments'!R42</f>
        <v>0</v>
      </c>
      <c r="L43" s="68">
        <f t="shared" si="1"/>
        <v>0</v>
      </c>
      <c r="N43" s="117">
        <f>'Schedule 2E Adjustments'!X42</f>
        <v>0</v>
      </c>
      <c r="O43" s="117">
        <f>'Schedule 2E Adjustments'!AA42</f>
        <v>0</v>
      </c>
    </row>
    <row r="44" spans="1:15" x14ac:dyDescent="0.35">
      <c r="A44" s="24">
        <v>29</v>
      </c>
      <c r="B44" s="565" t="str">
        <f>'Schedule 2E Adjustments'!B43:D43</f>
        <v/>
      </c>
      <c r="C44" s="565"/>
      <c r="D44" s="565"/>
      <c r="F44" s="114">
        <f>'Schedule 2E Adjustments'!H43</f>
        <v>0</v>
      </c>
      <c r="G44" s="68">
        <f>'Schedule 2E Adjustments'!J43</f>
        <v>0</v>
      </c>
      <c r="H44" s="68">
        <f t="shared" si="0"/>
        <v>0</v>
      </c>
      <c r="J44" s="114">
        <f>'Schedule 2E Adjustments'!P43</f>
        <v>0</v>
      </c>
      <c r="K44" s="68">
        <f>'Schedule 2E Adjustments'!R43</f>
        <v>0</v>
      </c>
      <c r="L44" s="68">
        <f t="shared" si="1"/>
        <v>0</v>
      </c>
      <c r="N44" s="117">
        <f>'Schedule 2E Adjustments'!X43</f>
        <v>0</v>
      </c>
      <c r="O44" s="117">
        <f>'Schedule 2E Adjustments'!AA43</f>
        <v>0</v>
      </c>
    </row>
    <row r="45" spans="1:15" x14ac:dyDescent="0.35">
      <c r="A45" s="24">
        <v>30</v>
      </c>
      <c r="B45" s="565" t="str">
        <f>'Schedule 2E Adjustments'!B44:D44</f>
        <v/>
      </c>
      <c r="C45" s="565"/>
      <c r="D45" s="565"/>
      <c r="F45" s="114">
        <f>'Schedule 2E Adjustments'!H44</f>
        <v>0</v>
      </c>
      <c r="G45" s="68">
        <f>'Schedule 2E Adjustments'!J44</f>
        <v>0</v>
      </c>
      <c r="H45" s="68">
        <f t="shared" si="0"/>
        <v>0</v>
      </c>
      <c r="J45" s="114">
        <f>'Schedule 2E Adjustments'!P44</f>
        <v>0</v>
      </c>
      <c r="K45" s="68">
        <f>'Schedule 2E Adjustments'!R44</f>
        <v>0</v>
      </c>
      <c r="L45" s="68">
        <f t="shared" si="1"/>
        <v>0</v>
      </c>
      <c r="N45" s="117">
        <f>'Schedule 2E Adjustments'!X44</f>
        <v>0</v>
      </c>
      <c r="O45" s="117">
        <f>'Schedule 2E Adjustments'!AA44</f>
        <v>0</v>
      </c>
    </row>
    <row r="46" spans="1:15" x14ac:dyDescent="0.35">
      <c r="A46" s="24">
        <v>31</v>
      </c>
      <c r="B46" s="565" t="str">
        <f>'Schedule 2E Adjustments'!B45:D45</f>
        <v/>
      </c>
      <c r="C46" s="565"/>
      <c r="D46" s="565"/>
      <c r="F46" s="114">
        <f>'Schedule 2E Adjustments'!H45</f>
        <v>0</v>
      </c>
      <c r="G46" s="68">
        <f>'Schedule 2E Adjustments'!J45</f>
        <v>0</v>
      </c>
      <c r="H46" s="68">
        <f t="shared" si="0"/>
        <v>0</v>
      </c>
      <c r="J46" s="114">
        <f>'Schedule 2E Adjustments'!P45</f>
        <v>0</v>
      </c>
      <c r="K46" s="68">
        <f>'Schedule 2E Adjustments'!R45</f>
        <v>0</v>
      </c>
      <c r="L46" s="68">
        <f t="shared" si="1"/>
        <v>0</v>
      </c>
      <c r="N46" s="117">
        <f>'Schedule 2E Adjustments'!X45</f>
        <v>0</v>
      </c>
      <c r="O46" s="117">
        <f>'Schedule 2E Adjustments'!AA45</f>
        <v>0</v>
      </c>
    </row>
    <row r="47" spans="1:15" x14ac:dyDescent="0.35">
      <c r="A47" s="24">
        <v>32</v>
      </c>
      <c r="B47" s="565" t="str">
        <f>'Schedule 2E Adjustments'!B46:D46</f>
        <v/>
      </c>
      <c r="C47" s="565"/>
      <c r="D47" s="565"/>
      <c r="F47" s="114">
        <f>'Schedule 2E Adjustments'!H46</f>
        <v>0</v>
      </c>
      <c r="G47" s="68">
        <f>'Schedule 2E Adjustments'!J46</f>
        <v>0</v>
      </c>
      <c r="H47" s="68">
        <f t="shared" si="0"/>
        <v>0</v>
      </c>
      <c r="J47" s="114">
        <f>'Schedule 2E Adjustments'!P46</f>
        <v>0</v>
      </c>
      <c r="K47" s="68">
        <f>'Schedule 2E Adjustments'!R46</f>
        <v>0</v>
      </c>
      <c r="L47" s="68">
        <f t="shared" si="1"/>
        <v>0</v>
      </c>
      <c r="N47" s="117">
        <f>'Schedule 2E Adjustments'!X46</f>
        <v>0</v>
      </c>
      <c r="O47" s="117">
        <f>'Schedule 2E Adjustments'!AA46</f>
        <v>0</v>
      </c>
    </row>
    <row r="48" spans="1:15" x14ac:dyDescent="0.35">
      <c r="A48" s="24">
        <v>33</v>
      </c>
      <c r="B48" s="565" t="str">
        <f>'Schedule 2E Adjustments'!B47:D47</f>
        <v/>
      </c>
      <c r="C48" s="565"/>
      <c r="D48" s="565"/>
      <c r="F48" s="114">
        <f>'Schedule 2E Adjustments'!H47</f>
        <v>0</v>
      </c>
      <c r="G48" s="68">
        <f>'Schedule 2E Adjustments'!J47</f>
        <v>0</v>
      </c>
      <c r="H48" s="68">
        <f t="shared" si="0"/>
        <v>0</v>
      </c>
      <c r="J48" s="114">
        <f>'Schedule 2E Adjustments'!P47</f>
        <v>0</v>
      </c>
      <c r="K48" s="68">
        <f>'Schedule 2E Adjustments'!R47</f>
        <v>0</v>
      </c>
      <c r="L48" s="68">
        <f t="shared" si="1"/>
        <v>0</v>
      </c>
      <c r="N48" s="117">
        <f>'Schedule 2E Adjustments'!X47</f>
        <v>0</v>
      </c>
      <c r="O48" s="117">
        <f>'Schedule 2E Adjustments'!AA47</f>
        <v>0</v>
      </c>
    </row>
    <row r="49" spans="1:15" x14ac:dyDescent="0.35">
      <c r="A49" s="24">
        <v>34</v>
      </c>
      <c r="B49" s="565" t="str">
        <f>'Schedule 2E Adjustments'!B48:D48</f>
        <v/>
      </c>
      <c r="C49" s="565"/>
      <c r="D49" s="565"/>
      <c r="F49" s="114">
        <f>'Schedule 2E Adjustments'!H48</f>
        <v>0</v>
      </c>
      <c r="G49" s="68">
        <f>'Schedule 2E Adjustments'!J48</f>
        <v>0</v>
      </c>
      <c r="H49" s="68">
        <f t="shared" si="0"/>
        <v>0</v>
      </c>
      <c r="J49" s="114">
        <f>'Schedule 2E Adjustments'!P48</f>
        <v>0</v>
      </c>
      <c r="K49" s="68">
        <f>'Schedule 2E Adjustments'!R48</f>
        <v>0</v>
      </c>
      <c r="L49" s="68">
        <f t="shared" si="1"/>
        <v>0</v>
      </c>
      <c r="N49" s="117">
        <f>'Schedule 2E Adjustments'!X48</f>
        <v>0</v>
      </c>
      <c r="O49" s="117">
        <f>'Schedule 2E Adjustments'!AA48</f>
        <v>0</v>
      </c>
    </row>
    <row r="50" spans="1:15" x14ac:dyDescent="0.35">
      <c r="A50" s="24">
        <v>35</v>
      </c>
      <c r="B50" s="565" t="str">
        <f>'Schedule 2E Adjustments'!B49:D49</f>
        <v/>
      </c>
      <c r="C50" s="565"/>
      <c r="D50" s="565"/>
      <c r="F50" s="114">
        <f>'Schedule 2E Adjustments'!H49</f>
        <v>0</v>
      </c>
      <c r="G50" s="68">
        <f>'Schedule 2E Adjustments'!J49</f>
        <v>0</v>
      </c>
      <c r="H50" s="68">
        <f t="shared" si="0"/>
        <v>0</v>
      </c>
      <c r="J50" s="114">
        <f>'Schedule 2E Adjustments'!P49</f>
        <v>0</v>
      </c>
      <c r="K50" s="68">
        <f>'Schedule 2E Adjustments'!R49</f>
        <v>0</v>
      </c>
      <c r="L50" s="68">
        <f t="shared" si="1"/>
        <v>0</v>
      </c>
      <c r="N50" s="117">
        <f>'Schedule 2E Adjustments'!X49</f>
        <v>0</v>
      </c>
      <c r="O50" s="117">
        <f>'Schedule 2E Adjustments'!AA49</f>
        <v>0</v>
      </c>
    </row>
    <row r="51" spans="1:15" x14ac:dyDescent="0.35">
      <c r="A51" s="24">
        <v>36</v>
      </c>
      <c r="B51" s="565" t="str">
        <f>'Schedule 2E Adjustments'!B50:D50</f>
        <v/>
      </c>
      <c r="C51" s="565"/>
      <c r="D51" s="565"/>
      <c r="F51" s="114">
        <f>'Schedule 2E Adjustments'!H50</f>
        <v>0</v>
      </c>
      <c r="G51" s="68">
        <f>'Schedule 2E Adjustments'!J50</f>
        <v>0</v>
      </c>
      <c r="H51" s="68">
        <f t="shared" si="0"/>
        <v>0</v>
      </c>
      <c r="J51" s="114">
        <f>'Schedule 2E Adjustments'!P50</f>
        <v>0</v>
      </c>
      <c r="K51" s="68">
        <f>'Schedule 2E Adjustments'!R50</f>
        <v>0</v>
      </c>
      <c r="L51" s="68">
        <f t="shared" si="1"/>
        <v>0</v>
      </c>
      <c r="N51" s="117">
        <f>'Schedule 2E Adjustments'!X50</f>
        <v>0</v>
      </c>
      <c r="O51" s="117">
        <f>'Schedule 2E Adjustments'!AA50</f>
        <v>0</v>
      </c>
    </row>
    <row r="52" spans="1:15" x14ac:dyDescent="0.35">
      <c r="A52" s="24">
        <v>37</v>
      </c>
      <c r="B52" s="565" t="str">
        <f>'Schedule 2E Adjustments'!B51:D51</f>
        <v/>
      </c>
      <c r="C52" s="565"/>
      <c r="D52" s="565"/>
      <c r="F52" s="114">
        <f>'Schedule 2E Adjustments'!H51</f>
        <v>0</v>
      </c>
      <c r="G52" s="68">
        <f>'Schedule 2E Adjustments'!J51</f>
        <v>0</v>
      </c>
      <c r="H52" s="68">
        <f t="shared" si="0"/>
        <v>0</v>
      </c>
      <c r="J52" s="114">
        <f>'Schedule 2E Adjustments'!P51</f>
        <v>0</v>
      </c>
      <c r="K52" s="68">
        <f>'Schedule 2E Adjustments'!R51</f>
        <v>0</v>
      </c>
      <c r="L52" s="68">
        <f t="shared" si="1"/>
        <v>0</v>
      </c>
      <c r="N52" s="117">
        <f>'Schedule 2E Adjustments'!X51</f>
        <v>0</v>
      </c>
      <c r="O52" s="117">
        <f>'Schedule 2E Adjustments'!AA51</f>
        <v>0</v>
      </c>
    </row>
    <row r="53" spans="1:15" x14ac:dyDescent="0.35">
      <c r="A53" s="24">
        <v>38</v>
      </c>
      <c r="B53" s="565" t="str">
        <f>'Schedule 2E Adjustments'!B52:D52</f>
        <v/>
      </c>
      <c r="C53" s="565"/>
      <c r="D53" s="565"/>
      <c r="F53" s="114">
        <f>'Schedule 2E Adjustments'!H52</f>
        <v>0</v>
      </c>
      <c r="G53" s="68">
        <f>'Schedule 2E Adjustments'!J52</f>
        <v>0</v>
      </c>
      <c r="H53" s="68">
        <f t="shared" si="0"/>
        <v>0</v>
      </c>
      <c r="J53" s="114">
        <f>'Schedule 2E Adjustments'!P52</f>
        <v>0</v>
      </c>
      <c r="K53" s="68">
        <f>'Schedule 2E Adjustments'!R52</f>
        <v>0</v>
      </c>
      <c r="L53" s="68">
        <f t="shared" si="1"/>
        <v>0</v>
      </c>
      <c r="N53" s="117">
        <f>'Schedule 2E Adjustments'!X52</f>
        <v>0</v>
      </c>
      <c r="O53" s="117">
        <f>'Schedule 2E Adjustments'!AA52</f>
        <v>0</v>
      </c>
    </row>
    <row r="54" spans="1:15" x14ac:dyDescent="0.35">
      <c r="A54" s="24">
        <v>39</v>
      </c>
      <c r="B54" s="565" t="str">
        <f>'Schedule 2E Adjustments'!B53:D53</f>
        <v/>
      </c>
      <c r="C54" s="565"/>
      <c r="D54" s="565"/>
      <c r="F54" s="114">
        <f>'Schedule 2E Adjustments'!H53</f>
        <v>0</v>
      </c>
      <c r="G54" s="68">
        <f>'Schedule 2E Adjustments'!J53</f>
        <v>0</v>
      </c>
      <c r="H54" s="68">
        <f t="shared" si="0"/>
        <v>0</v>
      </c>
      <c r="J54" s="114">
        <f>'Schedule 2E Adjustments'!P53</f>
        <v>0</v>
      </c>
      <c r="K54" s="68">
        <f>'Schedule 2E Adjustments'!R53</f>
        <v>0</v>
      </c>
      <c r="L54" s="68">
        <f t="shared" si="1"/>
        <v>0</v>
      </c>
      <c r="N54" s="117">
        <f>'Schedule 2E Adjustments'!X53</f>
        <v>0</v>
      </c>
      <c r="O54" s="117">
        <f>'Schedule 2E Adjustments'!AA53</f>
        <v>0</v>
      </c>
    </row>
    <row r="55" spans="1:15" x14ac:dyDescent="0.35">
      <c r="A55" s="24">
        <v>40</v>
      </c>
      <c r="B55" s="565" t="str">
        <f>'Schedule 2E Adjustments'!B54:D54</f>
        <v/>
      </c>
      <c r="C55" s="565"/>
      <c r="D55" s="565"/>
      <c r="F55" s="114">
        <f>'Schedule 2E Adjustments'!H54</f>
        <v>0</v>
      </c>
      <c r="G55" s="68">
        <f>'Schedule 2E Adjustments'!J54</f>
        <v>0</v>
      </c>
      <c r="H55" s="68">
        <f t="shared" si="0"/>
        <v>0</v>
      </c>
      <c r="J55" s="114">
        <f>'Schedule 2E Adjustments'!P54</f>
        <v>0</v>
      </c>
      <c r="K55" s="68">
        <f>'Schedule 2E Adjustments'!R54</f>
        <v>0</v>
      </c>
      <c r="L55" s="68">
        <f t="shared" si="1"/>
        <v>0</v>
      </c>
      <c r="N55" s="117">
        <f>'Schedule 2E Adjustments'!X54</f>
        <v>0</v>
      </c>
      <c r="O55" s="117">
        <f>'Schedule 2E Adjustments'!AA54</f>
        <v>0</v>
      </c>
    </row>
    <row r="56" spans="1:15" x14ac:dyDescent="0.35">
      <c r="A56" s="24">
        <v>41</v>
      </c>
      <c r="B56" s="565" t="str">
        <f>'Schedule 2E Adjustments'!B55:D55</f>
        <v/>
      </c>
      <c r="C56" s="565"/>
      <c r="D56" s="565"/>
      <c r="F56" s="114">
        <f>'Schedule 2E Adjustments'!H55</f>
        <v>0</v>
      </c>
      <c r="G56" s="68">
        <f>'Schedule 2E Adjustments'!J55</f>
        <v>0</v>
      </c>
      <c r="H56" s="68">
        <f t="shared" si="0"/>
        <v>0</v>
      </c>
      <c r="J56" s="114">
        <f>'Schedule 2E Adjustments'!P55</f>
        <v>0</v>
      </c>
      <c r="K56" s="68">
        <f>'Schedule 2E Adjustments'!R55</f>
        <v>0</v>
      </c>
      <c r="L56" s="68">
        <f t="shared" si="1"/>
        <v>0</v>
      </c>
      <c r="N56" s="117">
        <f>'Schedule 2E Adjustments'!X55</f>
        <v>0</v>
      </c>
      <c r="O56" s="117">
        <f>'Schedule 2E Adjustments'!AA55</f>
        <v>0</v>
      </c>
    </row>
    <row r="57" spans="1:15" x14ac:dyDescent="0.35">
      <c r="A57" s="24">
        <v>42</v>
      </c>
      <c r="B57" s="565" t="str">
        <f>'Schedule 2E Adjustments'!B56:D56</f>
        <v/>
      </c>
      <c r="C57" s="565"/>
      <c r="D57" s="565"/>
      <c r="F57" s="114">
        <f>'Schedule 2E Adjustments'!H56</f>
        <v>0</v>
      </c>
      <c r="G57" s="68">
        <f>'Schedule 2E Adjustments'!J56</f>
        <v>0</v>
      </c>
      <c r="H57" s="68">
        <f t="shared" si="0"/>
        <v>0</v>
      </c>
      <c r="J57" s="114">
        <f>'Schedule 2E Adjustments'!P56</f>
        <v>0</v>
      </c>
      <c r="K57" s="68">
        <f>'Schedule 2E Adjustments'!R56</f>
        <v>0</v>
      </c>
      <c r="L57" s="68">
        <f t="shared" si="1"/>
        <v>0</v>
      </c>
      <c r="N57" s="117">
        <f>'Schedule 2E Adjustments'!X56</f>
        <v>0</v>
      </c>
      <c r="O57" s="117">
        <f>'Schedule 2E Adjustments'!AA56</f>
        <v>0</v>
      </c>
    </row>
    <row r="58" spans="1:15" x14ac:dyDescent="0.35">
      <c r="A58" s="24">
        <v>43</v>
      </c>
      <c r="B58" s="565" t="str">
        <f>'Schedule 2E Adjustments'!B57:D57</f>
        <v/>
      </c>
      <c r="C58" s="565"/>
      <c r="D58" s="565"/>
      <c r="F58" s="114">
        <f>'Schedule 2E Adjustments'!H57</f>
        <v>0</v>
      </c>
      <c r="G58" s="68">
        <f>'Schedule 2E Adjustments'!J57</f>
        <v>0</v>
      </c>
      <c r="H58" s="68">
        <f t="shared" si="0"/>
        <v>0</v>
      </c>
      <c r="J58" s="114">
        <f>'Schedule 2E Adjustments'!P57</f>
        <v>0</v>
      </c>
      <c r="K58" s="68">
        <f>'Schedule 2E Adjustments'!R57</f>
        <v>0</v>
      </c>
      <c r="L58" s="68">
        <f t="shared" si="1"/>
        <v>0</v>
      </c>
      <c r="N58" s="117">
        <f>'Schedule 2E Adjustments'!X57</f>
        <v>0</v>
      </c>
      <c r="O58" s="117">
        <f>'Schedule 2E Adjustments'!AA57</f>
        <v>0</v>
      </c>
    </row>
    <row r="59" spans="1:15" x14ac:dyDescent="0.35">
      <c r="A59" s="24">
        <v>44</v>
      </c>
      <c r="B59" s="565" t="str">
        <f>'Schedule 2E Adjustments'!B58:D58</f>
        <v/>
      </c>
      <c r="C59" s="565"/>
      <c r="D59" s="565"/>
      <c r="F59" s="114">
        <f>'Schedule 2E Adjustments'!H58</f>
        <v>0</v>
      </c>
      <c r="G59" s="68">
        <f>'Schedule 2E Adjustments'!J58</f>
        <v>0</v>
      </c>
      <c r="H59" s="68">
        <f t="shared" si="0"/>
        <v>0</v>
      </c>
      <c r="J59" s="114">
        <f>'Schedule 2E Adjustments'!P58</f>
        <v>0</v>
      </c>
      <c r="K59" s="68">
        <f>'Schedule 2E Adjustments'!R58</f>
        <v>0</v>
      </c>
      <c r="L59" s="68">
        <f t="shared" si="1"/>
        <v>0</v>
      </c>
      <c r="N59" s="117">
        <f>'Schedule 2E Adjustments'!X58</f>
        <v>0</v>
      </c>
      <c r="O59" s="117">
        <f>'Schedule 2E Adjustments'!AA58</f>
        <v>0</v>
      </c>
    </row>
    <row r="60" spans="1:15" x14ac:dyDescent="0.35">
      <c r="A60" s="24">
        <v>45</v>
      </c>
      <c r="B60" s="565" t="str">
        <f>'Schedule 2E Adjustments'!B59:D59</f>
        <v/>
      </c>
      <c r="C60" s="565"/>
      <c r="D60" s="565"/>
      <c r="F60" s="114">
        <f>'Schedule 2E Adjustments'!H59</f>
        <v>0</v>
      </c>
      <c r="G60" s="68">
        <f>'Schedule 2E Adjustments'!J59</f>
        <v>0</v>
      </c>
      <c r="H60" s="68">
        <f t="shared" si="0"/>
        <v>0</v>
      </c>
      <c r="J60" s="114">
        <f>'Schedule 2E Adjustments'!P59</f>
        <v>0</v>
      </c>
      <c r="K60" s="68">
        <f>'Schedule 2E Adjustments'!R59</f>
        <v>0</v>
      </c>
      <c r="L60" s="68">
        <f t="shared" si="1"/>
        <v>0</v>
      </c>
      <c r="N60" s="117">
        <f>'Schedule 2E Adjustments'!X59</f>
        <v>0</v>
      </c>
      <c r="O60" s="117">
        <f>'Schedule 2E Adjustments'!AA59</f>
        <v>0</v>
      </c>
    </row>
    <row r="61" spans="1:15" x14ac:dyDescent="0.35">
      <c r="A61" s="24">
        <v>46</v>
      </c>
      <c r="B61" s="565" t="str">
        <f>'Schedule 2E Adjustments'!B60:D60</f>
        <v/>
      </c>
      <c r="C61" s="565"/>
      <c r="D61" s="565"/>
      <c r="F61" s="114">
        <f>'Schedule 2E Adjustments'!H60</f>
        <v>0</v>
      </c>
      <c r="G61" s="68">
        <f>'Schedule 2E Adjustments'!J60</f>
        <v>0</v>
      </c>
      <c r="H61" s="68">
        <f t="shared" si="0"/>
        <v>0</v>
      </c>
      <c r="J61" s="114">
        <f>'Schedule 2E Adjustments'!P60</f>
        <v>0</v>
      </c>
      <c r="K61" s="68">
        <f>'Schedule 2E Adjustments'!R60</f>
        <v>0</v>
      </c>
      <c r="L61" s="68">
        <f t="shared" si="1"/>
        <v>0</v>
      </c>
      <c r="N61" s="117">
        <f>'Schedule 2E Adjustments'!X60</f>
        <v>0</v>
      </c>
      <c r="O61" s="117">
        <f>'Schedule 2E Adjustments'!AA60</f>
        <v>0</v>
      </c>
    </row>
    <row r="62" spans="1:15" x14ac:dyDescent="0.35">
      <c r="A62" s="24">
        <v>47</v>
      </c>
      <c r="B62" s="565" t="str">
        <f>'Schedule 2E Adjustments'!B61:D61</f>
        <v/>
      </c>
      <c r="C62" s="565"/>
      <c r="D62" s="565"/>
      <c r="F62" s="114">
        <f>'Schedule 2E Adjustments'!H61</f>
        <v>0</v>
      </c>
      <c r="G62" s="68">
        <f>'Schedule 2E Adjustments'!J61</f>
        <v>0</v>
      </c>
      <c r="H62" s="68">
        <f t="shared" si="0"/>
        <v>0</v>
      </c>
      <c r="J62" s="114">
        <f>'Schedule 2E Adjustments'!P61</f>
        <v>0</v>
      </c>
      <c r="K62" s="68">
        <f>'Schedule 2E Adjustments'!R61</f>
        <v>0</v>
      </c>
      <c r="L62" s="68">
        <f t="shared" si="1"/>
        <v>0</v>
      </c>
      <c r="N62" s="117">
        <f>'Schedule 2E Adjustments'!X61</f>
        <v>0</v>
      </c>
      <c r="O62" s="117">
        <f>'Schedule 2E Adjustments'!AA61</f>
        <v>0</v>
      </c>
    </row>
    <row r="63" spans="1:15" x14ac:dyDescent="0.35">
      <c r="A63" s="24">
        <v>48</v>
      </c>
      <c r="B63" s="565" t="str">
        <f>'Schedule 2E Adjustments'!B62:D62</f>
        <v/>
      </c>
      <c r="C63" s="565"/>
      <c r="D63" s="565"/>
      <c r="F63" s="114">
        <f>'Schedule 2E Adjustments'!H62</f>
        <v>0</v>
      </c>
      <c r="G63" s="68">
        <f>'Schedule 2E Adjustments'!J62</f>
        <v>0</v>
      </c>
      <c r="H63" s="68">
        <f t="shared" si="0"/>
        <v>0</v>
      </c>
      <c r="J63" s="114">
        <f>'Schedule 2E Adjustments'!P62</f>
        <v>0</v>
      </c>
      <c r="K63" s="68">
        <f>'Schedule 2E Adjustments'!R62</f>
        <v>0</v>
      </c>
      <c r="L63" s="68">
        <f t="shared" si="1"/>
        <v>0</v>
      </c>
      <c r="N63" s="117">
        <f>'Schedule 2E Adjustments'!X62</f>
        <v>0</v>
      </c>
      <c r="O63" s="117">
        <f>'Schedule 2E Adjustments'!AA62</f>
        <v>0</v>
      </c>
    </row>
    <row r="64" spans="1:15" x14ac:dyDescent="0.35">
      <c r="A64" s="24">
        <v>49</v>
      </c>
      <c r="B64" s="565" t="str">
        <f>'Schedule 2E Adjustments'!B63:D63</f>
        <v/>
      </c>
      <c r="C64" s="565"/>
      <c r="D64" s="565"/>
      <c r="F64" s="114">
        <f>'Schedule 2E Adjustments'!H63</f>
        <v>0</v>
      </c>
      <c r="G64" s="68">
        <f>'Schedule 2E Adjustments'!J63</f>
        <v>0</v>
      </c>
      <c r="H64" s="68">
        <f t="shared" si="0"/>
        <v>0</v>
      </c>
      <c r="J64" s="114">
        <f>'Schedule 2E Adjustments'!P63</f>
        <v>0</v>
      </c>
      <c r="K64" s="68">
        <f>'Schedule 2E Adjustments'!R63</f>
        <v>0</v>
      </c>
      <c r="L64" s="68">
        <f t="shared" si="1"/>
        <v>0</v>
      </c>
      <c r="N64" s="117">
        <f>'Schedule 2E Adjustments'!X63</f>
        <v>0</v>
      </c>
      <c r="O64" s="117">
        <f>'Schedule 2E Adjustments'!AA63</f>
        <v>0</v>
      </c>
    </row>
    <row r="65" spans="1:15" x14ac:dyDescent="0.35">
      <c r="A65" s="24">
        <v>50</v>
      </c>
      <c r="B65" s="565" t="str">
        <f>'Schedule 2E Adjustments'!B64:D64</f>
        <v/>
      </c>
      <c r="C65" s="565"/>
      <c r="D65" s="565"/>
      <c r="F65" s="114">
        <f>'Schedule 2E Adjustments'!H64</f>
        <v>0</v>
      </c>
      <c r="G65" s="68">
        <f>'Schedule 2E Adjustments'!J64</f>
        <v>0</v>
      </c>
      <c r="H65" s="68">
        <f t="shared" si="0"/>
        <v>0</v>
      </c>
      <c r="J65" s="114">
        <f>'Schedule 2E Adjustments'!P64</f>
        <v>0</v>
      </c>
      <c r="K65" s="68">
        <f>'Schedule 2E Adjustments'!R64</f>
        <v>0</v>
      </c>
      <c r="L65" s="68">
        <f t="shared" si="1"/>
        <v>0</v>
      </c>
      <c r="N65" s="117">
        <f>'Schedule 2E Adjustments'!X64</f>
        <v>0</v>
      </c>
      <c r="O65" s="117">
        <f>'Schedule 2E Adjustments'!AA64</f>
        <v>0</v>
      </c>
    </row>
    <row r="66" spans="1:15" x14ac:dyDescent="0.35">
      <c r="A66" s="24">
        <v>51</v>
      </c>
      <c r="B66" s="565" t="str">
        <f>'Schedule 2E Adjustments'!B65:D65</f>
        <v/>
      </c>
      <c r="C66" s="565"/>
      <c r="D66" s="565"/>
      <c r="F66" s="114">
        <f>'Schedule 2E Adjustments'!H65</f>
        <v>0</v>
      </c>
      <c r="G66" s="68">
        <f>'Schedule 2E Adjustments'!J65</f>
        <v>0</v>
      </c>
      <c r="H66" s="68">
        <f t="shared" si="0"/>
        <v>0</v>
      </c>
      <c r="J66" s="114">
        <f>'Schedule 2E Adjustments'!P65</f>
        <v>0</v>
      </c>
      <c r="K66" s="68">
        <f>'Schedule 2E Adjustments'!R65</f>
        <v>0</v>
      </c>
      <c r="L66" s="68">
        <f t="shared" si="1"/>
        <v>0</v>
      </c>
      <c r="N66" s="117">
        <f>'Schedule 2E Adjustments'!X65</f>
        <v>0</v>
      </c>
      <c r="O66" s="117">
        <f>'Schedule 2E Adjustments'!AA65</f>
        <v>0</v>
      </c>
    </row>
    <row r="67" spans="1:15" x14ac:dyDescent="0.35">
      <c r="A67" s="24">
        <v>52</v>
      </c>
      <c r="B67" s="565" t="str">
        <f>'Schedule 2E Adjustments'!B66:D66</f>
        <v/>
      </c>
      <c r="C67" s="565"/>
      <c r="D67" s="565"/>
      <c r="F67" s="114">
        <f>'Schedule 2E Adjustments'!H66</f>
        <v>0</v>
      </c>
      <c r="G67" s="68">
        <f>'Schedule 2E Adjustments'!J66</f>
        <v>0</v>
      </c>
      <c r="H67" s="68">
        <f t="shared" si="0"/>
        <v>0</v>
      </c>
      <c r="J67" s="114">
        <f>'Schedule 2E Adjustments'!P66</f>
        <v>0</v>
      </c>
      <c r="K67" s="68">
        <f>'Schedule 2E Adjustments'!R66</f>
        <v>0</v>
      </c>
      <c r="L67" s="68">
        <f t="shared" si="1"/>
        <v>0</v>
      </c>
      <c r="N67" s="117">
        <f>'Schedule 2E Adjustments'!X66</f>
        <v>0</v>
      </c>
      <c r="O67" s="117">
        <f>'Schedule 2E Adjustments'!AA66</f>
        <v>0</v>
      </c>
    </row>
    <row r="68" spans="1:15" x14ac:dyDescent="0.35">
      <c r="A68" s="24">
        <v>53</v>
      </c>
      <c r="B68" s="565" t="str">
        <f>'Schedule 2E Adjustments'!B67:D67</f>
        <v/>
      </c>
      <c r="C68" s="565"/>
      <c r="D68" s="565"/>
      <c r="F68" s="114">
        <f>'Schedule 2E Adjustments'!H67</f>
        <v>0</v>
      </c>
      <c r="G68" s="68">
        <f>'Schedule 2E Adjustments'!J67</f>
        <v>0</v>
      </c>
      <c r="H68" s="68">
        <f t="shared" si="0"/>
        <v>0</v>
      </c>
      <c r="J68" s="114">
        <f>'Schedule 2E Adjustments'!P67</f>
        <v>0</v>
      </c>
      <c r="K68" s="68">
        <f>'Schedule 2E Adjustments'!R67</f>
        <v>0</v>
      </c>
      <c r="L68" s="68">
        <f t="shared" si="1"/>
        <v>0</v>
      </c>
      <c r="N68" s="117">
        <f>'Schedule 2E Adjustments'!X67</f>
        <v>0</v>
      </c>
      <c r="O68" s="117">
        <f>'Schedule 2E Adjustments'!AA67</f>
        <v>0</v>
      </c>
    </row>
    <row r="69" spans="1:15" x14ac:dyDescent="0.35">
      <c r="A69" s="24">
        <v>54</v>
      </c>
      <c r="B69" s="565" t="str">
        <f>'Schedule 2E Adjustments'!B68:D68</f>
        <v/>
      </c>
      <c r="C69" s="565"/>
      <c r="D69" s="565"/>
      <c r="F69" s="114">
        <f>'Schedule 2E Adjustments'!H68</f>
        <v>0</v>
      </c>
      <c r="G69" s="68">
        <f>'Schedule 2E Adjustments'!J68</f>
        <v>0</v>
      </c>
      <c r="H69" s="68">
        <f t="shared" si="0"/>
        <v>0</v>
      </c>
      <c r="J69" s="114">
        <f>'Schedule 2E Adjustments'!P68</f>
        <v>0</v>
      </c>
      <c r="K69" s="68">
        <f>'Schedule 2E Adjustments'!R68</f>
        <v>0</v>
      </c>
      <c r="L69" s="68">
        <f t="shared" si="1"/>
        <v>0</v>
      </c>
      <c r="N69" s="117">
        <f>'Schedule 2E Adjustments'!X68</f>
        <v>0</v>
      </c>
      <c r="O69" s="117">
        <f>'Schedule 2E Adjustments'!AA68</f>
        <v>0</v>
      </c>
    </row>
    <row r="70" spans="1:15" x14ac:dyDescent="0.35">
      <c r="A70" s="24">
        <v>55</v>
      </c>
      <c r="B70" s="565" t="str">
        <f>'Schedule 2E Adjustments'!B69:D69</f>
        <v/>
      </c>
      <c r="C70" s="565"/>
      <c r="D70" s="565"/>
      <c r="F70" s="114">
        <f>'Schedule 2E Adjustments'!H69</f>
        <v>0</v>
      </c>
      <c r="G70" s="68">
        <f>'Schedule 2E Adjustments'!J69</f>
        <v>0</v>
      </c>
      <c r="H70" s="68">
        <f t="shared" si="0"/>
        <v>0</v>
      </c>
      <c r="J70" s="114">
        <f>'Schedule 2E Adjustments'!P69</f>
        <v>0</v>
      </c>
      <c r="K70" s="68">
        <f>'Schedule 2E Adjustments'!R69</f>
        <v>0</v>
      </c>
      <c r="L70" s="68">
        <f t="shared" si="1"/>
        <v>0</v>
      </c>
      <c r="N70" s="117">
        <f>'Schedule 2E Adjustments'!X69</f>
        <v>0</v>
      </c>
      <c r="O70" s="117">
        <f>'Schedule 2E Adjustments'!AA69</f>
        <v>0</v>
      </c>
    </row>
    <row r="71" spans="1:15" x14ac:dyDescent="0.35">
      <c r="A71" s="24">
        <v>56</v>
      </c>
      <c r="B71" s="565" t="str">
        <f>'Schedule 2E Adjustments'!B70:D70</f>
        <v/>
      </c>
      <c r="C71" s="565"/>
      <c r="D71" s="565"/>
      <c r="F71" s="114">
        <f>'Schedule 2E Adjustments'!H70</f>
        <v>0</v>
      </c>
      <c r="G71" s="68">
        <f>'Schedule 2E Adjustments'!J70</f>
        <v>0</v>
      </c>
      <c r="H71" s="68">
        <f t="shared" si="0"/>
        <v>0</v>
      </c>
      <c r="J71" s="114">
        <f>'Schedule 2E Adjustments'!P70</f>
        <v>0</v>
      </c>
      <c r="K71" s="68">
        <f>'Schedule 2E Adjustments'!R70</f>
        <v>0</v>
      </c>
      <c r="L71" s="68">
        <f t="shared" si="1"/>
        <v>0</v>
      </c>
      <c r="N71" s="117">
        <f>'Schedule 2E Adjustments'!X70</f>
        <v>0</v>
      </c>
      <c r="O71" s="117">
        <f>'Schedule 2E Adjustments'!AA70</f>
        <v>0</v>
      </c>
    </row>
    <row r="72" spans="1:15" x14ac:dyDescent="0.35">
      <c r="A72" s="24">
        <v>57</v>
      </c>
      <c r="B72" s="565" t="str">
        <f>'Schedule 2E Adjustments'!B71:D71</f>
        <v/>
      </c>
      <c r="C72" s="565"/>
      <c r="D72" s="565"/>
      <c r="F72" s="114">
        <f>'Schedule 2E Adjustments'!H71</f>
        <v>0</v>
      </c>
      <c r="G72" s="68">
        <f>'Schedule 2E Adjustments'!J71</f>
        <v>0</v>
      </c>
      <c r="H72" s="68">
        <f t="shared" si="0"/>
        <v>0</v>
      </c>
      <c r="J72" s="114">
        <f>'Schedule 2E Adjustments'!P71</f>
        <v>0</v>
      </c>
      <c r="K72" s="68">
        <f>'Schedule 2E Adjustments'!R71</f>
        <v>0</v>
      </c>
      <c r="L72" s="68">
        <f t="shared" si="1"/>
        <v>0</v>
      </c>
      <c r="N72" s="117">
        <f>'Schedule 2E Adjustments'!X71</f>
        <v>0</v>
      </c>
      <c r="O72" s="117">
        <f>'Schedule 2E Adjustments'!AA71</f>
        <v>0</v>
      </c>
    </row>
    <row r="73" spans="1:15" x14ac:dyDescent="0.35">
      <c r="A73" s="24">
        <v>58</v>
      </c>
      <c r="B73" s="565" t="str">
        <f>'Schedule 2E Adjustments'!B72:D72</f>
        <v/>
      </c>
      <c r="C73" s="565"/>
      <c r="D73" s="565"/>
      <c r="F73" s="114">
        <f>'Schedule 2E Adjustments'!H72</f>
        <v>0</v>
      </c>
      <c r="G73" s="68">
        <f>'Schedule 2E Adjustments'!J72</f>
        <v>0</v>
      </c>
      <c r="H73" s="68">
        <f t="shared" si="0"/>
        <v>0</v>
      </c>
      <c r="J73" s="114">
        <f>'Schedule 2E Adjustments'!P72</f>
        <v>0</v>
      </c>
      <c r="K73" s="68">
        <f>'Schedule 2E Adjustments'!R72</f>
        <v>0</v>
      </c>
      <c r="L73" s="68">
        <f t="shared" si="1"/>
        <v>0</v>
      </c>
      <c r="N73" s="117">
        <f>'Schedule 2E Adjustments'!X72</f>
        <v>0</v>
      </c>
      <c r="O73" s="117">
        <f>'Schedule 2E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17302493-42B1-4877-869E-E424A97AE78B}" state="hidden">
      <selection activeCell="F17" sqref="F17"/>
      <pageMargins left="0.7" right="0.7" top="0.75" bottom="0.75" header="0.3" footer="0.3"/>
    </customSheetView>
    <customSheetView guid="{5C0BA3A5-859C-46C2-B685-44D9A90065E4}">
      <selection activeCell="F17" sqref="F17"/>
      <pageMargins left="0.7" right="0.7" top="0.75" bottom="0.75" header="0.3" footer="0.3"/>
    </customSheetView>
  </customSheetViews>
  <mergeCells count="64">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N14:N15"/>
    <mergeCell ref="B20:D20"/>
    <mergeCell ref="B13:D13"/>
    <mergeCell ref="B14:D15"/>
    <mergeCell ref="F14:H14"/>
    <mergeCell ref="J14:L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 t="s">
        <v>852</v>
      </c>
      <c r="B3" s="5"/>
      <c r="C3" s="5"/>
      <c r="D3" s="5"/>
      <c r="E3" s="5"/>
      <c r="F3" s="5"/>
      <c r="G3" s="5"/>
      <c r="H3" s="5"/>
    </row>
    <row r="4" spans="1:15" ht="25" customHeight="1" x14ac:dyDescent="0.5">
      <c r="A4" s="235" t="str">
        <f>Results!A4</f>
        <v>Final Adjustments</v>
      </c>
      <c r="B4" s="354"/>
      <c r="C4" s="354"/>
      <c r="D4" s="354"/>
      <c r="E4" s="354"/>
      <c r="F4" s="354"/>
      <c r="G4" s="354"/>
      <c r="H4" s="354"/>
    </row>
    <row r="6" spans="1:15" x14ac:dyDescent="0.35">
      <c r="A6" s="1" t="s">
        <v>776</v>
      </c>
      <c r="C6" s="414" t="str">
        <f>Results!$C$6</f>
        <v>WellPower</v>
      </c>
    </row>
    <row r="7" spans="1:15" x14ac:dyDescent="0.35">
      <c r="A7" s="1" t="s">
        <v>0</v>
      </c>
      <c r="C7" s="35">
        <f>Results!$C$7</f>
        <v>45473</v>
      </c>
      <c r="F7" s="35"/>
    </row>
    <row r="9" spans="1:15" x14ac:dyDescent="0.35">
      <c r="A9" s="1" t="s">
        <v>253</v>
      </c>
      <c r="B9" s="1" t="s">
        <v>816</v>
      </c>
      <c r="C9" s="1"/>
      <c r="F9" s="116" t="str">
        <f>'Schedule 2F Adjustments'!F8</f>
        <v>Yes/No</v>
      </c>
      <c r="G9" s="41" t="s">
        <v>259</v>
      </c>
    </row>
    <row r="11" spans="1:15" x14ac:dyDescent="0.35">
      <c r="A11" s="1" t="s">
        <v>254</v>
      </c>
      <c r="B11" s="1" t="s">
        <v>256</v>
      </c>
      <c r="C11" s="1"/>
    </row>
    <row r="12" spans="1:15" x14ac:dyDescent="0.35">
      <c r="B12" s="311" t="s">
        <v>592</v>
      </c>
    </row>
    <row r="13" spans="1:15" x14ac:dyDescent="0.35">
      <c r="B13" s="560">
        <v>1</v>
      </c>
      <c r="C13" s="560"/>
      <c r="D13" s="560"/>
      <c r="F13" s="23">
        <v>2</v>
      </c>
      <c r="G13" s="23">
        <v>3</v>
      </c>
      <c r="H13" s="23">
        <v>4</v>
      </c>
      <c r="J13" s="23">
        <v>5</v>
      </c>
      <c r="K13" s="23">
        <v>6</v>
      </c>
      <c r="L13" s="23">
        <v>7</v>
      </c>
      <c r="N13" s="23">
        <v>8</v>
      </c>
      <c r="O13" s="23">
        <v>9</v>
      </c>
    </row>
    <row r="14" spans="1:15" ht="15" customHeight="1" x14ac:dyDescent="0.35">
      <c r="B14" s="569" t="s">
        <v>606</v>
      </c>
      <c r="C14" s="570"/>
      <c r="D14" s="571"/>
      <c r="F14" s="563" t="s">
        <v>261</v>
      </c>
      <c r="G14" s="568"/>
      <c r="H14" s="564"/>
      <c r="J14" s="563" t="s">
        <v>262</v>
      </c>
      <c r="K14" s="568"/>
      <c r="L14" s="564"/>
      <c r="N14" s="566" t="s">
        <v>686</v>
      </c>
      <c r="O14" s="566" t="s">
        <v>687</v>
      </c>
    </row>
    <row r="15" spans="1:15" ht="55.5" customHeight="1" x14ac:dyDescent="0.35">
      <c r="B15" s="572"/>
      <c r="C15" s="573"/>
      <c r="D15" s="574"/>
      <c r="E15" s="48"/>
      <c r="F15" s="10" t="s">
        <v>683</v>
      </c>
      <c r="G15" s="142" t="s">
        <v>684</v>
      </c>
      <c r="H15" s="142" t="s">
        <v>685</v>
      </c>
      <c r="I15" s="99"/>
      <c r="J15" s="10" t="s">
        <v>683</v>
      </c>
      <c r="K15" s="142" t="s">
        <v>684</v>
      </c>
      <c r="L15" s="142" t="s">
        <v>685</v>
      </c>
      <c r="M15" s="48"/>
      <c r="N15" s="567"/>
      <c r="O15" s="567"/>
    </row>
    <row r="16" spans="1:15" x14ac:dyDescent="0.35">
      <c r="A16" s="24">
        <v>1</v>
      </c>
      <c r="B16" s="565" t="str">
        <f>'Schedule 2F Adjustments'!B15:D15</f>
        <v/>
      </c>
      <c r="C16" s="565"/>
      <c r="D16" s="565"/>
      <c r="F16" s="114">
        <f>'Schedule 2F Adjustments'!H15</f>
        <v>0</v>
      </c>
      <c r="G16" s="68">
        <f>'Schedule 2F Adjustments'!J15</f>
        <v>0</v>
      </c>
      <c r="H16" s="68">
        <f>SUM(F16:G16)</f>
        <v>0</v>
      </c>
      <c r="J16" s="114">
        <f>'Schedule 2F Adjustments'!P15</f>
        <v>0</v>
      </c>
      <c r="K16" s="68">
        <f>'Schedule 2F Adjustments'!R15</f>
        <v>0</v>
      </c>
      <c r="L16" s="68">
        <f>SUM(J16:K16)</f>
        <v>0</v>
      </c>
      <c r="N16" s="117">
        <f>'Schedule 2F Adjustments'!X15</f>
        <v>0</v>
      </c>
      <c r="O16" s="117">
        <f>'Schedule 2F Adjustments'!AA15</f>
        <v>0</v>
      </c>
    </row>
    <row r="17" spans="1:15" x14ac:dyDescent="0.35">
      <c r="A17" s="24">
        <v>2</v>
      </c>
      <c r="B17" s="565" t="str">
        <f>'Schedule 2F Adjustments'!B16:D16</f>
        <v/>
      </c>
      <c r="C17" s="565"/>
      <c r="D17" s="565"/>
      <c r="F17" s="114">
        <f>'Schedule 2F Adjustments'!H16</f>
        <v>0</v>
      </c>
      <c r="G17" s="68">
        <f>'Schedule 2F Adjustments'!J16</f>
        <v>0</v>
      </c>
      <c r="H17" s="68">
        <f t="shared" ref="H17:H73" si="0">SUM(F17:G17)</f>
        <v>0</v>
      </c>
      <c r="J17" s="114">
        <f>'Schedule 2F Adjustments'!P16</f>
        <v>0</v>
      </c>
      <c r="K17" s="68">
        <f>'Schedule 2F Adjustments'!R16</f>
        <v>0</v>
      </c>
      <c r="L17" s="68">
        <f t="shared" ref="L17:L73" si="1">SUM(J17:K17)</f>
        <v>0</v>
      </c>
      <c r="N17" s="117">
        <f>'Schedule 2F Adjustments'!X16</f>
        <v>0</v>
      </c>
      <c r="O17" s="117">
        <f>'Schedule 2F Adjustments'!AA16</f>
        <v>0</v>
      </c>
    </row>
    <row r="18" spans="1:15" x14ac:dyDescent="0.35">
      <c r="A18" s="24">
        <v>3</v>
      </c>
      <c r="B18" s="565" t="str">
        <f>'Schedule 2F Adjustments'!B17:D17</f>
        <v/>
      </c>
      <c r="C18" s="565"/>
      <c r="D18" s="565"/>
      <c r="F18" s="114">
        <f>'Schedule 2F Adjustments'!H17</f>
        <v>0</v>
      </c>
      <c r="G18" s="68">
        <f>'Schedule 2F Adjustments'!J17</f>
        <v>0</v>
      </c>
      <c r="H18" s="68">
        <f t="shared" si="0"/>
        <v>0</v>
      </c>
      <c r="J18" s="114">
        <f>'Schedule 2F Adjustments'!P17</f>
        <v>0</v>
      </c>
      <c r="K18" s="68">
        <f>'Schedule 2F Adjustments'!R17</f>
        <v>0</v>
      </c>
      <c r="L18" s="68">
        <f t="shared" si="1"/>
        <v>0</v>
      </c>
      <c r="N18" s="117">
        <f>'Schedule 2F Adjustments'!X17</f>
        <v>0</v>
      </c>
      <c r="O18" s="117">
        <f>'Schedule 2F Adjustments'!AA17</f>
        <v>0</v>
      </c>
    </row>
    <row r="19" spans="1:15" x14ac:dyDescent="0.35">
      <c r="A19" s="24">
        <v>4</v>
      </c>
      <c r="B19" s="565" t="str">
        <f>'Schedule 2F Adjustments'!B18:D18</f>
        <v/>
      </c>
      <c r="C19" s="565"/>
      <c r="D19" s="565"/>
      <c r="F19" s="114">
        <f>'Schedule 2F Adjustments'!H18</f>
        <v>0</v>
      </c>
      <c r="G19" s="68">
        <f>'Schedule 2F Adjustments'!J18</f>
        <v>0</v>
      </c>
      <c r="H19" s="68">
        <f t="shared" si="0"/>
        <v>0</v>
      </c>
      <c r="J19" s="114">
        <f>'Schedule 2F Adjustments'!P18</f>
        <v>0</v>
      </c>
      <c r="K19" s="68">
        <f>'Schedule 2F Adjustments'!R18</f>
        <v>0</v>
      </c>
      <c r="L19" s="68">
        <f t="shared" si="1"/>
        <v>0</v>
      </c>
      <c r="N19" s="117">
        <f>'Schedule 2F Adjustments'!X18</f>
        <v>0</v>
      </c>
      <c r="O19" s="117">
        <f>'Schedule 2F Adjustments'!AA18</f>
        <v>0</v>
      </c>
    </row>
    <row r="20" spans="1:15" x14ac:dyDescent="0.35">
      <c r="A20" s="24">
        <v>5</v>
      </c>
      <c r="B20" s="565" t="str">
        <f>'Schedule 2F Adjustments'!B19:D19</f>
        <v/>
      </c>
      <c r="C20" s="565"/>
      <c r="D20" s="565"/>
      <c r="F20" s="114">
        <f>'Schedule 2F Adjustments'!H19</f>
        <v>0</v>
      </c>
      <c r="G20" s="68">
        <f>'Schedule 2F Adjustments'!J19</f>
        <v>0</v>
      </c>
      <c r="H20" s="68">
        <f t="shared" si="0"/>
        <v>0</v>
      </c>
      <c r="J20" s="114">
        <f>'Schedule 2F Adjustments'!P19</f>
        <v>0</v>
      </c>
      <c r="K20" s="68">
        <f>'Schedule 2F Adjustments'!R19</f>
        <v>0</v>
      </c>
      <c r="L20" s="68">
        <f t="shared" si="1"/>
        <v>0</v>
      </c>
      <c r="N20" s="117">
        <f>'Schedule 2F Adjustments'!X19</f>
        <v>0</v>
      </c>
      <c r="O20" s="117">
        <f>'Schedule 2F Adjustments'!AA19</f>
        <v>0</v>
      </c>
    </row>
    <row r="21" spans="1:15" x14ac:dyDescent="0.35">
      <c r="A21" s="24">
        <v>6</v>
      </c>
      <c r="B21" s="565" t="str">
        <f>'Schedule 2F Adjustments'!B20:D20</f>
        <v/>
      </c>
      <c r="C21" s="565"/>
      <c r="D21" s="565"/>
      <c r="F21" s="114">
        <f>'Schedule 2F Adjustments'!H20</f>
        <v>0</v>
      </c>
      <c r="G21" s="68">
        <f>'Schedule 2F Adjustments'!J20</f>
        <v>0</v>
      </c>
      <c r="H21" s="68">
        <f t="shared" si="0"/>
        <v>0</v>
      </c>
      <c r="J21" s="114">
        <f>'Schedule 2F Adjustments'!P20</f>
        <v>0</v>
      </c>
      <c r="K21" s="68">
        <f>'Schedule 2F Adjustments'!R20</f>
        <v>0</v>
      </c>
      <c r="L21" s="68">
        <f t="shared" si="1"/>
        <v>0</v>
      </c>
      <c r="N21" s="117">
        <f>'Schedule 2F Adjustments'!X20</f>
        <v>0</v>
      </c>
      <c r="O21" s="117">
        <f>'Schedule 2F Adjustments'!AA20</f>
        <v>0</v>
      </c>
    </row>
    <row r="22" spans="1:15" x14ac:dyDescent="0.35">
      <c r="A22" s="24">
        <v>7</v>
      </c>
      <c r="B22" s="565" t="str">
        <f>'Schedule 2F Adjustments'!B21:D21</f>
        <v/>
      </c>
      <c r="C22" s="565"/>
      <c r="D22" s="565"/>
      <c r="F22" s="114">
        <f>'Schedule 2F Adjustments'!H21</f>
        <v>0</v>
      </c>
      <c r="G22" s="68">
        <f>'Schedule 2F Adjustments'!J21</f>
        <v>0</v>
      </c>
      <c r="H22" s="68">
        <f t="shared" si="0"/>
        <v>0</v>
      </c>
      <c r="J22" s="114">
        <f>'Schedule 2F Adjustments'!P21</f>
        <v>0</v>
      </c>
      <c r="K22" s="68">
        <f>'Schedule 2F Adjustments'!R21</f>
        <v>0</v>
      </c>
      <c r="L22" s="68">
        <f t="shared" si="1"/>
        <v>0</v>
      </c>
      <c r="N22" s="117">
        <f>'Schedule 2F Adjustments'!X21</f>
        <v>0</v>
      </c>
      <c r="O22" s="117">
        <f>'Schedule 2F Adjustments'!AA21</f>
        <v>0</v>
      </c>
    </row>
    <row r="23" spans="1:15" x14ac:dyDescent="0.35">
      <c r="A23" s="24">
        <v>8</v>
      </c>
      <c r="B23" s="565" t="str">
        <f>'Schedule 2F Adjustments'!B22:D22</f>
        <v/>
      </c>
      <c r="C23" s="565"/>
      <c r="D23" s="565"/>
      <c r="F23" s="114">
        <f>'Schedule 2F Adjustments'!H22</f>
        <v>0</v>
      </c>
      <c r="G23" s="68">
        <f>'Schedule 2F Adjustments'!J22</f>
        <v>0</v>
      </c>
      <c r="H23" s="68">
        <f t="shared" si="0"/>
        <v>0</v>
      </c>
      <c r="J23" s="114">
        <f>'Schedule 2F Adjustments'!P22</f>
        <v>0</v>
      </c>
      <c r="K23" s="68">
        <f>'Schedule 2F Adjustments'!R22</f>
        <v>0</v>
      </c>
      <c r="L23" s="68">
        <f t="shared" si="1"/>
        <v>0</v>
      </c>
      <c r="N23" s="117">
        <f>'Schedule 2F Adjustments'!X22</f>
        <v>0</v>
      </c>
      <c r="O23" s="117">
        <f>'Schedule 2F Adjustments'!AA22</f>
        <v>0</v>
      </c>
    </row>
    <row r="24" spans="1:15" x14ac:dyDescent="0.35">
      <c r="A24" s="24">
        <v>9</v>
      </c>
      <c r="B24" s="565" t="str">
        <f>'Schedule 2F Adjustments'!B23:D23</f>
        <v/>
      </c>
      <c r="C24" s="565"/>
      <c r="D24" s="565"/>
      <c r="F24" s="114">
        <f>'Schedule 2F Adjustments'!H23</f>
        <v>0</v>
      </c>
      <c r="G24" s="68">
        <f>'Schedule 2F Adjustments'!J23</f>
        <v>0</v>
      </c>
      <c r="H24" s="68">
        <f t="shared" si="0"/>
        <v>0</v>
      </c>
      <c r="J24" s="114">
        <f>'Schedule 2F Adjustments'!P23</f>
        <v>0</v>
      </c>
      <c r="K24" s="68">
        <f>'Schedule 2F Adjustments'!R23</f>
        <v>0</v>
      </c>
      <c r="L24" s="68">
        <f t="shared" si="1"/>
        <v>0</v>
      </c>
      <c r="N24" s="117">
        <f>'Schedule 2F Adjustments'!X23</f>
        <v>0</v>
      </c>
      <c r="O24" s="117">
        <f>'Schedule 2F Adjustments'!AA23</f>
        <v>0</v>
      </c>
    </row>
    <row r="25" spans="1:15" x14ac:dyDescent="0.35">
      <c r="A25" s="24">
        <v>10</v>
      </c>
      <c r="B25" s="565" t="str">
        <f>'Schedule 2F Adjustments'!B24:D24</f>
        <v/>
      </c>
      <c r="C25" s="565"/>
      <c r="D25" s="565"/>
      <c r="F25" s="114">
        <f>'Schedule 2F Adjustments'!H24</f>
        <v>0</v>
      </c>
      <c r="G25" s="68">
        <f>'Schedule 2F Adjustments'!J24</f>
        <v>0</v>
      </c>
      <c r="H25" s="68">
        <f t="shared" si="0"/>
        <v>0</v>
      </c>
      <c r="J25" s="114">
        <f>'Schedule 2F Adjustments'!P24</f>
        <v>0</v>
      </c>
      <c r="K25" s="68">
        <f>'Schedule 2F Adjustments'!R24</f>
        <v>0</v>
      </c>
      <c r="L25" s="68">
        <f t="shared" si="1"/>
        <v>0</v>
      </c>
      <c r="N25" s="117">
        <f>'Schedule 2F Adjustments'!X24</f>
        <v>0</v>
      </c>
      <c r="O25" s="117">
        <f>'Schedule 2F Adjustments'!AA24</f>
        <v>0</v>
      </c>
    </row>
    <row r="26" spans="1:15" x14ac:dyDescent="0.35">
      <c r="A26" s="24">
        <v>11</v>
      </c>
      <c r="B26" s="565" t="str">
        <f>'Schedule 2F Adjustments'!B25:D25</f>
        <v/>
      </c>
      <c r="C26" s="565"/>
      <c r="D26" s="565"/>
      <c r="F26" s="114">
        <f>'Schedule 2F Adjustments'!H25</f>
        <v>0</v>
      </c>
      <c r="G26" s="68">
        <f>'Schedule 2F Adjustments'!J25</f>
        <v>0</v>
      </c>
      <c r="H26" s="68">
        <f t="shared" si="0"/>
        <v>0</v>
      </c>
      <c r="J26" s="114">
        <f>'Schedule 2F Adjustments'!P25</f>
        <v>0</v>
      </c>
      <c r="K26" s="68">
        <f>'Schedule 2F Adjustments'!R25</f>
        <v>0</v>
      </c>
      <c r="L26" s="68">
        <f t="shared" si="1"/>
        <v>0</v>
      </c>
      <c r="N26" s="117">
        <f>'Schedule 2F Adjustments'!X25</f>
        <v>0</v>
      </c>
      <c r="O26" s="117">
        <f>'Schedule 2F Adjustments'!AA25</f>
        <v>0</v>
      </c>
    </row>
    <row r="27" spans="1:15" x14ac:dyDescent="0.35">
      <c r="A27" s="24">
        <v>12</v>
      </c>
      <c r="B27" s="565" t="str">
        <f>'Schedule 2F Adjustments'!B26:D26</f>
        <v/>
      </c>
      <c r="C27" s="565"/>
      <c r="D27" s="565"/>
      <c r="F27" s="114">
        <f>'Schedule 2F Adjustments'!H26</f>
        <v>0</v>
      </c>
      <c r="G27" s="68">
        <f>'Schedule 2F Adjustments'!J26</f>
        <v>0</v>
      </c>
      <c r="H27" s="68">
        <f t="shared" si="0"/>
        <v>0</v>
      </c>
      <c r="J27" s="114">
        <f>'Schedule 2F Adjustments'!P26</f>
        <v>0</v>
      </c>
      <c r="K27" s="68">
        <f>'Schedule 2F Adjustments'!R26</f>
        <v>0</v>
      </c>
      <c r="L27" s="68">
        <f t="shared" si="1"/>
        <v>0</v>
      </c>
      <c r="N27" s="117">
        <f>'Schedule 2F Adjustments'!X26</f>
        <v>0</v>
      </c>
      <c r="O27" s="117">
        <f>'Schedule 2F Adjustments'!AA26</f>
        <v>0</v>
      </c>
    </row>
    <row r="28" spans="1:15" x14ac:dyDescent="0.35">
      <c r="A28" s="24">
        <v>13</v>
      </c>
      <c r="B28" s="565" t="str">
        <f>'Schedule 2F Adjustments'!B27:D27</f>
        <v/>
      </c>
      <c r="C28" s="565"/>
      <c r="D28" s="565"/>
      <c r="F28" s="114">
        <f>'Schedule 2F Adjustments'!H27</f>
        <v>0</v>
      </c>
      <c r="G28" s="68">
        <f>'Schedule 2F Adjustments'!J27</f>
        <v>0</v>
      </c>
      <c r="H28" s="68">
        <f t="shared" si="0"/>
        <v>0</v>
      </c>
      <c r="J28" s="114">
        <f>'Schedule 2F Adjustments'!P27</f>
        <v>0</v>
      </c>
      <c r="K28" s="68">
        <f>'Schedule 2F Adjustments'!R27</f>
        <v>0</v>
      </c>
      <c r="L28" s="68">
        <f t="shared" si="1"/>
        <v>0</v>
      </c>
      <c r="N28" s="117">
        <f>'Schedule 2F Adjustments'!X27</f>
        <v>0</v>
      </c>
      <c r="O28" s="117">
        <f>'Schedule 2F Adjustments'!AA27</f>
        <v>0</v>
      </c>
    </row>
    <row r="29" spans="1:15" x14ac:dyDescent="0.35">
      <c r="A29" s="24">
        <v>14</v>
      </c>
      <c r="B29" s="565" t="str">
        <f>'Schedule 2F Adjustments'!B28:D28</f>
        <v/>
      </c>
      <c r="C29" s="565"/>
      <c r="D29" s="565"/>
      <c r="F29" s="114">
        <f>'Schedule 2F Adjustments'!H28</f>
        <v>0</v>
      </c>
      <c r="G29" s="68">
        <f>'Schedule 2F Adjustments'!J28</f>
        <v>0</v>
      </c>
      <c r="H29" s="68">
        <f t="shared" si="0"/>
        <v>0</v>
      </c>
      <c r="J29" s="114">
        <f>'Schedule 2F Adjustments'!P28</f>
        <v>0</v>
      </c>
      <c r="K29" s="68">
        <f>'Schedule 2F Adjustments'!R28</f>
        <v>0</v>
      </c>
      <c r="L29" s="68">
        <f t="shared" si="1"/>
        <v>0</v>
      </c>
      <c r="N29" s="117">
        <f>'Schedule 2F Adjustments'!X28</f>
        <v>0</v>
      </c>
      <c r="O29" s="117">
        <f>'Schedule 2F Adjustments'!AA28</f>
        <v>0</v>
      </c>
    </row>
    <row r="30" spans="1:15" x14ac:dyDescent="0.35">
      <c r="A30" s="24">
        <v>15</v>
      </c>
      <c r="B30" s="565" t="str">
        <f>'Schedule 2F Adjustments'!B29:D29</f>
        <v/>
      </c>
      <c r="C30" s="565"/>
      <c r="D30" s="565"/>
      <c r="F30" s="114">
        <f>'Schedule 2F Adjustments'!H29</f>
        <v>0</v>
      </c>
      <c r="G30" s="68">
        <f>'Schedule 2F Adjustments'!J29</f>
        <v>0</v>
      </c>
      <c r="H30" s="68">
        <f t="shared" si="0"/>
        <v>0</v>
      </c>
      <c r="J30" s="114">
        <f>'Schedule 2F Adjustments'!P29</f>
        <v>0</v>
      </c>
      <c r="K30" s="68">
        <f>'Schedule 2F Adjustments'!R29</f>
        <v>0</v>
      </c>
      <c r="L30" s="68">
        <f t="shared" si="1"/>
        <v>0</v>
      </c>
      <c r="N30" s="117">
        <f>'Schedule 2F Adjustments'!X29</f>
        <v>0</v>
      </c>
      <c r="O30" s="117">
        <f>'Schedule 2F Adjustments'!AA29</f>
        <v>0</v>
      </c>
    </row>
    <row r="31" spans="1:15" x14ac:dyDescent="0.35">
      <c r="A31" s="24">
        <v>16</v>
      </c>
      <c r="B31" s="565" t="str">
        <f>'Schedule 2F Adjustments'!B30:D30</f>
        <v/>
      </c>
      <c r="C31" s="565"/>
      <c r="D31" s="565"/>
      <c r="F31" s="114">
        <f>'Schedule 2F Adjustments'!H30</f>
        <v>0</v>
      </c>
      <c r="G31" s="68">
        <f>'Schedule 2F Adjustments'!J30</f>
        <v>0</v>
      </c>
      <c r="H31" s="68">
        <f t="shared" si="0"/>
        <v>0</v>
      </c>
      <c r="J31" s="114">
        <f>'Schedule 2F Adjustments'!P30</f>
        <v>0</v>
      </c>
      <c r="K31" s="68">
        <f>'Schedule 2F Adjustments'!R30</f>
        <v>0</v>
      </c>
      <c r="L31" s="68">
        <f t="shared" si="1"/>
        <v>0</v>
      </c>
      <c r="N31" s="117">
        <f>'Schedule 2F Adjustments'!X30</f>
        <v>0</v>
      </c>
      <c r="O31" s="117">
        <f>'Schedule 2F Adjustments'!AA30</f>
        <v>0</v>
      </c>
    </row>
    <row r="32" spans="1:15" x14ac:dyDescent="0.35">
      <c r="A32" s="24">
        <v>17</v>
      </c>
      <c r="B32" s="565" t="str">
        <f>'Schedule 2F Adjustments'!B31:D31</f>
        <v/>
      </c>
      <c r="C32" s="565"/>
      <c r="D32" s="565"/>
      <c r="F32" s="114">
        <f>'Schedule 2F Adjustments'!H31</f>
        <v>0</v>
      </c>
      <c r="G32" s="68">
        <f>'Schedule 2F Adjustments'!J31</f>
        <v>0</v>
      </c>
      <c r="H32" s="68">
        <f t="shared" si="0"/>
        <v>0</v>
      </c>
      <c r="J32" s="114">
        <f>'Schedule 2F Adjustments'!P31</f>
        <v>0</v>
      </c>
      <c r="K32" s="68">
        <f>'Schedule 2F Adjustments'!R31</f>
        <v>0</v>
      </c>
      <c r="L32" s="68">
        <f t="shared" si="1"/>
        <v>0</v>
      </c>
      <c r="N32" s="117">
        <f>'Schedule 2F Adjustments'!X31</f>
        <v>0</v>
      </c>
      <c r="O32" s="117">
        <f>'Schedule 2F Adjustments'!AA31</f>
        <v>0</v>
      </c>
    </row>
    <row r="33" spans="1:15" x14ac:dyDescent="0.35">
      <c r="A33" s="24">
        <v>18</v>
      </c>
      <c r="B33" s="565" t="str">
        <f>'Schedule 2F Adjustments'!B32:D32</f>
        <v/>
      </c>
      <c r="C33" s="565"/>
      <c r="D33" s="565"/>
      <c r="F33" s="114">
        <f>'Schedule 2F Adjustments'!H32</f>
        <v>0</v>
      </c>
      <c r="G33" s="68">
        <f>'Schedule 2F Adjustments'!J32</f>
        <v>0</v>
      </c>
      <c r="H33" s="68">
        <f t="shared" si="0"/>
        <v>0</v>
      </c>
      <c r="J33" s="114">
        <f>'Schedule 2F Adjustments'!P32</f>
        <v>0</v>
      </c>
      <c r="K33" s="68">
        <f>'Schedule 2F Adjustments'!R32</f>
        <v>0</v>
      </c>
      <c r="L33" s="68">
        <f t="shared" si="1"/>
        <v>0</v>
      </c>
      <c r="N33" s="117">
        <f>'Schedule 2F Adjustments'!X32</f>
        <v>0</v>
      </c>
      <c r="O33" s="117">
        <f>'Schedule 2F Adjustments'!AA32</f>
        <v>0</v>
      </c>
    </row>
    <row r="34" spans="1:15" x14ac:dyDescent="0.35">
      <c r="A34" s="24">
        <v>19</v>
      </c>
      <c r="B34" s="565" t="str">
        <f>'Schedule 2F Adjustments'!B33:D33</f>
        <v/>
      </c>
      <c r="C34" s="565"/>
      <c r="D34" s="565"/>
      <c r="F34" s="114">
        <f>'Schedule 2F Adjustments'!H33</f>
        <v>0</v>
      </c>
      <c r="G34" s="68">
        <f>'Schedule 2F Adjustments'!J33</f>
        <v>0</v>
      </c>
      <c r="H34" s="68">
        <f t="shared" si="0"/>
        <v>0</v>
      </c>
      <c r="J34" s="114">
        <f>'Schedule 2F Adjustments'!P33</f>
        <v>0</v>
      </c>
      <c r="K34" s="68">
        <f>'Schedule 2F Adjustments'!R33</f>
        <v>0</v>
      </c>
      <c r="L34" s="68">
        <f t="shared" si="1"/>
        <v>0</v>
      </c>
      <c r="N34" s="117">
        <f>'Schedule 2F Adjustments'!X33</f>
        <v>0</v>
      </c>
      <c r="O34" s="117">
        <f>'Schedule 2F Adjustments'!AA33</f>
        <v>0</v>
      </c>
    </row>
    <row r="35" spans="1:15" x14ac:dyDescent="0.35">
      <c r="A35" s="24">
        <v>20</v>
      </c>
      <c r="B35" s="565" t="str">
        <f>'Schedule 2F Adjustments'!B34:D34</f>
        <v/>
      </c>
      <c r="C35" s="565"/>
      <c r="D35" s="565"/>
      <c r="F35" s="114">
        <f>'Schedule 2F Adjustments'!H34</f>
        <v>0</v>
      </c>
      <c r="G35" s="68">
        <f>'Schedule 2F Adjustments'!J34</f>
        <v>0</v>
      </c>
      <c r="H35" s="68">
        <f t="shared" si="0"/>
        <v>0</v>
      </c>
      <c r="J35" s="114">
        <f>'Schedule 2F Adjustments'!P34</f>
        <v>0</v>
      </c>
      <c r="K35" s="68">
        <f>'Schedule 2F Adjustments'!R34</f>
        <v>0</v>
      </c>
      <c r="L35" s="68">
        <f t="shared" si="1"/>
        <v>0</v>
      </c>
      <c r="N35" s="117">
        <f>'Schedule 2F Adjustments'!X34</f>
        <v>0</v>
      </c>
      <c r="O35" s="117">
        <f>'Schedule 2F Adjustments'!AA34</f>
        <v>0</v>
      </c>
    </row>
    <row r="36" spans="1:15" x14ac:dyDescent="0.35">
      <c r="A36" s="24">
        <v>21</v>
      </c>
      <c r="B36" s="565" t="str">
        <f>'Schedule 2F Adjustments'!B35:D35</f>
        <v/>
      </c>
      <c r="C36" s="565"/>
      <c r="D36" s="565"/>
      <c r="F36" s="114">
        <f>'Schedule 2F Adjustments'!H35</f>
        <v>0</v>
      </c>
      <c r="G36" s="68">
        <f>'Schedule 2F Adjustments'!J35</f>
        <v>0</v>
      </c>
      <c r="H36" s="68">
        <f t="shared" si="0"/>
        <v>0</v>
      </c>
      <c r="J36" s="114">
        <f>'Schedule 2F Adjustments'!P35</f>
        <v>0</v>
      </c>
      <c r="K36" s="68">
        <f>'Schedule 2F Adjustments'!R35</f>
        <v>0</v>
      </c>
      <c r="L36" s="68">
        <f t="shared" si="1"/>
        <v>0</v>
      </c>
      <c r="N36" s="117">
        <f>'Schedule 2F Adjustments'!X35</f>
        <v>0</v>
      </c>
      <c r="O36" s="117">
        <f>'Schedule 2F Adjustments'!AA35</f>
        <v>0</v>
      </c>
    </row>
    <row r="37" spans="1:15" x14ac:dyDescent="0.35">
      <c r="A37" s="24">
        <v>22</v>
      </c>
      <c r="B37" s="565" t="str">
        <f>'Schedule 2F Adjustments'!B36:D36</f>
        <v/>
      </c>
      <c r="C37" s="565"/>
      <c r="D37" s="565"/>
      <c r="F37" s="114">
        <f>'Schedule 2F Adjustments'!H36</f>
        <v>0</v>
      </c>
      <c r="G37" s="68">
        <f>'Schedule 2F Adjustments'!J36</f>
        <v>0</v>
      </c>
      <c r="H37" s="68">
        <f t="shared" si="0"/>
        <v>0</v>
      </c>
      <c r="J37" s="114">
        <f>'Schedule 2F Adjustments'!P36</f>
        <v>0</v>
      </c>
      <c r="K37" s="68">
        <f>'Schedule 2F Adjustments'!R36</f>
        <v>0</v>
      </c>
      <c r="L37" s="68">
        <f t="shared" si="1"/>
        <v>0</v>
      </c>
      <c r="N37" s="117">
        <f>'Schedule 2F Adjustments'!X36</f>
        <v>0</v>
      </c>
      <c r="O37" s="117">
        <f>'Schedule 2F Adjustments'!AA36</f>
        <v>0</v>
      </c>
    </row>
    <row r="38" spans="1:15" x14ac:dyDescent="0.35">
      <c r="A38" s="24">
        <v>23</v>
      </c>
      <c r="B38" s="565" t="str">
        <f>'Schedule 2F Adjustments'!B37:D37</f>
        <v/>
      </c>
      <c r="C38" s="565"/>
      <c r="D38" s="565"/>
      <c r="F38" s="114">
        <f>'Schedule 2F Adjustments'!H37</f>
        <v>0</v>
      </c>
      <c r="G38" s="68">
        <f>'Schedule 2F Adjustments'!J37</f>
        <v>0</v>
      </c>
      <c r="H38" s="68">
        <f t="shared" si="0"/>
        <v>0</v>
      </c>
      <c r="J38" s="114">
        <f>'Schedule 2F Adjustments'!P37</f>
        <v>0</v>
      </c>
      <c r="K38" s="68">
        <f>'Schedule 2F Adjustments'!R37</f>
        <v>0</v>
      </c>
      <c r="L38" s="68">
        <f t="shared" si="1"/>
        <v>0</v>
      </c>
      <c r="N38" s="117">
        <f>'Schedule 2F Adjustments'!X37</f>
        <v>0</v>
      </c>
      <c r="O38" s="117">
        <f>'Schedule 2F Adjustments'!AA37</f>
        <v>0</v>
      </c>
    </row>
    <row r="39" spans="1:15" x14ac:dyDescent="0.35">
      <c r="A39" s="24">
        <v>24</v>
      </c>
      <c r="B39" s="565" t="str">
        <f>'Schedule 2F Adjustments'!B38:D38</f>
        <v/>
      </c>
      <c r="C39" s="565"/>
      <c r="D39" s="565"/>
      <c r="F39" s="114">
        <f>'Schedule 2F Adjustments'!H38</f>
        <v>0</v>
      </c>
      <c r="G39" s="68">
        <f>'Schedule 2F Adjustments'!J38</f>
        <v>0</v>
      </c>
      <c r="H39" s="68">
        <f t="shared" si="0"/>
        <v>0</v>
      </c>
      <c r="J39" s="114">
        <f>'Schedule 2F Adjustments'!P38</f>
        <v>0</v>
      </c>
      <c r="K39" s="68">
        <f>'Schedule 2F Adjustments'!R38</f>
        <v>0</v>
      </c>
      <c r="L39" s="68">
        <f t="shared" si="1"/>
        <v>0</v>
      </c>
      <c r="N39" s="117">
        <f>'Schedule 2F Adjustments'!X38</f>
        <v>0</v>
      </c>
      <c r="O39" s="117">
        <f>'Schedule 2F Adjustments'!AA38</f>
        <v>0</v>
      </c>
    </row>
    <row r="40" spans="1:15" x14ac:dyDescent="0.35">
      <c r="A40" s="24">
        <v>25</v>
      </c>
      <c r="B40" s="565" t="str">
        <f>'Schedule 2F Adjustments'!B39:D39</f>
        <v/>
      </c>
      <c r="C40" s="565"/>
      <c r="D40" s="565"/>
      <c r="F40" s="114">
        <f>'Schedule 2F Adjustments'!H39</f>
        <v>0</v>
      </c>
      <c r="G40" s="68">
        <f>'Schedule 2F Adjustments'!J39</f>
        <v>0</v>
      </c>
      <c r="H40" s="68">
        <f t="shared" si="0"/>
        <v>0</v>
      </c>
      <c r="J40" s="114">
        <f>'Schedule 2F Adjustments'!P39</f>
        <v>0</v>
      </c>
      <c r="K40" s="68">
        <f>'Schedule 2F Adjustments'!R39</f>
        <v>0</v>
      </c>
      <c r="L40" s="68">
        <f t="shared" si="1"/>
        <v>0</v>
      </c>
      <c r="N40" s="117">
        <f>'Schedule 2F Adjustments'!X39</f>
        <v>0</v>
      </c>
      <c r="O40" s="117">
        <f>'Schedule 2F Adjustments'!AA39</f>
        <v>0</v>
      </c>
    </row>
    <row r="41" spans="1:15" x14ac:dyDescent="0.35">
      <c r="A41" s="24">
        <v>26</v>
      </c>
      <c r="B41" s="565" t="str">
        <f>'Schedule 2F Adjustments'!B40:D40</f>
        <v/>
      </c>
      <c r="C41" s="565"/>
      <c r="D41" s="565"/>
      <c r="F41" s="114">
        <f>'Schedule 2F Adjustments'!H40</f>
        <v>0</v>
      </c>
      <c r="G41" s="68">
        <f>'Schedule 2F Adjustments'!J40</f>
        <v>0</v>
      </c>
      <c r="H41" s="68">
        <f t="shared" si="0"/>
        <v>0</v>
      </c>
      <c r="J41" s="114">
        <f>'Schedule 2F Adjustments'!P40</f>
        <v>0</v>
      </c>
      <c r="K41" s="68">
        <f>'Schedule 2F Adjustments'!R40</f>
        <v>0</v>
      </c>
      <c r="L41" s="68">
        <f t="shared" si="1"/>
        <v>0</v>
      </c>
      <c r="N41" s="117">
        <f>'Schedule 2F Adjustments'!X40</f>
        <v>0</v>
      </c>
      <c r="O41" s="117">
        <f>'Schedule 2F Adjustments'!AA40</f>
        <v>0</v>
      </c>
    </row>
    <row r="42" spans="1:15" x14ac:dyDescent="0.35">
      <c r="A42" s="24">
        <v>27</v>
      </c>
      <c r="B42" s="565" t="str">
        <f>'Schedule 2F Adjustments'!B41:D41</f>
        <v/>
      </c>
      <c r="C42" s="565"/>
      <c r="D42" s="565"/>
      <c r="F42" s="114">
        <f>'Schedule 2F Adjustments'!H41</f>
        <v>0</v>
      </c>
      <c r="G42" s="68">
        <f>'Schedule 2F Adjustments'!J41</f>
        <v>0</v>
      </c>
      <c r="H42" s="68">
        <f t="shared" si="0"/>
        <v>0</v>
      </c>
      <c r="J42" s="114">
        <f>'Schedule 2F Adjustments'!P41</f>
        <v>0</v>
      </c>
      <c r="K42" s="68">
        <f>'Schedule 2F Adjustments'!R41</f>
        <v>0</v>
      </c>
      <c r="L42" s="68">
        <f t="shared" si="1"/>
        <v>0</v>
      </c>
      <c r="N42" s="117">
        <f>'Schedule 2F Adjustments'!X41</f>
        <v>0</v>
      </c>
      <c r="O42" s="117">
        <f>'Schedule 2F Adjustments'!AA41</f>
        <v>0</v>
      </c>
    </row>
    <row r="43" spans="1:15" x14ac:dyDescent="0.35">
      <c r="A43" s="24">
        <v>28</v>
      </c>
      <c r="B43" s="565" t="str">
        <f>'Schedule 2F Adjustments'!B42:D42</f>
        <v/>
      </c>
      <c r="C43" s="565"/>
      <c r="D43" s="565"/>
      <c r="F43" s="114">
        <f>'Schedule 2F Adjustments'!H42</f>
        <v>0</v>
      </c>
      <c r="G43" s="68">
        <f>'Schedule 2F Adjustments'!J42</f>
        <v>0</v>
      </c>
      <c r="H43" s="68">
        <f t="shared" si="0"/>
        <v>0</v>
      </c>
      <c r="J43" s="114">
        <f>'Schedule 2F Adjustments'!P42</f>
        <v>0</v>
      </c>
      <c r="K43" s="68">
        <f>'Schedule 2F Adjustments'!R42</f>
        <v>0</v>
      </c>
      <c r="L43" s="68">
        <f t="shared" si="1"/>
        <v>0</v>
      </c>
      <c r="N43" s="117">
        <f>'Schedule 2F Adjustments'!X42</f>
        <v>0</v>
      </c>
      <c r="O43" s="117">
        <f>'Schedule 2F Adjustments'!AA42</f>
        <v>0</v>
      </c>
    </row>
    <row r="44" spans="1:15" x14ac:dyDescent="0.35">
      <c r="A44" s="24">
        <v>29</v>
      </c>
      <c r="B44" s="565" t="str">
        <f>'Schedule 2F Adjustments'!B43:D43</f>
        <v/>
      </c>
      <c r="C44" s="565"/>
      <c r="D44" s="565"/>
      <c r="F44" s="114">
        <f>'Schedule 2F Adjustments'!H43</f>
        <v>0</v>
      </c>
      <c r="G44" s="68">
        <f>'Schedule 2F Adjustments'!J43</f>
        <v>0</v>
      </c>
      <c r="H44" s="68">
        <f t="shared" si="0"/>
        <v>0</v>
      </c>
      <c r="J44" s="114">
        <f>'Schedule 2F Adjustments'!P43</f>
        <v>0</v>
      </c>
      <c r="K44" s="68">
        <f>'Schedule 2F Adjustments'!R43</f>
        <v>0</v>
      </c>
      <c r="L44" s="68">
        <f t="shared" si="1"/>
        <v>0</v>
      </c>
      <c r="N44" s="117">
        <f>'Schedule 2F Adjustments'!X43</f>
        <v>0</v>
      </c>
      <c r="O44" s="117">
        <f>'Schedule 2F Adjustments'!AA43</f>
        <v>0</v>
      </c>
    </row>
    <row r="45" spans="1:15" x14ac:dyDescent="0.35">
      <c r="A45" s="24">
        <v>30</v>
      </c>
      <c r="B45" s="565" t="str">
        <f>'Schedule 2F Adjustments'!B44:D44</f>
        <v/>
      </c>
      <c r="C45" s="565"/>
      <c r="D45" s="565"/>
      <c r="F45" s="114">
        <f>'Schedule 2F Adjustments'!H44</f>
        <v>0</v>
      </c>
      <c r="G45" s="68">
        <f>'Schedule 2F Adjustments'!J44</f>
        <v>0</v>
      </c>
      <c r="H45" s="68">
        <f t="shared" si="0"/>
        <v>0</v>
      </c>
      <c r="J45" s="114">
        <f>'Schedule 2F Adjustments'!P44</f>
        <v>0</v>
      </c>
      <c r="K45" s="68">
        <f>'Schedule 2F Adjustments'!R44</f>
        <v>0</v>
      </c>
      <c r="L45" s="68">
        <f t="shared" si="1"/>
        <v>0</v>
      </c>
      <c r="N45" s="117">
        <f>'Schedule 2F Adjustments'!X44</f>
        <v>0</v>
      </c>
      <c r="O45" s="117">
        <f>'Schedule 2F Adjustments'!AA44</f>
        <v>0</v>
      </c>
    </row>
    <row r="46" spans="1:15" x14ac:dyDescent="0.35">
      <c r="A46" s="24">
        <v>31</v>
      </c>
      <c r="B46" s="565" t="str">
        <f>'Schedule 2F Adjustments'!B45:D45</f>
        <v/>
      </c>
      <c r="C46" s="565"/>
      <c r="D46" s="565"/>
      <c r="F46" s="114">
        <f>'Schedule 2F Adjustments'!H45</f>
        <v>0</v>
      </c>
      <c r="G46" s="68">
        <f>'Schedule 2F Adjustments'!J45</f>
        <v>0</v>
      </c>
      <c r="H46" s="68">
        <f t="shared" si="0"/>
        <v>0</v>
      </c>
      <c r="J46" s="114">
        <f>'Schedule 2F Adjustments'!P45</f>
        <v>0</v>
      </c>
      <c r="K46" s="68">
        <f>'Schedule 2F Adjustments'!R45</f>
        <v>0</v>
      </c>
      <c r="L46" s="68">
        <f t="shared" si="1"/>
        <v>0</v>
      </c>
      <c r="N46" s="117">
        <f>'Schedule 2F Adjustments'!X45</f>
        <v>0</v>
      </c>
      <c r="O46" s="117">
        <f>'Schedule 2F Adjustments'!AA45</f>
        <v>0</v>
      </c>
    </row>
    <row r="47" spans="1:15" x14ac:dyDescent="0.35">
      <c r="A47" s="24">
        <v>32</v>
      </c>
      <c r="B47" s="565" t="str">
        <f>'Schedule 2F Adjustments'!B46:D46</f>
        <v/>
      </c>
      <c r="C47" s="565"/>
      <c r="D47" s="565"/>
      <c r="F47" s="114">
        <f>'Schedule 2F Adjustments'!H46</f>
        <v>0</v>
      </c>
      <c r="G47" s="68">
        <f>'Schedule 2F Adjustments'!J46</f>
        <v>0</v>
      </c>
      <c r="H47" s="68">
        <f t="shared" si="0"/>
        <v>0</v>
      </c>
      <c r="J47" s="114">
        <f>'Schedule 2F Adjustments'!P46</f>
        <v>0</v>
      </c>
      <c r="K47" s="68">
        <f>'Schedule 2F Adjustments'!R46</f>
        <v>0</v>
      </c>
      <c r="L47" s="68">
        <f t="shared" si="1"/>
        <v>0</v>
      </c>
      <c r="N47" s="117">
        <f>'Schedule 2F Adjustments'!X46</f>
        <v>0</v>
      </c>
      <c r="O47" s="117">
        <f>'Schedule 2F Adjustments'!AA46</f>
        <v>0</v>
      </c>
    </row>
    <row r="48" spans="1:15" x14ac:dyDescent="0.35">
      <c r="A48" s="24">
        <v>33</v>
      </c>
      <c r="B48" s="565" t="str">
        <f>'Schedule 2F Adjustments'!B47:D47</f>
        <v/>
      </c>
      <c r="C48" s="565"/>
      <c r="D48" s="565"/>
      <c r="F48" s="114">
        <f>'Schedule 2F Adjustments'!H47</f>
        <v>0</v>
      </c>
      <c r="G48" s="68">
        <f>'Schedule 2F Adjustments'!J47</f>
        <v>0</v>
      </c>
      <c r="H48" s="68">
        <f t="shared" si="0"/>
        <v>0</v>
      </c>
      <c r="J48" s="114">
        <f>'Schedule 2F Adjustments'!P47</f>
        <v>0</v>
      </c>
      <c r="K48" s="68">
        <f>'Schedule 2F Adjustments'!R47</f>
        <v>0</v>
      </c>
      <c r="L48" s="68">
        <f t="shared" si="1"/>
        <v>0</v>
      </c>
      <c r="N48" s="117">
        <f>'Schedule 2F Adjustments'!X47</f>
        <v>0</v>
      </c>
      <c r="O48" s="117">
        <f>'Schedule 2F Adjustments'!AA47</f>
        <v>0</v>
      </c>
    </row>
    <row r="49" spans="1:15" x14ac:dyDescent="0.35">
      <c r="A49" s="24">
        <v>34</v>
      </c>
      <c r="B49" s="565" t="str">
        <f>'Schedule 2F Adjustments'!B48:D48</f>
        <v/>
      </c>
      <c r="C49" s="565"/>
      <c r="D49" s="565"/>
      <c r="F49" s="114">
        <f>'Schedule 2F Adjustments'!H48</f>
        <v>0</v>
      </c>
      <c r="G49" s="68">
        <f>'Schedule 2F Adjustments'!J48</f>
        <v>0</v>
      </c>
      <c r="H49" s="68">
        <f t="shared" si="0"/>
        <v>0</v>
      </c>
      <c r="J49" s="114">
        <f>'Schedule 2F Adjustments'!P48</f>
        <v>0</v>
      </c>
      <c r="K49" s="68">
        <f>'Schedule 2F Adjustments'!R48</f>
        <v>0</v>
      </c>
      <c r="L49" s="68">
        <f t="shared" si="1"/>
        <v>0</v>
      </c>
      <c r="N49" s="117">
        <f>'Schedule 2F Adjustments'!X48</f>
        <v>0</v>
      </c>
      <c r="O49" s="117">
        <f>'Schedule 2F Adjustments'!AA48</f>
        <v>0</v>
      </c>
    </row>
    <row r="50" spans="1:15" x14ac:dyDescent="0.35">
      <c r="A50" s="24">
        <v>35</v>
      </c>
      <c r="B50" s="565" t="str">
        <f>'Schedule 2F Adjustments'!B49:D49</f>
        <v/>
      </c>
      <c r="C50" s="565"/>
      <c r="D50" s="565"/>
      <c r="F50" s="114">
        <f>'Schedule 2F Adjustments'!H49</f>
        <v>0</v>
      </c>
      <c r="G50" s="68">
        <f>'Schedule 2F Adjustments'!J49</f>
        <v>0</v>
      </c>
      <c r="H50" s="68">
        <f t="shared" si="0"/>
        <v>0</v>
      </c>
      <c r="J50" s="114">
        <f>'Schedule 2F Adjustments'!P49</f>
        <v>0</v>
      </c>
      <c r="K50" s="68">
        <f>'Schedule 2F Adjustments'!R49</f>
        <v>0</v>
      </c>
      <c r="L50" s="68">
        <f t="shared" si="1"/>
        <v>0</v>
      </c>
      <c r="N50" s="117">
        <f>'Schedule 2F Adjustments'!X49</f>
        <v>0</v>
      </c>
      <c r="O50" s="117">
        <f>'Schedule 2F Adjustments'!AA49</f>
        <v>0</v>
      </c>
    </row>
    <row r="51" spans="1:15" x14ac:dyDescent="0.35">
      <c r="A51" s="24">
        <v>36</v>
      </c>
      <c r="B51" s="565" t="str">
        <f>'Schedule 2F Adjustments'!B50:D50</f>
        <v/>
      </c>
      <c r="C51" s="565"/>
      <c r="D51" s="565"/>
      <c r="F51" s="114">
        <f>'Schedule 2F Adjustments'!H50</f>
        <v>0</v>
      </c>
      <c r="G51" s="68">
        <f>'Schedule 2F Adjustments'!J50</f>
        <v>0</v>
      </c>
      <c r="H51" s="68">
        <f t="shared" si="0"/>
        <v>0</v>
      </c>
      <c r="J51" s="114">
        <f>'Schedule 2F Adjustments'!P50</f>
        <v>0</v>
      </c>
      <c r="K51" s="68">
        <f>'Schedule 2F Adjustments'!R50</f>
        <v>0</v>
      </c>
      <c r="L51" s="68">
        <f t="shared" si="1"/>
        <v>0</v>
      </c>
      <c r="N51" s="117">
        <f>'Schedule 2F Adjustments'!X50</f>
        <v>0</v>
      </c>
      <c r="O51" s="117">
        <f>'Schedule 2F Adjustments'!AA50</f>
        <v>0</v>
      </c>
    </row>
    <row r="52" spans="1:15" x14ac:dyDescent="0.35">
      <c r="A52" s="24">
        <v>37</v>
      </c>
      <c r="B52" s="565" t="str">
        <f>'Schedule 2F Adjustments'!B51:D51</f>
        <v/>
      </c>
      <c r="C52" s="565"/>
      <c r="D52" s="565"/>
      <c r="F52" s="114">
        <f>'Schedule 2F Adjustments'!H51</f>
        <v>0</v>
      </c>
      <c r="G52" s="68">
        <f>'Schedule 2F Adjustments'!J51</f>
        <v>0</v>
      </c>
      <c r="H52" s="68">
        <f t="shared" si="0"/>
        <v>0</v>
      </c>
      <c r="J52" s="114">
        <f>'Schedule 2F Adjustments'!P51</f>
        <v>0</v>
      </c>
      <c r="K52" s="68">
        <f>'Schedule 2F Adjustments'!R51</f>
        <v>0</v>
      </c>
      <c r="L52" s="68">
        <f t="shared" si="1"/>
        <v>0</v>
      </c>
      <c r="N52" s="117">
        <f>'Schedule 2F Adjustments'!X51</f>
        <v>0</v>
      </c>
      <c r="O52" s="117">
        <f>'Schedule 2F Adjustments'!AA51</f>
        <v>0</v>
      </c>
    </row>
    <row r="53" spans="1:15" x14ac:dyDescent="0.35">
      <c r="A53" s="24">
        <v>38</v>
      </c>
      <c r="B53" s="565" t="str">
        <f>'Schedule 2F Adjustments'!B52:D52</f>
        <v/>
      </c>
      <c r="C53" s="565"/>
      <c r="D53" s="565"/>
      <c r="F53" s="114">
        <f>'Schedule 2F Adjustments'!H52</f>
        <v>0</v>
      </c>
      <c r="G53" s="68">
        <f>'Schedule 2F Adjustments'!J52</f>
        <v>0</v>
      </c>
      <c r="H53" s="68">
        <f t="shared" si="0"/>
        <v>0</v>
      </c>
      <c r="J53" s="114">
        <f>'Schedule 2F Adjustments'!P52</f>
        <v>0</v>
      </c>
      <c r="K53" s="68">
        <f>'Schedule 2F Adjustments'!R52</f>
        <v>0</v>
      </c>
      <c r="L53" s="68">
        <f t="shared" si="1"/>
        <v>0</v>
      </c>
      <c r="N53" s="117">
        <f>'Schedule 2F Adjustments'!X52</f>
        <v>0</v>
      </c>
      <c r="O53" s="117">
        <f>'Schedule 2F Adjustments'!AA52</f>
        <v>0</v>
      </c>
    </row>
    <row r="54" spans="1:15" x14ac:dyDescent="0.35">
      <c r="A54" s="24">
        <v>39</v>
      </c>
      <c r="B54" s="565" t="str">
        <f>'Schedule 2F Adjustments'!B53:D53</f>
        <v/>
      </c>
      <c r="C54" s="565"/>
      <c r="D54" s="565"/>
      <c r="F54" s="114">
        <f>'Schedule 2F Adjustments'!H53</f>
        <v>0</v>
      </c>
      <c r="G54" s="68">
        <f>'Schedule 2F Adjustments'!J53</f>
        <v>0</v>
      </c>
      <c r="H54" s="68">
        <f t="shared" si="0"/>
        <v>0</v>
      </c>
      <c r="J54" s="114">
        <f>'Schedule 2F Adjustments'!P53</f>
        <v>0</v>
      </c>
      <c r="K54" s="68">
        <f>'Schedule 2F Adjustments'!R53</f>
        <v>0</v>
      </c>
      <c r="L54" s="68">
        <f t="shared" si="1"/>
        <v>0</v>
      </c>
      <c r="N54" s="117">
        <f>'Schedule 2F Adjustments'!X53</f>
        <v>0</v>
      </c>
      <c r="O54" s="117">
        <f>'Schedule 2F Adjustments'!AA53</f>
        <v>0</v>
      </c>
    </row>
    <row r="55" spans="1:15" x14ac:dyDescent="0.35">
      <c r="A55" s="24">
        <v>40</v>
      </c>
      <c r="B55" s="565" t="str">
        <f>'Schedule 2F Adjustments'!B54:D54</f>
        <v/>
      </c>
      <c r="C55" s="565"/>
      <c r="D55" s="565"/>
      <c r="F55" s="114">
        <f>'Schedule 2F Adjustments'!H54</f>
        <v>0</v>
      </c>
      <c r="G55" s="68">
        <f>'Schedule 2F Adjustments'!J54</f>
        <v>0</v>
      </c>
      <c r="H55" s="68">
        <f t="shared" si="0"/>
        <v>0</v>
      </c>
      <c r="J55" s="114">
        <f>'Schedule 2F Adjustments'!P54</f>
        <v>0</v>
      </c>
      <c r="K55" s="68">
        <f>'Schedule 2F Adjustments'!R54</f>
        <v>0</v>
      </c>
      <c r="L55" s="68">
        <f t="shared" si="1"/>
        <v>0</v>
      </c>
      <c r="N55" s="117">
        <f>'Schedule 2F Adjustments'!X54</f>
        <v>0</v>
      </c>
      <c r="O55" s="117">
        <f>'Schedule 2F Adjustments'!AA54</f>
        <v>0</v>
      </c>
    </row>
    <row r="56" spans="1:15" x14ac:dyDescent="0.35">
      <c r="A56" s="24">
        <v>41</v>
      </c>
      <c r="B56" s="565" t="str">
        <f>'Schedule 2F Adjustments'!B55:D55</f>
        <v/>
      </c>
      <c r="C56" s="565"/>
      <c r="D56" s="565"/>
      <c r="F56" s="114">
        <f>'Schedule 2F Adjustments'!H55</f>
        <v>0</v>
      </c>
      <c r="G56" s="68">
        <f>'Schedule 2F Adjustments'!J55</f>
        <v>0</v>
      </c>
      <c r="H56" s="68">
        <f t="shared" si="0"/>
        <v>0</v>
      </c>
      <c r="J56" s="114">
        <f>'Schedule 2F Adjustments'!P55</f>
        <v>0</v>
      </c>
      <c r="K56" s="68">
        <f>'Schedule 2F Adjustments'!R55</f>
        <v>0</v>
      </c>
      <c r="L56" s="68">
        <f t="shared" si="1"/>
        <v>0</v>
      </c>
      <c r="N56" s="117">
        <f>'Schedule 2F Adjustments'!X55</f>
        <v>0</v>
      </c>
      <c r="O56" s="117">
        <f>'Schedule 2F Adjustments'!AA55</f>
        <v>0</v>
      </c>
    </row>
    <row r="57" spans="1:15" x14ac:dyDescent="0.35">
      <c r="A57" s="24">
        <v>42</v>
      </c>
      <c r="B57" s="565" t="str">
        <f>'Schedule 2F Adjustments'!B56:D56</f>
        <v/>
      </c>
      <c r="C57" s="565"/>
      <c r="D57" s="565"/>
      <c r="F57" s="114">
        <f>'Schedule 2F Adjustments'!H56</f>
        <v>0</v>
      </c>
      <c r="G57" s="68">
        <f>'Schedule 2F Adjustments'!J56</f>
        <v>0</v>
      </c>
      <c r="H57" s="68">
        <f t="shared" si="0"/>
        <v>0</v>
      </c>
      <c r="J57" s="114">
        <f>'Schedule 2F Adjustments'!P56</f>
        <v>0</v>
      </c>
      <c r="K57" s="68">
        <f>'Schedule 2F Adjustments'!R56</f>
        <v>0</v>
      </c>
      <c r="L57" s="68">
        <f t="shared" si="1"/>
        <v>0</v>
      </c>
      <c r="N57" s="117">
        <f>'Schedule 2F Adjustments'!X56</f>
        <v>0</v>
      </c>
      <c r="O57" s="117">
        <f>'Schedule 2F Adjustments'!AA56</f>
        <v>0</v>
      </c>
    </row>
    <row r="58" spans="1:15" x14ac:dyDescent="0.35">
      <c r="A58" s="24">
        <v>43</v>
      </c>
      <c r="B58" s="565" t="str">
        <f>'Schedule 2F Adjustments'!B57:D57</f>
        <v/>
      </c>
      <c r="C58" s="565"/>
      <c r="D58" s="565"/>
      <c r="F58" s="114">
        <f>'Schedule 2F Adjustments'!H57</f>
        <v>0</v>
      </c>
      <c r="G58" s="68">
        <f>'Schedule 2F Adjustments'!J57</f>
        <v>0</v>
      </c>
      <c r="H58" s="68">
        <f t="shared" si="0"/>
        <v>0</v>
      </c>
      <c r="J58" s="114">
        <f>'Schedule 2F Adjustments'!P57</f>
        <v>0</v>
      </c>
      <c r="K58" s="68">
        <f>'Schedule 2F Adjustments'!R57</f>
        <v>0</v>
      </c>
      <c r="L58" s="68">
        <f t="shared" si="1"/>
        <v>0</v>
      </c>
      <c r="N58" s="117">
        <f>'Schedule 2F Adjustments'!X57</f>
        <v>0</v>
      </c>
      <c r="O58" s="117">
        <f>'Schedule 2F Adjustments'!AA57</f>
        <v>0</v>
      </c>
    </row>
    <row r="59" spans="1:15" x14ac:dyDescent="0.35">
      <c r="A59" s="24">
        <v>44</v>
      </c>
      <c r="B59" s="565" t="str">
        <f>'Schedule 2F Adjustments'!B58:D58</f>
        <v/>
      </c>
      <c r="C59" s="565"/>
      <c r="D59" s="565"/>
      <c r="F59" s="114">
        <f>'Schedule 2F Adjustments'!H58</f>
        <v>0</v>
      </c>
      <c r="G59" s="68">
        <f>'Schedule 2F Adjustments'!J58</f>
        <v>0</v>
      </c>
      <c r="H59" s="68">
        <f t="shared" si="0"/>
        <v>0</v>
      </c>
      <c r="J59" s="114">
        <f>'Schedule 2F Adjustments'!P58</f>
        <v>0</v>
      </c>
      <c r="K59" s="68">
        <f>'Schedule 2F Adjustments'!R58</f>
        <v>0</v>
      </c>
      <c r="L59" s="68">
        <f t="shared" si="1"/>
        <v>0</v>
      </c>
      <c r="N59" s="117">
        <f>'Schedule 2F Adjustments'!X58</f>
        <v>0</v>
      </c>
      <c r="O59" s="117">
        <f>'Schedule 2F Adjustments'!AA58</f>
        <v>0</v>
      </c>
    </row>
    <row r="60" spans="1:15" x14ac:dyDescent="0.35">
      <c r="A60" s="24">
        <v>45</v>
      </c>
      <c r="B60" s="565" t="str">
        <f>'Schedule 2F Adjustments'!B59:D59</f>
        <v/>
      </c>
      <c r="C60" s="565"/>
      <c r="D60" s="565"/>
      <c r="F60" s="114">
        <f>'Schedule 2F Adjustments'!H59</f>
        <v>0</v>
      </c>
      <c r="G60" s="68">
        <f>'Schedule 2F Adjustments'!J59</f>
        <v>0</v>
      </c>
      <c r="H60" s="68">
        <f t="shared" si="0"/>
        <v>0</v>
      </c>
      <c r="J60" s="114">
        <f>'Schedule 2F Adjustments'!P59</f>
        <v>0</v>
      </c>
      <c r="K60" s="68">
        <f>'Schedule 2F Adjustments'!R59</f>
        <v>0</v>
      </c>
      <c r="L60" s="68">
        <f t="shared" si="1"/>
        <v>0</v>
      </c>
      <c r="N60" s="117">
        <f>'Schedule 2F Adjustments'!X59</f>
        <v>0</v>
      </c>
      <c r="O60" s="117">
        <f>'Schedule 2F Adjustments'!AA59</f>
        <v>0</v>
      </c>
    </row>
    <row r="61" spans="1:15" x14ac:dyDescent="0.35">
      <c r="A61" s="24">
        <v>46</v>
      </c>
      <c r="B61" s="565" t="str">
        <f>'Schedule 2F Adjustments'!B60:D60</f>
        <v/>
      </c>
      <c r="C61" s="565"/>
      <c r="D61" s="565"/>
      <c r="F61" s="114">
        <f>'Schedule 2F Adjustments'!H60</f>
        <v>0</v>
      </c>
      <c r="G61" s="68">
        <f>'Schedule 2F Adjustments'!J60</f>
        <v>0</v>
      </c>
      <c r="H61" s="68">
        <f t="shared" si="0"/>
        <v>0</v>
      </c>
      <c r="J61" s="114">
        <f>'Schedule 2F Adjustments'!P60</f>
        <v>0</v>
      </c>
      <c r="K61" s="68">
        <f>'Schedule 2F Adjustments'!R60</f>
        <v>0</v>
      </c>
      <c r="L61" s="68">
        <f t="shared" si="1"/>
        <v>0</v>
      </c>
      <c r="N61" s="117">
        <f>'Schedule 2F Adjustments'!X60</f>
        <v>0</v>
      </c>
      <c r="O61" s="117">
        <f>'Schedule 2F Adjustments'!AA60</f>
        <v>0</v>
      </c>
    </row>
    <row r="62" spans="1:15" x14ac:dyDescent="0.35">
      <c r="A62" s="24">
        <v>47</v>
      </c>
      <c r="B62" s="565" t="str">
        <f>'Schedule 2F Adjustments'!B61:D61</f>
        <v/>
      </c>
      <c r="C62" s="565"/>
      <c r="D62" s="565"/>
      <c r="F62" s="114">
        <f>'Schedule 2F Adjustments'!H61</f>
        <v>0</v>
      </c>
      <c r="G62" s="68">
        <f>'Schedule 2F Adjustments'!J61</f>
        <v>0</v>
      </c>
      <c r="H62" s="68">
        <f t="shared" si="0"/>
        <v>0</v>
      </c>
      <c r="J62" s="114">
        <f>'Schedule 2F Adjustments'!P61</f>
        <v>0</v>
      </c>
      <c r="K62" s="68">
        <f>'Schedule 2F Adjustments'!R61</f>
        <v>0</v>
      </c>
      <c r="L62" s="68">
        <f t="shared" si="1"/>
        <v>0</v>
      </c>
      <c r="N62" s="117">
        <f>'Schedule 2F Adjustments'!X61</f>
        <v>0</v>
      </c>
      <c r="O62" s="117">
        <f>'Schedule 2F Adjustments'!AA61</f>
        <v>0</v>
      </c>
    </row>
    <row r="63" spans="1:15" x14ac:dyDescent="0.35">
      <c r="A63" s="24">
        <v>48</v>
      </c>
      <c r="B63" s="565" t="str">
        <f>'Schedule 2F Adjustments'!B62:D62</f>
        <v/>
      </c>
      <c r="C63" s="565"/>
      <c r="D63" s="565"/>
      <c r="F63" s="114">
        <f>'Schedule 2F Adjustments'!H62</f>
        <v>0</v>
      </c>
      <c r="G63" s="68">
        <f>'Schedule 2F Adjustments'!J62</f>
        <v>0</v>
      </c>
      <c r="H63" s="68">
        <f t="shared" si="0"/>
        <v>0</v>
      </c>
      <c r="J63" s="114">
        <f>'Schedule 2F Adjustments'!P62</f>
        <v>0</v>
      </c>
      <c r="K63" s="68">
        <f>'Schedule 2F Adjustments'!R62</f>
        <v>0</v>
      </c>
      <c r="L63" s="68">
        <f t="shared" si="1"/>
        <v>0</v>
      </c>
      <c r="N63" s="117">
        <f>'Schedule 2F Adjustments'!X62</f>
        <v>0</v>
      </c>
      <c r="O63" s="117">
        <f>'Schedule 2F Adjustments'!AA62</f>
        <v>0</v>
      </c>
    </row>
    <row r="64" spans="1:15" x14ac:dyDescent="0.35">
      <c r="A64" s="24">
        <v>49</v>
      </c>
      <c r="B64" s="565" t="str">
        <f>'Schedule 2F Adjustments'!B63:D63</f>
        <v/>
      </c>
      <c r="C64" s="565"/>
      <c r="D64" s="565"/>
      <c r="F64" s="114">
        <f>'Schedule 2F Adjustments'!H63</f>
        <v>0</v>
      </c>
      <c r="G64" s="68">
        <f>'Schedule 2F Adjustments'!J63</f>
        <v>0</v>
      </c>
      <c r="H64" s="68">
        <f t="shared" si="0"/>
        <v>0</v>
      </c>
      <c r="J64" s="114">
        <f>'Schedule 2F Adjustments'!P63</f>
        <v>0</v>
      </c>
      <c r="K64" s="68">
        <f>'Schedule 2F Adjustments'!R63</f>
        <v>0</v>
      </c>
      <c r="L64" s="68">
        <f t="shared" si="1"/>
        <v>0</v>
      </c>
      <c r="N64" s="117">
        <f>'Schedule 2F Adjustments'!X63</f>
        <v>0</v>
      </c>
      <c r="O64" s="117">
        <f>'Schedule 2F Adjustments'!AA63</f>
        <v>0</v>
      </c>
    </row>
    <row r="65" spans="1:15" x14ac:dyDescent="0.35">
      <c r="A65" s="24">
        <v>50</v>
      </c>
      <c r="B65" s="565" t="str">
        <f>'Schedule 2F Adjustments'!B64:D64</f>
        <v/>
      </c>
      <c r="C65" s="565"/>
      <c r="D65" s="565"/>
      <c r="F65" s="114">
        <f>'Schedule 2F Adjustments'!H64</f>
        <v>0</v>
      </c>
      <c r="G65" s="68">
        <f>'Schedule 2F Adjustments'!J64</f>
        <v>0</v>
      </c>
      <c r="H65" s="68">
        <f t="shared" si="0"/>
        <v>0</v>
      </c>
      <c r="J65" s="114">
        <f>'Schedule 2F Adjustments'!P64</f>
        <v>0</v>
      </c>
      <c r="K65" s="68">
        <f>'Schedule 2F Adjustments'!R64</f>
        <v>0</v>
      </c>
      <c r="L65" s="68">
        <f t="shared" si="1"/>
        <v>0</v>
      </c>
      <c r="N65" s="117">
        <f>'Schedule 2F Adjustments'!X64</f>
        <v>0</v>
      </c>
      <c r="O65" s="117">
        <f>'Schedule 2F Adjustments'!AA64</f>
        <v>0</v>
      </c>
    </row>
    <row r="66" spans="1:15" x14ac:dyDescent="0.35">
      <c r="A66" s="24">
        <v>51</v>
      </c>
      <c r="B66" s="565" t="str">
        <f>'Schedule 2F Adjustments'!B65:D65</f>
        <v/>
      </c>
      <c r="C66" s="565"/>
      <c r="D66" s="565"/>
      <c r="F66" s="114">
        <f>'Schedule 2F Adjustments'!H65</f>
        <v>0</v>
      </c>
      <c r="G66" s="68">
        <f>'Schedule 2F Adjustments'!J65</f>
        <v>0</v>
      </c>
      <c r="H66" s="68">
        <f t="shared" si="0"/>
        <v>0</v>
      </c>
      <c r="J66" s="114">
        <f>'Schedule 2F Adjustments'!P65</f>
        <v>0</v>
      </c>
      <c r="K66" s="68">
        <f>'Schedule 2F Adjustments'!R65</f>
        <v>0</v>
      </c>
      <c r="L66" s="68">
        <f t="shared" si="1"/>
        <v>0</v>
      </c>
      <c r="N66" s="117">
        <f>'Schedule 2F Adjustments'!X65</f>
        <v>0</v>
      </c>
      <c r="O66" s="117">
        <f>'Schedule 2F Adjustments'!AA65</f>
        <v>0</v>
      </c>
    </row>
    <row r="67" spans="1:15" x14ac:dyDescent="0.35">
      <c r="A67" s="24">
        <v>52</v>
      </c>
      <c r="B67" s="565" t="str">
        <f>'Schedule 2F Adjustments'!B66:D66</f>
        <v/>
      </c>
      <c r="C67" s="565"/>
      <c r="D67" s="565"/>
      <c r="F67" s="114">
        <f>'Schedule 2F Adjustments'!H66</f>
        <v>0</v>
      </c>
      <c r="G67" s="68">
        <f>'Schedule 2F Adjustments'!J66</f>
        <v>0</v>
      </c>
      <c r="H67" s="68">
        <f t="shared" si="0"/>
        <v>0</v>
      </c>
      <c r="J67" s="114">
        <f>'Schedule 2F Adjustments'!P66</f>
        <v>0</v>
      </c>
      <c r="K67" s="68">
        <f>'Schedule 2F Adjustments'!R66</f>
        <v>0</v>
      </c>
      <c r="L67" s="68">
        <f t="shared" si="1"/>
        <v>0</v>
      </c>
      <c r="N67" s="117">
        <f>'Schedule 2F Adjustments'!X66</f>
        <v>0</v>
      </c>
      <c r="O67" s="117">
        <f>'Schedule 2F Adjustments'!AA66</f>
        <v>0</v>
      </c>
    </row>
    <row r="68" spans="1:15" x14ac:dyDescent="0.35">
      <c r="A68" s="24">
        <v>53</v>
      </c>
      <c r="B68" s="565" t="str">
        <f>'Schedule 2F Adjustments'!B67:D67</f>
        <v/>
      </c>
      <c r="C68" s="565"/>
      <c r="D68" s="565"/>
      <c r="F68" s="114">
        <f>'Schedule 2F Adjustments'!H67</f>
        <v>0</v>
      </c>
      <c r="G68" s="68">
        <f>'Schedule 2F Adjustments'!J67</f>
        <v>0</v>
      </c>
      <c r="H68" s="68">
        <f t="shared" si="0"/>
        <v>0</v>
      </c>
      <c r="J68" s="114">
        <f>'Schedule 2F Adjustments'!P67</f>
        <v>0</v>
      </c>
      <c r="K68" s="68">
        <f>'Schedule 2F Adjustments'!R67</f>
        <v>0</v>
      </c>
      <c r="L68" s="68">
        <f t="shared" si="1"/>
        <v>0</v>
      </c>
      <c r="N68" s="117">
        <f>'Schedule 2F Adjustments'!X67</f>
        <v>0</v>
      </c>
      <c r="O68" s="117">
        <f>'Schedule 2F Adjustments'!AA67</f>
        <v>0</v>
      </c>
    </row>
    <row r="69" spans="1:15" x14ac:dyDescent="0.35">
      <c r="A69" s="24">
        <v>54</v>
      </c>
      <c r="B69" s="565" t="str">
        <f>'Schedule 2F Adjustments'!B68:D68</f>
        <v/>
      </c>
      <c r="C69" s="565"/>
      <c r="D69" s="565"/>
      <c r="F69" s="114">
        <f>'Schedule 2F Adjustments'!H68</f>
        <v>0</v>
      </c>
      <c r="G69" s="68">
        <f>'Schedule 2F Adjustments'!J68</f>
        <v>0</v>
      </c>
      <c r="H69" s="68">
        <f t="shared" si="0"/>
        <v>0</v>
      </c>
      <c r="J69" s="114">
        <f>'Schedule 2F Adjustments'!P68</f>
        <v>0</v>
      </c>
      <c r="K69" s="68">
        <f>'Schedule 2F Adjustments'!R68</f>
        <v>0</v>
      </c>
      <c r="L69" s="68">
        <f t="shared" si="1"/>
        <v>0</v>
      </c>
      <c r="N69" s="117">
        <f>'Schedule 2F Adjustments'!X68</f>
        <v>0</v>
      </c>
      <c r="O69" s="117">
        <f>'Schedule 2F Adjustments'!AA68</f>
        <v>0</v>
      </c>
    </row>
    <row r="70" spans="1:15" x14ac:dyDescent="0.35">
      <c r="A70" s="24">
        <v>55</v>
      </c>
      <c r="B70" s="565" t="str">
        <f>'Schedule 2F Adjustments'!B69:D69</f>
        <v/>
      </c>
      <c r="C70" s="565"/>
      <c r="D70" s="565"/>
      <c r="F70" s="114">
        <f>'Schedule 2F Adjustments'!H69</f>
        <v>0</v>
      </c>
      <c r="G70" s="68">
        <f>'Schedule 2F Adjustments'!J69</f>
        <v>0</v>
      </c>
      <c r="H70" s="68">
        <f t="shared" si="0"/>
        <v>0</v>
      </c>
      <c r="J70" s="114">
        <f>'Schedule 2F Adjustments'!P69</f>
        <v>0</v>
      </c>
      <c r="K70" s="68">
        <f>'Schedule 2F Adjustments'!R69</f>
        <v>0</v>
      </c>
      <c r="L70" s="68">
        <f t="shared" si="1"/>
        <v>0</v>
      </c>
      <c r="N70" s="117">
        <f>'Schedule 2F Adjustments'!X69</f>
        <v>0</v>
      </c>
      <c r="O70" s="117">
        <f>'Schedule 2F Adjustments'!AA69</f>
        <v>0</v>
      </c>
    </row>
    <row r="71" spans="1:15" x14ac:dyDescent="0.35">
      <c r="A71" s="24">
        <v>56</v>
      </c>
      <c r="B71" s="565" t="str">
        <f>'Schedule 2F Adjustments'!B70:D70</f>
        <v/>
      </c>
      <c r="C71" s="565"/>
      <c r="D71" s="565"/>
      <c r="F71" s="114">
        <f>'Schedule 2F Adjustments'!H70</f>
        <v>0</v>
      </c>
      <c r="G71" s="68">
        <f>'Schedule 2F Adjustments'!J70</f>
        <v>0</v>
      </c>
      <c r="H71" s="68">
        <f t="shared" si="0"/>
        <v>0</v>
      </c>
      <c r="J71" s="114">
        <f>'Schedule 2F Adjustments'!P70</f>
        <v>0</v>
      </c>
      <c r="K71" s="68">
        <f>'Schedule 2F Adjustments'!R70</f>
        <v>0</v>
      </c>
      <c r="L71" s="68">
        <f t="shared" si="1"/>
        <v>0</v>
      </c>
      <c r="N71" s="117">
        <f>'Schedule 2F Adjustments'!X70</f>
        <v>0</v>
      </c>
      <c r="O71" s="117">
        <f>'Schedule 2F Adjustments'!AA70</f>
        <v>0</v>
      </c>
    </row>
    <row r="72" spans="1:15" x14ac:dyDescent="0.35">
      <c r="A72" s="24">
        <v>57</v>
      </c>
      <c r="B72" s="565" t="str">
        <f>'Schedule 2F Adjustments'!B71:D71</f>
        <v/>
      </c>
      <c r="C72" s="565"/>
      <c r="D72" s="565"/>
      <c r="F72" s="114">
        <f>'Schedule 2F Adjustments'!H71</f>
        <v>0</v>
      </c>
      <c r="G72" s="68">
        <f>'Schedule 2F Adjustments'!J71</f>
        <v>0</v>
      </c>
      <c r="H72" s="68">
        <f t="shared" si="0"/>
        <v>0</v>
      </c>
      <c r="J72" s="114">
        <f>'Schedule 2F Adjustments'!P71</f>
        <v>0</v>
      </c>
      <c r="K72" s="68">
        <f>'Schedule 2F Adjustments'!R71</f>
        <v>0</v>
      </c>
      <c r="L72" s="68">
        <f t="shared" si="1"/>
        <v>0</v>
      </c>
      <c r="N72" s="117">
        <f>'Schedule 2F Adjustments'!X71</f>
        <v>0</v>
      </c>
      <c r="O72" s="117">
        <f>'Schedule 2F Adjustments'!AA71</f>
        <v>0</v>
      </c>
    </row>
    <row r="73" spans="1:15" x14ac:dyDescent="0.35">
      <c r="A73" s="24">
        <v>58</v>
      </c>
      <c r="B73" s="565" t="str">
        <f>'Schedule 2F Adjustments'!B72:D72</f>
        <v/>
      </c>
      <c r="C73" s="565"/>
      <c r="D73" s="565"/>
      <c r="F73" s="114">
        <f>'Schedule 2F Adjustments'!H72</f>
        <v>0</v>
      </c>
      <c r="G73" s="68">
        <f>'Schedule 2F Adjustments'!J72</f>
        <v>0</v>
      </c>
      <c r="H73" s="68">
        <f t="shared" si="0"/>
        <v>0</v>
      </c>
      <c r="J73" s="114">
        <f>'Schedule 2F Adjustments'!P72</f>
        <v>0</v>
      </c>
      <c r="K73" s="68">
        <f>'Schedule 2F Adjustments'!R72</f>
        <v>0</v>
      </c>
      <c r="L73" s="68">
        <f t="shared" si="1"/>
        <v>0</v>
      </c>
      <c r="N73" s="117">
        <f>'Schedule 2F Adjustments'!X72</f>
        <v>0</v>
      </c>
      <c r="O73" s="117">
        <f>'Schedule 2F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17302493-42B1-4877-869E-E424A97AE78B}" state="hidden">
      <selection activeCell="F17" sqref="F17"/>
      <pageMargins left="0.7" right="0.7" top="0.75" bottom="0.75" header="0.3" footer="0.3"/>
    </customSheetView>
    <customSheetView guid="{5C0BA3A5-859C-46C2-B685-44D9A90065E4}">
      <selection activeCell="J22" sqref="J22"/>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tabColor rgb="FFF8971D"/>
  </sheetPr>
  <dimension ref="A1:O76"/>
  <sheetViews>
    <sheetView topLeftCell="G1" workbookViewId="0">
      <selection activeCell="F17" sqref="F17"/>
    </sheetView>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 t="s">
        <v>853</v>
      </c>
      <c r="B3" s="5"/>
      <c r="C3" s="5"/>
      <c r="D3" s="5"/>
      <c r="E3" s="5"/>
      <c r="F3" s="5"/>
      <c r="G3" s="5"/>
      <c r="H3" s="5"/>
    </row>
    <row r="4" spans="1:15" ht="25" customHeight="1" x14ac:dyDescent="0.5">
      <c r="A4" s="235" t="str">
        <f>Results!A4</f>
        <v>Final Adjustments</v>
      </c>
      <c r="B4" s="354"/>
      <c r="C4" s="354"/>
      <c r="D4" s="354"/>
      <c r="E4" s="354"/>
      <c r="F4" s="354"/>
      <c r="G4" s="354"/>
      <c r="H4" s="354"/>
    </row>
    <row r="6" spans="1:15" x14ac:dyDescent="0.35">
      <c r="A6" s="1" t="s">
        <v>776</v>
      </c>
      <c r="C6" s="414" t="str">
        <f>Results!$C$6</f>
        <v>WellPower</v>
      </c>
    </row>
    <row r="7" spans="1:15" x14ac:dyDescent="0.35">
      <c r="A7" s="1" t="s">
        <v>0</v>
      </c>
      <c r="C7" s="35">
        <f>Results!$C$7</f>
        <v>45473</v>
      </c>
      <c r="F7" s="35"/>
    </row>
    <row r="9" spans="1:15" x14ac:dyDescent="0.35">
      <c r="A9" s="1" t="s">
        <v>253</v>
      </c>
      <c r="B9" s="1" t="s">
        <v>819</v>
      </c>
      <c r="C9" s="1"/>
      <c r="F9" s="116" t="str">
        <f>'Schedule 2G Adjustments'!F8</f>
        <v>Yes/No</v>
      </c>
      <c r="G9" s="41" t="s">
        <v>259</v>
      </c>
    </row>
    <row r="11" spans="1:15" x14ac:dyDescent="0.35">
      <c r="A11" s="1" t="s">
        <v>254</v>
      </c>
      <c r="B11" s="1" t="s">
        <v>256</v>
      </c>
      <c r="C11" s="1"/>
    </row>
    <row r="12" spans="1:15" x14ac:dyDescent="0.35">
      <c r="B12" s="311" t="s">
        <v>592</v>
      </c>
    </row>
    <row r="13" spans="1:15" x14ac:dyDescent="0.35">
      <c r="B13" s="560">
        <v>1</v>
      </c>
      <c r="C13" s="560"/>
      <c r="D13" s="560"/>
      <c r="F13" s="23">
        <v>2</v>
      </c>
      <c r="G13" s="23">
        <v>3</v>
      </c>
      <c r="H13" s="23">
        <v>4</v>
      </c>
      <c r="J13" s="23">
        <v>5</v>
      </c>
      <c r="K13" s="23">
        <v>6</v>
      </c>
      <c r="L13" s="23">
        <v>7</v>
      </c>
      <c r="N13" s="23">
        <v>8</v>
      </c>
      <c r="O13" s="23">
        <v>9</v>
      </c>
    </row>
    <row r="14" spans="1:15" ht="15" customHeight="1" x14ac:dyDescent="0.35">
      <c r="B14" s="569" t="s">
        <v>606</v>
      </c>
      <c r="C14" s="570"/>
      <c r="D14" s="571"/>
      <c r="F14" s="563" t="s">
        <v>261</v>
      </c>
      <c r="G14" s="568"/>
      <c r="H14" s="564"/>
      <c r="J14" s="563" t="s">
        <v>262</v>
      </c>
      <c r="K14" s="568"/>
      <c r="L14" s="564"/>
      <c r="N14" s="566" t="s">
        <v>686</v>
      </c>
      <c r="O14" s="566" t="s">
        <v>687</v>
      </c>
    </row>
    <row r="15" spans="1:15" ht="55.5" customHeight="1" x14ac:dyDescent="0.35">
      <c r="B15" s="572"/>
      <c r="C15" s="573"/>
      <c r="D15" s="574"/>
      <c r="E15" s="48"/>
      <c r="F15" s="10" t="s">
        <v>683</v>
      </c>
      <c r="G15" s="142" t="s">
        <v>684</v>
      </c>
      <c r="H15" s="142" t="s">
        <v>685</v>
      </c>
      <c r="I15" s="99"/>
      <c r="J15" s="10" t="s">
        <v>683</v>
      </c>
      <c r="K15" s="142" t="s">
        <v>684</v>
      </c>
      <c r="L15" s="142" t="s">
        <v>685</v>
      </c>
      <c r="M15" s="48"/>
      <c r="N15" s="567"/>
      <c r="O15" s="567"/>
    </row>
    <row r="16" spans="1:15" x14ac:dyDescent="0.35">
      <c r="A16" s="24">
        <v>1</v>
      </c>
      <c r="B16" s="565" t="str">
        <f>'Schedule 2G Adjustments'!B15:D15</f>
        <v/>
      </c>
      <c r="C16" s="565"/>
      <c r="D16" s="565"/>
      <c r="F16" s="114">
        <f>'Schedule 2G Adjustments'!H15</f>
        <v>0</v>
      </c>
      <c r="G16" s="68">
        <f>'Schedule 2G Adjustments'!J15</f>
        <v>0</v>
      </c>
      <c r="H16" s="68">
        <f>SUM(F16:G16)</f>
        <v>0</v>
      </c>
      <c r="J16" s="114">
        <f>'Schedule 2G Adjustments'!P15</f>
        <v>0</v>
      </c>
      <c r="K16" s="68">
        <f>'Schedule 2G Adjustments'!R15</f>
        <v>0</v>
      </c>
      <c r="L16" s="68">
        <f>SUM(J16:K16)</f>
        <v>0</v>
      </c>
      <c r="N16" s="117">
        <f>'Schedule 2G Adjustments'!X15</f>
        <v>0</v>
      </c>
      <c r="O16" s="117">
        <f>'Schedule 2G Adjustments'!AA15</f>
        <v>0</v>
      </c>
    </row>
    <row r="17" spans="1:15" x14ac:dyDescent="0.35">
      <c r="A17" s="24">
        <v>2</v>
      </c>
      <c r="B17" s="565" t="str">
        <f>'Schedule 2G Adjustments'!B16:D16</f>
        <v/>
      </c>
      <c r="C17" s="565"/>
      <c r="D17" s="565"/>
      <c r="F17" s="114">
        <f>'Schedule 2G Adjustments'!H16</f>
        <v>0</v>
      </c>
      <c r="G17" s="68">
        <f>'Schedule 2G Adjustments'!J16</f>
        <v>0</v>
      </c>
      <c r="H17" s="68">
        <f t="shared" ref="H17:H73" si="0">SUM(F17:G17)</f>
        <v>0</v>
      </c>
      <c r="J17" s="114">
        <f>'Schedule 2G Adjustments'!P16</f>
        <v>0</v>
      </c>
      <c r="K17" s="68">
        <f>'Schedule 2G Adjustments'!R16</f>
        <v>0</v>
      </c>
      <c r="L17" s="68">
        <f t="shared" ref="L17:L73" si="1">SUM(J17:K17)</f>
        <v>0</v>
      </c>
      <c r="N17" s="117">
        <f>'Schedule 2G Adjustments'!X16</f>
        <v>0</v>
      </c>
      <c r="O17" s="117">
        <f>'Schedule 2G Adjustments'!AA16</f>
        <v>0</v>
      </c>
    </row>
    <row r="18" spans="1:15" x14ac:dyDescent="0.35">
      <c r="A18" s="24">
        <v>3</v>
      </c>
      <c r="B18" s="565" t="str">
        <f>'Schedule 2G Adjustments'!B17:D17</f>
        <v/>
      </c>
      <c r="C18" s="565"/>
      <c r="D18" s="565"/>
      <c r="F18" s="114">
        <f>'Schedule 2G Adjustments'!H17</f>
        <v>0</v>
      </c>
      <c r="G18" s="68">
        <f>'Schedule 2G Adjustments'!J17</f>
        <v>0</v>
      </c>
      <c r="H18" s="68">
        <f t="shared" si="0"/>
        <v>0</v>
      </c>
      <c r="J18" s="114">
        <f>'Schedule 2G Adjustments'!P17</f>
        <v>0</v>
      </c>
      <c r="K18" s="68">
        <f>'Schedule 2G Adjustments'!R17</f>
        <v>0</v>
      </c>
      <c r="L18" s="68">
        <f t="shared" si="1"/>
        <v>0</v>
      </c>
      <c r="N18" s="117">
        <f>'Schedule 2G Adjustments'!X17</f>
        <v>0</v>
      </c>
      <c r="O18" s="117">
        <f>'Schedule 2G Adjustments'!AA17</f>
        <v>0</v>
      </c>
    </row>
    <row r="19" spans="1:15" x14ac:dyDescent="0.35">
      <c r="A19" s="24">
        <v>4</v>
      </c>
      <c r="B19" s="565" t="str">
        <f>'Schedule 2G Adjustments'!B18:D18</f>
        <v/>
      </c>
      <c r="C19" s="565"/>
      <c r="D19" s="565"/>
      <c r="F19" s="114">
        <f>'Schedule 2G Adjustments'!H18</f>
        <v>0</v>
      </c>
      <c r="G19" s="68">
        <f>'Schedule 2G Adjustments'!J18</f>
        <v>0</v>
      </c>
      <c r="H19" s="68">
        <f t="shared" si="0"/>
        <v>0</v>
      </c>
      <c r="J19" s="114">
        <f>'Schedule 2G Adjustments'!P18</f>
        <v>0</v>
      </c>
      <c r="K19" s="68">
        <f>'Schedule 2G Adjustments'!R18</f>
        <v>0</v>
      </c>
      <c r="L19" s="68">
        <f t="shared" si="1"/>
        <v>0</v>
      </c>
      <c r="N19" s="117">
        <f>'Schedule 2G Adjustments'!X18</f>
        <v>0</v>
      </c>
      <c r="O19" s="117">
        <f>'Schedule 2G Adjustments'!AA18</f>
        <v>0</v>
      </c>
    </row>
    <row r="20" spans="1:15" x14ac:dyDescent="0.35">
      <c r="A20" s="24">
        <v>5</v>
      </c>
      <c r="B20" s="565" t="str">
        <f>'Schedule 2G Adjustments'!B19:D19</f>
        <v/>
      </c>
      <c r="C20" s="565"/>
      <c r="D20" s="565"/>
      <c r="F20" s="114">
        <f>'Schedule 2G Adjustments'!H19</f>
        <v>0</v>
      </c>
      <c r="G20" s="68">
        <f>'Schedule 2G Adjustments'!J19</f>
        <v>0</v>
      </c>
      <c r="H20" s="68">
        <f t="shared" si="0"/>
        <v>0</v>
      </c>
      <c r="J20" s="114">
        <f>'Schedule 2G Adjustments'!P19</f>
        <v>0</v>
      </c>
      <c r="K20" s="68">
        <f>'Schedule 2G Adjustments'!R19</f>
        <v>0</v>
      </c>
      <c r="L20" s="68">
        <f t="shared" si="1"/>
        <v>0</v>
      </c>
      <c r="N20" s="117">
        <f>'Schedule 2G Adjustments'!X19</f>
        <v>0</v>
      </c>
      <c r="O20" s="117">
        <f>'Schedule 2G Adjustments'!AA19</f>
        <v>0</v>
      </c>
    </row>
    <row r="21" spans="1:15" x14ac:dyDescent="0.35">
      <c r="A21" s="24">
        <v>6</v>
      </c>
      <c r="B21" s="565" t="str">
        <f>'Schedule 2G Adjustments'!B20:D20</f>
        <v/>
      </c>
      <c r="C21" s="565"/>
      <c r="D21" s="565"/>
      <c r="F21" s="114">
        <f>'Schedule 2G Adjustments'!H20</f>
        <v>0</v>
      </c>
      <c r="G21" s="68">
        <f>'Schedule 2G Adjustments'!J20</f>
        <v>0</v>
      </c>
      <c r="H21" s="68">
        <f t="shared" si="0"/>
        <v>0</v>
      </c>
      <c r="J21" s="114">
        <f>'Schedule 2G Adjustments'!P20</f>
        <v>0</v>
      </c>
      <c r="K21" s="68">
        <f>'Schedule 2G Adjustments'!R20</f>
        <v>0</v>
      </c>
      <c r="L21" s="68">
        <f t="shared" si="1"/>
        <v>0</v>
      </c>
      <c r="N21" s="117">
        <f>'Schedule 2G Adjustments'!X20</f>
        <v>0</v>
      </c>
      <c r="O21" s="117">
        <f>'Schedule 2G Adjustments'!AA20</f>
        <v>0</v>
      </c>
    </row>
    <row r="22" spans="1:15" x14ac:dyDescent="0.35">
      <c r="A22" s="24">
        <v>7</v>
      </c>
      <c r="B22" s="565" t="str">
        <f>'Schedule 2G Adjustments'!B21:D21</f>
        <v/>
      </c>
      <c r="C22" s="565"/>
      <c r="D22" s="565"/>
      <c r="F22" s="114">
        <f>'Schedule 2G Adjustments'!H21</f>
        <v>0</v>
      </c>
      <c r="G22" s="68">
        <f>'Schedule 2G Adjustments'!J21</f>
        <v>0</v>
      </c>
      <c r="H22" s="68">
        <f t="shared" si="0"/>
        <v>0</v>
      </c>
      <c r="J22" s="114">
        <f>'Schedule 2G Adjustments'!P21</f>
        <v>0</v>
      </c>
      <c r="K22" s="68">
        <f>'Schedule 2G Adjustments'!R21</f>
        <v>0</v>
      </c>
      <c r="L22" s="68">
        <f t="shared" si="1"/>
        <v>0</v>
      </c>
      <c r="N22" s="117">
        <f>'Schedule 2G Adjustments'!X21</f>
        <v>0</v>
      </c>
      <c r="O22" s="117">
        <f>'Schedule 2G Adjustments'!AA21</f>
        <v>0</v>
      </c>
    </row>
    <row r="23" spans="1:15" x14ac:dyDescent="0.35">
      <c r="A23" s="24">
        <v>8</v>
      </c>
      <c r="B23" s="565" t="str">
        <f>'Schedule 2G Adjustments'!B22:D22</f>
        <v/>
      </c>
      <c r="C23" s="565"/>
      <c r="D23" s="565"/>
      <c r="F23" s="114">
        <f>'Schedule 2G Adjustments'!H22</f>
        <v>0</v>
      </c>
      <c r="G23" s="68">
        <f>'Schedule 2G Adjustments'!J22</f>
        <v>0</v>
      </c>
      <c r="H23" s="68">
        <f t="shared" si="0"/>
        <v>0</v>
      </c>
      <c r="J23" s="114">
        <f>'Schedule 2G Adjustments'!P22</f>
        <v>0</v>
      </c>
      <c r="K23" s="68">
        <f>'Schedule 2G Adjustments'!R22</f>
        <v>0</v>
      </c>
      <c r="L23" s="68">
        <f t="shared" si="1"/>
        <v>0</v>
      </c>
      <c r="N23" s="117">
        <f>'Schedule 2G Adjustments'!X22</f>
        <v>0</v>
      </c>
      <c r="O23" s="117">
        <f>'Schedule 2G Adjustments'!AA22</f>
        <v>0</v>
      </c>
    </row>
    <row r="24" spans="1:15" x14ac:dyDescent="0.35">
      <c r="A24" s="24">
        <v>9</v>
      </c>
      <c r="B24" s="565" t="str">
        <f>'Schedule 2G Adjustments'!B23:D23</f>
        <v/>
      </c>
      <c r="C24" s="565"/>
      <c r="D24" s="565"/>
      <c r="F24" s="114">
        <f>'Schedule 2G Adjustments'!H23</f>
        <v>0</v>
      </c>
      <c r="G24" s="68">
        <f>'Schedule 2G Adjustments'!J23</f>
        <v>0</v>
      </c>
      <c r="H24" s="68">
        <f t="shared" si="0"/>
        <v>0</v>
      </c>
      <c r="J24" s="114">
        <f>'Schedule 2G Adjustments'!P23</f>
        <v>0</v>
      </c>
      <c r="K24" s="68">
        <f>'Schedule 2G Adjustments'!R23</f>
        <v>0</v>
      </c>
      <c r="L24" s="68">
        <f t="shared" si="1"/>
        <v>0</v>
      </c>
      <c r="N24" s="117">
        <f>'Schedule 2G Adjustments'!X23</f>
        <v>0</v>
      </c>
      <c r="O24" s="117">
        <f>'Schedule 2G Adjustments'!AA23</f>
        <v>0</v>
      </c>
    </row>
    <row r="25" spans="1:15" x14ac:dyDescent="0.35">
      <c r="A25" s="24">
        <v>10</v>
      </c>
      <c r="B25" s="565" t="str">
        <f>'Schedule 2G Adjustments'!B24:D24</f>
        <v/>
      </c>
      <c r="C25" s="565"/>
      <c r="D25" s="565"/>
      <c r="F25" s="114">
        <f>'Schedule 2G Adjustments'!H24</f>
        <v>0</v>
      </c>
      <c r="G25" s="68">
        <f>'Schedule 2G Adjustments'!J24</f>
        <v>0</v>
      </c>
      <c r="H25" s="68">
        <f t="shared" si="0"/>
        <v>0</v>
      </c>
      <c r="J25" s="114">
        <f>'Schedule 2G Adjustments'!P24</f>
        <v>0</v>
      </c>
      <c r="K25" s="68">
        <f>'Schedule 2G Adjustments'!R24</f>
        <v>0</v>
      </c>
      <c r="L25" s="68">
        <f t="shared" si="1"/>
        <v>0</v>
      </c>
      <c r="N25" s="117">
        <f>'Schedule 2G Adjustments'!X24</f>
        <v>0</v>
      </c>
      <c r="O25" s="117">
        <f>'Schedule 2G Adjustments'!AA24</f>
        <v>0</v>
      </c>
    </row>
    <row r="26" spans="1:15" x14ac:dyDescent="0.35">
      <c r="A26" s="24">
        <v>11</v>
      </c>
      <c r="B26" s="565" t="str">
        <f>'Schedule 2G Adjustments'!B25:D25</f>
        <v/>
      </c>
      <c r="C26" s="565"/>
      <c r="D26" s="565"/>
      <c r="F26" s="114">
        <f>'Schedule 2G Adjustments'!H25</f>
        <v>0</v>
      </c>
      <c r="G26" s="68">
        <f>'Schedule 2G Adjustments'!J25</f>
        <v>0</v>
      </c>
      <c r="H26" s="68">
        <f t="shared" si="0"/>
        <v>0</v>
      </c>
      <c r="J26" s="114">
        <f>'Schedule 2G Adjustments'!P25</f>
        <v>0</v>
      </c>
      <c r="K26" s="68">
        <f>'Schedule 2G Adjustments'!R25</f>
        <v>0</v>
      </c>
      <c r="L26" s="68">
        <f t="shared" si="1"/>
        <v>0</v>
      </c>
      <c r="N26" s="117">
        <f>'Schedule 2G Adjustments'!X25</f>
        <v>0</v>
      </c>
      <c r="O26" s="117">
        <f>'Schedule 2G Adjustments'!AA25</f>
        <v>0</v>
      </c>
    </row>
    <row r="27" spans="1:15" x14ac:dyDescent="0.35">
      <c r="A27" s="24">
        <v>12</v>
      </c>
      <c r="B27" s="565" t="str">
        <f>'Schedule 2G Adjustments'!B26:D26</f>
        <v/>
      </c>
      <c r="C27" s="565"/>
      <c r="D27" s="565"/>
      <c r="F27" s="114">
        <f>'Schedule 2G Adjustments'!H26</f>
        <v>0</v>
      </c>
      <c r="G27" s="68">
        <f>'Schedule 2G Adjustments'!J26</f>
        <v>0</v>
      </c>
      <c r="H27" s="68">
        <f t="shared" si="0"/>
        <v>0</v>
      </c>
      <c r="J27" s="114">
        <f>'Schedule 2G Adjustments'!P26</f>
        <v>0</v>
      </c>
      <c r="K27" s="68">
        <f>'Schedule 2G Adjustments'!R26</f>
        <v>0</v>
      </c>
      <c r="L27" s="68">
        <f t="shared" si="1"/>
        <v>0</v>
      </c>
      <c r="N27" s="117">
        <f>'Schedule 2G Adjustments'!X26</f>
        <v>0</v>
      </c>
      <c r="O27" s="117">
        <f>'Schedule 2G Adjustments'!AA26</f>
        <v>0</v>
      </c>
    </row>
    <row r="28" spans="1:15" x14ac:dyDescent="0.35">
      <c r="A28" s="24">
        <v>13</v>
      </c>
      <c r="B28" s="565" t="str">
        <f>'Schedule 2G Adjustments'!B27:D27</f>
        <v/>
      </c>
      <c r="C28" s="565"/>
      <c r="D28" s="565"/>
      <c r="F28" s="114">
        <f>'Schedule 2G Adjustments'!H27</f>
        <v>0</v>
      </c>
      <c r="G28" s="68">
        <f>'Schedule 2G Adjustments'!J27</f>
        <v>0</v>
      </c>
      <c r="H28" s="68">
        <f t="shared" si="0"/>
        <v>0</v>
      </c>
      <c r="J28" s="114">
        <f>'Schedule 2G Adjustments'!P27</f>
        <v>0</v>
      </c>
      <c r="K28" s="68">
        <f>'Schedule 2G Adjustments'!R27</f>
        <v>0</v>
      </c>
      <c r="L28" s="68">
        <f t="shared" si="1"/>
        <v>0</v>
      </c>
      <c r="N28" s="117">
        <f>'Schedule 2G Adjustments'!X27</f>
        <v>0</v>
      </c>
      <c r="O28" s="117">
        <f>'Schedule 2G Adjustments'!AA27</f>
        <v>0</v>
      </c>
    </row>
    <row r="29" spans="1:15" x14ac:dyDescent="0.35">
      <c r="A29" s="24">
        <v>14</v>
      </c>
      <c r="B29" s="565" t="str">
        <f>'Schedule 2G Adjustments'!B28:D28</f>
        <v/>
      </c>
      <c r="C29" s="565"/>
      <c r="D29" s="565"/>
      <c r="F29" s="114">
        <f>'Schedule 2G Adjustments'!H28</f>
        <v>0</v>
      </c>
      <c r="G29" s="68">
        <f>'Schedule 2G Adjustments'!J28</f>
        <v>0</v>
      </c>
      <c r="H29" s="68">
        <f t="shared" si="0"/>
        <v>0</v>
      </c>
      <c r="J29" s="114">
        <f>'Schedule 2G Adjustments'!P28</f>
        <v>0</v>
      </c>
      <c r="K29" s="68">
        <f>'Schedule 2G Adjustments'!R28</f>
        <v>0</v>
      </c>
      <c r="L29" s="68">
        <f t="shared" si="1"/>
        <v>0</v>
      </c>
      <c r="N29" s="117">
        <f>'Schedule 2G Adjustments'!X28</f>
        <v>0</v>
      </c>
      <c r="O29" s="117">
        <f>'Schedule 2G Adjustments'!AA28</f>
        <v>0</v>
      </c>
    </row>
    <row r="30" spans="1:15" x14ac:dyDescent="0.35">
      <c r="A30" s="24">
        <v>15</v>
      </c>
      <c r="B30" s="565" t="str">
        <f>'Schedule 2G Adjustments'!B29:D29</f>
        <v/>
      </c>
      <c r="C30" s="565"/>
      <c r="D30" s="565"/>
      <c r="F30" s="114">
        <f>'Schedule 2G Adjustments'!H29</f>
        <v>0</v>
      </c>
      <c r="G30" s="68">
        <f>'Schedule 2G Adjustments'!J29</f>
        <v>0</v>
      </c>
      <c r="H30" s="68">
        <f t="shared" si="0"/>
        <v>0</v>
      </c>
      <c r="J30" s="114">
        <f>'Schedule 2G Adjustments'!P29</f>
        <v>0</v>
      </c>
      <c r="K30" s="68">
        <f>'Schedule 2G Adjustments'!R29</f>
        <v>0</v>
      </c>
      <c r="L30" s="68">
        <f t="shared" si="1"/>
        <v>0</v>
      </c>
      <c r="N30" s="117">
        <f>'Schedule 2G Adjustments'!X29</f>
        <v>0</v>
      </c>
      <c r="O30" s="117">
        <f>'Schedule 2G Adjustments'!AA29</f>
        <v>0</v>
      </c>
    </row>
    <row r="31" spans="1:15" x14ac:dyDescent="0.35">
      <c r="A31" s="24">
        <v>16</v>
      </c>
      <c r="B31" s="565" t="str">
        <f>'Schedule 2G Adjustments'!B30:D30</f>
        <v/>
      </c>
      <c r="C31" s="565"/>
      <c r="D31" s="565"/>
      <c r="F31" s="114">
        <f>'Schedule 2G Adjustments'!H30</f>
        <v>0</v>
      </c>
      <c r="G31" s="68">
        <f>'Schedule 2G Adjustments'!J30</f>
        <v>0</v>
      </c>
      <c r="H31" s="68">
        <f t="shared" si="0"/>
        <v>0</v>
      </c>
      <c r="J31" s="114">
        <f>'Schedule 2G Adjustments'!P30</f>
        <v>0</v>
      </c>
      <c r="K31" s="68">
        <f>'Schedule 2G Adjustments'!R30</f>
        <v>0</v>
      </c>
      <c r="L31" s="68">
        <f t="shared" si="1"/>
        <v>0</v>
      </c>
      <c r="N31" s="117">
        <f>'Schedule 2G Adjustments'!X30</f>
        <v>0</v>
      </c>
      <c r="O31" s="117">
        <f>'Schedule 2G Adjustments'!AA30</f>
        <v>0</v>
      </c>
    </row>
    <row r="32" spans="1:15" x14ac:dyDescent="0.35">
      <c r="A32" s="24">
        <v>17</v>
      </c>
      <c r="B32" s="565" t="str">
        <f>'Schedule 2G Adjustments'!B31:D31</f>
        <v/>
      </c>
      <c r="C32" s="565"/>
      <c r="D32" s="565"/>
      <c r="F32" s="114">
        <f>'Schedule 2G Adjustments'!H31</f>
        <v>0</v>
      </c>
      <c r="G32" s="68">
        <f>'Schedule 2G Adjustments'!J31</f>
        <v>0</v>
      </c>
      <c r="H32" s="68">
        <f t="shared" si="0"/>
        <v>0</v>
      </c>
      <c r="J32" s="114">
        <f>'Schedule 2G Adjustments'!P31</f>
        <v>0</v>
      </c>
      <c r="K32" s="68">
        <f>'Schedule 2G Adjustments'!R31</f>
        <v>0</v>
      </c>
      <c r="L32" s="68">
        <f t="shared" si="1"/>
        <v>0</v>
      </c>
      <c r="N32" s="117">
        <f>'Schedule 2G Adjustments'!X31</f>
        <v>0</v>
      </c>
      <c r="O32" s="117">
        <f>'Schedule 2G Adjustments'!AA31</f>
        <v>0</v>
      </c>
    </row>
    <row r="33" spans="1:15" x14ac:dyDescent="0.35">
      <c r="A33" s="24">
        <v>18</v>
      </c>
      <c r="B33" s="565" t="str">
        <f>'Schedule 2G Adjustments'!B32:D32</f>
        <v/>
      </c>
      <c r="C33" s="565"/>
      <c r="D33" s="565"/>
      <c r="F33" s="114">
        <f>'Schedule 2G Adjustments'!H32</f>
        <v>0</v>
      </c>
      <c r="G33" s="68">
        <f>'Schedule 2G Adjustments'!J32</f>
        <v>0</v>
      </c>
      <c r="H33" s="68">
        <f t="shared" si="0"/>
        <v>0</v>
      </c>
      <c r="J33" s="114">
        <f>'Schedule 2G Adjustments'!P32</f>
        <v>0</v>
      </c>
      <c r="K33" s="68">
        <f>'Schedule 2G Adjustments'!R32</f>
        <v>0</v>
      </c>
      <c r="L33" s="68">
        <f t="shared" si="1"/>
        <v>0</v>
      </c>
      <c r="N33" s="117">
        <f>'Schedule 2G Adjustments'!X32</f>
        <v>0</v>
      </c>
      <c r="O33" s="117">
        <f>'Schedule 2G Adjustments'!AA32</f>
        <v>0</v>
      </c>
    </row>
    <row r="34" spans="1:15" x14ac:dyDescent="0.35">
      <c r="A34" s="24">
        <v>19</v>
      </c>
      <c r="B34" s="565" t="str">
        <f>'Schedule 2G Adjustments'!B33:D33</f>
        <v/>
      </c>
      <c r="C34" s="565"/>
      <c r="D34" s="565"/>
      <c r="F34" s="114">
        <f>'Schedule 2G Adjustments'!H33</f>
        <v>0</v>
      </c>
      <c r="G34" s="68">
        <f>'Schedule 2G Adjustments'!J33</f>
        <v>0</v>
      </c>
      <c r="H34" s="68">
        <f t="shared" si="0"/>
        <v>0</v>
      </c>
      <c r="J34" s="114">
        <f>'Schedule 2G Adjustments'!P33</f>
        <v>0</v>
      </c>
      <c r="K34" s="68">
        <f>'Schedule 2G Adjustments'!R33</f>
        <v>0</v>
      </c>
      <c r="L34" s="68">
        <f t="shared" si="1"/>
        <v>0</v>
      </c>
      <c r="N34" s="117">
        <f>'Schedule 2G Adjustments'!X33</f>
        <v>0</v>
      </c>
      <c r="O34" s="117">
        <f>'Schedule 2G Adjustments'!AA33</f>
        <v>0</v>
      </c>
    </row>
    <row r="35" spans="1:15" x14ac:dyDescent="0.35">
      <c r="A35" s="24">
        <v>20</v>
      </c>
      <c r="B35" s="565" t="str">
        <f>'Schedule 2G Adjustments'!B34:D34</f>
        <v/>
      </c>
      <c r="C35" s="565"/>
      <c r="D35" s="565"/>
      <c r="F35" s="114">
        <f>'Schedule 2G Adjustments'!H34</f>
        <v>0</v>
      </c>
      <c r="G35" s="68">
        <f>'Schedule 2G Adjustments'!J34</f>
        <v>0</v>
      </c>
      <c r="H35" s="68">
        <f t="shared" si="0"/>
        <v>0</v>
      </c>
      <c r="J35" s="114">
        <f>'Schedule 2G Adjustments'!P34</f>
        <v>0</v>
      </c>
      <c r="K35" s="68">
        <f>'Schedule 2G Adjustments'!R34</f>
        <v>0</v>
      </c>
      <c r="L35" s="68">
        <f t="shared" si="1"/>
        <v>0</v>
      </c>
      <c r="N35" s="117">
        <f>'Schedule 2G Adjustments'!X34</f>
        <v>0</v>
      </c>
      <c r="O35" s="117">
        <f>'Schedule 2G Adjustments'!AA34</f>
        <v>0</v>
      </c>
    </row>
    <row r="36" spans="1:15" x14ac:dyDescent="0.35">
      <c r="A36" s="24">
        <v>21</v>
      </c>
      <c r="B36" s="565" t="str">
        <f>'Schedule 2G Adjustments'!B35:D35</f>
        <v/>
      </c>
      <c r="C36" s="565"/>
      <c r="D36" s="565"/>
      <c r="F36" s="114">
        <f>'Schedule 2G Adjustments'!H35</f>
        <v>0</v>
      </c>
      <c r="G36" s="68">
        <f>'Schedule 2G Adjustments'!J35</f>
        <v>0</v>
      </c>
      <c r="H36" s="68">
        <f t="shared" si="0"/>
        <v>0</v>
      </c>
      <c r="J36" s="114">
        <f>'Schedule 2G Adjustments'!P35</f>
        <v>0</v>
      </c>
      <c r="K36" s="68">
        <f>'Schedule 2G Adjustments'!R35</f>
        <v>0</v>
      </c>
      <c r="L36" s="68">
        <f t="shared" si="1"/>
        <v>0</v>
      </c>
      <c r="N36" s="117">
        <f>'Schedule 2G Adjustments'!X35</f>
        <v>0</v>
      </c>
      <c r="O36" s="117">
        <f>'Schedule 2G Adjustments'!AA35</f>
        <v>0</v>
      </c>
    </row>
    <row r="37" spans="1:15" x14ac:dyDescent="0.35">
      <c r="A37" s="24">
        <v>22</v>
      </c>
      <c r="B37" s="565" t="str">
        <f>'Schedule 2G Adjustments'!B36:D36</f>
        <v/>
      </c>
      <c r="C37" s="565"/>
      <c r="D37" s="565"/>
      <c r="F37" s="114">
        <f>'Schedule 2G Adjustments'!H36</f>
        <v>0</v>
      </c>
      <c r="G37" s="68">
        <f>'Schedule 2G Adjustments'!J36</f>
        <v>0</v>
      </c>
      <c r="H37" s="68">
        <f t="shared" si="0"/>
        <v>0</v>
      </c>
      <c r="J37" s="114">
        <f>'Schedule 2G Adjustments'!P36</f>
        <v>0</v>
      </c>
      <c r="K37" s="68">
        <f>'Schedule 2G Adjustments'!R36</f>
        <v>0</v>
      </c>
      <c r="L37" s="68">
        <f t="shared" si="1"/>
        <v>0</v>
      </c>
      <c r="N37" s="117">
        <f>'Schedule 2G Adjustments'!X36</f>
        <v>0</v>
      </c>
      <c r="O37" s="117">
        <f>'Schedule 2G Adjustments'!AA36</f>
        <v>0</v>
      </c>
    </row>
    <row r="38" spans="1:15" x14ac:dyDescent="0.35">
      <c r="A38" s="24">
        <v>23</v>
      </c>
      <c r="B38" s="565" t="str">
        <f>'Schedule 2G Adjustments'!B37:D37</f>
        <v/>
      </c>
      <c r="C38" s="565"/>
      <c r="D38" s="565"/>
      <c r="F38" s="114">
        <f>'Schedule 2G Adjustments'!H37</f>
        <v>0</v>
      </c>
      <c r="G38" s="68">
        <f>'Schedule 2G Adjustments'!J37</f>
        <v>0</v>
      </c>
      <c r="H38" s="68">
        <f t="shared" si="0"/>
        <v>0</v>
      </c>
      <c r="J38" s="114">
        <f>'Schedule 2G Adjustments'!P37</f>
        <v>0</v>
      </c>
      <c r="K38" s="68">
        <f>'Schedule 2G Adjustments'!R37</f>
        <v>0</v>
      </c>
      <c r="L38" s="68">
        <f t="shared" si="1"/>
        <v>0</v>
      </c>
      <c r="N38" s="117">
        <f>'Schedule 2G Adjustments'!X37</f>
        <v>0</v>
      </c>
      <c r="O38" s="117">
        <f>'Schedule 2G Adjustments'!AA37</f>
        <v>0</v>
      </c>
    </row>
    <row r="39" spans="1:15" x14ac:dyDescent="0.35">
      <c r="A39" s="24">
        <v>24</v>
      </c>
      <c r="B39" s="565" t="str">
        <f>'Schedule 2G Adjustments'!B38:D38</f>
        <v/>
      </c>
      <c r="C39" s="565"/>
      <c r="D39" s="565"/>
      <c r="F39" s="114">
        <f>'Schedule 2G Adjustments'!H38</f>
        <v>0</v>
      </c>
      <c r="G39" s="68">
        <f>'Schedule 2G Adjustments'!J38</f>
        <v>0</v>
      </c>
      <c r="H39" s="68">
        <f t="shared" si="0"/>
        <v>0</v>
      </c>
      <c r="J39" s="114">
        <f>'Schedule 2G Adjustments'!P38</f>
        <v>0</v>
      </c>
      <c r="K39" s="68">
        <f>'Schedule 2G Adjustments'!R38</f>
        <v>0</v>
      </c>
      <c r="L39" s="68">
        <f t="shared" si="1"/>
        <v>0</v>
      </c>
      <c r="N39" s="117">
        <f>'Schedule 2G Adjustments'!X38</f>
        <v>0</v>
      </c>
      <c r="O39" s="117">
        <f>'Schedule 2G Adjustments'!AA38</f>
        <v>0</v>
      </c>
    </row>
    <row r="40" spans="1:15" x14ac:dyDescent="0.35">
      <c r="A40" s="24">
        <v>25</v>
      </c>
      <c r="B40" s="565" t="str">
        <f>'Schedule 2G Adjustments'!B39:D39</f>
        <v/>
      </c>
      <c r="C40" s="565"/>
      <c r="D40" s="565"/>
      <c r="F40" s="114">
        <f>'Schedule 2G Adjustments'!H39</f>
        <v>0</v>
      </c>
      <c r="G40" s="68">
        <f>'Schedule 2G Adjustments'!J39</f>
        <v>0</v>
      </c>
      <c r="H40" s="68">
        <f t="shared" si="0"/>
        <v>0</v>
      </c>
      <c r="J40" s="114">
        <f>'Schedule 2G Adjustments'!P39</f>
        <v>0</v>
      </c>
      <c r="K40" s="68">
        <f>'Schedule 2G Adjustments'!R39</f>
        <v>0</v>
      </c>
      <c r="L40" s="68">
        <f t="shared" si="1"/>
        <v>0</v>
      </c>
      <c r="N40" s="117">
        <f>'Schedule 2G Adjustments'!X39</f>
        <v>0</v>
      </c>
      <c r="O40" s="117">
        <f>'Schedule 2G Adjustments'!AA39</f>
        <v>0</v>
      </c>
    </row>
    <row r="41" spans="1:15" x14ac:dyDescent="0.35">
      <c r="A41" s="24">
        <v>26</v>
      </c>
      <c r="B41" s="565" t="str">
        <f>'Schedule 2G Adjustments'!B40:D40</f>
        <v/>
      </c>
      <c r="C41" s="565"/>
      <c r="D41" s="565"/>
      <c r="F41" s="114">
        <f>'Schedule 2G Adjustments'!H40</f>
        <v>0</v>
      </c>
      <c r="G41" s="68">
        <f>'Schedule 2G Adjustments'!J40</f>
        <v>0</v>
      </c>
      <c r="H41" s="68">
        <f t="shared" si="0"/>
        <v>0</v>
      </c>
      <c r="J41" s="114">
        <f>'Schedule 2G Adjustments'!P40</f>
        <v>0</v>
      </c>
      <c r="K41" s="68">
        <f>'Schedule 2G Adjustments'!R40</f>
        <v>0</v>
      </c>
      <c r="L41" s="68">
        <f t="shared" si="1"/>
        <v>0</v>
      </c>
      <c r="N41" s="117">
        <f>'Schedule 2G Adjustments'!X40</f>
        <v>0</v>
      </c>
      <c r="O41" s="117">
        <f>'Schedule 2G Adjustments'!AA40</f>
        <v>0</v>
      </c>
    </row>
    <row r="42" spans="1:15" x14ac:dyDescent="0.35">
      <c r="A42" s="24">
        <v>27</v>
      </c>
      <c r="B42" s="565" t="str">
        <f>'Schedule 2G Adjustments'!B41:D41</f>
        <v/>
      </c>
      <c r="C42" s="565"/>
      <c r="D42" s="565"/>
      <c r="F42" s="114">
        <f>'Schedule 2G Adjustments'!H41</f>
        <v>0</v>
      </c>
      <c r="G42" s="68">
        <f>'Schedule 2G Adjustments'!J41</f>
        <v>0</v>
      </c>
      <c r="H42" s="68">
        <f t="shared" si="0"/>
        <v>0</v>
      </c>
      <c r="J42" s="114">
        <f>'Schedule 2G Adjustments'!P41</f>
        <v>0</v>
      </c>
      <c r="K42" s="68">
        <f>'Schedule 2G Adjustments'!R41</f>
        <v>0</v>
      </c>
      <c r="L42" s="68">
        <f t="shared" si="1"/>
        <v>0</v>
      </c>
      <c r="N42" s="117">
        <f>'Schedule 2G Adjustments'!X41</f>
        <v>0</v>
      </c>
      <c r="O42" s="117">
        <f>'Schedule 2G Adjustments'!AA41</f>
        <v>0</v>
      </c>
    </row>
    <row r="43" spans="1:15" x14ac:dyDescent="0.35">
      <c r="A43" s="24">
        <v>28</v>
      </c>
      <c r="B43" s="565" t="str">
        <f>'Schedule 2G Adjustments'!B42:D42</f>
        <v/>
      </c>
      <c r="C43" s="565"/>
      <c r="D43" s="565"/>
      <c r="F43" s="114">
        <f>'Schedule 2G Adjustments'!H42</f>
        <v>0</v>
      </c>
      <c r="G43" s="68">
        <f>'Schedule 2G Adjustments'!J42</f>
        <v>0</v>
      </c>
      <c r="H43" s="68">
        <f t="shared" si="0"/>
        <v>0</v>
      </c>
      <c r="J43" s="114">
        <f>'Schedule 2G Adjustments'!P42</f>
        <v>0</v>
      </c>
      <c r="K43" s="68">
        <f>'Schedule 2G Adjustments'!R42</f>
        <v>0</v>
      </c>
      <c r="L43" s="68">
        <f t="shared" si="1"/>
        <v>0</v>
      </c>
      <c r="N43" s="117">
        <f>'Schedule 2G Adjustments'!X42</f>
        <v>0</v>
      </c>
      <c r="O43" s="117">
        <f>'Schedule 2G Adjustments'!AA42</f>
        <v>0</v>
      </c>
    </row>
    <row r="44" spans="1:15" x14ac:dyDescent="0.35">
      <c r="A44" s="24">
        <v>29</v>
      </c>
      <c r="B44" s="565" t="str">
        <f>'Schedule 2G Adjustments'!B43:D43</f>
        <v/>
      </c>
      <c r="C44" s="565"/>
      <c r="D44" s="565"/>
      <c r="F44" s="114">
        <f>'Schedule 2G Adjustments'!H43</f>
        <v>0</v>
      </c>
      <c r="G44" s="68">
        <f>'Schedule 2G Adjustments'!J43</f>
        <v>0</v>
      </c>
      <c r="H44" s="68">
        <f t="shared" si="0"/>
        <v>0</v>
      </c>
      <c r="J44" s="114">
        <f>'Schedule 2G Adjustments'!P43</f>
        <v>0</v>
      </c>
      <c r="K44" s="68">
        <f>'Schedule 2G Adjustments'!R43</f>
        <v>0</v>
      </c>
      <c r="L44" s="68">
        <f t="shared" si="1"/>
        <v>0</v>
      </c>
      <c r="N44" s="117">
        <f>'Schedule 2G Adjustments'!X43</f>
        <v>0</v>
      </c>
      <c r="O44" s="117">
        <f>'Schedule 2G Adjustments'!AA43</f>
        <v>0</v>
      </c>
    </row>
    <row r="45" spans="1:15" x14ac:dyDescent="0.35">
      <c r="A45" s="24">
        <v>30</v>
      </c>
      <c r="B45" s="565" t="str">
        <f>'Schedule 2G Adjustments'!B44:D44</f>
        <v/>
      </c>
      <c r="C45" s="565"/>
      <c r="D45" s="565"/>
      <c r="F45" s="114">
        <f>'Schedule 2G Adjustments'!H44</f>
        <v>0</v>
      </c>
      <c r="G45" s="68">
        <f>'Schedule 2G Adjustments'!J44</f>
        <v>0</v>
      </c>
      <c r="H45" s="68">
        <f t="shared" si="0"/>
        <v>0</v>
      </c>
      <c r="J45" s="114">
        <f>'Schedule 2G Adjustments'!P44</f>
        <v>0</v>
      </c>
      <c r="K45" s="68">
        <f>'Schedule 2G Adjustments'!R44</f>
        <v>0</v>
      </c>
      <c r="L45" s="68">
        <f t="shared" si="1"/>
        <v>0</v>
      </c>
      <c r="N45" s="117">
        <f>'Schedule 2G Adjustments'!X44</f>
        <v>0</v>
      </c>
      <c r="O45" s="117">
        <f>'Schedule 2G Adjustments'!AA44</f>
        <v>0</v>
      </c>
    </row>
    <row r="46" spans="1:15" x14ac:dyDescent="0.35">
      <c r="A46" s="24">
        <v>31</v>
      </c>
      <c r="B46" s="565" t="str">
        <f>'Schedule 2G Adjustments'!B45:D45</f>
        <v/>
      </c>
      <c r="C46" s="565"/>
      <c r="D46" s="565"/>
      <c r="F46" s="114">
        <f>'Schedule 2G Adjustments'!H45</f>
        <v>0</v>
      </c>
      <c r="G46" s="68">
        <f>'Schedule 2G Adjustments'!J45</f>
        <v>0</v>
      </c>
      <c r="H46" s="68">
        <f t="shared" si="0"/>
        <v>0</v>
      </c>
      <c r="J46" s="114">
        <f>'Schedule 2G Adjustments'!P45</f>
        <v>0</v>
      </c>
      <c r="K46" s="68">
        <f>'Schedule 2G Adjustments'!R45</f>
        <v>0</v>
      </c>
      <c r="L46" s="68">
        <f t="shared" si="1"/>
        <v>0</v>
      </c>
      <c r="N46" s="117">
        <f>'Schedule 2G Adjustments'!X45</f>
        <v>0</v>
      </c>
      <c r="O46" s="117">
        <f>'Schedule 2G Adjustments'!AA45</f>
        <v>0</v>
      </c>
    </row>
    <row r="47" spans="1:15" x14ac:dyDescent="0.35">
      <c r="A47" s="24">
        <v>32</v>
      </c>
      <c r="B47" s="565" t="str">
        <f>'Schedule 2G Adjustments'!B46:D46</f>
        <v/>
      </c>
      <c r="C47" s="565"/>
      <c r="D47" s="565"/>
      <c r="F47" s="114">
        <f>'Schedule 2G Adjustments'!H46</f>
        <v>0</v>
      </c>
      <c r="G47" s="68">
        <f>'Schedule 2G Adjustments'!J46</f>
        <v>0</v>
      </c>
      <c r="H47" s="68">
        <f t="shared" si="0"/>
        <v>0</v>
      </c>
      <c r="J47" s="114">
        <f>'Schedule 2G Adjustments'!P46</f>
        <v>0</v>
      </c>
      <c r="K47" s="68">
        <f>'Schedule 2G Adjustments'!R46</f>
        <v>0</v>
      </c>
      <c r="L47" s="68">
        <f t="shared" si="1"/>
        <v>0</v>
      </c>
      <c r="N47" s="117">
        <f>'Schedule 2G Adjustments'!X46</f>
        <v>0</v>
      </c>
      <c r="O47" s="117">
        <f>'Schedule 2G Adjustments'!AA46</f>
        <v>0</v>
      </c>
    </row>
    <row r="48" spans="1:15" x14ac:dyDescent="0.35">
      <c r="A48" s="24">
        <v>33</v>
      </c>
      <c r="B48" s="565" t="str">
        <f>'Schedule 2G Adjustments'!B47:D47</f>
        <v/>
      </c>
      <c r="C48" s="565"/>
      <c r="D48" s="565"/>
      <c r="F48" s="114">
        <f>'Schedule 2G Adjustments'!H47</f>
        <v>0</v>
      </c>
      <c r="G48" s="68">
        <f>'Schedule 2G Adjustments'!J47</f>
        <v>0</v>
      </c>
      <c r="H48" s="68">
        <f t="shared" si="0"/>
        <v>0</v>
      </c>
      <c r="J48" s="114">
        <f>'Schedule 2G Adjustments'!P47</f>
        <v>0</v>
      </c>
      <c r="K48" s="68">
        <f>'Schedule 2G Adjustments'!R47</f>
        <v>0</v>
      </c>
      <c r="L48" s="68">
        <f t="shared" si="1"/>
        <v>0</v>
      </c>
      <c r="N48" s="117">
        <f>'Schedule 2G Adjustments'!X47</f>
        <v>0</v>
      </c>
      <c r="O48" s="117">
        <f>'Schedule 2G Adjustments'!AA47</f>
        <v>0</v>
      </c>
    </row>
    <row r="49" spans="1:15" x14ac:dyDescent="0.35">
      <c r="A49" s="24">
        <v>34</v>
      </c>
      <c r="B49" s="565" t="str">
        <f>'Schedule 2G Adjustments'!B48:D48</f>
        <v/>
      </c>
      <c r="C49" s="565"/>
      <c r="D49" s="565"/>
      <c r="F49" s="114">
        <f>'Schedule 2G Adjustments'!H48</f>
        <v>0</v>
      </c>
      <c r="G49" s="68">
        <f>'Schedule 2G Adjustments'!J48</f>
        <v>0</v>
      </c>
      <c r="H49" s="68">
        <f t="shared" si="0"/>
        <v>0</v>
      </c>
      <c r="J49" s="114">
        <f>'Schedule 2G Adjustments'!P48</f>
        <v>0</v>
      </c>
      <c r="K49" s="68">
        <f>'Schedule 2G Adjustments'!R48</f>
        <v>0</v>
      </c>
      <c r="L49" s="68">
        <f t="shared" si="1"/>
        <v>0</v>
      </c>
      <c r="N49" s="117">
        <f>'Schedule 2G Adjustments'!X48</f>
        <v>0</v>
      </c>
      <c r="O49" s="117">
        <f>'Schedule 2G Adjustments'!AA48</f>
        <v>0</v>
      </c>
    </row>
    <row r="50" spans="1:15" x14ac:dyDescent="0.35">
      <c r="A50" s="24">
        <v>35</v>
      </c>
      <c r="B50" s="565" t="str">
        <f>'Schedule 2G Adjustments'!B49:D49</f>
        <v/>
      </c>
      <c r="C50" s="565"/>
      <c r="D50" s="565"/>
      <c r="F50" s="114">
        <f>'Schedule 2G Adjustments'!H49</f>
        <v>0</v>
      </c>
      <c r="G50" s="68">
        <f>'Schedule 2G Adjustments'!J49</f>
        <v>0</v>
      </c>
      <c r="H50" s="68">
        <f t="shared" si="0"/>
        <v>0</v>
      </c>
      <c r="J50" s="114">
        <f>'Schedule 2G Adjustments'!P49</f>
        <v>0</v>
      </c>
      <c r="K50" s="68">
        <f>'Schedule 2G Adjustments'!R49</f>
        <v>0</v>
      </c>
      <c r="L50" s="68">
        <f t="shared" si="1"/>
        <v>0</v>
      </c>
      <c r="N50" s="117">
        <f>'Schedule 2G Adjustments'!X49</f>
        <v>0</v>
      </c>
      <c r="O50" s="117">
        <f>'Schedule 2G Adjustments'!AA49</f>
        <v>0</v>
      </c>
    </row>
    <row r="51" spans="1:15" x14ac:dyDescent="0.35">
      <c r="A51" s="24">
        <v>36</v>
      </c>
      <c r="B51" s="565" t="str">
        <f>'Schedule 2G Adjustments'!B50:D50</f>
        <v/>
      </c>
      <c r="C51" s="565"/>
      <c r="D51" s="565"/>
      <c r="F51" s="114">
        <f>'Schedule 2G Adjustments'!H50</f>
        <v>0</v>
      </c>
      <c r="G51" s="68">
        <f>'Schedule 2G Adjustments'!J50</f>
        <v>0</v>
      </c>
      <c r="H51" s="68">
        <f t="shared" si="0"/>
        <v>0</v>
      </c>
      <c r="J51" s="114">
        <f>'Schedule 2G Adjustments'!P50</f>
        <v>0</v>
      </c>
      <c r="K51" s="68">
        <f>'Schedule 2G Adjustments'!R50</f>
        <v>0</v>
      </c>
      <c r="L51" s="68">
        <f t="shared" si="1"/>
        <v>0</v>
      </c>
      <c r="N51" s="117">
        <f>'Schedule 2G Adjustments'!X50</f>
        <v>0</v>
      </c>
      <c r="O51" s="117">
        <f>'Schedule 2G Adjustments'!AA50</f>
        <v>0</v>
      </c>
    </row>
    <row r="52" spans="1:15" x14ac:dyDescent="0.35">
      <c r="A52" s="24">
        <v>37</v>
      </c>
      <c r="B52" s="565" t="str">
        <f>'Schedule 2G Adjustments'!B51:D51</f>
        <v/>
      </c>
      <c r="C52" s="565"/>
      <c r="D52" s="565"/>
      <c r="F52" s="114">
        <f>'Schedule 2G Adjustments'!H51</f>
        <v>0</v>
      </c>
      <c r="G52" s="68">
        <f>'Schedule 2G Adjustments'!J51</f>
        <v>0</v>
      </c>
      <c r="H52" s="68">
        <f t="shared" si="0"/>
        <v>0</v>
      </c>
      <c r="J52" s="114">
        <f>'Schedule 2G Adjustments'!P51</f>
        <v>0</v>
      </c>
      <c r="K52" s="68">
        <f>'Schedule 2G Adjustments'!R51</f>
        <v>0</v>
      </c>
      <c r="L52" s="68">
        <f t="shared" si="1"/>
        <v>0</v>
      </c>
      <c r="N52" s="117">
        <f>'Schedule 2G Adjustments'!X51</f>
        <v>0</v>
      </c>
      <c r="O52" s="117">
        <f>'Schedule 2G Adjustments'!AA51</f>
        <v>0</v>
      </c>
    </row>
    <row r="53" spans="1:15" x14ac:dyDescent="0.35">
      <c r="A53" s="24">
        <v>38</v>
      </c>
      <c r="B53" s="565" t="str">
        <f>'Schedule 2G Adjustments'!B52:D52</f>
        <v/>
      </c>
      <c r="C53" s="565"/>
      <c r="D53" s="565"/>
      <c r="F53" s="114">
        <f>'Schedule 2G Adjustments'!H52</f>
        <v>0</v>
      </c>
      <c r="G53" s="68">
        <f>'Schedule 2G Adjustments'!J52</f>
        <v>0</v>
      </c>
      <c r="H53" s="68">
        <f t="shared" si="0"/>
        <v>0</v>
      </c>
      <c r="J53" s="114">
        <f>'Schedule 2G Adjustments'!P52</f>
        <v>0</v>
      </c>
      <c r="K53" s="68">
        <f>'Schedule 2G Adjustments'!R52</f>
        <v>0</v>
      </c>
      <c r="L53" s="68">
        <f t="shared" si="1"/>
        <v>0</v>
      </c>
      <c r="N53" s="117">
        <f>'Schedule 2G Adjustments'!X52</f>
        <v>0</v>
      </c>
      <c r="O53" s="117">
        <f>'Schedule 2G Adjustments'!AA52</f>
        <v>0</v>
      </c>
    </row>
    <row r="54" spans="1:15" x14ac:dyDescent="0.35">
      <c r="A54" s="24">
        <v>39</v>
      </c>
      <c r="B54" s="565" t="str">
        <f>'Schedule 2G Adjustments'!B53:D53</f>
        <v/>
      </c>
      <c r="C54" s="565"/>
      <c r="D54" s="565"/>
      <c r="F54" s="114">
        <f>'Schedule 2G Adjustments'!H53</f>
        <v>0</v>
      </c>
      <c r="G54" s="68">
        <f>'Schedule 2G Adjustments'!J53</f>
        <v>0</v>
      </c>
      <c r="H54" s="68">
        <f t="shared" si="0"/>
        <v>0</v>
      </c>
      <c r="J54" s="114">
        <f>'Schedule 2G Adjustments'!P53</f>
        <v>0</v>
      </c>
      <c r="K54" s="68">
        <f>'Schedule 2G Adjustments'!R53</f>
        <v>0</v>
      </c>
      <c r="L54" s="68">
        <f t="shared" si="1"/>
        <v>0</v>
      </c>
      <c r="N54" s="117">
        <f>'Schedule 2G Adjustments'!X53</f>
        <v>0</v>
      </c>
      <c r="O54" s="117">
        <f>'Schedule 2G Adjustments'!AA53</f>
        <v>0</v>
      </c>
    </row>
    <row r="55" spans="1:15" x14ac:dyDescent="0.35">
      <c r="A55" s="24">
        <v>40</v>
      </c>
      <c r="B55" s="565" t="str">
        <f>'Schedule 2G Adjustments'!B54:D54</f>
        <v/>
      </c>
      <c r="C55" s="565"/>
      <c r="D55" s="565"/>
      <c r="F55" s="114">
        <f>'Schedule 2G Adjustments'!H54</f>
        <v>0</v>
      </c>
      <c r="G55" s="68">
        <f>'Schedule 2G Adjustments'!J54</f>
        <v>0</v>
      </c>
      <c r="H55" s="68">
        <f t="shared" si="0"/>
        <v>0</v>
      </c>
      <c r="J55" s="114">
        <f>'Schedule 2G Adjustments'!P54</f>
        <v>0</v>
      </c>
      <c r="K55" s="68">
        <f>'Schedule 2G Adjustments'!R54</f>
        <v>0</v>
      </c>
      <c r="L55" s="68">
        <f t="shared" si="1"/>
        <v>0</v>
      </c>
      <c r="N55" s="117">
        <f>'Schedule 2G Adjustments'!X54</f>
        <v>0</v>
      </c>
      <c r="O55" s="117">
        <f>'Schedule 2G Adjustments'!AA54</f>
        <v>0</v>
      </c>
    </row>
    <row r="56" spans="1:15" x14ac:dyDescent="0.35">
      <c r="A56" s="24">
        <v>41</v>
      </c>
      <c r="B56" s="565" t="str">
        <f>'Schedule 2G Adjustments'!B55:D55</f>
        <v/>
      </c>
      <c r="C56" s="565"/>
      <c r="D56" s="565"/>
      <c r="F56" s="114">
        <f>'Schedule 2G Adjustments'!H55</f>
        <v>0</v>
      </c>
      <c r="G56" s="68">
        <f>'Schedule 2G Adjustments'!J55</f>
        <v>0</v>
      </c>
      <c r="H56" s="68">
        <f t="shared" si="0"/>
        <v>0</v>
      </c>
      <c r="J56" s="114">
        <f>'Schedule 2G Adjustments'!P55</f>
        <v>0</v>
      </c>
      <c r="K56" s="68">
        <f>'Schedule 2G Adjustments'!R55</f>
        <v>0</v>
      </c>
      <c r="L56" s="68">
        <f t="shared" si="1"/>
        <v>0</v>
      </c>
      <c r="N56" s="117">
        <f>'Schedule 2G Adjustments'!X55</f>
        <v>0</v>
      </c>
      <c r="O56" s="117">
        <f>'Schedule 2G Adjustments'!AA55</f>
        <v>0</v>
      </c>
    </row>
    <row r="57" spans="1:15" x14ac:dyDescent="0.35">
      <c r="A57" s="24">
        <v>42</v>
      </c>
      <c r="B57" s="565" t="str">
        <f>'Schedule 2G Adjustments'!B56:D56</f>
        <v/>
      </c>
      <c r="C57" s="565"/>
      <c r="D57" s="565"/>
      <c r="F57" s="114">
        <f>'Schedule 2G Adjustments'!H56</f>
        <v>0</v>
      </c>
      <c r="G57" s="68">
        <f>'Schedule 2G Adjustments'!J56</f>
        <v>0</v>
      </c>
      <c r="H57" s="68">
        <f t="shared" si="0"/>
        <v>0</v>
      </c>
      <c r="J57" s="114">
        <f>'Schedule 2G Adjustments'!P56</f>
        <v>0</v>
      </c>
      <c r="K57" s="68">
        <f>'Schedule 2G Adjustments'!R56</f>
        <v>0</v>
      </c>
      <c r="L57" s="68">
        <f t="shared" si="1"/>
        <v>0</v>
      </c>
      <c r="N57" s="117">
        <f>'Schedule 2G Adjustments'!X56</f>
        <v>0</v>
      </c>
      <c r="O57" s="117">
        <f>'Schedule 2G Adjustments'!AA56</f>
        <v>0</v>
      </c>
    </row>
    <row r="58" spans="1:15" x14ac:dyDescent="0.35">
      <c r="A58" s="24">
        <v>43</v>
      </c>
      <c r="B58" s="565" t="str">
        <f>'Schedule 2G Adjustments'!B57:D57</f>
        <v/>
      </c>
      <c r="C58" s="565"/>
      <c r="D58" s="565"/>
      <c r="F58" s="114">
        <f>'Schedule 2G Adjustments'!H57</f>
        <v>0</v>
      </c>
      <c r="G58" s="68">
        <f>'Schedule 2G Adjustments'!J57</f>
        <v>0</v>
      </c>
      <c r="H58" s="68">
        <f t="shared" si="0"/>
        <v>0</v>
      </c>
      <c r="J58" s="114">
        <f>'Schedule 2G Adjustments'!P57</f>
        <v>0</v>
      </c>
      <c r="K58" s="68">
        <f>'Schedule 2G Adjustments'!R57</f>
        <v>0</v>
      </c>
      <c r="L58" s="68">
        <f t="shared" si="1"/>
        <v>0</v>
      </c>
      <c r="N58" s="117">
        <f>'Schedule 2G Adjustments'!X57</f>
        <v>0</v>
      </c>
      <c r="O58" s="117">
        <f>'Schedule 2G Adjustments'!AA57</f>
        <v>0</v>
      </c>
    </row>
    <row r="59" spans="1:15" x14ac:dyDescent="0.35">
      <c r="A59" s="24">
        <v>44</v>
      </c>
      <c r="B59" s="565" t="str">
        <f>'Schedule 2G Adjustments'!B58:D58</f>
        <v/>
      </c>
      <c r="C59" s="565"/>
      <c r="D59" s="565"/>
      <c r="F59" s="114">
        <f>'Schedule 2G Adjustments'!H58</f>
        <v>0</v>
      </c>
      <c r="G59" s="68">
        <f>'Schedule 2G Adjustments'!J58</f>
        <v>0</v>
      </c>
      <c r="H59" s="68">
        <f t="shared" si="0"/>
        <v>0</v>
      </c>
      <c r="J59" s="114">
        <f>'Schedule 2G Adjustments'!P58</f>
        <v>0</v>
      </c>
      <c r="K59" s="68">
        <f>'Schedule 2G Adjustments'!R58</f>
        <v>0</v>
      </c>
      <c r="L59" s="68">
        <f t="shared" si="1"/>
        <v>0</v>
      </c>
      <c r="N59" s="117">
        <f>'Schedule 2G Adjustments'!X58</f>
        <v>0</v>
      </c>
      <c r="O59" s="117">
        <f>'Schedule 2G Adjustments'!AA58</f>
        <v>0</v>
      </c>
    </row>
    <row r="60" spans="1:15" x14ac:dyDescent="0.35">
      <c r="A60" s="24">
        <v>45</v>
      </c>
      <c r="B60" s="565" t="str">
        <f>'Schedule 2G Adjustments'!B59:D59</f>
        <v/>
      </c>
      <c r="C60" s="565"/>
      <c r="D60" s="565"/>
      <c r="F60" s="114">
        <f>'Schedule 2G Adjustments'!H59</f>
        <v>0</v>
      </c>
      <c r="G60" s="68">
        <f>'Schedule 2G Adjustments'!J59</f>
        <v>0</v>
      </c>
      <c r="H60" s="68">
        <f t="shared" si="0"/>
        <v>0</v>
      </c>
      <c r="J60" s="114">
        <f>'Schedule 2G Adjustments'!P59</f>
        <v>0</v>
      </c>
      <c r="K60" s="68">
        <f>'Schedule 2G Adjustments'!R59</f>
        <v>0</v>
      </c>
      <c r="L60" s="68">
        <f t="shared" si="1"/>
        <v>0</v>
      </c>
      <c r="N60" s="117">
        <f>'Schedule 2G Adjustments'!X59</f>
        <v>0</v>
      </c>
      <c r="O60" s="117">
        <f>'Schedule 2G Adjustments'!AA59</f>
        <v>0</v>
      </c>
    </row>
    <row r="61" spans="1:15" x14ac:dyDescent="0.35">
      <c r="A61" s="24">
        <v>46</v>
      </c>
      <c r="B61" s="565" t="str">
        <f>'Schedule 2G Adjustments'!B60:D60</f>
        <v/>
      </c>
      <c r="C61" s="565"/>
      <c r="D61" s="565"/>
      <c r="F61" s="114">
        <f>'Schedule 2G Adjustments'!H60</f>
        <v>0</v>
      </c>
      <c r="G61" s="68">
        <f>'Schedule 2G Adjustments'!J60</f>
        <v>0</v>
      </c>
      <c r="H61" s="68">
        <f t="shared" si="0"/>
        <v>0</v>
      </c>
      <c r="J61" s="114">
        <f>'Schedule 2G Adjustments'!P60</f>
        <v>0</v>
      </c>
      <c r="K61" s="68">
        <f>'Schedule 2G Adjustments'!R60</f>
        <v>0</v>
      </c>
      <c r="L61" s="68">
        <f t="shared" si="1"/>
        <v>0</v>
      </c>
      <c r="N61" s="117">
        <f>'Schedule 2G Adjustments'!X60</f>
        <v>0</v>
      </c>
      <c r="O61" s="117">
        <f>'Schedule 2G Adjustments'!AA60</f>
        <v>0</v>
      </c>
    </row>
    <row r="62" spans="1:15" x14ac:dyDescent="0.35">
      <c r="A62" s="24">
        <v>47</v>
      </c>
      <c r="B62" s="565" t="str">
        <f>'Schedule 2G Adjustments'!B61:D61</f>
        <v/>
      </c>
      <c r="C62" s="565"/>
      <c r="D62" s="565"/>
      <c r="F62" s="114">
        <f>'Schedule 2G Adjustments'!H61</f>
        <v>0</v>
      </c>
      <c r="G62" s="68">
        <f>'Schedule 2G Adjustments'!J61</f>
        <v>0</v>
      </c>
      <c r="H62" s="68">
        <f t="shared" si="0"/>
        <v>0</v>
      </c>
      <c r="J62" s="114">
        <f>'Schedule 2G Adjustments'!P61</f>
        <v>0</v>
      </c>
      <c r="K62" s="68">
        <f>'Schedule 2G Adjustments'!R61</f>
        <v>0</v>
      </c>
      <c r="L62" s="68">
        <f t="shared" si="1"/>
        <v>0</v>
      </c>
      <c r="N62" s="117">
        <f>'Schedule 2G Adjustments'!X61</f>
        <v>0</v>
      </c>
      <c r="O62" s="117">
        <f>'Schedule 2G Adjustments'!AA61</f>
        <v>0</v>
      </c>
    </row>
    <row r="63" spans="1:15" x14ac:dyDescent="0.35">
      <c r="A63" s="24">
        <v>48</v>
      </c>
      <c r="B63" s="565" t="str">
        <f>'Schedule 2G Adjustments'!B62:D62</f>
        <v/>
      </c>
      <c r="C63" s="565"/>
      <c r="D63" s="565"/>
      <c r="F63" s="114">
        <f>'Schedule 2G Adjustments'!H62</f>
        <v>0</v>
      </c>
      <c r="G63" s="68">
        <f>'Schedule 2G Adjustments'!J62</f>
        <v>0</v>
      </c>
      <c r="H63" s="68">
        <f t="shared" si="0"/>
        <v>0</v>
      </c>
      <c r="J63" s="114">
        <f>'Schedule 2G Adjustments'!P62</f>
        <v>0</v>
      </c>
      <c r="K63" s="68">
        <f>'Schedule 2G Adjustments'!R62</f>
        <v>0</v>
      </c>
      <c r="L63" s="68">
        <f t="shared" si="1"/>
        <v>0</v>
      </c>
      <c r="N63" s="117">
        <f>'Schedule 2G Adjustments'!X62</f>
        <v>0</v>
      </c>
      <c r="O63" s="117">
        <f>'Schedule 2G Adjustments'!AA62</f>
        <v>0</v>
      </c>
    </row>
    <row r="64" spans="1:15" x14ac:dyDescent="0.35">
      <c r="A64" s="24">
        <v>49</v>
      </c>
      <c r="B64" s="565" t="str">
        <f>'Schedule 2G Adjustments'!B63:D63</f>
        <v/>
      </c>
      <c r="C64" s="565"/>
      <c r="D64" s="565"/>
      <c r="F64" s="114">
        <f>'Schedule 2G Adjustments'!H63</f>
        <v>0</v>
      </c>
      <c r="G64" s="68">
        <f>'Schedule 2G Adjustments'!J63</f>
        <v>0</v>
      </c>
      <c r="H64" s="68">
        <f t="shared" si="0"/>
        <v>0</v>
      </c>
      <c r="J64" s="114">
        <f>'Schedule 2G Adjustments'!P63</f>
        <v>0</v>
      </c>
      <c r="K64" s="68">
        <f>'Schedule 2G Adjustments'!R63</f>
        <v>0</v>
      </c>
      <c r="L64" s="68">
        <f t="shared" si="1"/>
        <v>0</v>
      </c>
      <c r="N64" s="117">
        <f>'Schedule 2G Adjustments'!X63</f>
        <v>0</v>
      </c>
      <c r="O64" s="117">
        <f>'Schedule 2G Adjustments'!AA63</f>
        <v>0</v>
      </c>
    </row>
    <row r="65" spans="1:15" x14ac:dyDescent="0.35">
      <c r="A65" s="24">
        <v>50</v>
      </c>
      <c r="B65" s="565" t="str">
        <f>'Schedule 2G Adjustments'!B64:D64</f>
        <v/>
      </c>
      <c r="C65" s="565"/>
      <c r="D65" s="565"/>
      <c r="F65" s="114">
        <f>'Schedule 2G Adjustments'!H64</f>
        <v>0</v>
      </c>
      <c r="G65" s="68">
        <f>'Schedule 2G Adjustments'!J64</f>
        <v>0</v>
      </c>
      <c r="H65" s="68">
        <f t="shared" si="0"/>
        <v>0</v>
      </c>
      <c r="J65" s="114">
        <f>'Schedule 2G Adjustments'!P64</f>
        <v>0</v>
      </c>
      <c r="K65" s="68">
        <f>'Schedule 2G Adjustments'!R64</f>
        <v>0</v>
      </c>
      <c r="L65" s="68">
        <f t="shared" si="1"/>
        <v>0</v>
      </c>
      <c r="N65" s="117">
        <f>'Schedule 2G Adjustments'!X64</f>
        <v>0</v>
      </c>
      <c r="O65" s="117">
        <f>'Schedule 2G Adjustments'!AA64</f>
        <v>0</v>
      </c>
    </row>
    <row r="66" spans="1:15" x14ac:dyDescent="0.35">
      <c r="A66" s="24">
        <v>51</v>
      </c>
      <c r="B66" s="565" t="str">
        <f>'Schedule 2G Adjustments'!B65:D65</f>
        <v/>
      </c>
      <c r="C66" s="565"/>
      <c r="D66" s="565"/>
      <c r="F66" s="114">
        <f>'Schedule 2G Adjustments'!H65</f>
        <v>0</v>
      </c>
      <c r="G66" s="68">
        <f>'Schedule 2G Adjustments'!J65</f>
        <v>0</v>
      </c>
      <c r="H66" s="68">
        <f t="shared" si="0"/>
        <v>0</v>
      </c>
      <c r="J66" s="114">
        <f>'Schedule 2G Adjustments'!P65</f>
        <v>0</v>
      </c>
      <c r="K66" s="68">
        <f>'Schedule 2G Adjustments'!R65</f>
        <v>0</v>
      </c>
      <c r="L66" s="68">
        <f t="shared" si="1"/>
        <v>0</v>
      </c>
      <c r="N66" s="117">
        <f>'Schedule 2G Adjustments'!X65</f>
        <v>0</v>
      </c>
      <c r="O66" s="117">
        <f>'Schedule 2G Adjustments'!AA65</f>
        <v>0</v>
      </c>
    </row>
    <row r="67" spans="1:15" x14ac:dyDescent="0.35">
      <c r="A67" s="24">
        <v>52</v>
      </c>
      <c r="B67" s="565" t="str">
        <f>'Schedule 2G Adjustments'!B66:D66</f>
        <v/>
      </c>
      <c r="C67" s="565"/>
      <c r="D67" s="565"/>
      <c r="F67" s="114">
        <f>'Schedule 2G Adjustments'!H66</f>
        <v>0</v>
      </c>
      <c r="G67" s="68">
        <f>'Schedule 2G Adjustments'!J66</f>
        <v>0</v>
      </c>
      <c r="H67" s="68">
        <f t="shared" si="0"/>
        <v>0</v>
      </c>
      <c r="J67" s="114">
        <f>'Schedule 2G Adjustments'!P66</f>
        <v>0</v>
      </c>
      <c r="K67" s="68">
        <f>'Schedule 2G Adjustments'!R66</f>
        <v>0</v>
      </c>
      <c r="L67" s="68">
        <f t="shared" si="1"/>
        <v>0</v>
      </c>
      <c r="N67" s="117">
        <f>'Schedule 2G Adjustments'!X66</f>
        <v>0</v>
      </c>
      <c r="O67" s="117">
        <f>'Schedule 2G Adjustments'!AA66</f>
        <v>0</v>
      </c>
    </row>
    <row r="68" spans="1:15" x14ac:dyDescent="0.35">
      <c r="A68" s="24">
        <v>53</v>
      </c>
      <c r="B68" s="565" t="str">
        <f>'Schedule 2G Adjustments'!B67:D67</f>
        <v/>
      </c>
      <c r="C68" s="565"/>
      <c r="D68" s="565"/>
      <c r="F68" s="114">
        <f>'Schedule 2G Adjustments'!H67</f>
        <v>0</v>
      </c>
      <c r="G68" s="68">
        <f>'Schedule 2G Adjustments'!J67</f>
        <v>0</v>
      </c>
      <c r="H68" s="68">
        <f t="shared" si="0"/>
        <v>0</v>
      </c>
      <c r="J68" s="114">
        <f>'Schedule 2G Adjustments'!P67</f>
        <v>0</v>
      </c>
      <c r="K68" s="68">
        <f>'Schedule 2G Adjustments'!R67</f>
        <v>0</v>
      </c>
      <c r="L68" s="68">
        <f t="shared" si="1"/>
        <v>0</v>
      </c>
      <c r="N68" s="117">
        <f>'Schedule 2G Adjustments'!X67</f>
        <v>0</v>
      </c>
      <c r="O68" s="117">
        <f>'Schedule 2G Adjustments'!AA67</f>
        <v>0</v>
      </c>
    </row>
    <row r="69" spans="1:15" x14ac:dyDescent="0.35">
      <c r="A69" s="24">
        <v>54</v>
      </c>
      <c r="B69" s="565" t="str">
        <f>'Schedule 2G Adjustments'!B68:D68</f>
        <v/>
      </c>
      <c r="C69" s="565"/>
      <c r="D69" s="565"/>
      <c r="F69" s="114">
        <f>'Schedule 2G Adjustments'!H68</f>
        <v>0</v>
      </c>
      <c r="G69" s="68">
        <f>'Schedule 2G Adjustments'!J68</f>
        <v>0</v>
      </c>
      <c r="H69" s="68">
        <f t="shared" si="0"/>
        <v>0</v>
      </c>
      <c r="J69" s="114">
        <f>'Schedule 2G Adjustments'!P68</f>
        <v>0</v>
      </c>
      <c r="K69" s="68">
        <f>'Schedule 2G Adjustments'!R68</f>
        <v>0</v>
      </c>
      <c r="L69" s="68">
        <f t="shared" si="1"/>
        <v>0</v>
      </c>
      <c r="N69" s="117">
        <f>'Schedule 2G Adjustments'!X68</f>
        <v>0</v>
      </c>
      <c r="O69" s="117">
        <f>'Schedule 2G Adjustments'!AA68</f>
        <v>0</v>
      </c>
    </row>
    <row r="70" spans="1:15" x14ac:dyDescent="0.35">
      <c r="A70" s="24">
        <v>55</v>
      </c>
      <c r="B70" s="565" t="str">
        <f>'Schedule 2G Adjustments'!B69:D69</f>
        <v/>
      </c>
      <c r="C70" s="565"/>
      <c r="D70" s="565"/>
      <c r="F70" s="114">
        <f>'Schedule 2G Adjustments'!H69</f>
        <v>0</v>
      </c>
      <c r="G70" s="68">
        <f>'Schedule 2G Adjustments'!J69</f>
        <v>0</v>
      </c>
      <c r="H70" s="68">
        <f t="shared" si="0"/>
        <v>0</v>
      </c>
      <c r="J70" s="114">
        <f>'Schedule 2G Adjustments'!P69</f>
        <v>0</v>
      </c>
      <c r="K70" s="68">
        <f>'Schedule 2G Adjustments'!R69</f>
        <v>0</v>
      </c>
      <c r="L70" s="68">
        <f t="shared" si="1"/>
        <v>0</v>
      </c>
      <c r="N70" s="117">
        <f>'Schedule 2G Adjustments'!X69</f>
        <v>0</v>
      </c>
      <c r="O70" s="117">
        <f>'Schedule 2G Adjustments'!AA69</f>
        <v>0</v>
      </c>
    </row>
    <row r="71" spans="1:15" x14ac:dyDescent="0.35">
      <c r="A71" s="24">
        <v>56</v>
      </c>
      <c r="B71" s="565" t="str">
        <f>'Schedule 2G Adjustments'!B70:D70</f>
        <v/>
      </c>
      <c r="C71" s="565"/>
      <c r="D71" s="565"/>
      <c r="F71" s="114">
        <f>'Schedule 2G Adjustments'!H70</f>
        <v>0</v>
      </c>
      <c r="G71" s="68">
        <f>'Schedule 2G Adjustments'!J70</f>
        <v>0</v>
      </c>
      <c r="H71" s="68">
        <f t="shared" si="0"/>
        <v>0</v>
      </c>
      <c r="J71" s="114">
        <f>'Schedule 2G Adjustments'!P70</f>
        <v>0</v>
      </c>
      <c r="K71" s="68">
        <f>'Schedule 2G Adjustments'!R70</f>
        <v>0</v>
      </c>
      <c r="L71" s="68">
        <f t="shared" si="1"/>
        <v>0</v>
      </c>
      <c r="N71" s="117">
        <f>'Schedule 2G Adjustments'!X70</f>
        <v>0</v>
      </c>
      <c r="O71" s="117">
        <f>'Schedule 2G Adjustments'!AA70</f>
        <v>0</v>
      </c>
    </row>
    <row r="72" spans="1:15" x14ac:dyDescent="0.35">
      <c r="A72" s="24">
        <v>57</v>
      </c>
      <c r="B72" s="565" t="str">
        <f>'Schedule 2G Adjustments'!B71:D71</f>
        <v/>
      </c>
      <c r="C72" s="565"/>
      <c r="D72" s="565"/>
      <c r="F72" s="114">
        <f>'Schedule 2G Adjustments'!H71</f>
        <v>0</v>
      </c>
      <c r="G72" s="68">
        <f>'Schedule 2G Adjustments'!J71</f>
        <v>0</v>
      </c>
      <c r="H72" s="68">
        <f t="shared" si="0"/>
        <v>0</v>
      </c>
      <c r="J72" s="114">
        <f>'Schedule 2G Adjustments'!P71</f>
        <v>0</v>
      </c>
      <c r="K72" s="68">
        <f>'Schedule 2G Adjustments'!R71</f>
        <v>0</v>
      </c>
      <c r="L72" s="68">
        <f t="shared" si="1"/>
        <v>0</v>
      </c>
      <c r="N72" s="117">
        <f>'Schedule 2G Adjustments'!X71</f>
        <v>0</v>
      </c>
      <c r="O72" s="117">
        <f>'Schedule 2G Adjustments'!AA71</f>
        <v>0</v>
      </c>
    </row>
    <row r="73" spans="1:15" x14ac:dyDescent="0.35">
      <c r="A73" s="24">
        <v>58</v>
      </c>
      <c r="B73" s="565" t="str">
        <f>'Schedule 2G Adjustments'!B72:D72</f>
        <v/>
      </c>
      <c r="C73" s="565"/>
      <c r="D73" s="565"/>
      <c r="F73" s="114">
        <f>'Schedule 2G Adjustments'!H72</f>
        <v>0</v>
      </c>
      <c r="G73" s="68">
        <f>'Schedule 2G Adjustments'!J72</f>
        <v>0</v>
      </c>
      <c r="H73" s="68">
        <f t="shared" si="0"/>
        <v>0</v>
      </c>
      <c r="J73" s="114">
        <f>'Schedule 2G Adjustments'!P72</f>
        <v>0</v>
      </c>
      <c r="K73" s="68">
        <f>'Schedule 2G Adjustments'!R72</f>
        <v>0</v>
      </c>
      <c r="L73" s="68">
        <f t="shared" si="1"/>
        <v>0</v>
      </c>
      <c r="N73" s="117">
        <f>'Schedule 2G Adjustments'!X72</f>
        <v>0</v>
      </c>
      <c r="O73" s="117">
        <f>'Schedule 2G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17302493-42B1-4877-869E-E424A97AE78B}" state="hidden" topLeftCell="G1">
      <selection activeCell="F17" sqref="F17"/>
      <pageMargins left="0.7" right="0.7" top="0.75" bottom="0.75" header="0.3" footer="0.3"/>
    </customSheetView>
    <customSheetView guid="{5C0BA3A5-859C-46C2-B685-44D9A90065E4}" topLeftCell="G1">
      <selection activeCell="J26" sqref="J26"/>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 t="s">
        <v>854</v>
      </c>
      <c r="B3" s="5"/>
      <c r="C3" s="5"/>
      <c r="D3" s="5"/>
      <c r="E3" s="5"/>
      <c r="F3" s="5"/>
      <c r="G3" s="5"/>
      <c r="H3" s="5"/>
    </row>
    <row r="4" spans="1:15" ht="25" customHeight="1" x14ac:dyDescent="0.5">
      <c r="A4" s="235" t="str">
        <f>Results!A4</f>
        <v>Final Adjustments</v>
      </c>
      <c r="B4" s="354"/>
      <c r="C4" s="354"/>
      <c r="D4" s="354"/>
      <c r="E4" s="354"/>
      <c r="F4" s="354"/>
      <c r="G4" s="354"/>
      <c r="H4" s="354"/>
    </row>
    <row r="6" spans="1:15" x14ac:dyDescent="0.35">
      <c r="A6" s="1" t="s">
        <v>776</v>
      </c>
      <c r="C6" s="414" t="str">
        <f>Results!$C$6</f>
        <v>WellPower</v>
      </c>
    </row>
    <row r="7" spans="1:15" x14ac:dyDescent="0.35">
      <c r="A7" s="1" t="s">
        <v>0</v>
      </c>
      <c r="C7" s="35">
        <f>Results!$C$7</f>
        <v>45473</v>
      </c>
      <c r="F7" s="35"/>
    </row>
    <row r="9" spans="1:15" x14ac:dyDescent="0.35">
      <c r="A9" s="1" t="s">
        <v>253</v>
      </c>
      <c r="B9" s="1" t="s">
        <v>822</v>
      </c>
      <c r="C9" s="1"/>
      <c r="F9" s="116" t="str">
        <f>'Schedule 2H Adjustments'!F8</f>
        <v>Yes/No</v>
      </c>
      <c r="G9" s="41" t="s">
        <v>259</v>
      </c>
    </row>
    <row r="11" spans="1:15" x14ac:dyDescent="0.35">
      <c r="A11" s="1" t="s">
        <v>254</v>
      </c>
      <c r="B11" s="1" t="s">
        <v>256</v>
      </c>
      <c r="C11" s="1"/>
    </row>
    <row r="12" spans="1:15" x14ac:dyDescent="0.35">
      <c r="B12" s="311" t="s">
        <v>592</v>
      </c>
    </row>
    <row r="13" spans="1:15" x14ac:dyDescent="0.35">
      <c r="B13" s="560">
        <v>1</v>
      </c>
      <c r="C13" s="560"/>
      <c r="D13" s="560"/>
      <c r="F13" s="23">
        <v>2</v>
      </c>
      <c r="G13" s="23">
        <v>3</v>
      </c>
      <c r="H13" s="23">
        <v>4</v>
      </c>
      <c r="J13" s="23">
        <v>5</v>
      </c>
      <c r="K13" s="23">
        <v>6</v>
      </c>
      <c r="L13" s="23">
        <v>7</v>
      </c>
      <c r="N13" s="23">
        <v>8</v>
      </c>
      <c r="O13" s="23">
        <v>9</v>
      </c>
    </row>
    <row r="14" spans="1:15" ht="15" customHeight="1" x14ac:dyDescent="0.35">
      <c r="B14" s="569" t="s">
        <v>606</v>
      </c>
      <c r="C14" s="570"/>
      <c r="D14" s="571"/>
      <c r="F14" s="563" t="s">
        <v>261</v>
      </c>
      <c r="G14" s="568"/>
      <c r="H14" s="564"/>
      <c r="J14" s="563" t="s">
        <v>262</v>
      </c>
      <c r="K14" s="568"/>
      <c r="L14" s="564"/>
      <c r="N14" s="566" t="s">
        <v>686</v>
      </c>
      <c r="O14" s="566" t="s">
        <v>687</v>
      </c>
    </row>
    <row r="15" spans="1:15" ht="55.5" customHeight="1" x14ac:dyDescent="0.35">
      <c r="B15" s="572"/>
      <c r="C15" s="573"/>
      <c r="D15" s="574"/>
      <c r="E15" s="48"/>
      <c r="F15" s="10" t="s">
        <v>683</v>
      </c>
      <c r="G15" s="142" t="s">
        <v>684</v>
      </c>
      <c r="H15" s="142" t="s">
        <v>685</v>
      </c>
      <c r="I15" s="99"/>
      <c r="J15" s="10" t="s">
        <v>683</v>
      </c>
      <c r="K15" s="142" t="s">
        <v>684</v>
      </c>
      <c r="L15" s="142" t="s">
        <v>685</v>
      </c>
      <c r="M15" s="48"/>
      <c r="N15" s="567"/>
      <c r="O15" s="567"/>
    </row>
    <row r="16" spans="1:15" x14ac:dyDescent="0.35">
      <c r="A16" s="24">
        <v>1</v>
      </c>
      <c r="B16" s="565" t="str">
        <f>'Schedule 2H Adjustments'!B15:D15</f>
        <v/>
      </c>
      <c r="C16" s="565"/>
      <c r="D16" s="565"/>
      <c r="F16" s="114">
        <f>'Schedule 2H Adjustments'!H15</f>
        <v>0</v>
      </c>
      <c r="G16" s="68">
        <f>'Schedule 2H Adjustments'!J15</f>
        <v>0</v>
      </c>
      <c r="H16" s="68">
        <f>SUM(F16:G16)</f>
        <v>0</v>
      </c>
      <c r="J16" s="114">
        <f>'Schedule 2H Adjustments'!P15</f>
        <v>0</v>
      </c>
      <c r="K16" s="68">
        <f>'Schedule 2H Adjustments'!R15</f>
        <v>0</v>
      </c>
      <c r="L16" s="68">
        <f>SUM(J16:K16)</f>
        <v>0</v>
      </c>
      <c r="N16" s="117">
        <f>'Schedule 2H Adjustments'!X15</f>
        <v>0</v>
      </c>
      <c r="O16" s="117">
        <f>'Schedule 2H Adjustments'!AA15</f>
        <v>0</v>
      </c>
    </row>
    <row r="17" spans="1:15" x14ac:dyDescent="0.35">
      <c r="A17" s="24">
        <v>2</v>
      </c>
      <c r="B17" s="565" t="str">
        <f>'Schedule 2H Adjustments'!B16:D16</f>
        <v/>
      </c>
      <c r="C17" s="565"/>
      <c r="D17" s="565"/>
      <c r="F17" s="114">
        <f>'Schedule 2H Adjustments'!H16</f>
        <v>0</v>
      </c>
      <c r="G17" s="68">
        <f>'Schedule 2H Adjustments'!J16</f>
        <v>0</v>
      </c>
      <c r="H17" s="68">
        <f t="shared" ref="H17:H73" si="0">SUM(F17:G17)</f>
        <v>0</v>
      </c>
      <c r="J17" s="114">
        <f>'Schedule 2H Adjustments'!P16</f>
        <v>0</v>
      </c>
      <c r="K17" s="68">
        <f>'Schedule 2H Adjustments'!R16</f>
        <v>0</v>
      </c>
      <c r="L17" s="68">
        <f t="shared" ref="L17:L73" si="1">SUM(J17:K17)</f>
        <v>0</v>
      </c>
      <c r="N17" s="117">
        <f>'Schedule 2H Adjustments'!X16</f>
        <v>0</v>
      </c>
      <c r="O17" s="117">
        <f>'Schedule 2H Adjustments'!AA16</f>
        <v>0</v>
      </c>
    </row>
    <row r="18" spans="1:15" x14ac:dyDescent="0.35">
      <c r="A18" s="24">
        <v>3</v>
      </c>
      <c r="B18" s="565" t="str">
        <f>'Schedule 2H Adjustments'!B17:D17</f>
        <v/>
      </c>
      <c r="C18" s="565"/>
      <c r="D18" s="565"/>
      <c r="F18" s="114">
        <f>'Schedule 2H Adjustments'!H17</f>
        <v>0</v>
      </c>
      <c r="G18" s="68">
        <f>'Schedule 2H Adjustments'!J17</f>
        <v>0</v>
      </c>
      <c r="H18" s="68">
        <f t="shared" si="0"/>
        <v>0</v>
      </c>
      <c r="J18" s="114">
        <f>'Schedule 2H Adjustments'!P17</f>
        <v>0</v>
      </c>
      <c r="K18" s="68">
        <f>'Schedule 2H Adjustments'!R17</f>
        <v>0</v>
      </c>
      <c r="L18" s="68">
        <f t="shared" si="1"/>
        <v>0</v>
      </c>
      <c r="N18" s="117">
        <f>'Schedule 2H Adjustments'!X17</f>
        <v>0</v>
      </c>
      <c r="O18" s="117">
        <f>'Schedule 2H Adjustments'!AA17</f>
        <v>0</v>
      </c>
    </row>
    <row r="19" spans="1:15" x14ac:dyDescent="0.35">
      <c r="A19" s="24">
        <v>4</v>
      </c>
      <c r="B19" s="565" t="str">
        <f>'Schedule 2H Adjustments'!B18:D18</f>
        <v/>
      </c>
      <c r="C19" s="565"/>
      <c r="D19" s="565"/>
      <c r="F19" s="114">
        <f>'Schedule 2H Adjustments'!H18</f>
        <v>0</v>
      </c>
      <c r="G19" s="68">
        <f>'Schedule 2H Adjustments'!J18</f>
        <v>0</v>
      </c>
      <c r="H19" s="68">
        <f t="shared" si="0"/>
        <v>0</v>
      </c>
      <c r="J19" s="114">
        <f>'Schedule 2H Adjustments'!P18</f>
        <v>0</v>
      </c>
      <c r="K19" s="68">
        <f>'Schedule 2H Adjustments'!R18</f>
        <v>0</v>
      </c>
      <c r="L19" s="68">
        <f t="shared" si="1"/>
        <v>0</v>
      </c>
      <c r="N19" s="117">
        <f>'Schedule 2H Adjustments'!X18</f>
        <v>0</v>
      </c>
      <c r="O19" s="117">
        <f>'Schedule 2H Adjustments'!AA18</f>
        <v>0</v>
      </c>
    </row>
    <row r="20" spans="1:15" x14ac:dyDescent="0.35">
      <c r="A20" s="24">
        <v>5</v>
      </c>
      <c r="B20" s="565" t="str">
        <f>'Schedule 2H Adjustments'!B19:D19</f>
        <v/>
      </c>
      <c r="C20" s="565"/>
      <c r="D20" s="565"/>
      <c r="F20" s="114">
        <f>'Schedule 2H Adjustments'!H19</f>
        <v>0</v>
      </c>
      <c r="G20" s="68">
        <f>'Schedule 2H Adjustments'!J19</f>
        <v>0</v>
      </c>
      <c r="H20" s="68">
        <f t="shared" si="0"/>
        <v>0</v>
      </c>
      <c r="J20" s="114">
        <f>'Schedule 2H Adjustments'!P19</f>
        <v>0</v>
      </c>
      <c r="K20" s="68">
        <f>'Schedule 2H Adjustments'!R19</f>
        <v>0</v>
      </c>
      <c r="L20" s="68">
        <f t="shared" si="1"/>
        <v>0</v>
      </c>
      <c r="N20" s="117">
        <f>'Schedule 2H Adjustments'!X19</f>
        <v>0</v>
      </c>
      <c r="O20" s="117">
        <f>'Schedule 2H Adjustments'!AA19</f>
        <v>0</v>
      </c>
    </row>
    <row r="21" spans="1:15" x14ac:dyDescent="0.35">
      <c r="A21" s="24">
        <v>6</v>
      </c>
      <c r="B21" s="565" t="str">
        <f>'Schedule 2H Adjustments'!B20:D20</f>
        <v/>
      </c>
      <c r="C21" s="565"/>
      <c r="D21" s="565"/>
      <c r="F21" s="114">
        <f>'Schedule 2H Adjustments'!H20</f>
        <v>0</v>
      </c>
      <c r="G21" s="68">
        <f>'Schedule 2H Adjustments'!J20</f>
        <v>0</v>
      </c>
      <c r="H21" s="68">
        <f t="shared" si="0"/>
        <v>0</v>
      </c>
      <c r="J21" s="114">
        <f>'Schedule 2H Adjustments'!P20</f>
        <v>0</v>
      </c>
      <c r="K21" s="68">
        <f>'Schedule 2H Adjustments'!R20</f>
        <v>0</v>
      </c>
      <c r="L21" s="68">
        <f t="shared" si="1"/>
        <v>0</v>
      </c>
      <c r="N21" s="117">
        <f>'Schedule 2H Adjustments'!X20</f>
        <v>0</v>
      </c>
      <c r="O21" s="117">
        <f>'Schedule 2H Adjustments'!AA20</f>
        <v>0</v>
      </c>
    </row>
    <row r="22" spans="1:15" x14ac:dyDescent="0.35">
      <c r="A22" s="24">
        <v>7</v>
      </c>
      <c r="B22" s="565" t="str">
        <f>'Schedule 2H Adjustments'!B21:D21</f>
        <v/>
      </c>
      <c r="C22" s="565"/>
      <c r="D22" s="565"/>
      <c r="F22" s="114">
        <f>'Schedule 2H Adjustments'!H21</f>
        <v>0</v>
      </c>
      <c r="G22" s="68">
        <f>'Schedule 2H Adjustments'!J21</f>
        <v>0</v>
      </c>
      <c r="H22" s="68">
        <f t="shared" si="0"/>
        <v>0</v>
      </c>
      <c r="J22" s="114">
        <f>'Schedule 2H Adjustments'!P21</f>
        <v>0</v>
      </c>
      <c r="K22" s="68">
        <f>'Schedule 2H Adjustments'!R21</f>
        <v>0</v>
      </c>
      <c r="L22" s="68">
        <f t="shared" si="1"/>
        <v>0</v>
      </c>
      <c r="N22" s="117">
        <f>'Schedule 2H Adjustments'!X21</f>
        <v>0</v>
      </c>
      <c r="O22" s="117">
        <f>'Schedule 2H Adjustments'!AA21</f>
        <v>0</v>
      </c>
    </row>
    <row r="23" spans="1:15" x14ac:dyDescent="0.35">
      <c r="A23" s="24">
        <v>8</v>
      </c>
      <c r="B23" s="565" t="str">
        <f>'Schedule 2H Adjustments'!B22:D22</f>
        <v/>
      </c>
      <c r="C23" s="565"/>
      <c r="D23" s="565"/>
      <c r="F23" s="114">
        <f>'Schedule 2H Adjustments'!H22</f>
        <v>0</v>
      </c>
      <c r="G23" s="68">
        <f>'Schedule 2H Adjustments'!J22</f>
        <v>0</v>
      </c>
      <c r="H23" s="68">
        <f t="shared" si="0"/>
        <v>0</v>
      </c>
      <c r="J23" s="114">
        <f>'Schedule 2H Adjustments'!P22</f>
        <v>0</v>
      </c>
      <c r="K23" s="68">
        <f>'Schedule 2H Adjustments'!R22</f>
        <v>0</v>
      </c>
      <c r="L23" s="68">
        <f t="shared" si="1"/>
        <v>0</v>
      </c>
      <c r="N23" s="117">
        <f>'Schedule 2H Adjustments'!X22</f>
        <v>0</v>
      </c>
      <c r="O23" s="117">
        <f>'Schedule 2H Adjustments'!AA22</f>
        <v>0</v>
      </c>
    </row>
    <row r="24" spans="1:15" x14ac:dyDescent="0.35">
      <c r="A24" s="24">
        <v>9</v>
      </c>
      <c r="B24" s="565" t="str">
        <f>'Schedule 2H Adjustments'!B23:D23</f>
        <v/>
      </c>
      <c r="C24" s="565"/>
      <c r="D24" s="565"/>
      <c r="F24" s="114">
        <f>'Schedule 2H Adjustments'!H23</f>
        <v>0</v>
      </c>
      <c r="G24" s="68">
        <f>'Schedule 2H Adjustments'!J23</f>
        <v>0</v>
      </c>
      <c r="H24" s="68">
        <f t="shared" si="0"/>
        <v>0</v>
      </c>
      <c r="J24" s="114">
        <f>'Schedule 2H Adjustments'!P23</f>
        <v>0</v>
      </c>
      <c r="K24" s="68">
        <f>'Schedule 2H Adjustments'!R23</f>
        <v>0</v>
      </c>
      <c r="L24" s="68">
        <f t="shared" si="1"/>
        <v>0</v>
      </c>
      <c r="N24" s="117">
        <f>'Schedule 2H Adjustments'!X23</f>
        <v>0</v>
      </c>
      <c r="O24" s="117">
        <f>'Schedule 2H Adjustments'!AA23</f>
        <v>0</v>
      </c>
    </row>
    <row r="25" spans="1:15" x14ac:dyDescent="0.35">
      <c r="A25" s="24">
        <v>10</v>
      </c>
      <c r="B25" s="565" t="str">
        <f>'Schedule 2H Adjustments'!B24:D24</f>
        <v/>
      </c>
      <c r="C25" s="565"/>
      <c r="D25" s="565"/>
      <c r="F25" s="114">
        <f>'Schedule 2H Adjustments'!H24</f>
        <v>0</v>
      </c>
      <c r="G25" s="68">
        <f>'Schedule 2H Adjustments'!J24</f>
        <v>0</v>
      </c>
      <c r="H25" s="68">
        <f t="shared" si="0"/>
        <v>0</v>
      </c>
      <c r="J25" s="114">
        <f>'Schedule 2H Adjustments'!P24</f>
        <v>0</v>
      </c>
      <c r="K25" s="68">
        <f>'Schedule 2H Adjustments'!R24</f>
        <v>0</v>
      </c>
      <c r="L25" s="68">
        <f t="shared" si="1"/>
        <v>0</v>
      </c>
      <c r="N25" s="117">
        <f>'Schedule 2H Adjustments'!X24</f>
        <v>0</v>
      </c>
      <c r="O25" s="117">
        <f>'Schedule 2H Adjustments'!AA24</f>
        <v>0</v>
      </c>
    </row>
    <row r="26" spans="1:15" x14ac:dyDescent="0.35">
      <c r="A26" s="24">
        <v>11</v>
      </c>
      <c r="B26" s="565" t="str">
        <f>'Schedule 2H Adjustments'!B25:D25</f>
        <v/>
      </c>
      <c r="C26" s="565"/>
      <c r="D26" s="565"/>
      <c r="F26" s="114">
        <f>'Schedule 2H Adjustments'!H25</f>
        <v>0</v>
      </c>
      <c r="G26" s="68">
        <f>'Schedule 2H Adjustments'!J25</f>
        <v>0</v>
      </c>
      <c r="H26" s="68">
        <f t="shared" si="0"/>
        <v>0</v>
      </c>
      <c r="J26" s="114">
        <f>'Schedule 2H Adjustments'!P25</f>
        <v>0</v>
      </c>
      <c r="K26" s="68">
        <f>'Schedule 2H Adjustments'!R25</f>
        <v>0</v>
      </c>
      <c r="L26" s="68">
        <f t="shared" si="1"/>
        <v>0</v>
      </c>
      <c r="N26" s="117">
        <f>'Schedule 2H Adjustments'!X25</f>
        <v>0</v>
      </c>
      <c r="O26" s="117">
        <f>'Schedule 2H Adjustments'!AA25</f>
        <v>0</v>
      </c>
    </row>
    <row r="27" spans="1:15" x14ac:dyDescent="0.35">
      <c r="A27" s="24">
        <v>12</v>
      </c>
      <c r="B27" s="565" t="str">
        <f>'Schedule 2H Adjustments'!B26:D26</f>
        <v/>
      </c>
      <c r="C27" s="565"/>
      <c r="D27" s="565"/>
      <c r="F27" s="114">
        <f>'Schedule 2H Adjustments'!H26</f>
        <v>0</v>
      </c>
      <c r="G27" s="68">
        <f>'Schedule 2H Adjustments'!J26</f>
        <v>0</v>
      </c>
      <c r="H27" s="68">
        <f t="shared" si="0"/>
        <v>0</v>
      </c>
      <c r="J27" s="114">
        <f>'Schedule 2H Adjustments'!P26</f>
        <v>0</v>
      </c>
      <c r="K27" s="68">
        <f>'Schedule 2H Adjustments'!R26</f>
        <v>0</v>
      </c>
      <c r="L27" s="68">
        <f t="shared" si="1"/>
        <v>0</v>
      </c>
      <c r="N27" s="117">
        <f>'Schedule 2H Adjustments'!X26</f>
        <v>0</v>
      </c>
      <c r="O27" s="117">
        <f>'Schedule 2H Adjustments'!AA26</f>
        <v>0</v>
      </c>
    </row>
    <row r="28" spans="1:15" x14ac:dyDescent="0.35">
      <c r="A28" s="24">
        <v>13</v>
      </c>
      <c r="B28" s="565" t="str">
        <f>'Schedule 2H Adjustments'!B27:D27</f>
        <v/>
      </c>
      <c r="C28" s="565"/>
      <c r="D28" s="565"/>
      <c r="F28" s="114">
        <f>'Schedule 2H Adjustments'!H27</f>
        <v>0</v>
      </c>
      <c r="G28" s="68">
        <f>'Schedule 2H Adjustments'!J27</f>
        <v>0</v>
      </c>
      <c r="H28" s="68">
        <f t="shared" si="0"/>
        <v>0</v>
      </c>
      <c r="J28" s="114">
        <f>'Schedule 2H Adjustments'!P27</f>
        <v>0</v>
      </c>
      <c r="K28" s="68">
        <f>'Schedule 2H Adjustments'!R27</f>
        <v>0</v>
      </c>
      <c r="L28" s="68">
        <f t="shared" si="1"/>
        <v>0</v>
      </c>
      <c r="N28" s="117">
        <f>'Schedule 2H Adjustments'!X27</f>
        <v>0</v>
      </c>
      <c r="O28" s="117">
        <f>'Schedule 2H Adjustments'!AA27</f>
        <v>0</v>
      </c>
    </row>
    <row r="29" spans="1:15" x14ac:dyDescent="0.35">
      <c r="A29" s="24">
        <v>14</v>
      </c>
      <c r="B29" s="565" t="str">
        <f>'Schedule 2H Adjustments'!B28:D28</f>
        <v/>
      </c>
      <c r="C29" s="565"/>
      <c r="D29" s="565"/>
      <c r="F29" s="114">
        <f>'Schedule 2H Adjustments'!H28</f>
        <v>0</v>
      </c>
      <c r="G29" s="68">
        <f>'Schedule 2H Adjustments'!J28</f>
        <v>0</v>
      </c>
      <c r="H29" s="68">
        <f t="shared" si="0"/>
        <v>0</v>
      </c>
      <c r="J29" s="114">
        <f>'Schedule 2H Adjustments'!P28</f>
        <v>0</v>
      </c>
      <c r="K29" s="68">
        <f>'Schedule 2H Adjustments'!R28</f>
        <v>0</v>
      </c>
      <c r="L29" s="68">
        <f t="shared" si="1"/>
        <v>0</v>
      </c>
      <c r="N29" s="117">
        <f>'Schedule 2H Adjustments'!X28</f>
        <v>0</v>
      </c>
      <c r="O29" s="117">
        <f>'Schedule 2H Adjustments'!AA28</f>
        <v>0</v>
      </c>
    </row>
    <row r="30" spans="1:15" x14ac:dyDescent="0.35">
      <c r="A30" s="24">
        <v>15</v>
      </c>
      <c r="B30" s="565" t="str">
        <f>'Schedule 2H Adjustments'!B29:D29</f>
        <v/>
      </c>
      <c r="C30" s="565"/>
      <c r="D30" s="565"/>
      <c r="F30" s="114">
        <f>'Schedule 2H Adjustments'!H29</f>
        <v>0</v>
      </c>
      <c r="G30" s="68">
        <f>'Schedule 2H Adjustments'!J29</f>
        <v>0</v>
      </c>
      <c r="H30" s="68">
        <f t="shared" si="0"/>
        <v>0</v>
      </c>
      <c r="J30" s="114">
        <f>'Schedule 2H Adjustments'!P29</f>
        <v>0</v>
      </c>
      <c r="K30" s="68">
        <f>'Schedule 2H Adjustments'!R29</f>
        <v>0</v>
      </c>
      <c r="L30" s="68">
        <f t="shared" si="1"/>
        <v>0</v>
      </c>
      <c r="N30" s="117">
        <f>'Schedule 2H Adjustments'!X29</f>
        <v>0</v>
      </c>
      <c r="O30" s="117">
        <f>'Schedule 2H Adjustments'!AA29</f>
        <v>0</v>
      </c>
    </row>
    <row r="31" spans="1:15" x14ac:dyDescent="0.35">
      <c r="A31" s="24">
        <v>16</v>
      </c>
      <c r="B31" s="565" t="str">
        <f>'Schedule 2H Adjustments'!B30:D30</f>
        <v/>
      </c>
      <c r="C31" s="565"/>
      <c r="D31" s="565"/>
      <c r="F31" s="114">
        <f>'Schedule 2H Adjustments'!H30</f>
        <v>0</v>
      </c>
      <c r="G31" s="68">
        <f>'Schedule 2H Adjustments'!J30</f>
        <v>0</v>
      </c>
      <c r="H31" s="68">
        <f t="shared" si="0"/>
        <v>0</v>
      </c>
      <c r="J31" s="114">
        <f>'Schedule 2H Adjustments'!P30</f>
        <v>0</v>
      </c>
      <c r="K31" s="68">
        <f>'Schedule 2H Adjustments'!R30</f>
        <v>0</v>
      </c>
      <c r="L31" s="68">
        <f t="shared" si="1"/>
        <v>0</v>
      </c>
      <c r="N31" s="117">
        <f>'Schedule 2H Adjustments'!X30</f>
        <v>0</v>
      </c>
      <c r="O31" s="117">
        <f>'Schedule 2H Adjustments'!AA30</f>
        <v>0</v>
      </c>
    </row>
    <row r="32" spans="1:15" x14ac:dyDescent="0.35">
      <c r="A32" s="24">
        <v>17</v>
      </c>
      <c r="B32" s="565" t="str">
        <f>'Schedule 2H Adjustments'!B31:D31</f>
        <v/>
      </c>
      <c r="C32" s="565"/>
      <c r="D32" s="565"/>
      <c r="F32" s="114">
        <f>'Schedule 2H Adjustments'!H31</f>
        <v>0</v>
      </c>
      <c r="G32" s="68">
        <f>'Schedule 2H Adjustments'!J31</f>
        <v>0</v>
      </c>
      <c r="H32" s="68">
        <f t="shared" si="0"/>
        <v>0</v>
      </c>
      <c r="J32" s="114">
        <f>'Schedule 2H Adjustments'!P31</f>
        <v>0</v>
      </c>
      <c r="K32" s="68">
        <f>'Schedule 2H Adjustments'!R31</f>
        <v>0</v>
      </c>
      <c r="L32" s="68">
        <f t="shared" si="1"/>
        <v>0</v>
      </c>
      <c r="N32" s="117">
        <f>'Schedule 2H Adjustments'!X31</f>
        <v>0</v>
      </c>
      <c r="O32" s="117">
        <f>'Schedule 2H Adjustments'!AA31</f>
        <v>0</v>
      </c>
    </row>
    <row r="33" spans="1:15" x14ac:dyDescent="0.35">
      <c r="A33" s="24">
        <v>18</v>
      </c>
      <c r="B33" s="565" t="str">
        <f>'Schedule 2H Adjustments'!B32:D32</f>
        <v/>
      </c>
      <c r="C33" s="565"/>
      <c r="D33" s="565"/>
      <c r="F33" s="114">
        <f>'Schedule 2H Adjustments'!H32</f>
        <v>0</v>
      </c>
      <c r="G33" s="68">
        <f>'Schedule 2H Adjustments'!J32</f>
        <v>0</v>
      </c>
      <c r="H33" s="68">
        <f t="shared" si="0"/>
        <v>0</v>
      </c>
      <c r="J33" s="114">
        <f>'Schedule 2H Adjustments'!P32</f>
        <v>0</v>
      </c>
      <c r="K33" s="68">
        <f>'Schedule 2H Adjustments'!R32</f>
        <v>0</v>
      </c>
      <c r="L33" s="68">
        <f t="shared" si="1"/>
        <v>0</v>
      </c>
      <c r="N33" s="117">
        <f>'Schedule 2H Adjustments'!X32</f>
        <v>0</v>
      </c>
      <c r="O33" s="117">
        <f>'Schedule 2H Adjustments'!AA32</f>
        <v>0</v>
      </c>
    </row>
    <row r="34" spans="1:15" x14ac:dyDescent="0.35">
      <c r="A34" s="24">
        <v>19</v>
      </c>
      <c r="B34" s="565" t="str">
        <f>'Schedule 2H Adjustments'!B33:D33</f>
        <v/>
      </c>
      <c r="C34" s="565"/>
      <c r="D34" s="565"/>
      <c r="F34" s="114">
        <f>'Schedule 2H Adjustments'!H33</f>
        <v>0</v>
      </c>
      <c r="G34" s="68">
        <f>'Schedule 2H Adjustments'!J33</f>
        <v>0</v>
      </c>
      <c r="H34" s="68">
        <f t="shared" si="0"/>
        <v>0</v>
      </c>
      <c r="J34" s="114">
        <f>'Schedule 2H Adjustments'!P33</f>
        <v>0</v>
      </c>
      <c r="K34" s="68">
        <f>'Schedule 2H Adjustments'!R33</f>
        <v>0</v>
      </c>
      <c r="L34" s="68">
        <f t="shared" si="1"/>
        <v>0</v>
      </c>
      <c r="N34" s="117">
        <f>'Schedule 2H Adjustments'!X33</f>
        <v>0</v>
      </c>
      <c r="O34" s="117">
        <f>'Schedule 2H Adjustments'!AA33</f>
        <v>0</v>
      </c>
    </row>
    <row r="35" spans="1:15" x14ac:dyDescent="0.35">
      <c r="A35" s="24">
        <v>20</v>
      </c>
      <c r="B35" s="565" t="str">
        <f>'Schedule 2H Adjustments'!B34:D34</f>
        <v/>
      </c>
      <c r="C35" s="565"/>
      <c r="D35" s="565"/>
      <c r="F35" s="114">
        <f>'Schedule 2H Adjustments'!H34</f>
        <v>0</v>
      </c>
      <c r="G35" s="68">
        <f>'Schedule 2H Adjustments'!J34</f>
        <v>0</v>
      </c>
      <c r="H35" s="68">
        <f t="shared" si="0"/>
        <v>0</v>
      </c>
      <c r="J35" s="114">
        <f>'Schedule 2H Adjustments'!P34</f>
        <v>0</v>
      </c>
      <c r="K35" s="68">
        <f>'Schedule 2H Adjustments'!R34</f>
        <v>0</v>
      </c>
      <c r="L35" s="68">
        <f t="shared" si="1"/>
        <v>0</v>
      </c>
      <c r="N35" s="117">
        <f>'Schedule 2H Adjustments'!X34</f>
        <v>0</v>
      </c>
      <c r="O35" s="117">
        <f>'Schedule 2H Adjustments'!AA34</f>
        <v>0</v>
      </c>
    </row>
    <row r="36" spans="1:15" x14ac:dyDescent="0.35">
      <c r="A36" s="24">
        <v>21</v>
      </c>
      <c r="B36" s="565" t="str">
        <f>'Schedule 2H Adjustments'!B35:D35</f>
        <v/>
      </c>
      <c r="C36" s="565"/>
      <c r="D36" s="565"/>
      <c r="F36" s="114">
        <f>'Schedule 2H Adjustments'!H35</f>
        <v>0</v>
      </c>
      <c r="G36" s="68">
        <f>'Schedule 2H Adjustments'!J35</f>
        <v>0</v>
      </c>
      <c r="H36" s="68">
        <f t="shared" si="0"/>
        <v>0</v>
      </c>
      <c r="J36" s="114">
        <f>'Schedule 2H Adjustments'!P35</f>
        <v>0</v>
      </c>
      <c r="K36" s="68">
        <f>'Schedule 2H Adjustments'!R35</f>
        <v>0</v>
      </c>
      <c r="L36" s="68">
        <f t="shared" si="1"/>
        <v>0</v>
      </c>
      <c r="N36" s="117">
        <f>'Schedule 2H Adjustments'!X35</f>
        <v>0</v>
      </c>
      <c r="O36" s="117">
        <f>'Schedule 2H Adjustments'!AA35</f>
        <v>0</v>
      </c>
    </row>
    <row r="37" spans="1:15" x14ac:dyDescent="0.35">
      <c r="A37" s="24">
        <v>22</v>
      </c>
      <c r="B37" s="565" t="str">
        <f>'Schedule 2H Adjustments'!B36:D36</f>
        <v/>
      </c>
      <c r="C37" s="565"/>
      <c r="D37" s="565"/>
      <c r="F37" s="114">
        <f>'Schedule 2H Adjustments'!H36</f>
        <v>0</v>
      </c>
      <c r="G37" s="68">
        <f>'Schedule 2H Adjustments'!J36</f>
        <v>0</v>
      </c>
      <c r="H37" s="68">
        <f t="shared" si="0"/>
        <v>0</v>
      </c>
      <c r="J37" s="114">
        <f>'Schedule 2H Adjustments'!P36</f>
        <v>0</v>
      </c>
      <c r="K37" s="68">
        <f>'Schedule 2H Adjustments'!R36</f>
        <v>0</v>
      </c>
      <c r="L37" s="68">
        <f t="shared" si="1"/>
        <v>0</v>
      </c>
      <c r="N37" s="117">
        <f>'Schedule 2H Adjustments'!X36</f>
        <v>0</v>
      </c>
      <c r="O37" s="117">
        <f>'Schedule 2H Adjustments'!AA36</f>
        <v>0</v>
      </c>
    </row>
    <row r="38" spans="1:15" x14ac:dyDescent="0.35">
      <c r="A38" s="24">
        <v>23</v>
      </c>
      <c r="B38" s="565" t="str">
        <f>'Schedule 2H Adjustments'!B37:D37</f>
        <v/>
      </c>
      <c r="C38" s="565"/>
      <c r="D38" s="565"/>
      <c r="F38" s="114">
        <f>'Schedule 2H Adjustments'!H37</f>
        <v>0</v>
      </c>
      <c r="G38" s="68">
        <f>'Schedule 2H Adjustments'!J37</f>
        <v>0</v>
      </c>
      <c r="H38" s="68">
        <f t="shared" si="0"/>
        <v>0</v>
      </c>
      <c r="J38" s="114">
        <f>'Schedule 2H Adjustments'!P37</f>
        <v>0</v>
      </c>
      <c r="K38" s="68">
        <f>'Schedule 2H Adjustments'!R37</f>
        <v>0</v>
      </c>
      <c r="L38" s="68">
        <f t="shared" si="1"/>
        <v>0</v>
      </c>
      <c r="N38" s="117">
        <f>'Schedule 2H Adjustments'!X37</f>
        <v>0</v>
      </c>
      <c r="O38" s="117">
        <f>'Schedule 2H Adjustments'!AA37</f>
        <v>0</v>
      </c>
    </row>
    <row r="39" spans="1:15" x14ac:dyDescent="0.35">
      <c r="A39" s="24">
        <v>24</v>
      </c>
      <c r="B39" s="565" t="str">
        <f>'Schedule 2H Adjustments'!B38:D38</f>
        <v/>
      </c>
      <c r="C39" s="565"/>
      <c r="D39" s="565"/>
      <c r="F39" s="114">
        <f>'Schedule 2H Adjustments'!H38</f>
        <v>0</v>
      </c>
      <c r="G39" s="68">
        <f>'Schedule 2H Adjustments'!J38</f>
        <v>0</v>
      </c>
      <c r="H39" s="68">
        <f t="shared" si="0"/>
        <v>0</v>
      </c>
      <c r="J39" s="114">
        <f>'Schedule 2H Adjustments'!P38</f>
        <v>0</v>
      </c>
      <c r="K39" s="68">
        <f>'Schedule 2H Adjustments'!R38</f>
        <v>0</v>
      </c>
      <c r="L39" s="68">
        <f t="shared" si="1"/>
        <v>0</v>
      </c>
      <c r="N39" s="117">
        <f>'Schedule 2H Adjustments'!X38</f>
        <v>0</v>
      </c>
      <c r="O39" s="117">
        <f>'Schedule 2H Adjustments'!AA38</f>
        <v>0</v>
      </c>
    </row>
    <row r="40" spans="1:15" x14ac:dyDescent="0.35">
      <c r="A40" s="24">
        <v>25</v>
      </c>
      <c r="B40" s="565" t="str">
        <f>'Schedule 2H Adjustments'!B39:D39</f>
        <v/>
      </c>
      <c r="C40" s="565"/>
      <c r="D40" s="565"/>
      <c r="F40" s="114">
        <f>'Schedule 2H Adjustments'!H39</f>
        <v>0</v>
      </c>
      <c r="G40" s="68">
        <f>'Schedule 2H Adjustments'!J39</f>
        <v>0</v>
      </c>
      <c r="H40" s="68">
        <f t="shared" si="0"/>
        <v>0</v>
      </c>
      <c r="J40" s="114">
        <f>'Schedule 2H Adjustments'!P39</f>
        <v>0</v>
      </c>
      <c r="K40" s="68">
        <f>'Schedule 2H Adjustments'!R39</f>
        <v>0</v>
      </c>
      <c r="L40" s="68">
        <f t="shared" si="1"/>
        <v>0</v>
      </c>
      <c r="N40" s="117">
        <f>'Schedule 2H Adjustments'!X39</f>
        <v>0</v>
      </c>
      <c r="O40" s="117">
        <f>'Schedule 2H Adjustments'!AA39</f>
        <v>0</v>
      </c>
    </row>
    <row r="41" spans="1:15" x14ac:dyDescent="0.35">
      <c r="A41" s="24">
        <v>26</v>
      </c>
      <c r="B41" s="565" t="str">
        <f>'Schedule 2H Adjustments'!B40:D40</f>
        <v/>
      </c>
      <c r="C41" s="565"/>
      <c r="D41" s="565"/>
      <c r="F41" s="114">
        <f>'Schedule 2H Adjustments'!H40</f>
        <v>0</v>
      </c>
      <c r="G41" s="68">
        <f>'Schedule 2H Adjustments'!J40</f>
        <v>0</v>
      </c>
      <c r="H41" s="68">
        <f t="shared" si="0"/>
        <v>0</v>
      </c>
      <c r="J41" s="114">
        <f>'Schedule 2H Adjustments'!P40</f>
        <v>0</v>
      </c>
      <c r="K41" s="68">
        <f>'Schedule 2H Adjustments'!R40</f>
        <v>0</v>
      </c>
      <c r="L41" s="68">
        <f t="shared" si="1"/>
        <v>0</v>
      </c>
      <c r="N41" s="117">
        <f>'Schedule 2H Adjustments'!X40</f>
        <v>0</v>
      </c>
      <c r="O41" s="117">
        <f>'Schedule 2H Adjustments'!AA40</f>
        <v>0</v>
      </c>
    </row>
    <row r="42" spans="1:15" x14ac:dyDescent="0.35">
      <c r="A42" s="24">
        <v>27</v>
      </c>
      <c r="B42" s="565" t="str">
        <f>'Schedule 2H Adjustments'!B41:D41</f>
        <v/>
      </c>
      <c r="C42" s="565"/>
      <c r="D42" s="565"/>
      <c r="F42" s="114">
        <f>'Schedule 2H Adjustments'!H41</f>
        <v>0</v>
      </c>
      <c r="G42" s="68">
        <f>'Schedule 2H Adjustments'!J41</f>
        <v>0</v>
      </c>
      <c r="H42" s="68">
        <f t="shared" si="0"/>
        <v>0</v>
      </c>
      <c r="J42" s="114">
        <f>'Schedule 2H Adjustments'!P41</f>
        <v>0</v>
      </c>
      <c r="K42" s="68">
        <f>'Schedule 2H Adjustments'!R41</f>
        <v>0</v>
      </c>
      <c r="L42" s="68">
        <f t="shared" si="1"/>
        <v>0</v>
      </c>
      <c r="N42" s="117">
        <f>'Schedule 2H Adjustments'!X41</f>
        <v>0</v>
      </c>
      <c r="O42" s="117">
        <f>'Schedule 2H Adjustments'!AA41</f>
        <v>0</v>
      </c>
    </row>
    <row r="43" spans="1:15" x14ac:dyDescent="0.35">
      <c r="A43" s="24">
        <v>28</v>
      </c>
      <c r="B43" s="565" t="str">
        <f>'Schedule 2H Adjustments'!B42:D42</f>
        <v/>
      </c>
      <c r="C43" s="565"/>
      <c r="D43" s="565"/>
      <c r="F43" s="114">
        <f>'Schedule 2H Adjustments'!H42</f>
        <v>0</v>
      </c>
      <c r="G43" s="68">
        <f>'Schedule 2H Adjustments'!J42</f>
        <v>0</v>
      </c>
      <c r="H43" s="68">
        <f t="shared" si="0"/>
        <v>0</v>
      </c>
      <c r="J43" s="114">
        <f>'Schedule 2H Adjustments'!P42</f>
        <v>0</v>
      </c>
      <c r="K43" s="68">
        <f>'Schedule 2H Adjustments'!R42</f>
        <v>0</v>
      </c>
      <c r="L43" s="68">
        <f t="shared" si="1"/>
        <v>0</v>
      </c>
      <c r="N43" s="117">
        <f>'Schedule 2H Adjustments'!X42</f>
        <v>0</v>
      </c>
      <c r="O43" s="117">
        <f>'Schedule 2H Adjustments'!AA42</f>
        <v>0</v>
      </c>
    </row>
    <row r="44" spans="1:15" x14ac:dyDescent="0.35">
      <c r="A44" s="24">
        <v>29</v>
      </c>
      <c r="B44" s="565" t="str">
        <f>'Schedule 2H Adjustments'!B43:D43</f>
        <v/>
      </c>
      <c r="C44" s="565"/>
      <c r="D44" s="565"/>
      <c r="F44" s="114">
        <f>'Schedule 2H Adjustments'!H43</f>
        <v>0</v>
      </c>
      <c r="G44" s="68">
        <f>'Schedule 2H Adjustments'!J43</f>
        <v>0</v>
      </c>
      <c r="H44" s="68">
        <f t="shared" si="0"/>
        <v>0</v>
      </c>
      <c r="J44" s="114">
        <f>'Schedule 2H Adjustments'!P43</f>
        <v>0</v>
      </c>
      <c r="K44" s="68">
        <f>'Schedule 2H Adjustments'!R43</f>
        <v>0</v>
      </c>
      <c r="L44" s="68">
        <f t="shared" si="1"/>
        <v>0</v>
      </c>
      <c r="N44" s="117">
        <f>'Schedule 2H Adjustments'!X43</f>
        <v>0</v>
      </c>
      <c r="O44" s="117">
        <f>'Schedule 2H Adjustments'!AA43</f>
        <v>0</v>
      </c>
    </row>
    <row r="45" spans="1:15" x14ac:dyDescent="0.35">
      <c r="A45" s="24">
        <v>30</v>
      </c>
      <c r="B45" s="565" t="str">
        <f>'Schedule 2H Adjustments'!B44:D44</f>
        <v/>
      </c>
      <c r="C45" s="565"/>
      <c r="D45" s="565"/>
      <c r="F45" s="114">
        <f>'Schedule 2H Adjustments'!H44</f>
        <v>0</v>
      </c>
      <c r="G45" s="68">
        <f>'Schedule 2H Adjustments'!J44</f>
        <v>0</v>
      </c>
      <c r="H45" s="68">
        <f t="shared" si="0"/>
        <v>0</v>
      </c>
      <c r="J45" s="114">
        <f>'Schedule 2H Adjustments'!P44</f>
        <v>0</v>
      </c>
      <c r="K45" s="68">
        <f>'Schedule 2H Adjustments'!R44</f>
        <v>0</v>
      </c>
      <c r="L45" s="68">
        <f t="shared" si="1"/>
        <v>0</v>
      </c>
      <c r="N45" s="117">
        <f>'Schedule 2H Adjustments'!X44</f>
        <v>0</v>
      </c>
      <c r="O45" s="117">
        <f>'Schedule 2H Adjustments'!AA44</f>
        <v>0</v>
      </c>
    </row>
    <row r="46" spans="1:15" x14ac:dyDescent="0.35">
      <c r="A46" s="24">
        <v>31</v>
      </c>
      <c r="B46" s="565" t="str">
        <f>'Schedule 2H Adjustments'!B45:D45</f>
        <v/>
      </c>
      <c r="C46" s="565"/>
      <c r="D46" s="565"/>
      <c r="F46" s="114">
        <f>'Schedule 2H Adjustments'!H45</f>
        <v>0</v>
      </c>
      <c r="G46" s="68">
        <f>'Schedule 2H Adjustments'!J45</f>
        <v>0</v>
      </c>
      <c r="H46" s="68">
        <f t="shared" si="0"/>
        <v>0</v>
      </c>
      <c r="J46" s="114">
        <f>'Schedule 2H Adjustments'!P45</f>
        <v>0</v>
      </c>
      <c r="K46" s="68">
        <f>'Schedule 2H Adjustments'!R45</f>
        <v>0</v>
      </c>
      <c r="L46" s="68">
        <f t="shared" si="1"/>
        <v>0</v>
      </c>
      <c r="N46" s="117">
        <f>'Schedule 2H Adjustments'!X45</f>
        <v>0</v>
      </c>
      <c r="O46" s="117">
        <f>'Schedule 2H Adjustments'!AA45</f>
        <v>0</v>
      </c>
    </row>
    <row r="47" spans="1:15" x14ac:dyDescent="0.35">
      <c r="A47" s="24">
        <v>32</v>
      </c>
      <c r="B47" s="565" t="str">
        <f>'Schedule 2H Adjustments'!B46:D46</f>
        <v/>
      </c>
      <c r="C47" s="565"/>
      <c r="D47" s="565"/>
      <c r="F47" s="114">
        <f>'Schedule 2H Adjustments'!H46</f>
        <v>0</v>
      </c>
      <c r="G47" s="68">
        <f>'Schedule 2H Adjustments'!J46</f>
        <v>0</v>
      </c>
      <c r="H47" s="68">
        <f t="shared" si="0"/>
        <v>0</v>
      </c>
      <c r="J47" s="114">
        <f>'Schedule 2H Adjustments'!P46</f>
        <v>0</v>
      </c>
      <c r="K47" s="68">
        <f>'Schedule 2H Adjustments'!R46</f>
        <v>0</v>
      </c>
      <c r="L47" s="68">
        <f t="shared" si="1"/>
        <v>0</v>
      </c>
      <c r="N47" s="117">
        <f>'Schedule 2H Adjustments'!X46</f>
        <v>0</v>
      </c>
      <c r="O47" s="117">
        <f>'Schedule 2H Adjustments'!AA46</f>
        <v>0</v>
      </c>
    </row>
    <row r="48" spans="1:15" x14ac:dyDescent="0.35">
      <c r="A48" s="24">
        <v>33</v>
      </c>
      <c r="B48" s="565" t="str">
        <f>'Schedule 2H Adjustments'!B47:D47</f>
        <v/>
      </c>
      <c r="C48" s="565"/>
      <c r="D48" s="565"/>
      <c r="F48" s="114">
        <f>'Schedule 2H Adjustments'!H47</f>
        <v>0</v>
      </c>
      <c r="G48" s="68">
        <f>'Schedule 2H Adjustments'!J47</f>
        <v>0</v>
      </c>
      <c r="H48" s="68">
        <f t="shared" si="0"/>
        <v>0</v>
      </c>
      <c r="J48" s="114">
        <f>'Schedule 2H Adjustments'!P47</f>
        <v>0</v>
      </c>
      <c r="K48" s="68">
        <f>'Schedule 2H Adjustments'!R47</f>
        <v>0</v>
      </c>
      <c r="L48" s="68">
        <f t="shared" si="1"/>
        <v>0</v>
      </c>
      <c r="N48" s="117">
        <f>'Schedule 2H Adjustments'!X47</f>
        <v>0</v>
      </c>
      <c r="O48" s="117">
        <f>'Schedule 2H Adjustments'!AA47</f>
        <v>0</v>
      </c>
    </row>
    <row r="49" spans="1:15" x14ac:dyDescent="0.35">
      <c r="A49" s="24">
        <v>34</v>
      </c>
      <c r="B49" s="565" t="str">
        <f>'Schedule 2H Adjustments'!B48:D48</f>
        <v/>
      </c>
      <c r="C49" s="565"/>
      <c r="D49" s="565"/>
      <c r="F49" s="114">
        <f>'Schedule 2H Adjustments'!H48</f>
        <v>0</v>
      </c>
      <c r="G49" s="68">
        <f>'Schedule 2H Adjustments'!J48</f>
        <v>0</v>
      </c>
      <c r="H49" s="68">
        <f t="shared" si="0"/>
        <v>0</v>
      </c>
      <c r="J49" s="114">
        <f>'Schedule 2H Adjustments'!P48</f>
        <v>0</v>
      </c>
      <c r="K49" s="68">
        <f>'Schedule 2H Adjustments'!R48</f>
        <v>0</v>
      </c>
      <c r="L49" s="68">
        <f t="shared" si="1"/>
        <v>0</v>
      </c>
      <c r="N49" s="117">
        <f>'Schedule 2H Adjustments'!X48</f>
        <v>0</v>
      </c>
      <c r="O49" s="117">
        <f>'Schedule 2H Adjustments'!AA48</f>
        <v>0</v>
      </c>
    </row>
    <row r="50" spans="1:15" x14ac:dyDescent="0.35">
      <c r="A50" s="24">
        <v>35</v>
      </c>
      <c r="B50" s="565" t="str">
        <f>'Schedule 2H Adjustments'!B49:D49</f>
        <v/>
      </c>
      <c r="C50" s="565"/>
      <c r="D50" s="565"/>
      <c r="F50" s="114">
        <f>'Schedule 2H Adjustments'!H49</f>
        <v>0</v>
      </c>
      <c r="G50" s="68">
        <f>'Schedule 2H Adjustments'!J49</f>
        <v>0</v>
      </c>
      <c r="H50" s="68">
        <f t="shared" si="0"/>
        <v>0</v>
      </c>
      <c r="J50" s="114">
        <f>'Schedule 2H Adjustments'!P49</f>
        <v>0</v>
      </c>
      <c r="K50" s="68">
        <f>'Schedule 2H Adjustments'!R49</f>
        <v>0</v>
      </c>
      <c r="L50" s="68">
        <f t="shared" si="1"/>
        <v>0</v>
      </c>
      <c r="N50" s="117">
        <f>'Schedule 2H Adjustments'!X49</f>
        <v>0</v>
      </c>
      <c r="O50" s="117">
        <f>'Schedule 2H Adjustments'!AA49</f>
        <v>0</v>
      </c>
    </row>
    <row r="51" spans="1:15" x14ac:dyDescent="0.35">
      <c r="A51" s="24">
        <v>36</v>
      </c>
      <c r="B51" s="565" t="str">
        <f>'Schedule 2H Adjustments'!B50:D50</f>
        <v/>
      </c>
      <c r="C51" s="565"/>
      <c r="D51" s="565"/>
      <c r="F51" s="114">
        <f>'Schedule 2H Adjustments'!H50</f>
        <v>0</v>
      </c>
      <c r="G51" s="68">
        <f>'Schedule 2H Adjustments'!J50</f>
        <v>0</v>
      </c>
      <c r="H51" s="68">
        <f t="shared" si="0"/>
        <v>0</v>
      </c>
      <c r="J51" s="114">
        <f>'Schedule 2H Adjustments'!P50</f>
        <v>0</v>
      </c>
      <c r="K51" s="68">
        <f>'Schedule 2H Adjustments'!R50</f>
        <v>0</v>
      </c>
      <c r="L51" s="68">
        <f t="shared" si="1"/>
        <v>0</v>
      </c>
      <c r="N51" s="117">
        <f>'Schedule 2H Adjustments'!X50</f>
        <v>0</v>
      </c>
      <c r="O51" s="117">
        <f>'Schedule 2H Adjustments'!AA50</f>
        <v>0</v>
      </c>
    </row>
    <row r="52" spans="1:15" x14ac:dyDescent="0.35">
      <c r="A52" s="24">
        <v>37</v>
      </c>
      <c r="B52" s="565" t="str">
        <f>'Schedule 2H Adjustments'!B51:D51</f>
        <v/>
      </c>
      <c r="C52" s="565"/>
      <c r="D52" s="565"/>
      <c r="F52" s="114">
        <f>'Schedule 2H Adjustments'!H51</f>
        <v>0</v>
      </c>
      <c r="G52" s="68">
        <f>'Schedule 2H Adjustments'!J51</f>
        <v>0</v>
      </c>
      <c r="H52" s="68">
        <f t="shared" si="0"/>
        <v>0</v>
      </c>
      <c r="J52" s="114">
        <f>'Schedule 2H Adjustments'!P51</f>
        <v>0</v>
      </c>
      <c r="K52" s="68">
        <f>'Schedule 2H Adjustments'!R51</f>
        <v>0</v>
      </c>
      <c r="L52" s="68">
        <f t="shared" si="1"/>
        <v>0</v>
      </c>
      <c r="N52" s="117">
        <f>'Schedule 2H Adjustments'!X51</f>
        <v>0</v>
      </c>
      <c r="O52" s="117">
        <f>'Schedule 2H Adjustments'!AA51</f>
        <v>0</v>
      </c>
    </row>
    <row r="53" spans="1:15" x14ac:dyDescent="0.35">
      <c r="A53" s="24">
        <v>38</v>
      </c>
      <c r="B53" s="565" t="str">
        <f>'Schedule 2H Adjustments'!B52:D52</f>
        <v/>
      </c>
      <c r="C53" s="565"/>
      <c r="D53" s="565"/>
      <c r="F53" s="114">
        <f>'Schedule 2H Adjustments'!H52</f>
        <v>0</v>
      </c>
      <c r="G53" s="68">
        <f>'Schedule 2H Adjustments'!J52</f>
        <v>0</v>
      </c>
      <c r="H53" s="68">
        <f t="shared" si="0"/>
        <v>0</v>
      </c>
      <c r="J53" s="114">
        <f>'Schedule 2H Adjustments'!P52</f>
        <v>0</v>
      </c>
      <c r="K53" s="68">
        <f>'Schedule 2H Adjustments'!R52</f>
        <v>0</v>
      </c>
      <c r="L53" s="68">
        <f t="shared" si="1"/>
        <v>0</v>
      </c>
      <c r="N53" s="117">
        <f>'Schedule 2H Adjustments'!X52</f>
        <v>0</v>
      </c>
      <c r="O53" s="117">
        <f>'Schedule 2H Adjustments'!AA52</f>
        <v>0</v>
      </c>
    </row>
    <row r="54" spans="1:15" x14ac:dyDescent="0.35">
      <c r="A54" s="24">
        <v>39</v>
      </c>
      <c r="B54" s="565" t="str">
        <f>'Schedule 2H Adjustments'!B53:D53</f>
        <v/>
      </c>
      <c r="C54" s="565"/>
      <c r="D54" s="565"/>
      <c r="F54" s="114">
        <f>'Schedule 2H Adjustments'!H53</f>
        <v>0</v>
      </c>
      <c r="G54" s="68">
        <f>'Schedule 2H Adjustments'!J53</f>
        <v>0</v>
      </c>
      <c r="H54" s="68">
        <f t="shared" si="0"/>
        <v>0</v>
      </c>
      <c r="J54" s="114">
        <f>'Schedule 2H Adjustments'!P53</f>
        <v>0</v>
      </c>
      <c r="K54" s="68">
        <f>'Schedule 2H Adjustments'!R53</f>
        <v>0</v>
      </c>
      <c r="L54" s="68">
        <f t="shared" si="1"/>
        <v>0</v>
      </c>
      <c r="N54" s="117">
        <f>'Schedule 2H Adjustments'!X53</f>
        <v>0</v>
      </c>
      <c r="O54" s="117">
        <f>'Schedule 2H Adjustments'!AA53</f>
        <v>0</v>
      </c>
    </row>
    <row r="55" spans="1:15" x14ac:dyDescent="0.35">
      <c r="A55" s="24">
        <v>40</v>
      </c>
      <c r="B55" s="565" t="str">
        <f>'Schedule 2H Adjustments'!B54:D54</f>
        <v/>
      </c>
      <c r="C55" s="565"/>
      <c r="D55" s="565"/>
      <c r="F55" s="114">
        <f>'Schedule 2H Adjustments'!H54</f>
        <v>0</v>
      </c>
      <c r="G55" s="68">
        <f>'Schedule 2H Adjustments'!J54</f>
        <v>0</v>
      </c>
      <c r="H55" s="68">
        <f t="shared" si="0"/>
        <v>0</v>
      </c>
      <c r="J55" s="114">
        <f>'Schedule 2H Adjustments'!P54</f>
        <v>0</v>
      </c>
      <c r="K55" s="68">
        <f>'Schedule 2H Adjustments'!R54</f>
        <v>0</v>
      </c>
      <c r="L55" s="68">
        <f t="shared" si="1"/>
        <v>0</v>
      </c>
      <c r="N55" s="117">
        <f>'Schedule 2H Adjustments'!X54</f>
        <v>0</v>
      </c>
      <c r="O55" s="117">
        <f>'Schedule 2H Adjustments'!AA54</f>
        <v>0</v>
      </c>
    </row>
    <row r="56" spans="1:15" x14ac:dyDescent="0.35">
      <c r="A56" s="24">
        <v>41</v>
      </c>
      <c r="B56" s="565" t="str">
        <f>'Schedule 2H Adjustments'!B55:D55</f>
        <v/>
      </c>
      <c r="C56" s="565"/>
      <c r="D56" s="565"/>
      <c r="F56" s="114">
        <f>'Schedule 2H Adjustments'!H55</f>
        <v>0</v>
      </c>
      <c r="G56" s="68">
        <f>'Schedule 2H Adjustments'!J55</f>
        <v>0</v>
      </c>
      <c r="H56" s="68">
        <f t="shared" si="0"/>
        <v>0</v>
      </c>
      <c r="J56" s="114">
        <f>'Schedule 2H Adjustments'!P55</f>
        <v>0</v>
      </c>
      <c r="K56" s="68">
        <f>'Schedule 2H Adjustments'!R55</f>
        <v>0</v>
      </c>
      <c r="L56" s="68">
        <f t="shared" si="1"/>
        <v>0</v>
      </c>
      <c r="N56" s="117">
        <f>'Schedule 2H Adjustments'!X55</f>
        <v>0</v>
      </c>
      <c r="O56" s="117">
        <f>'Schedule 2H Adjustments'!AA55</f>
        <v>0</v>
      </c>
    </row>
    <row r="57" spans="1:15" x14ac:dyDescent="0.35">
      <c r="A57" s="24">
        <v>42</v>
      </c>
      <c r="B57" s="565" t="str">
        <f>'Schedule 2H Adjustments'!B56:D56</f>
        <v/>
      </c>
      <c r="C57" s="565"/>
      <c r="D57" s="565"/>
      <c r="F57" s="114">
        <f>'Schedule 2H Adjustments'!H56</f>
        <v>0</v>
      </c>
      <c r="G57" s="68">
        <f>'Schedule 2H Adjustments'!J56</f>
        <v>0</v>
      </c>
      <c r="H57" s="68">
        <f t="shared" si="0"/>
        <v>0</v>
      </c>
      <c r="J57" s="114">
        <f>'Schedule 2H Adjustments'!P56</f>
        <v>0</v>
      </c>
      <c r="K57" s="68">
        <f>'Schedule 2H Adjustments'!R56</f>
        <v>0</v>
      </c>
      <c r="L57" s="68">
        <f t="shared" si="1"/>
        <v>0</v>
      </c>
      <c r="N57" s="117">
        <f>'Schedule 2H Adjustments'!X56</f>
        <v>0</v>
      </c>
      <c r="O57" s="117">
        <f>'Schedule 2H Adjustments'!AA56</f>
        <v>0</v>
      </c>
    </row>
    <row r="58" spans="1:15" x14ac:dyDescent="0.35">
      <c r="A58" s="24">
        <v>43</v>
      </c>
      <c r="B58" s="565" t="str">
        <f>'Schedule 2H Adjustments'!B57:D57</f>
        <v/>
      </c>
      <c r="C58" s="565"/>
      <c r="D58" s="565"/>
      <c r="F58" s="114">
        <f>'Schedule 2H Adjustments'!H57</f>
        <v>0</v>
      </c>
      <c r="G58" s="68">
        <f>'Schedule 2H Adjustments'!J57</f>
        <v>0</v>
      </c>
      <c r="H58" s="68">
        <f t="shared" si="0"/>
        <v>0</v>
      </c>
      <c r="J58" s="114">
        <f>'Schedule 2H Adjustments'!P57</f>
        <v>0</v>
      </c>
      <c r="K58" s="68">
        <f>'Schedule 2H Adjustments'!R57</f>
        <v>0</v>
      </c>
      <c r="L58" s="68">
        <f t="shared" si="1"/>
        <v>0</v>
      </c>
      <c r="N58" s="117">
        <f>'Schedule 2H Adjustments'!X57</f>
        <v>0</v>
      </c>
      <c r="O58" s="117">
        <f>'Schedule 2H Adjustments'!AA57</f>
        <v>0</v>
      </c>
    </row>
    <row r="59" spans="1:15" x14ac:dyDescent="0.35">
      <c r="A59" s="24">
        <v>44</v>
      </c>
      <c r="B59" s="565" t="str">
        <f>'Schedule 2H Adjustments'!B58:D58</f>
        <v/>
      </c>
      <c r="C59" s="565"/>
      <c r="D59" s="565"/>
      <c r="F59" s="114">
        <f>'Schedule 2H Adjustments'!H58</f>
        <v>0</v>
      </c>
      <c r="G59" s="68">
        <f>'Schedule 2H Adjustments'!J58</f>
        <v>0</v>
      </c>
      <c r="H59" s="68">
        <f t="shared" si="0"/>
        <v>0</v>
      </c>
      <c r="J59" s="114">
        <f>'Schedule 2H Adjustments'!P58</f>
        <v>0</v>
      </c>
      <c r="K59" s="68">
        <f>'Schedule 2H Adjustments'!R58</f>
        <v>0</v>
      </c>
      <c r="L59" s="68">
        <f t="shared" si="1"/>
        <v>0</v>
      </c>
      <c r="N59" s="117">
        <f>'Schedule 2H Adjustments'!X58</f>
        <v>0</v>
      </c>
      <c r="O59" s="117">
        <f>'Schedule 2H Adjustments'!AA58</f>
        <v>0</v>
      </c>
    </row>
    <row r="60" spans="1:15" x14ac:dyDescent="0.35">
      <c r="A60" s="24">
        <v>45</v>
      </c>
      <c r="B60" s="565" t="str">
        <f>'Schedule 2H Adjustments'!B59:D59</f>
        <v/>
      </c>
      <c r="C60" s="565"/>
      <c r="D60" s="565"/>
      <c r="F60" s="114">
        <f>'Schedule 2H Adjustments'!H59</f>
        <v>0</v>
      </c>
      <c r="G60" s="68">
        <f>'Schedule 2H Adjustments'!J59</f>
        <v>0</v>
      </c>
      <c r="H60" s="68">
        <f t="shared" si="0"/>
        <v>0</v>
      </c>
      <c r="J60" s="114">
        <f>'Schedule 2H Adjustments'!P59</f>
        <v>0</v>
      </c>
      <c r="K60" s="68">
        <f>'Schedule 2H Adjustments'!R59</f>
        <v>0</v>
      </c>
      <c r="L60" s="68">
        <f t="shared" si="1"/>
        <v>0</v>
      </c>
      <c r="N60" s="117">
        <f>'Schedule 2H Adjustments'!X59</f>
        <v>0</v>
      </c>
      <c r="O60" s="117">
        <f>'Schedule 2H Adjustments'!AA59</f>
        <v>0</v>
      </c>
    </row>
    <row r="61" spans="1:15" x14ac:dyDescent="0.35">
      <c r="A61" s="24">
        <v>46</v>
      </c>
      <c r="B61" s="565" t="str">
        <f>'Schedule 2H Adjustments'!B60:D60</f>
        <v/>
      </c>
      <c r="C61" s="565"/>
      <c r="D61" s="565"/>
      <c r="F61" s="114">
        <f>'Schedule 2H Adjustments'!H60</f>
        <v>0</v>
      </c>
      <c r="G61" s="68">
        <f>'Schedule 2H Adjustments'!J60</f>
        <v>0</v>
      </c>
      <c r="H61" s="68">
        <f t="shared" si="0"/>
        <v>0</v>
      </c>
      <c r="J61" s="114">
        <f>'Schedule 2H Adjustments'!P60</f>
        <v>0</v>
      </c>
      <c r="K61" s="68">
        <f>'Schedule 2H Adjustments'!R60</f>
        <v>0</v>
      </c>
      <c r="L61" s="68">
        <f t="shared" si="1"/>
        <v>0</v>
      </c>
      <c r="N61" s="117">
        <f>'Schedule 2H Adjustments'!X60</f>
        <v>0</v>
      </c>
      <c r="O61" s="117">
        <f>'Schedule 2H Adjustments'!AA60</f>
        <v>0</v>
      </c>
    </row>
    <row r="62" spans="1:15" x14ac:dyDescent="0.35">
      <c r="A62" s="24">
        <v>47</v>
      </c>
      <c r="B62" s="565" t="str">
        <f>'Schedule 2H Adjustments'!B61:D61</f>
        <v/>
      </c>
      <c r="C62" s="565"/>
      <c r="D62" s="565"/>
      <c r="F62" s="114">
        <f>'Schedule 2H Adjustments'!H61</f>
        <v>0</v>
      </c>
      <c r="G62" s="68">
        <f>'Schedule 2H Adjustments'!J61</f>
        <v>0</v>
      </c>
      <c r="H62" s="68">
        <f t="shared" si="0"/>
        <v>0</v>
      </c>
      <c r="J62" s="114">
        <f>'Schedule 2H Adjustments'!P61</f>
        <v>0</v>
      </c>
      <c r="K62" s="68">
        <f>'Schedule 2H Adjustments'!R61</f>
        <v>0</v>
      </c>
      <c r="L62" s="68">
        <f t="shared" si="1"/>
        <v>0</v>
      </c>
      <c r="N62" s="117">
        <f>'Schedule 2H Adjustments'!X61</f>
        <v>0</v>
      </c>
      <c r="O62" s="117">
        <f>'Schedule 2H Adjustments'!AA61</f>
        <v>0</v>
      </c>
    </row>
    <row r="63" spans="1:15" x14ac:dyDescent="0.35">
      <c r="A63" s="24">
        <v>48</v>
      </c>
      <c r="B63" s="565" t="str">
        <f>'Schedule 2H Adjustments'!B62:D62</f>
        <v/>
      </c>
      <c r="C63" s="565"/>
      <c r="D63" s="565"/>
      <c r="F63" s="114">
        <f>'Schedule 2H Adjustments'!H62</f>
        <v>0</v>
      </c>
      <c r="G63" s="68">
        <f>'Schedule 2H Adjustments'!J62</f>
        <v>0</v>
      </c>
      <c r="H63" s="68">
        <f t="shared" si="0"/>
        <v>0</v>
      </c>
      <c r="J63" s="114">
        <f>'Schedule 2H Adjustments'!P62</f>
        <v>0</v>
      </c>
      <c r="K63" s="68">
        <f>'Schedule 2H Adjustments'!R62</f>
        <v>0</v>
      </c>
      <c r="L63" s="68">
        <f t="shared" si="1"/>
        <v>0</v>
      </c>
      <c r="N63" s="117">
        <f>'Schedule 2H Adjustments'!X62</f>
        <v>0</v>
      </c>
      <c r="O63" s="117">
        <f>'Schedule 2H Adjustments'!AA62</f>
        <v>0</v>
      </c>
    </row>
    <row r="64" spans="1:15" x14ac:dyDescent="0.35">
      <c r="A64" s="24">
        <v>49</v>
      </c>
      <c r="B64" s="565" t="str">
        <f>'Schedule 2H Adjustments'!B63:D63</f>
        <v/>
      </c>
      <c r="C64" s="565"/>
      <c r="D64" s="565"/>
      <c r="F64" s="114">
        <f>'Schedule 2H Adjustments'!H63</f>
        <v>0</v>
      </c>
      <c r="G64" s="68">
        <f>'Schedule 2H Adjustments'!J63</f>
        <v>0</v>
      </c>
      <c r="H64" s="68">
        <f t="shared" si="0"/>
        <v>0</v>
      </c>
      <c r="J64" s="114">
        <f>'Schedule 2H Adjustments'!P63</f>
        <v>0</v>
      </c>
      <c r="K64" s="68">
        <f>'Schedule 2H Adjustments'!R63</f>
        <v>0</v>
      </c>
      <c r="L64" s="68">
        <f t="shared" si="1"/>
        <v>0</v>
      </c>
      <c r="N64" s="117">
        <f>'Schedule 2H Adjustments'!X63</f>
        <v>0</v>
      </c>
      <c r="O64" s="117">
        <f>'Schedule 2H Adjustments'!AA63</f>
        <v>0</v>
      </c>
    </row>
    <row r="65" spans="1:15" x14ac:dyDescent="0.35">
      <c r="A65" s="24">
        <v>50</v>
      </c>
      <c r="B65" s="565" t="str">
        <f>'Schedule 2H Adjustments'!B64:D64</f>
        <v/>
      </c>
      <c r="C65" s="565"/>
      <c r="D65" s="565"/>
      <c r="F65" s="114">
        <f>'Schedule 2H Adjustments'!H64</f>
        <v>0</v>
      </c>
      <c r="G65" s="68">
        <f>'Schedule 2H Adjustments'!J64</f>
        <v>0</v>
      </c>
      <c r="H65" s="68">
        <f t="shared" si="0"/>
        <v>0</v>
      </c>
      <c r="J65" s="114">
        <f>'Schedule 2H Adjustments'!P64</f>
        <v>0</v>
      </c>
      <c r="K65" s="68">
        <f>'Schedule 2H Adjustments'!R64</f>
        <v>0</v>
      </c>
      <c r="L65" s="68">
        <f t="shared" si="1"/>
        <v>0</v>
      </c>
      <c r="N65" s="117">
        <f>'Schedule 2H Adjustments'!X64</f>
        <v>0</v>
      </c>
      <c r="O65" s="117">
        <f>'Schedule 2H Adjustments'!AA64</f>
        <v>0</v>
      </c>
    </row>
    <row r="66" spans="1:15" x14ac:dyDescent="0.35">
      <c r="A66" s="24">
        <v>51</v>
      </c>
      <c r="B66" s="565" t="str">
        <f>'Schedule 2H Adjustments'!B65:D65</f>
        <v/>
      </c>
      <c r="C66" s="565"/>
      <c r="D66" s="565"/>
      <c r="F66" s="114">
        <f>'Schedule 2H Adjustments'!H65</f>
        <v>0</v>
      </c>
      <c r="G66" s="68">
        <f>'Schedule 2H Adjustments'!J65</f>
        <v>0</v>
      </c>
      <c r="H66" s="68">
        <f t="shared" si="0"/>
        <v>0</v>
      </c>
      <c r="J66" s="114">
        <f>'Schedule 2H Adjustments'!P65</f>
        <v>0</v>
      </c>
      <c r="K66" s="68">
        <f>'Schedule 2H Adjustments'!R65</f>
        <v>0</v>
      </c>
      <c r="L66" s="68">
        <f t="shared" si="1"/>
        <v>0</v>
      </c>
      <c r="N66" s="117">
        <f>'Schedule 2H Adjustments'!X65</f>
        <v>0</v>
      </c>
      <c r="O66" s="117">
        <f>'Schedule 2H Adjustments'!AA65</f>
        <v>0</v>
      </c>
    </row>
    <row r="67" spans="1:15" x14ac:dyDescent="0.35">
      <c r="A67" s="24">
        <v>52</v>
      </c>
      <c r="B67" s="565" t="str">
        <f>'Schedule 2H Adjustments'!B66:D66</f>
        <v/>
      </c>
      <c r="C67" s="565"/>
      <c r="D67" s="565"/>
      <c r="F67" s="114">
        <f>'Schedule 2H Adjustments'!H66</f>
        <v>0</v>
      </c>
      <c r="G67" s="68">
        <f>'Schedule 2H Adjustments'!J66</f>
        <v>0</v>
      </c>
      <c r="H67" s="68">
        <f t="shared" si="0"/>
        <v>0</v>
      </c>
      <c r="J67" s="114">
        <f>'Schedule 2H Adjustments'!P66</f>
        <v>0</v>
      </c>
      <c r="K67" s="68">
        <f>'Schedule 2H Adjustments'!R66</f>
        <v>0</v>
      </c>
      <c r="L67" s="68">
        <f t="shared" si="1"/>
        <v>0</v>
      </c>
      <c r="N67" s="117">
        <f>'Schedule 2H Adjustments'!X66</f>
        <v>0</v>
      </c>
      <c r="O67" s="117">
        <f>'Schedule 2H Adjustments'!AA66</f>
        <v>0</v>
      </c>
    </row>
    <row r="68" spans="1:15" x14ac:dyDescent="0.35">
      <c r="A68" s="24">
        <v>53</v>
      </c>
      <c r="B68" s="565" t="str">
        <f>'Schedule 2H Adjustments'!B67:D67</f>
        <v/>
      </c>
      <c r="C68" s="565"/>
      <c r="D68" s="565"/>
      <c r="F68" s="114">
        <f>'Schedule 2H Adjustments'!H67</f>
        <v>0</v>
      </c>
      <c r="G68" s="68">
        <f>'Schedule 2H Adjustments'!J67</f>
        <v>0</v>
      </c>
      <c r="H68" s="68">
        <f t="shared" si="0"/>
        <v>0</v>
      </c>
      <c r="J68" s="114">
        <f>'Schedule 2H Adjustments'!P67</f>
        <v>0</v>
      </c>
      <c r="K68" s="68">
        <f>'Schedule 2H Adjustments'!R67</f>
        <v>0</v>
      </c>
      <c r="L68" s="68">
        <f t="shared" si="1"/>
        <v>0</v>
      </c>
      <c r="N68" s="117">
        <f>'Schedule 2H Adjustments'!X67</f>
        <v>0</v>
      </c>
      <c r="O68" s="117">
        <f>'Schedule 2H Adjustments'!AA67</f>
        <v>0</v>
      </c>
    </row>
    <row r="69" spans="1:15" x14ac:dyDescent="0.35">
      <c r="A69" s="24">
        <v>54</v>
      </c>
      <c r="B69" s="565" t="str">
        <f>'Schedule 2H Adjustments'!B68:D68</f>
        <v/>
      </c>
      <c r="C69" s="565"/>
      <c r="D69" s="565"/>
      <c r="F69" s="114">
        <f>'Schedule 2H Adjustments'!H68</f>
        <v>0</v>
      </c>
      <c r="G69" s="68">
        <f>'Schedule 2H Adjustments'!J68</f>
        <v>0</v>
      </c>
      <c r="H69" s="68">
        <f t="shared" si="0"/>
        <v>0</v>
      </c>
      <c r="J69" s="114">
        <f>'Schedule 2H Adjustments'!P68</f>
        <v>0</v>
      </c>
      <c r="K69" s="68">
        <f>'Schedule 2H Adjustments'!R68</f>
        <v>0</v>
      </c>
      <c r="L69" s="68">
        <f t="shared" si="1"/>
        <v>0</v>
      </c>
      <c r="N69" s="117">
        <f>'Schedule 2H Adjustments'!X68</f>
        <v>0</v>
      </c>
      <c r="O69" s="117">
        <f>'Schedule 2H Adjustments'!AA68</f>
        <v>0</v>
      </c>
    </row>
    <row r="70" spans="1:15" x14ac:dyDescent="0.35">
      <c r="A70" s="24">
        <v>55</v>
      </c>
      <c r="B70" s="565" t="str">
        <f>'Schedule 2H Adjustments'!B69:D69</f>
        <v/>
      </c>
      <c r="C70" s="565"/>
      <c r="D70" s="565"/>
      <c r="F70" s="114">
        <f>'Schedule 2H Adjustments'!H69</f>
        <v>0</v>
      </c>
      <c r="G70" s="68">
        <f>'Schedule 2H Adjustments'!J69</f>
        <v>0</v>
      </c>
      <c r="H70" s="68">
        <f t="shared" si="0"/>
        <v>0</v>
      </c>
      <c r="J70" s="114">
        <f>'Schedule 2H Adjustments'!P69</f>
        <v>0</v>
      </c>
      <c r="K70" s="68">
        <f>'Schedule 2H Adjustments'!R69</f>
        <v>0</v>
      </c>
      <c r="L70" s="68">
        <f t="shared" si="1"/>
        <v>0</v>
      </c>
      <c r="N70" s="117">
        <f>'Schedule 2H Adjustments'!X69</f>
        <v>0</v>
      </c>
      <c r="O70" s="117">
        <f>'Schedule 2H Adjustments'!AA69</f>
        <v>0</v>
      </c>
    </row>
    <row r="71" spans="1:15" x14ac:dyDescent="0.35">
      <c r="A71" s="24">
        <v>56</v>
      </c>
      <c r="B71" s="565" t="str">
        <f>'Schedule 2H Adjustments'!B70:D70</f>
        <v/>
      </c>
      <c r="C71" s="565"/>
      <c r="D71" s="565"/>
      <c r="F71" s="114">
        <f>'Schedule 2H Adjustments'!H70</f>
        <v>0</v>
      </c>
      <c r="G71" s="68">
        <f>'Schedule 2H Adjustments'!J70</f>
        <v>0</v>
      </c>
      <c r="H71" s="68">
        <f t="shared" si="0"/>
        <v>0</v>
      </c>
      <c r="J71" s="114">
        <f>'Schedule 2H Adjustments'!P70</f>
        <v>0</v>
      </c>
      <c r="K71" s="68">
        <f>'Schedule 2H Adjustments'!R70</f>
        <v>0</v>
      </c>
      <c r="L71" s="68">
        <f t="shared" si="1"/>
        <v>0</v>
      </c>
      <c r="N71" s="117">
        <f>'Schedule 2H Adjustments'!X70</f>
        <v>0</v>
      </c>
      <c r="O71" s="117">
        <f>'Schedule 2H Adjustments'!AA70</f>
        <v>0</v>
      </c>
    </row>
    <row r="72" spans="1:15" x14ac:dyDescent="0.35">
      <c r="A72" s="24">
        <v>57</v>
      </c>
      <c r="B72" s="565" t="str">
        <f>'Schedule 2H Adjustments'!B71:D71</f>
        <v/>
      </c>
      <c r="C72" s="565"/>
      <c r="D72" s="565"/>
      <c r="F72" s="114">
        <f>'Schedule 2H Adjustments'!H71</f>
        <v>0</v>
      </c>
      <c r="G72" s="68">
        <f>'Schedule 2H Adjustments'!J71</f>
        <v>0</v>
      </c>
      <c r="H72" s="68">
        <f t="shared" si="0"/>
        <v>0</v>
      </c>
      <c r="J72" s="114">
        <f>'Schedule 2H Adjustments'!P71</f>
        <v>0</v>
      </c>
      <c r="K72" s="68">
        <f>'Schedule 2H Adjustments'!R71</f>
        <v>0</v>
      </c>
      <c r="L72" s="68">
        <f t="shared" si="1"/>
        <v>0</v>
      </c>
      <c r="N72" s="117">
        <f>'Schedule 2H Adjustments'!X71</f>
        <v>0</v>
      </c>
      <c r="O72" s="117">
        <f>'Schedule 2H Adjustments'!AA71</f>
        <v>0</v>
      </c>
    </row>
    <row r="73" spans="1:15" x14ac:dyDescent="0.35">
      <c r="A73" s="24">
        <v>58</v>
      </c>
      <c r="B73" s="565" t="str">
        <f>'Schedule 2H Adjustments'!B72:D72</f>
        <v/>
      </c>
      <c r="C73" s="565"/>
      <c r="D73" s="565"/>
      <c r="F73" s="114">
        <f>'Schedule 2H Adjustments'!H72</f>
        <v>0</v>
      </c>
      <c r="G73" s="68">
        <f>'Schedule 2H Adjustments'!J72</f>
        <v>0</v>
      </c>
      <c r="H73" s="68">
        <f t="shared" si="0"/>
        <v>0</v>
      </c>
      <c r="J73" s="114">
        <f>'Schedule 2H Adjustments'!P72</f>
        <v>0</v>
      </c>
      <c r="K73" s="68">
        <f>'Schedule 2H Adjustments'!R72</f>
        <v>0</v>
      </c>
      <c r="L73" s="68">
        <f t="shared" si="1"/>
        <v>0</v>
      </c>
      <c r="N73" s="117">
        <f>'Schedule 2H Adjustments'!X72</f>
        <v>0</v>
      </c>
      <c r="O73" s="117">
        <f>'Schedule 2H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17302493-42B1-4877-869E-E424A97AE78B}" state="hidden">
      <selection activeCell="F17" sqref="F17"/>
      <pageMargins left="0.7" right="0.7" top="0.75" bottom="0.75" header="0.3" footer="0.3"/>
    </customSheetView>
    <customSheetView guid="{5C0BA3A5-859C-46C2-B685-44D9A90065E4}">
      <selection activeCell="H11" sqref="H11"/>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 t="s">
        <v>855</v>
      </c>
      <c r="B3" s="5"/>
      <c r="C3" s="5"/>
      <c r="D3" s="5"/>
      <c r="E3" s="5"/>
      <c r="F3" s="5"/>
      <c r="G3" s="5"/>
      <c r="H3" s="5"/>
    </row>
    <row r="4" spans="1:15" ht="25" customHeight="1" x14ac:dyDescent="0.5">
      <c r="A4" s="235" t="str">
        <f>Results!A4</f>
        <v>Final Adjustments</v>
      </c>
      <c r="B4" s="354"/>
      <c r="C4" s="354"/>
      <c r="D4" s="354"/>
      <c r="E4" s="354"/>
      <c r="F4" s="354"/>
      <c r="G4" s="354"/>
      <c r="H4" s="354"/>
    </row>
    <row r="6" spans="1:15" x14ac:dyDescent="0.35">
      <c r="A6" s="1" t="s">
        <v>776</v>
      </c>
      <c r="C6" s="414" t="str">
        <f>Results!$C$6</f>
        <v>WellPower</v>
      </c>
    </row>
    <row r="7" spans="1:15" x14ac:dyDescent="0.35">
      <c r="A7" s="1" t="s">
        <v>0</v>
      </c>
      <c r="C7" s="35">
        <f>Results!$C$7</f>
        <v>45473</v>
      </c>
      <c r="F7" s="35"/>
    </row>
    <row r="9" spans="1:15" x14ac:dyDescent="0.35">
      <c r="A9" s="1" t="s">
        <v>253</v>
      </c>
      <c r="B9" s="1" t="s">
        <v>825</v>
      </c>
      <c r="C9" s="1"/>
      <c r="F9" s="116" t="str">
        <f>'Schedule 2I Adjustments'!F8</f>
        <v>Yes/No</v>
      </c>
      <c r="G9" s="41" t="s">
        <v>259</v>
      </c>
    </row>
    <row r="11" spans="1:15" x14ac:dyDescent="0.35">
      <c r="A11" s="1" t="s">
        <v>254</v>
      </c>
      <c r="B11" s="1" t="s">
        <v>256</v>
      </c>
      <c r="C11" s="1"/>
    </row>
    <row r="12" spans="1:15" x14ac:dyDescent="0.35">
      <c r="B12" s="311" t="s">
        <v>592</v>
      </c>
    </row>
    <row r="13" spans="1:15" x14ac:dyDescent="0.35">
      <c r="B13" s="560">
        <v>1</v>
      </c>
      <c r="C13" s="560"/>
      <c r="D13" s="560"/>
      <c r="F13" s="23">
        <v>2</v>
      </c>
      <c r="G13" s="23">
        <v>3</v>
      </c>
      <c r="H13" s="23">
        <v>4</v>
      </c>
      <c r="J13" s="23">
        <v>5</v>
      </c>
      <c r="K13" s="23">
        <v>6</v>
      </c>
      <c r="L13" s="23">
        <v>7</v>
      </c>
      <c r="N13" s="23">
        <v>8</v>
      </c>
      <c r="O13" s="23">
        <v>9</v>
      </c>
    </row>
    <row r="14" spans="1:15" ht="15" customHeight="1" x14ac:dyDescent="0.35">
      <c r="B14" s="569" t="s">
        <v>606</v>
      </c>
      <c r="C14" s="570"/>
      <c r="D14" s="571"/>
      <c r="F14" s="563" t="s">
        <v>261</v>
      </c>
      <c r="G14" s="568"/>
      <c r="H14" s="564"/>
      <c r="J14" s="563" t="s">
        <v>262</v>
      </c>
      <c r="K14" s="568"/>
      <c r="L14" s="564"/>
      <c r="N14" s="566" t="s">
        <v>686</v>
      </c>
      <c r="O14" s="566" t="s">
        <v>687</v>
      </c>
    </row>
    <row r="15" spans="1:15" ht="55.5" customHeight="1" x14ac:dyDescent="0.35">
      <c r="B15" s="572"/>
      <c r="C15" s="573"/>
      <c r="D15" s="574"/>
      <c r="E15" s="48"/>
      <c r="F15" s="10" t="s">
        <v>683</v>
      </c>
      <c r="G15" s="142" t="s">
        <v>684</v>
      </c>
      <c r="H15" s="142" t="s">
        <v>685</v>
      </c>
      <c r="I15" s="99"/>
      <c r="J15" s="10" t="s">
        <v>683</v>
      </c>
      <c r="K15" s="142" t="s">
        <v>684</v>
      </c>
      <c r="L15" s="142" t="s">
        <v>685</v>
      </c>
      <c r="M15" s="48"/>
      <c r="N15" s="567"/>
      <c r="O15" s="567"/>
    </row>
    <row r="16" spans="1:15" x14ac:dyDescent="0.35">
      <c r="A16" s="24">
        <v>1</v>
      </c>
      <c r="B16" s="565" t="str">
        <f>'Schedule 2I Adjustments'!B15:D15</f>
        <v/>
      </c>
      <c r="C16" s="565"/>
      <c r="D16" s="565"/>
      <c r="F16" s="114">
        <f>'Schedule 2I Adjustments'!H15</f>
        <v>0</v>
      </c>
      <c r="G16" s="68">
        <f>'Schedule 2I Adjustments'!J15</f>
        <v>0</v>
      </c>
      <c r="H16" s="68">
        <f>SUM(F16:G16)</f>
        <v>0</v>
      </c>
      <c r="J16" s="114">
        <f>'Schedule 2I Adjustments'!P15</f>
        <v>0</v>
      </c>
      <c r="K16" s="68">
        <f>'Schedule 2I Adjustments'!R15</f>
        <v>0</v>
      </c>
      <c r="L16" s="68">
        <f>SUM(J16:K16)</f>
        <v>0</v>
      </c>
      <c r="N16" s="117">
        <f>'Schedule 2I Adjustments'!X15</f>
        <v>0</v>
      </c>
      <c r="O16" s="117">
        <f>'Schedule 2I Adjustments'!AA15</f>
        <v>0</v>
      </c>
    </row>
    <row r="17" spans="1:15" x14ac:dyDescent="0.35">
      <c r="A17" s="24">
        <v>2</v>
      </c>
      <c r="B17" s="565" t="str">
        <f>'Schedule 2I Adjustments'!B16:D16</f>
        <v/>
      </c>
      <c r="C17" s="565"/>
      <c r="D17" s="565"/>
      <c r="F17" s="114">
        <f>'Schedule 2I Adjustments'!H16</f>
        <v>0</v>
      </c>
      <c r="G17" s="68">
        <f>'Schedule 2I Adjustments'!J16</f>
        <v>0</v>
      </c>
      <c r="H17" s="68">
        <f t="shared" ref="H17:H73" si="0">SUM(F17:G17)</f>
        <v>0</v>
      </c>
      <c r="J17" s="114">
        <f>'Schedule 2I Adjustments'!P16</f>
        <v>0</v>
      </c>
      <c r="K17" s="68">
        <f>'Schedule 2I Adjustments'!R16</f>
        <v>0</v>
      </c>
      <c r="L17" s="68">
        <f t="shared" ref="L17:L73" si="1">SUM(J17:K17)</f>
        <v>0</v>
      </c>
      <c r="N17" s="117">
        <f>'Schedule 2I Adjustments'!X16</f>
        <v>0</v>
      </c>
      <c r="O17" s="117">
        <f>'Schedule 2I Adjustments'!AA16</f>
        <v>0</v>
      </c>
    </row>
    <row r="18" spans="1:15" x14ac:dyDescent="0.35">
      <c r="A18" s="24">
        <v>3</v>
      </c>
      <c r="B18" s="565" t="str">
        <f>'Schedule 2I Adjustments'!B17:D17</f>
        <v/>
      </c>
      <c r="C18" s="565"/>
      <c r="D18" s="565"/>
      <c r="F18" s="114">
        <f>'Schedule 2I Adjustments'!H17</f>
        <v>0</v>
      </c>
      <c r="G18" s="68">
        <f>'Schedule 2I Adjustments'!J17</f>
        <v>0</v>
      </c>
      <c r="H18" s="68">
        <f t="shared" si="0"/>
        <v>0</v>
      </c>
      <c r="J18" s="114">
        <f>'Schedule 2I Adjustments'!P17</f>
        <v>0</v>
      </c>
      <c r="K18" s="68">
        <f>'Schedule 2I Adjustments'!R17</f>
        <v>0</v>
      </c>
      <c r="L18" s="68">
        <f t="shared" si="1"/>
        <v>0</v>
      </c>
      <c r="N18" s="117">
        <f>'Schedule 2I Adjustments'!X17</f>
        <v>0</v>
      </c>
      <c r="O18" s="117">
        <f>'Schedule 2I Adjustments'!AA17</f>
        <v>0</v>
      </c>
    </row>
    <row r="19" spans="1:15" x14ac:dyDescent="0.35">
      <c r="A19" s="24">
        <v>4</v>
      </c>
      <c r="B19" s="565" t="str">
        <f>'Schedule 2I Adjustments'!B18:D18</f>
        <v/>
      </c>
      <c r="C19" s="565"/>
      <c r="D19" s="565"/>
      <c r="F19" s="114">
        <f>'Schedule 2I Adjustments'!H18</f>
        <v>0</v>
      </c>
      <c r="G19" s="68">
        <f>'Schedule 2I Adjustments'!J18</f>
        <v>0</v>
      </c>
      <c r="H19" s="68">
        <f t="shared" si="0"/>
        <v>0</v>
      </c>
      <c r="J19" s="114">
        <f>'Schedule 2I Adjustments'!P18</f>
        <v>0</v>
      </c>
      <c r="K19" s="68">
        <f>'Schedule 2I Adjustments'!R18</f>
        <v>0</v>
      </c>
      <c r="L19" s="68">
        <f t="shared" si="1"/>
        <v>0</v>
      </c>
      <c r="N19" s="117">
        <f>'Schedule 2I Adjustments'!X18</f>
        <v>0</v>
      </c>
      <c r="O19" s="117">
        <f>'Schedule 2I Adjustments'!AA18</f>
        <v>0</v>
      </c>
    </row>
    <row r="20" spans="1:15" x14ac:dyDescent="0.35">
      <c r="A20" s="24">
        <v>5</v>
      </c>
      <c r="B20" s="565" t="str">
        <f>'Schedule 2I Adjustments'!B19:D19</f>
        <v/>
      </c>
      <c r="C20" s="565"/>
      <c r="D20" s="565"/>
      <c r="F20" s="114">
        <f>'Schedule 2I Adjustments'!H19</f>
        <v>0</v>
      </c>
      <c r="G20" s="68">
        <f>'Schedule 2I Adjustments'!J19</f>
        <v>0</v>
      </c>
      <c r="H20" s="68">
        <f t="shared" si="0"/>
        <v>0</v>
      </c>
      <c r="J20" s="114">
        <f>'Schedule 2I Adjustments'!P19</f>
        <v>0</v>
      </c>
      <c r="K20" s="68">
        <f>'Schedule 2I Adjustments'!R19</f>
        <v>0</v>
      </c>
      <c r="L20" s="68">
        <f t="shared" si="1"/>
        <v>0</v>
      </c>
      <c r="N20" s="117">
        <f>'Schedule 2I Adjustments'!X19</f>
        <v>0</v>
      </c>
      <c r="O20" s="117">
        <f>'Schedule 2I Adjustments'!AA19</f>
        <v>0</v>
      </c>
    </row>
    <row r="21" spans="1:15" x14ac:dyDescent="0.35">
      <c r="A21" s="24">
        <v>6</v>
      </c>
      <c r="B21" s="565" t="str">
        <f>'Schedule 2I Adjustments'!B20:D20</f>
        <v/>
      </c>
      <c r="C21" s="565"/>
      <c r="D21" s="565"/>
      <c r="F21" s="114">
        <f>'Schedule 2I Adjustments'!H20</f>
        <v>0</v>
      </c>
      <c r="G21" s="68">
        <f>'Schedule 2I Adjustments'!J20</f>
        <v>0</v>
      </c>
      <c r="H21" s="68">
        <f t="shared" si="0"/>
        <v>0</v>
      </c>
      <c r="J21" s="114">
        <f>'Schedule 2I Adjustments'!P20</f>
        <v>0</v>
      </c>
      <c r="K21" s="68">
        <f>'Schedule 2I Adjustments'!R20</f>
        <v>0</v>
      </c>
      <c r="L21" s="68">
        <f t="shared" si="1"/>
        <v>0</v>
      </c>
      <c r="N21" s="117">
        <f>'Schedule 2I Adjustments'!X20</f>
        <v>0</v>
      </c>
      <c r="O21" s="117">
        <f>'Schedule 2I Adjustments'!AA20</f>
        <v>0</v>
      </c>
    </row>
    <row r="22" spans="1:15" x14ac:dyDescent="0.35">
      <c r="A22" s="24">
        <v>7</v>
      </c>
      <c r="B22" s="565" t="str">
        <f>'Schedule 2I Adjustments'!B21:D21</f>
        <v/>
      </c>
      <c r="C22" s="565"/>
      <c r="D22" s="565"/>
      <c r="F22" s="114">
        <f>'Schedule 2I Adjustments'!H21</f>
        <v>0</v>
      </c>
      <c r="G22" s="68">
        <f>'Schedule 2I Adjustments'!J21</f>
        <v>0</v>
      </c>
      <c r="H22" s="68">
        <f t="shared" si="0"/>
        <v>0</v>
      </c>
      <c r="J22" s="114">
        <f>'Schedule 2I Adjustments'!P21</f>
        <v>0</v>
      </c>
      <c r="K22" s="68">
        <f>'Schedule 2I Adjustments'!R21</f>
        <v>0</v>
      </c>
      <c r="L22" s="68">
        <f t="shared" si="1"/>
        <v>0</v>
      </c>
      <c r="N22" s="117">
        <f>'Schedule 2I Adjustments'!X21</f>
        <v>0</v>
      </c>
      <c r="O22" s="117">
        <f>'Schedule 2I Adjustments'!AA21</f>
        <v>0</v>
      </c>
    </row>
    <row r="23" spans="1:15" x14ac:dyDescent="0.35">
      <c r="A23" s="24">
        <v>8</v>
      </c>
      <c r="B23" s="565" t="str">
        <f>'Schedule 2I Adjustments'!B22:D22</f>
        <v/>
      </c>
      <c r="C23" s="565"/>
      <c r="D23" s="565"/>
      <c r="F23" s="114">
        <f>'Schedule 2I Adjustments'!H22</f>
        <v>0</v>
      </c>
      <c r="G23" s="68">
        <f>'Schedule 2I Adjustments'!J22</f>
        <v>0</v>
      </c>
      <c r="H23" s="68">
        <f t="shared" si="0"/>
        <v>0</v>
      </c>
      <c r="J23" s="114">
        <f>'Schedule 2I Adjustments'!P22</f>
        <v>0</v>
      </c>
      <c r="K23" s="68">
        <f>'Schedule 2I Adjustments'!R22</f>
        <v>0</v>
      </c>
      <c r="L23" s="68">
        <f t="shared" si="1"/>
        <v>0</v>
      </c>
      <c r="N23" s="117">
        <f>'Schedule 2I Adjustments'!X22</f>
        <v>0</v>
      </c>
      <c r="O23" s="117">
        <f>'Schedule 2I Adjustments'!AA22</f>
        <v>0</v>
      </c>
    </row>
    <row r="24" spans="1:15" x14ac:dyDescent="0.35">
      <c r="A24" s="24">
        <v>9</v>
      </c>
      <c r="B24" s="565" t="str">
        <f>'Schedule 2I Adjustments'!B23:D23</f>
        <v/>
      </c>
      <c r="C24" s="565"/>
      <c r="D24" s="565"/>
      <c r="F24" s="114">
        <f>'Schedule 2I Adjustments'!H23</f>
        <v>0</v>
      </c>
      <c r="G24" s="68">
        <f>'Schedule 2I Adjustments'!J23</f>
        <v>0</v>
      </c>
      <c r="H24" s="68">
        <f t="shared" si="0"/>
        <v>0</v>
      </c>
      <c r="J24" s="114">
        <f>'Schedule 2I Adjustments'!P23</f>
        <v>0</v>
      </c>
      <c r="K24" s="68">
        <f>'Schedule 2I Adjustments'!R23</f>
        <v>0</v>
      </c>
      <c r="L24" s="68">
        <f t="shared" si="1"/>
        <v>0</v>
      </c>
      <c r="N24" s="117">
        <f>'Schedule 2I Adjustments'!X23</f>
        <v>0</v>
      </c>
      <c r="O24" s="117">
        <f>'Schedule 2I Adjustments'!AA23</f>
        <v>0</v>
      </c>
    </row>
    <row r="25" spans="1:15" x14ac:dyDescent="0.35">
      <c r="A25" s="24">
        <v>10</v>
      </c>
      <c r="B25" s="565" t="str">
        <f>'Schedule 2I Adjustments'!B24:D24</f>
        <v/>
      </c>
      <c r="C25" s="565"/>
      <c r="D25" s="565"/>
      <c r="F25" s="114">
        <f>'Schedule 2I Adjustments'!H24</f>
        <v>0</v>
      </c>
      <c r="G25" s="68">
        <f>'Schedule 2I Adjustments'!J24</f>
        <v>0</v>
      </c>
      <c r="H25" s="68">
        <f t="shared" si="0"/>
        <v>0</v>
      </c>
      <c r="J25" s="114">
        <f>'Schedule 2I Adjustments'!P24</f>
        <v>0</v>
      </c>
      <c r="K25" s="68">
        <f>'Schedule 2I Adjustments'!R24</f>
        <v>0</v>
      </c>
      <c r="L25" s="68">
        <f t="shared" si="1"/>
        <v>0</v>
      </c>
      <c r="N25" s="117">
        <f>'Schedule 2I Adjustments'!X24</f>
        <v>0</v>
      </c>
      <c r="O25" s="117">
        <f>'Schedule 2I Adjustments'!AA24</f>
        <v>0</v>
      </c>
    </row>
    <row r="26" spans="1:15" x14ac:dyDescent="0.35">
      <c r="A26" s="24">
        <v>11</v>
      </c>
      <c r="B26" s="565" t="str">
        <f>'Schedule 2I Adjustments'!B25:D25</f>
        <v/>
      </c>
      <c r="C26" s="565"/>
      <c r="D26" s="565"/>
      <c r="F26" s="114">
        <f>'Schedule 2I Adjustments'!H25</f>
        <v>0</v>
      </c>
      <c r="G26" s="68">
        <f>'Schedule 2I Adjustments'!J25</f>
        <v>0</v>
      </c>
      <c r="H26" s="68">
        <f t="shared" si="0"/>
        <v>0</v>
      </c>
      <c r="J26" s="114">
        <f>'Schedule 2I Adjustments'!P25</f>
        <v>0</v>
      </c>
      <c r="K26" s="68">
        <f>'Schedule 2I Adjustments'!R25</f>
        <v>0</v>
      </c>
      <c r="L26" s="68">
        <f t="shared" si="1"/>
        <v>0</v>
      </c>
      <c r="N26" s="117">
        <f>'Schedule 2I Adjustments'!X25</f>
        <v>0</v>
      </c>
      <c r="O26" s="117">
        <f>'Schedule 2I Adjustments'!AA25</f>
        <v>0</v>
      </c>
    </row>
    <row r="27" spans="1:15" x14ac:dyDescent="0.35">
      <c r="A27" s="24">
        <v>12</v>
      </c>
      <c r="B27" s="565" t="str">
        <f>'Schedule 2I Adjustments'!B26:D26</f>
        <v/>
      </c>
      <c r="C27" s="565"/>
      <c r="D27" s="565"/>
      <c r="F27" s="114">
        <f>'Schedule 2I Adjustments'!H26</f>
        <v>0</v>
      </c>
      <c r="G27" s="68">
        <f>'Schedule 2I Adjustments'!J26</f>
        <v>0</v>
      </c>
      <c r="H27" s="68">
        <f t="shared" si="0"/>
        <v>0</v>
      </c>
      <c r="J27" s="114">
        <f>'Schedule 2I Adjustments'!P26</f>
        <v>0</v>
      </c>
      <c r="K27" s="68">
        <f>'Schedule 2I Adjustments'!R26</f>
        <v>0</v>
      </c>
      <c r="L27" s="68">
        <f t="shared" si="1"/>
        <v>0</v>
      </c>
      <c r="N27" s="117">
        <f>'Schedule 2I Adjustments'!X26</f>
        <v>0</v>
      </c>
      <c r="O27" s="117">
        <f>'Schedule 2I Adjustments'!AA26</f>
        <v>0</v>
      </c>
    </row>
    <row r="28" spans="1:15" x14ac:dyDescent="0.35">
      <c r="A28" s="24">
        <v>13</v>
      </c>
      <c r="B28" s="565" t="str">
        <f>'Schedule 2I Adjustments'!B27:D27</f>
        <v/>
      </c>
      <c r="C28" s="565"/>
      <c r="D28" s="565"/>
      <c r="F28" s="114">
        <f>'Schedule 2I Adjustments'!H27</f>
        <v>0</v>
      </c>
      <c r="G28" s="68">
        <f>'Schedule 2I Adjustments'!J27</f>
        <v>0</v>
      </c>
      <c r="H28" s="68">
        <f t="shared" si="0"/>
        <v>0</v>
      </c>
      <c r="J28" s="114">
        <f>'Schedule 2I Adjustments'!P27</f>
        <v>0</v>
      </c>
      <c r="K28" s="68">
        <f>'Schedule 2I Adjustments'!R27</f>
        <v>0</v>
      </c>
      <c r="L28" s="68">
        <f t="shared" si="1"/>
        <v>0</v>
      </c>
      <c r="N28" s="117">
        <f>'Schedule 2I Adjustments'!X27</f>
        <v>0</v>
      </c>
      <c r="O28" s="117">
        <f>'Schedule 2I Adjustments'!AA27</f>
        <v>0</v>
      </c>
    </row>
    <row r="29" spans="1:15" x14ac:dyDescent="0.35">
      <c r="A29" s="24">
        <v>14</v>
      </c>
      <c r="B29" s="565" t="str">
        <f>'Schedule 2I Adjustments'!B28:D28</f>
        <v/>
      </c>
      <c r="C29" s="565"/>
      <c r="D29" s="565"/>
      <c r="F29" s="114">
        <f>'Schedule 2I Adjustments'!H28</f>
        <v>0</v>
      </c>
      <c r="G29" s="68">
        <f>'Schedule 2I Adjustments'!J28</f>
        <v>0</v>
      </c>
      <c r="H29" s="68">
        <f t="shared" si="0"/>
        <v>0</v>
      </c>
      <c r="J29" s="114">
        <f>'Schedule 2I Adjustments'!P28</f>
        <v>0</v>
      </c>
      <c r="K29" s="68">
        <f>'Schedule 2I Adjustments'!R28</f>
        <v>0</v>
      </c>
      <c r="L29" s="68">
        <f t="shared" si="1"/>
        <v>0</v>
      </c>
      <c r="N29" s="117">
        <f>'Schedule 2I Adjustments'!X28</f>
        <v>0</v>
      </c>
      <c r="O29" s="117">
        <f>'Schedule 2I Adjustments'!AA28</f>
        <v>0</v>
      </c>
    </row>
    <row r="30" spans="1:15" x14ac:dyDescent="0.35">
      <c r="A30" s="24">
        <v>15</v>
      </c>
      <c r="B30" s="565" t="str">
        <f>'Schedule 2I Adjustments'!B29:D29</f>
        <v/>
      </c>
      <c r="C30" s="565"/>
      <c r="D30" s="565"/>
      <c r="F30" s="114">
        <f>'Schedule 2I Adjustments'!H29</f>
        <v>0</v>
      </c>
      <c r="G30" s="68">
        <f>'Schedule 2I Adjustments'!J29</f>
        <v>0</v>
      </c>
      <c r="H30" s="68">
        <f t="shared" si="0"/>
        <v>0</v>
      </c>
      <c r="J30" s="114">
        <f>'Schedule 2I Adjustments'!P29</f>
        <v>0</v>
      </c>
      <c r="K30" s="68">
        <f>'Schedule 2I Adjustments'!R29</f>
        <v>0</v>
      </c>
      <c r="L30" s="68">
        <f t="shared" si="1"/>
        <v>0</v>
      </c>
      <c r="N30" s="117">
        <f>'Schedule 2I Adjustments'!X29</f>
        <v>0</v>
      </c>
      <c r="O30" s="117">
        <f>'Schedule 2I Adjustments'!AA29</f>
        <v>0</v>
      </c>
    </row>
    <row r="31" spans="1:15" x14ac:dyDescent="0.35">
      <c r="A31" s="24">
        <v>16</v>
      </c>
      <c r="B31" s="565" t="str">
        <f>'Schedule 2I Adjustments'!B30:D30</f>
        <v/>
      </c>
      <c r="C31" s="565"/>
      <c r="D31" s="565"/>
      <c r="F31" s="114">
        <f>'Schedule 2I Adjustments'!H30</f>
        <v>0</v>
      </c>
      <c r="G31" s="68">
        <f>'Schedule 2I Adjustments'!J30</f>
        <v>0</v>
      </c>
      <c r="H31" s="68">
        <f t="shared" si="0"/>
        <v>0</v>
      </c>
      <c r="J31" s="114">
        <f>'Schedule 2I Adjustments'!P30</f>
        <v>0</v>
      </c>
      <c r="K31" s="68">
        <f>'Schedule 2I Adjustments'!R30</f>
        <v>0</v>
      </c>
      <c r="L31" s="68">
        <f t="shared" si="1"/>
        <v>0</v>
      </c>
      <c r="N31" s="117">
        <f>'Schedule 2I Adjustments'!X30</f>
        <v>0</v>
      </c>
      <c r="O31" s="117">
        <f>'Schedule 2I Adjustments'!AA30</f>
        <v>0</v>
      </c>
    </row>
    <row r="32" spans="1:15" x14ac:dyDescent="0.35">
      <c r="A32" s="24">
        <v>17</v>
      </c>
      <c r="B32" s="565" t="str">
        <f>'Schedule 2I Adjustments'!B31:D31</f>
        <v/>
      </c>
      <c r="C32" s="565"/>
      <c r="D32" s="565"/>
      <c r="F32" s="114">
        <f>'Schedule 2I Adjustments'!H31</f>
        <v>0</v>
      </c>
      <c r="G32" s="68">
        <f>'Schedule 2I Adjustments'!J31</f>
        <v>0</v>
      </c>
      <c r="H32" s="68">
        <f t="shared" si="0"/>
        <v>0</v>
      </c>
      <c r="J32" s="114">
        <f>'Schedule 2I Adjustments'!P31</f>
        <v>0</v>
      </c>
      <c r="K32" s="68">
        <f>'Schedule 2I Adjustments'!R31</f>
        <v>0</v>
      </c>
      <c r="L32" s="68">
        <f t="shared" si="1"/>
        <v>0</v>
      </c>
      <c r="N32" s="117">
        <f>'Schedule 2I Adjustments'!X31</f>
        <v>0</v>
      </c>
      <c r="O32" s="117">
        <f>'Schedule 2I Adjustments'!AA31</f>
        <v>0</v>
      </c>
    </row>
    <row r="33" spans="1:15" x14ac:dyDescent="0.35">
      <c r="A33" s="24">
        <v>18</v>
      </c>
      <c r="B33" s="565" t="str">
        <f>'Schedule 2I Adjustments'!B32:D32</f>
        <v/>
      </c>
      <c r="C33" s="565"/>
      <c r="D33" s="565"/>
      <c r="F33" s="114">
        <f>'Schedule 2I Adjustments'!H32</f>
        <v>0</v>
      </c>
      <c r="G33" s="68">
        <f>'Schedule 2I Adjustments'!J32</f>
        <v>0</v>
      </c>
      <c r="H33" s="68">
        <f t="shared" si="0"/>
        <v>0</v>
      </c>
      <c r="J33" s="114">
        <f>'Schedule 2I Adjustments'!P32</f>
        <v>0</v>
      </c>
      <c r="K33" s="68">
        <f>'Schedule 2I Adjustments'!R32</f>
        <v>0</v>
      </c>
      <c r="L33" s="68">
        <f t="shared" si="1"/>
        <v>0</v>
      </c>
      <c r="N33" s="117">
        <f>'Schedule 2I Adjustments'!X32</f>
        <v>0</v>
      </c>
      <c r="O33" s="117">
        <f>'Schedule 2I Adjustments'!AA32</f>
        <v>0</v>
      </c>
    </row>
    <row r="34" spans="1:15" x14ac:dyDescent="0.35">
      <c r="A34" s="24">
        <v>19</v>
      </c>
      <c r="B34" s="565" t="str">
        <f>'Schedule 2I Adjustments'!B33:D33</f>
        <v/>
      </c>
      <c r="C34" s="565"/>
      <c r="D34" s="565"/>
      <c r="F34" s="114">
        <f>'Schedule 2I Adjustments'!H33</f>
        <v>0</v>
      </c>
      <c r="G34" s="68">
        <f>'Schedule 2I Adjustments'!J33</f>
        <v>0</v>
      </c>
      <c r="H34" s="68">
        <f t="shared" si="0"/>
        <v>0</v>
      </c>
      <c r="J34" s="114">
        <f>'Schedule 2I Adjustments'!P33</f>
        <v>0</v>
      </c>
      <c r="K34" s="68">
        <f>'Schedule 2I Adjustments'!R33</f>
        <v>0</v>
      </c>
      <c r="L34" s="68">
        <f t="shared" si="1"/>
        <v>0</v>
      </c>
      <c r="N34" s="117">
        <f>'Schedule 2I Adjustments'!X33</f>
        <v>0</v>
      </c>
      <c r="O34" s="117">
        <f>'Schedule 2I Adjustments'!AA33</f>
        <v>0</v>
      </c>
    </row>
    <row r="35" spans="1:15" x14ac:dyDescent="0.35">
      <c r="A35" s="24">
        <v>20</v>
      </c>
      <c r="B35" s="565" t="str">
        <f>'Schedule 2I Adjustments'!B34:D34</f>
        <v/>
      </c>
      <c r="C35" s="565"/>
      <c r="D35" s="565"/>
      <c r="F35" s="114">
        <f>'Schedule 2I Adjustments'!H34</f>
        <v>0</v>
      </c>
      <c r="G35" s="68">
        <f>'Schedule 2I Adjustments'!J34</f>
        <v>0</v>
      </c>
      <c r="H35" s="68">
        <f t="shared" si="0"/>
        <v>0</v>
      </c>
      <c r="J35" s="114">
        <f>'Schedule 2I Adjustments'!P34</f>
        <v>0</v>
      </c>
      <c r="K35" s="68">
        <f>'Schedule 2I Adjustments'!R34</f>
        <v>0</v>
      </c>
      <c r="L35" s="68">
        <f t="shared" si="1"/>
        <v>0</v>
      </c>
      <c r="N35" s="117">
        <f>'Schedule 2I Adjustments'!X34</f>
        <v>0</v>
      </c>
      <c r="O35" s="117">
        <f>'Schedule 2I Adjustments'!AA34</f>
        <v>0</v>
      </c>
    </row>
    <row r="36" spans="1:15" x14ac:dyDescent="0.35">
      <c r="A36" s="24">
        <v>21</v>
      </c>
      <c r="B36" s="565" t="str">
        <f>'Schedule 2I Adjustments'!B35:D35</f>
        <v/>
      </c>
      <c r="C36" s="565"/>
      <c r="D36" s="565"/>
      <c r="F36" s="114">
        <f>'Schedule 2I Adjustments'!H35</f>
        <v>0</v>
      </c>
      <c r="G36" s="68">
        <f>'Schedule 2I Adjustments'!J35</f>
        <v>0</v>
      </c>
      <c r="H36" s="68">
        <f t="shared" si="0"/>
        <v>0</v>
      </c>
      <c r="J36" s="114">
        <f>'Schedule 2I Adjustments'!P35</f>
        <v>0</v>
      </c>
      <c r="K36" s="68">
        <f>'Schedule 2I Adjustments'!R35</f>
        <v>0</v>
      </c>
      <c r="L36" s="68">
        <f t="shared" si="1"/>
        <v>0</v>
      </c>
      <c r="N36" s="117">
        <f>'Schedule 2I Adjustments'!X35</f>
        <v>0</v>
      </c>
      <c r="O36" s="117">
        <f>'Schedule 2I Adjustments'!AA35</f>
        <v>0</v>
      </c>
    </row>
    <row r="37" spans="1:15" x14ac:dyDescent="0.35">
      <c r="A37" s="24">
        <v>22</v>
      </c>
      <c r="B37" s="565" t="str">
        <f>'Schedule 2I Adjustments'!B36:D36</f>
        <v/>
      </c>
      <c r="C37" s="565"/>
      <c r="D37" s="565"/>
      <c r="F37" s="114">
        <f>'Schedule 2I Adjustments'!H36</f>
        <v>0</v>
      </c>
      <c r="G37" s="68">
        <f>'Schedule 2I Adjustments'!J36</f>
        <v>0</v>
      </c>
      <c r="H37" s="68">
        <f t="shared" si="0"/>
        <v>0</v>
      </c>
      <c r="J37" s="114">
        <f>'Schedule 2I Adjustments'!P36</f>
        <v>0</v>
      </c>
      <c r="K37" s="68">
        <f>'Schedule 2I Adjustments'!R36</f>
        <v>0</v>
      </c>
      <c r="L37" s="68">
        <f t="shared" si="1"/>
        <v>0</v>
      </c>
      <c r="N37" s="117">
        <f>'Schedule 2I Adjustments'!X36</f>
        <v>0</v>
      </c>
      <c r="O37" s="117">
        <f>'Schedule 2I Adjustments'!AA36</f>
        <v>0</v>
      </c>
    </row>
    <row r="38" spans="1:15" x14ac:dyDescent="0.35">
      <c r="A38" s="24">
        <v>23</v>
      </c>
      <c r="B38" s="565" t="str">
        <f>'Schedule 2I Adjustments'!B37:D37</f>
        <v/>
      </c>
      <c r="C38" s="565"/>
      <c r="D38" s="565"/>
      <c r="F38" s="114">
        <f>'Schedule 2I Adjustments'!H37</f>
        <v>0</v>
      </c>
      <c r="G38" s="68">
        <f>'Schedule 2I Adjustments'!J37</f>
        <v>0</v>
      </c>
      <c r="H38" s="68">
        <f t="shared" si="0"/>
        <v>0</v>
      </c>
      <c r="J38" s="114">
        <f>'Schedule 2I Adjustments'!P37</f>
        <v>0</v>
      </c>
      <c r="K38" s="68">
        <f>'Schedule 2I Adjustments'!R37</f>
        <v>0</v>
      </c>
      <c r="L38" s="68">
        <f t="shared" si="1"/>
        <v>0</v>
      </c>
      <c r="N38" s="117">
        <f>'Schedule 2I Adjustments'!X37</f>
        <v>0</v>
      </c>
      <c r="O38" s="117">
        <f>'Schedule 2I Adjustments'!AA37</f>
        <v>0</v>
      </c>
    </row>
    <row r="39" spans="1:15" x14ac:dyDescent="0.35">
      <c r="A39" s="24">
        <v>24</v>
      </c>
      <c r="B39" s="565" t="str">
        <f>'Schedule 2I Adjustments'!B38:D38</f>
        <v/>
      </c>
      <c r="C39" s="565"/>
      <c r="D39" s="565"/>
      <c r="F39" s="114">
        <f>'Schedule 2I Adjustments'!H38</f>
        <v>0</v>
      </c>
      <c r="G39" s="68">
        <f>'Schedule 2I Adjustments'!J38</f>
        <v>0</v>
      </c>
      <c r="H39" s="68">
        <f t="shared" si="0"/>
        <v>0</v>
      </c>
      <c r="J39" s="114">
        <f>'Schedule 2I Adjustments'!P38</f>
        <v>0</v>
      </c>
      <c r="K39" s="68">
        <f>'Schedule 2I Adjustments'!R38</f>
        <v>0</v>
      </c>
      <c r="L39" s="68">
        <f t="shared" si="1"/>
        <v>0</v>
      </c>
      <c r="N39" s="117">
        <f>'Schedule 2I Adjustments'!X38</f>
        <v>0</v>
      </c>
      <c r="O39" s="117">
        <f>'Schedule 2I Adjustments'!AA38</f>
        <v>0</v>
      </c>
    </row>
    <row r="40" spans="1:15" x14ac:dyDescent="0.35">
      <c r="A40" s="24">
        <v>25</v>
      </c>
      <c r="B40" s="565" t="str">
        <f>'Schedule 2I Adjustments'!B39:D39</f>
        <v/>
      </c>
      <c r="C40" s="565"/>
      <c r="D40" s="565"/>
      <c r="F40" s="114">
        <f>'Schedule 2I Adjustments'!H39</f>
        <v>0</v>
      </c>
      <c r="G40" s="68">
        <f>'Schedule 2I Adjustments'!J39</f>
        <v>0</v>
      </c>
      <c r="H40" s="68">
        <f t="shared" si="0"/>
        <v>0</v>
      </c>
      <c r="J40" s="114">
        <f>'Schedule 2I Adjustments'!P39</f>
        <v>0</v>
      </c>
      <c r="K40" s="68">
        <f>'Schedule 2I Adjustments'!R39</f>
        <v>0</v>
      </c>
      <c r="L40" s="68">
        <f t="shared" si="1"/>
        <v>0</v>
      </c>
      <c r="N40" s="117">
        <f>'Schedule 2I Adjustments'!X39</f>
        <v>0</v>
      </c>
      <c r="O40" s="117">
        <f>'Schedule 2I Adjustments'!AA39</f>
        <v>0</v>
      </c>
    </row>
    <row r="41" spans="1:15" x14ac:dyDescent="0.35">
      <c r="A41" s="24">
        <v>26</v>
      </c>
      <c r="B41" s="565" t="str">
        <f>'Schedule 2I Adjustments'!B40:D40</f>
        <v/>
      </c>
      <c r="C41" s="565"/>
      <c r="D41" s="565"/>
      <c r="F41" s="114">
        <f>'Schedule 2I Adjustments'!H40</f>
        <v>0</v>
      </c>
      <c r="G41" s="68">
        <f>'Schedule 2I Adjustments'!J40</f>
        <v>0</v>
      </c>
      <c r="H41" s="68">
        <f t="shared" si="0"/>
        <v>0</v>
      </c>
      <c r="J41" s="114">
        <f>'Schedule 2I Adjustments'!P40</f>
        <v>0</v>
      </c>
      <c r="K41" s="68">
        <f>'Schedule 2I Adjustments'!R40</f>
        <v>0</v>
      </c>
      <c r="L41" s="68">
        <f t="shared" si="1"/>
        <v>0</v>
      </c>
      <c r="N41" s="117">
        <f>'Schedule 2I Adjustments'!X40</f>
        <v>0</v>
      </c>
      <c r="O41" s="117">
        <f>'Schedule 2I Adjustments'!AA40</f>
        <v>0</v>
      </c>
    </row>
    <row r="42" spans="1:15" x14ac:dyDescent="0.35">
      <c r="A42" s="24">
        <v>27</v>
      </c>
      <c r="B42" s="565" t="str">
        <f>'Schedule 2I Adjustments'!B41:D41</f>
        <v/>
      </c>
      <c r="C42" s="565"/>
      <c r="D42" s="565"/>
      <c r="F42" s="114">
        <f>'Schedule 2I Adjustments'!H41</f>
        <v>0</v>
      </c>
      <c r="G42" s="68">
        <f>'Schedule 2I Adjustments'!J41</f>
        <v>0</v>
      </c>
      <c r="H42" s="68">
        <f t="shared" si="0"/>
        <v>0</v>
      </c>
      <c r="J42" s="114">
        <f>'Schedule 2I Adjustments'!P41</f>
        <v>0</v>
      </c>
      <c r="K42" s="68">
        <f>'Schedule 2I Adjustments'!R41</f>
        <v>0</v>
      </c>
      <c r="L42" s="68">
        <f t="shared" si="1"/>
        <v>0</v>
      </c>
      <c r="N42" s="117">
        <f>'Schedule 2I Adjustments'!X41</f>
        <v>0</v>
      </c>
      <c r="O42" s="117">
        <f>'Schedule 2I Adjustments'!AA41</f>
        <v>0</v>
      </c>
    </row>
    <row r="43" spans="1:15" x14ac:dyDescent="0.35">
      <c r="A43" s="24">
        <v>28</v>
      </c>
      <c r="B43" s="565" t="str">
        <f>'Schedule 2I Adjustments'!B42:D42</f>
        <v/>
      </c>
      <c r="C43" s="565"/>
      <c r="D43" s="565"/>
      <c r="F43" s="114">
        <f>'Schedule 2I Adjustments'!H42</f>
        <v>0</v>
      </c>
      <c r="G43" s="68">
        <f>'Schedule 2I Adjustments'!J42</f>
        <v>0</v>
      </c>
      <c r="H43" s="68">
        <f t="shared" si="0"/>
        <v>0</v>
      </c>
      <c r="J43" s="114">
        <f>'Schedule 2I Adjustments'!P42</f>
        <v>0</v>
      </c>
      <c r="K43" s="68">
        <f>'Schedule 2I Adjustments'!R42</f>
        <v>0</v>
      </c>
      <c r="L43" s="68">
        <f t="shared" si="1"/>
        <v>0</v>
      </c>
      <c r="N43" s="117">
        <f>'Schedule 2I Adjustments'!X42</f>
        <v>0</v>
      </c>
      <c r="O43" s="117">
        <f>'Schedule 2I Adjustments'!AA42</f>
        <v>0</v>
      </c>
    </row>
    <row r="44" spans="1:15" x14ac:dyDescent="0.35">
      <c r="A44" s="24">
        <v>29</v>
      </c>
      <c r="B44" s="565" t="str">
        <f>'Schedule 2I Adjustments'!B43:D43</f>
        <v/>
      </c>
      <c r="C44" s="565"/>
      <c r="D44" s="565"/>
      <c r="F44" s="114">
        <f>'Schedule 2I Adjustments'!H43</f>
        <v>0</v>
      </c>
      <c r="G44" s="68">
        <f>'Schedule 2I Adjustments'!J43</f>
        <v>0</v>
      </c>
      <c r="H44" s="68">
        <f t="shared" si="0"/>
        <v>0</v>
      </c>
      <c r="J44" s="114">
        <f>'Schedule 2I Adjustments'!P43</f>
        <v>0</v>
      </c>
      <c r="K44" s="68">
        <f>'Schedule 2I Adjustments'!R43</f>
        <v>0</v>
      </c>
      <c r="L44" s="68">
        <f t="shared" si="1"/>
        <v>0</v>
      </c>
      <c r="N44" s="117">
        <f>'Schedule 2I Adjustments'!X43</f>
        <v>0</v>
      </c>
      <c r="O44" s="117">
        <f>'Schedule 2I Adjustments'!AA43</f>
        <v>0</v>
      </c>
    </row>
    <row r="45" spans="1:15" x14ac:dyDescent="0.35">
      <c r="A45" s="24">
        <v>30</v>
      </c>
      <c r="B45" s="565" t="str">
        <f>'Schedule 2I Adjustments'!B44:D44</f>
        <v/>
      </c>
      <c r="C45" s="565"/>
      <c r="D45" s="565"/>
      <c r="F45" s="114">
        <f>'Schedule 2I Adjustments'!H44</f>
        <v>0</v>
      </c>
      <c r="G45" s="68">
        <f>'Schedule 2I Adjustments'!J44</f>
        <v>0</v>
      </c>
      <c r="H45" s="68">
        <f t="shared" si="0"/>
        <v>0</v>
      </c>
      <c r="J45" s="114">
        <f>'Schedule 2I Adjustments'!P44</f>
        <v>0</v>
      </c>
      <c r="K45" s="68">
        <f>'Schedule 2I Adjustments'!R44</f>
        <v>0</v>
      </c>
      <c r="L45" s="68">
        <f t="shared" si="1"/>
        <v>0</v>
      </c>
      <c r="N45" s="117">
        <f>'Schedule 2I Adjustments'!X44</f>
        <v>0</v>
      </c>
      <c r="O45" s="117">
        <f>'Schedule 2I Adjustments'!AA44</f>
        <v>0</v>
      </c>
    </row>
    <row r="46" spans="1:15" x14ac:dyDescent="0.35">
      <c r="A46" s="24">
        <v>31</v>
      </c>
      <c r="B46" s="565" t="str">
        <f>'Schedule 2I Adjustments'!B45:D45</f>
        <v/>
      </c>
      <c r="C46" s="565"/>
      <c r="D46" s="565"/>
      <c r="F46" s="114">
        <f>'Schedule 2I Adjustments'!H45</f>
        <v>0</v>
      </c>
      <c r="G46" s="68">
        <f>'Schedule 2I Adjustments'!J45</f>
        <v>0</v>
      </c>
      <c r="H46" s="68">
        <f t="shared" si="0"/>
        <v>0</v>
      </c>
      <c r="J46" s="114">
        <f>'Schedule 2I Adjustments'!P45</f>
        <v>0</v>
      </c>
      <c r="K46" s="68">
        <f>'Schedule 2I Adjustments'!R45</f>
        <v>0</v>
      </c>
      <c r="L46" s="68">
        <f t="shared" si="1"/>
        <v>0</v>
      </c>
      <c r="N46" s="117">
        <f>'Schedule 2I Adjustments'!X45</f>
        <v>0</v>
      </c>
      <c r="O46" s="117">
        <f>'Schedule 2I Adjustments'!AA45</f>
        <v>0</v>
      </c>
    </row>
    <row r="47" spans="1:15" x14ac:dyDescent="0.35">
      <c r="A47" s="24">
        <v>32</v>
      </c>
      <c r="B47" s="565" t="str">
        <f>'Schedule 2I Adjustments'!B46:D46</f>
        <v/>
      </c>
      <c r="C47" s="565"/>
      <c r="D47" s="565"/>
      <c r="F47" s="114">
        <f>'Schedule 2I Adjustments'!H46</f>
        <v>0</v>
      </c>
      <c r="G47" s="68">
        <f>'Schedule 2I Adjustments'!J46</f>
        <v>0</v>
      </c>
      <c r="H47" s="68">
        <f t="shared" si="0"/>
        <v>0</v>
      </c>
      <c r="J47" s="114">
        <f>'Schedule 2I Adjustments'!P46</f>
        <v>0</v>
      </c>
      <c r="K47" s="68">
        <f>'Schedule 2I Adjustments'!R46</f>
        <v>0</v>
      </c>
      <c r="L47" s="68">
        <f t="shared" si="1"/>
        <v>0</v>
      </c>
      <c r="N47" s="117">
        <f>'Schedule 2I Adjustments'!X46</f>
        <v>0</v>
      </c>
      <c r="O47" s="117">
        <f>'Schedule 2I Adjustments'!AA46</f>
        <v>0</v>
      </c>
    </row>
    <row r="48" spans="1:15" x14ac:dyDescent="0.35">
      <c r="A48" s="24">
        <v>33</v>
      </c>
      <c r="B48" s="565" t="str">
        <f>'Schedule 2I Adjustments'!B47:D47</f>
        <v/>
      </c>
      <c r="C48" s="565"/>
      <c r="D48" s="565"/>
      <c r="F48" s="114">
        <f>'Schedule 2I Adjustments'!H47</f>
        <v>0</v>
      </c>
      <c r="G48" s="68">
        <f>'Schedule 2I Adjustments'!J47</f>
        <v>0</v>
      </c>
      <c r="H48" s="68">
        <f t="shared" si="0"/>
        <v>0</v>
      </c>
      <c r="J48" s="114">
        <f>'Schedule 2I Adjustments'!P47</f>
        <v>0</v>
      </c>
      <c r="K48" s="68">
        <f>'Schedule 2I Adjustments'!R47</f>
        <v>0</v>
      </c>
      <c r="L48" s="68">
        <f t="shared" si="1"/>
        <v>0</v>
      </c>
      <c r="N48" s="117">
        <f>'Schedule 2I Adjustments'!X47</f>
        <v>0</v>
      </c>
      <c r="O48" s="117">
        <f>'Schedule 2I Adjustments'!AA47</f>
        <v>0</v>
      </c>
    </row>
    <row r="49" spans="1:15" x14ac:dyDescent="0.35">
      <c r="A49" s="24">
        <v>34</v>
      </c>
      <c r="B49" s="565" t="str">
        <f>'Schedule 2I Adjustments'!B48:D48</f>
        <v/>
      </c>
      <c r="C49" s="565"/>
      <c r="D49" s="565"/>
      <c r="F49" s="114">
        <f>'Schedule 2I Adjustments'!H48</f>
        <v>0</v>
      </c>
      <c r="G49" s="68">
        <f>'Schedule 2I Adjustments'!J48</f>
        <v>0</v>
      </c>
      <c r="H49" s="68">
        <f t="shared" si="0"/>
        <v>0</v>
      </c>
      <c r="J49" s="114">
        <f>'Schedule 2I Adjustments'!P48</f>
        <v>0</v>
      </c>
      <c r="K49" s="68">
        <f>'Schedule 2I Adjustments'!R48</f>
        <v>0</v>
      </c>
      <c r="L49" s="68">
        <f t="shared" si="1"/>
        <v>0</v>
      </c>
      <c r="N49" s="117">
        <f>'Schedule 2I Adjustments'!X48</f>
        <v>0</v>
      </c>
      <c r="O49" s="117">
        <f>'Schedule 2I Adjustments'!AA48</f>
        <v>0</v>
      </c>
    </row>
    <row r="50" spans="1:15" x14ac:dyDescent="0.35">
      <c r="A50" s="24">
        <v>35</v>
      </c>
      <c r="B50" s="565" t="str">
        <f>'Schedule 2I Adjustments'!B49:D49</f>
        <v/>
      </c>
      <c r="C50" s="565"/>
      <c r="D50" s="565"/>
      <c r="F50" s="114">
        <f>'Schedule 2I Adjustments'!H49</f>
        <v>0</v>
      </c>
      <c r="G50" s="68">
        <f>'Schedule 2I Adjustments'!J49</f>
        <v>0</v>
      </c>
      <c r="H50" s="68">
        <f t="shared" si="0"/>
        <v>0</v>
      </c>
      <c r="J50" s="114">
        <f>'Schedule 2I Adjustments'!P49</f>
        <v>0</v>
      </c>
      <c r="K50" s="68">
        <f>'Schedule 2I Adjustments'!R49</f>
        <v>0</v>
      </c>
      <c r="L50" s="68">
        <f t="shared" si="1"/>
        <v>0</v>
      </c>
      <c r="N50" s="117">
        <f>'Schedule 2I Adjustments'!X49</f>
        <v>0</v>
      </c>
      <c r="O50" s="117">
        <f>'Schedule 2I Adjustments'!AA49</f>
        <v>0</v>
      </c>
    </row>
    <row r="51" spans="1:15" x14ac:dyDescent="0.35">
      <c r="A51" s="24">
        <v>36</v>
      </c>
      <c r="B51" s="565" t="str">
        <f>'Schedule 2I Adjustments'!B50:D50</f>
        <v/>
      </c>
      <c r="C51" s="565"/>
      <c r="D51" s="565"/>
      <c r="F51" s="114">
        <f>'Schedule 2I Adjustments'!H50</f>
        <v>0</v>
      </c>
      <c r="G51" s="68">
        <f>'Schedule 2I Adjustments'!J50</f>
        <v>0</v>
      </c>
      <c r="H51" s="68">
        <f t="shared" si="0"/>
        <v>0</v>
      </c>
      <c r="J51" s="114">
        <f>'Schedule 2I Adjustments'!P50</f>
        <v>0</v>
      </c>
      <c r="K51" s="68">
        <f>'Schedule 2I Adjustments'!R50</f>
        <v>0</v>
      </c>
      <c r="L51" s="68">
        <f t="shared" si="1"/>
        <v>0</v>
      </c>
      <c r="N51" s="117">
        <f>'Schedule 2I Adjustments'!X50</f>
        <v>0</v>
      </c>
      <c r="O51" s="117">
        <f>'Schedule 2I Adjustments'!AA50</f>
        <v>0</v>
      </c>
    </row>
    <row r="52" spans="1:15" x14ac:dyDescent="0.35">
      <c r="A52" s="24">
        <v>37</v>
      </c>
      <c r="B52" s="565" t="str">
        <f>'Schedule 2I Adjustments'!B51:D51</f>
        <v/>
      </c>
      <c r="C52" s="565"/>
      <c r="D52" s="565"/>
      <c r="F52" s="114">
        <f>'Schedule 2I Adjustments'!H51</f>
        <v>0</v>
      </c>
      <c r="G52" s="68">
        <f>'Schedule 2I Adjustments'!J51</f>
        <v>0</v>
      </c>
      <c r="H52" s="68">
        <f t="shared" si="0"/>
        <v>0</v>
      </c>
      <c r="J52" s="114">
        <f>'Schedule 2I Adjustments'!P51</f>
        <v>0</v>
      </c>
      <c r="K52" s="68">
        <f>'Schedule 2I Adjustments'!R51</f>
        <v>0</v>
      </c>
      <c r="L52" s="68">
        <f t="shared" si="1"/>
        <v>0</v>
      </c>
      <c r="N52" s="117">
        <f>'Schedule 2I Adjustments'!X51</f>
        <v>0</v>
      </c>
      <c r="O52" s="117">
        <f>'Schedule 2I Adjustments'!AA51</f>
        <v>0</v>
      </c>
    </row>
    <row r="53" spans="1:15" x14ac:dyDescent="0.35">
      <c r="A53" s="24">
        <v>38</v>
      </c>
      <c r="B53" s="565" t="str">
        <f>'Schedule 2I Adjustments'!B52:D52</f>
        <v/>
      </c>
      <c r="C53" s="565"/>
      <c r="D53" s="565"/>
      <c r="F53" s="114">
        <f>'Schedule 2I Adjustments'!H52</f>
        <v>0</v>
      </c>
      <c r="G53" s="68">
        <f>'Schedule 2I Adjustments'!J52</f>
        <v>0</v>
      </c>
      <c r="H53" s="68">
        <f t="shared" si="0"/>
        <v>0</v>
      </c>
      <c r="J53" s="114">
        <f>'Schedule 2I Adjustments'!P52</f>
        <v>0</v>
      </c>
      <c r="K53" s="68">
        <f>'Schedule 2I Adjustments'!R52</f>
        <v>0</v>
      </c>
      <c r="L53" s="68">
        <f t="shared" si="1"/>
        <v>0</v>
      </c>
      <c r="N53" s="117">
        <f>'Schedule 2I Adjustments'!X52</f>
        <v>0</v>
      </c>
      <c r="O53" s="117">
        <f>'Schedule 2I Adjustments'!AA52</f>
        <v>0</v>
      </c>
    </row>
    <row r="54" spans="1:15" x14ac:dyDescent="0.35">
      <c r="A54" s="24">
        <v>39</v>
      </c>
      <c r="B54" s="565" t="str">
        <f>'Schedule 2I Adjustments'!B53:D53</f>
        <v/>
      </c>
      <c r="C54" s="565"/>
      <c r="D54" s="565"/>
      <c r="F54" s="114">
        <f>'Schedule 2I Adjustments'!H53</f>
        <v>0</v>
      </c>
      <c r="G54" s="68">
        <f>'Schedule 2I Adjustments'!J53</f>
        <v>0</v>
      </c>
      <c r="H54" s="68">
        <f t="shared" si="0"/>
        <v>0</v>
      </c>
      <c r="J54" s="114">
        <f>'Schedule 2I Adjustments'!P53</f>
        <v>0</v>
      </c>
      <c r="K54" s="68">
        <f>'Schedule 2I Adjustments'!R53</f>
        <v>0</v>
      </c>
      <c r="L54" s="68">
        <f t="shared" si="1"/>
        <v>0</v>
      </c>
      <c r="N54" s="117">
        <f>'Schedule 2I Adjustments'!X53</f>
        <v>0</v>
      </c>
      <c r="O54" s="117">
        <f>'Schedule 2I Adjustments'!AA53</f>
        <v>0</v>
      </c>
    </row>
    <row r="55" spans="1:15" x14ac:dyDescent="0.35">
      <c r="A55" s="24">
        <v>40</v>
      </c>
      <c r="B55" s="565" t="str">
        <f>'Schedule 2I Adjustments'!B54:D54</f>
        <v/>
      </c>
      <c r="C55" s="565"/>
      <c r="D55" s="565"/>
      <c r="F55" s="114">
        <f>'Schedule 2I Adjustments'!H54</f>
        <v>0</v>
      </c>
      <c r="G55" s="68">
        <f>'Schedule 2I Adjustments'!J54</f>
        <v>0</v>
      </c>
      <c r="H55" s="68">
        <f t="shared" si="0"/>
        <v>0</v>
      </c>
      <c r="J55" s="114">
        <f>'Schedule 2I Adjustments'!P54</f>
        <v>0</v>
      </c>
      <c r="K55" s="68">
        <f>'Schedule 2I Adjustments'!R54</f>
        <v>0</v>
      </c>
      <c r="L55" s="68">
        <f t="shared" si="1"/>
        <v>0</v>
      </c>
      <c r="N55" s="117">
        <f>'Schedule 2I Adjustments'!X54</f>
        <v>0</v>
      </c>
      <c r="O55" s="117">
        <f>'Schedule 2I Adjustments'!AA54</f>
        <v>0</v>
      </c>
    </row>
    <row r="56" spans="1:15" x14ac:dyDescent="0.35">
      <c r="A56" s="24">
        <v>41</v>
      </c>
      <c r="B56" s="565" t="str">
        <f>'Schedule 2I Adjustments'!B55:D55</f>
        <v/>
      </c>
      <c r="C56" s="565"/>
      <c r="D56" s="565"/>
      <c r="F56" s="114">
        <f>'Schedule 2I Adjustments'!H55</f>
        <v>0</v>
      </c>
      <c r="G56" s="68">
        <f>'Schedule 2I Adjustments'!J55</f>
        <v>0</v>
      </c>
      <c r="H56" s="68">
        <f t="shared" si="0"/>
        <v>0</v>
      </c>
      <c r="J56" s="114">
        <f>'Schedule 2I Adjustments'!P55</f>
        <v>0</v>
      </c>
      <c r="K56" s="68">
        <f>'Schedule 2I Adjustments'!R55</f>
        <v>0</v>
      </c>
      <c r="L56" s="68">
        <f t="shared" si="1"/>
        <v>0</v>
      </c>
      <c r="N56" s="117">
        <f>'Schedule 2I Adjustments'!X55</f>
        <v>0</v>
      </c>
      <c r="O56" s="117">
        <f>'Schedule 2I Adjustments'!AA55</f>
        <v>0</v>
      </c>
    </row>
    <row r="57" spans="1:15" x14ac:dyDescent="0.35">
      <c r="A57" s="24">
        <v>42</v>
      </c>
      <c r="B57" s="565" t="str">
        <f>'Schedule 2I Adjustments'!B56:D56</f>
        <v/>
      </c>
      <c r="C57" s="565"/>
      <c r="D57" s="565"/>
      <c r="F57" s="114">
        <f>'Schedule 2I Adjustments'!H56</f>
        <v>0</v>
      </c>
      <c r="G57" s="68">
        <f>'Schedule 2I Adjustments'!J56</f>
        <v>0</v>
      </c>
      <c r="H57" s="68">
        <f t="shared" si="0"/>
        <v>0</v>
      </c>
      <c r="J57" s="114">
        <f>'Schedule 2I Adjustments'!P56</f>
        <v>0</v>
      </c>
      <c r="K57" s="68">
        <f>'Schedule 2I Adjustments'!R56</f>
        <v>0</v>
      </c>
      <c r="L57" s="68">
        <f t="shared" si="1"/>
        <v>0</v>
      </c>
      <c r="N57" s="117">
        <f>'Schedule 2I Adjustments'!X56</f>
        <v>0</v>
      </c>
      <c r="O57" s="117">
        <f>'Schedule 2I Adjustments'!AA56</f>
        <v>0</v>
      </c>
    </row>
    <row r="58" spans="1:15" x14ac:dyDescent="0.35">
      <c r="A58" s="24">
        <v>43</v>
      </c>
      <c r="B58" s="565" t="str">
        <f>'Schedule 2I Adjustments'!B57:D57</f>
        <v/>
      </c>
      <c r="C58" s="565"/>
      <c r="D58" s="565"/>
      <c r="F58" s="114">
        <f>'Schedule 2I Adjustments'!H57</f>
        <v>0</v>
      </c>
      <c r="G58" s="68">
        <f>'Schedule 2I Adjustments'!J57</f>
        <v>0</v>
      </c>
      <c r="H58" s="68">
        <f t="shared" si="0"/>
        <v>0</v>
      </c>
      <c r="J58" s="114">
        <f>'Schedule 2I Adjustments'!P57</f>
        <v>0</v>
      </c>
      <c r="K58" s="68">
        <f>'Schedule 2I Adjustments'!R57</f>
        <v>0</v>
      </c>
      <c r="L58" s="68">
        <f t="shared" si="1"/>
        <v>0</v>
      </c>
      <c r="N58" s="117">
        <f>'Schedule 2I Adjustments'!X57</f>
        <v>0</v>
      </c>
      <c r="O58" s="117">
        <f>'Schedule 2I Adjustments'!AA57</f>
        <v>0</v>
      </c>
    </row>
    <row r="59" spans="1:15" x14ac:dyDescent="0.35">
      <c r="A59" s="24">
        <v>44</v>
      </c>
      <c r="B59" s="565" t="str">
        <f>'Schedule 2I Adjustments'!B58:D58</f>
        <v/>
      </c>
      <c r="C59" s="565"/>
      <c r="D59" s="565"/>
      <c r="F59" s="114">
        <f>'Schedule 2I Adjustments'!H58</f>
        <v>0</v>
      </c>
      <c r="G59" s="68">
        <f>'Schedule 2I Adjustments'!J58</f>
        <v>0</v>
      </c>
      <c r="H59" s="68">
        <f t="shared" si="0"/>
        <v>0</v>
      </c>
      <c r="J59" s="114">
        <f>'Schedule 2I Adjustments'!P58</f>
        <v>0</v>
      </c>
      <c r="K59" s="68">
        <f>'Schedule 2I Adjustments'!R58</f>
        <v>0</v>
      </c>
      <c r="L59" s="68">
        <f t="shared" si="1"/>
        <v>0</v>
      </c>
      <c r="N59" s="117">
        <f>'Schedule 2I Adjustments'!X58</f>
        <v>0</v>
      </c>
      <c r="O59" s="117">
        <f>'Schedule 2I Adjustments'!AA58</f>
        <v>0</v>
      </c>
    </row>
    <row r="60" spans="1:15" x14ac:dyDescent="0.35">
      <c r="A60" s="24">
        <v>45</v>
      </c>
      <c r="B60" s="565" t="str">
        <f>'Schedule 2I Adjustments'!B59:D59</f>
        <v/>
      </c>
      <c r="C60" s="565"/>
      <c r="D60" s="565"/>
      <c r="F60" s="114">
        <f>'Schedule 2I Adjustments'!H59</f>
        <v>0</v>
      </c>
      <c r="G60" s="68">
        <f>'Schedule 2I Adjustments'!J59</f>
        <v>0</v>
      </c>
      <c r="H60" s="68">
        <f t="shared" si="0"/>
        <v>0</v>
      </c>
      <c r="J60" s="114">
        <f>'Schedule 2I Adjustments'!P59</f>
        <v>0</v>
      </c>
      <c r="K60" s="68">
        <f>'Schedule 2I Adjustments'!R59</f>
        <v>0</v>
      </c>
      <c r="L60" s="68">
        <f t="shared" si="1"/>
        <v>0</v>
      </c>
      <c r="N60" s="117">
        <f>'Schedule 2I Adjustments'!X59</f>
        <v>0</v>
      </c>
      <c r="O60" s="117">
        <f>'Schedule 2I Adjustments'!AA59</f>
        <v>0</v>
      </c>
    </row>
    <row r="61" spans="1:15" x14ac:dyDescent="0.35">
      <c r="A61" s="24">
        <v>46</v>
      </c>
      <c r="B61" s="565" t="str">
        <f>'Schedule 2I Adjustments'!B60:D60</f>
        <v/>
      </c>
      <c r="C61" s="565"/>
      <c r="D61" s="565"/>
      <c r="F61" s="114">
        <f>'Schedule 2I Adjustments'!H60</f>
        <v>0</v>
      </c>
      <c r="G61" s="68">
        <f>'Schedule 2I Adjustments'!J60</f>
        <v>0</v>
      </c>
      <c r="H61" s="68">
        <f t="shared" si="0"/>
        <v>0</v>
      </c>
      <c r="J61" s="114">
        <f>'Schedule 2I Adjustments'!P60</f>
        <v>0</v>
      </c>
      <c r="K61" s="68">
        <f>'Schedule 2I Adjustments'!R60</f>
        <v>0</v>
      </c>
      <c r="L61" s="68">
        <f t="shared" si="1"/>
        <v>0</v>
      </c>
      <c r="N61" s="117">
        <f>'Schedule 2I Adjustments'!X60</f>
        <v>0</v>
      </c>
      <c r="O61" s="117">
        <f>'Schedule 2I Adjustments'!AA60</f>
        <v>0</v>
      </c>
    </row>
    <row r="62" spans="1:15" x14ac:dyDescent="0.35">
      <c r="A62" s="24">
        <v>47</v>
      </c>
      <c r="B62" s="565" t="str">
        <f>'Schedule 2I Adjustments'!B61:D61</f>
        <v/>
      </c>
      <c r="C62" s="565"/>
      <c r="D62" s="565"/>
      <c r="F62" s="114">
        <f>'Schedule 2I Adjustments'!H61</f>
        <v>0</v>
      </c>
      <c r="G62" s="68">
        <f>'Schedule 2I Adjustments'!J61</f>
        <v>0</v>
      </c>
      <c r="H62" s="68">
        <f t="shared" si="0"/>
        <v>0</v>
      </c>
      <c r="J62" s="114">
        <f>'Schedule 2I Adjustments'!P61</f>
        <v>0</v>
      </c>
      <c r="K62" s="68">
        <f>'Schedule 2I Adjustments'!R61</f>
        <v>0</v>
      </c>
      <c r="L62" s="68">
        <f t="shared" si="1"/>
        <v>0</v>
      </c>
      <c r="N62" s="117">
        <f>'Schedule 2I Adjustments'!X61</f>
        <v>0</v>
      </c>
      <c r="O62" s="117">
        <f>'Schedule 2I Adjustments'!AA61</f>
        <v>0</v>
      </c>
    </row>
    <row r="63" spans="1:15" x14ac:dyDescent="0.35">
      <c r="A63" s="24">
        <v>48</v>
      </c>
      <c r="B63" s="565" t="str">
        <f>'Schedule 2I Adjustments'!B62:D62</f>
        <v/>
      </c>
      <c r="C63" s="565"/>
      <c r="D63" s="565"/>
      <c r="F63" s="114">
        <f>'Schedule 2I Adjustments'!H62</f>
        <v>0</v>
      </c>
      <c r="G63" s="68">
        <f>'Schedule 2I Adjustments'!J62</f>
        <v>0</v>
      </c>
      <c r="H63" s="68">
        <f t="shared" si="0"/>
        <v>0</v>
      </c>
      <c r="J63" s="114">
        <f>'Schedule 2I Adjustments'!P62</f>
        <v>0</v>
      </c>
      <c r="K63" s="68">
        <f>'Schedule 2I Adjustments'!R62</f>
        <v>0</v>
      </c>
      <c r="L63" s="68">
        <f t="shared" si="1"/>
        <v>0</v>
      </c>
      <c r="N63" s="117">
        <f>'Schedule 2I Adjustments'!X62</f>
        <v>0</v>
      </c>
      <c r="O63" s="117">
        <f>'Schedule 2I Adjustments'!AA62</f>
        <v>0</v>
      </c>
    </row>
    <row r="64" spans="1:15" x14ac:dyDescent="0.35">
      <c r="A64" s="24">
        <v>49</v>
      </c>
      <c r="B64" s="565" t="str">
        <f>'Schedule 2I Adjustments'!B63:D63</f>
        <v/>
      </c>
      <c r="C64" s="565"/>
      <c r="D64" s="565"/>
      <c r="F64" s="114">
        <f>'Schedule 2I Adjustments'!H63</f>
        <v>0</v>
      </c>
      <c r="G64" s="68">
        <f>'Schedule 2I Adjustments'!J63</f>
        <v>0</v>
      </c>
      <c r="H64" s="68">
        <f t="shared" si="0"/>
        <v>0</v>
      </c>
      <c r="J64" s="114">
        <f>'Schedule 2I Adjustments'!P63</f>
        <v>0</v>
      </c>
      <c r="K64" s="68">
        <f>'Schedule 2I Adjustments'!R63</f>
        <v>0</v>
      </c>
      <c r="L64" s="68">
        <f t="shared" si="1"/>
        <v>0</v>
      </c>
      <c r="N64" s="117">
        <f>'Schedule 2I Adjustments'!X63</f>
        <v>0</v>
      </c>
      <c r="O64" s="117">
        <f>'Schedule 2I Adjustments'!AA63</f>
        <v>0</v>
      </c>
    </row>
    <row r="65" spans="1:15" x14ac:dyDescent="0.35">
      <c r="A65" s="24">
        <v>50</v>
      </c>
      <c r="B65" s="565" t="str">
        <f>'Schedule 2I Adjustments'!B64:D64</f>
        <v/>
      </c>
      <c r="C65" s="565"/>
      <c r="D65" s="565"/>
      <c r="F65" s="114">
        <f>'Schedule 2I Adjustments'!H64</f>
        <v>0</v>
      </c>
      <c r="G65" s="68">
        <f>'Schedule 2I Adjustments'!J64</f>
        <v>0</v>
      </c>
      <c r="H65" s="68">
        <f t="shared" si="0"/>
        <v>0</v>
      </c>
      <c r="J65" s="114">
        <f>'Schedule 2I Adjustments'!P64</f>
        <v>0</v>
      </c>
      <c r="K65" s="68">
        <f>'Schedule 2I Adjustments'!R64</f>
        <v>0</v>
      </c>
      <c r="L65" s="68">
        <f t="shared" si="1"/>
        <v>0</v>
      </c>
      <c r="N65" s="117">
        <f>'Schedule 2I Adjustments'!X64</f>
        <v>0</v>
      </c>
      <c r="O65" s="117">
        <f>'Schedule 2I Adjustments'!AA64</f>
        <v>0</v>
      </c>
    </row>
    <row r="66" spans="1:15" x14ac:dyDescent="0.35">
      <c r="A66" s="24">
        <v>51</v>
      </c>
      <c r="B66" s="565" t="str">
        <f>'Schedule 2I Adjustments'!B65:D65</f>
        <v/>
      </c>
      <c r="C66" s="565"/>
      <c r="D66" s="565"/>
      <c r="F66" s="114">
        <f>'Schedule 2I Adjustments'!H65</f>
        <v>0</v>
      </c>
      <c r="G66" s="68">
        <f>'Schedule 2I Adjustments'!J65</f>
        <v>0</v>
      </c>
      <c r="H66" s="68">
        <f t="shared" si="0"/>
        <v>0</v>
      </c>
      <c r="J66" s="114">
        <f>'Schedule 2I Adjustments'!P65</f>
        <v>0</v>
      </c>
      <c r="K66" s="68">
        <f>'Schedule 2I Adjustments'!R65</f>
        <v>0</v>
      </c>
      <c r="L66" s="68">
        <f t="shared" si="1"/>
        <v>0</v>
      </c>
      <c r="N66" s="117">
        <f>'Schedule 2I Adjustments'!X65</f>
        <v>0</v>
      </c>
      <c r="O66" s="117">
        <f>'Schedule 2I Adjustments'!AA65</f>
        <v>0</v>
      </c>
    </row>
    <row r="67" spans="1:15" x14ac:dyDescent="0.35">
      <c r="A67" s="24">
        <v>52</v>
      </c>
      <c r="B67" s="565" t="str">
        <f>'Schedule 2I Adjustments'!B66:D66</f>
        <v/>
      </c>
      <c r="C67" s="565"/>
      <c r="D67" s="565"/>
      <c r="F67" s="114">
        <f>'Schedule 2I Adjustments'!H66</f>
        <v>0</v>
      </c>
      <c r="G67" s="68">
        <f>'Schedule 2I Adjustments'!J66</f>
        <v>0</v>
      </c>
      <c r="H67" s="68">
        <f t="shared" si="0"/>
        <v>0</v>
      </c>
      <c r="J67" s="114">
        <f>'Schedule 2I Adjustments'!P66</f>
        <v>0</v>
      </c>
      <c r="K67" s="68">
        <f>'Schedule 2I Adjustments'!R66</f>
        <v>0</v>
      </c>
      <c r="L67" s="68">
        <f t="shared" si="1"/>
        <v>0</v>
      </c>
      <c r="N67" s="117">
        <f>'Schedule 2I Adjustments'!X66</f>
        <v>0</v>
      </c>
      <c r="O67" s="117">
        <f>'Schedule 2I Adjustments'!AA66</f>
        <v>0</v>
      </c>
    </row>
    <row r="68" spans="1:15" x14ac:dyDescent="0.35">
      <c r="A68" s="24">
        <v>53</v>
      </c>
      <c r="B68" s="565" t="str">
        <f>'Schedule 2I Adjustments'!B67:D67</f>
        <v/>
      </c>
      <c r="C68" s="565"/>
      <c r="D68" s="565"/>
      <c r="F68" s="114">
        <f>'Schedule 2I Adjustments'!H67</f>
        <v>0</v>
      </c>
      <c r="G68" s="68">
        <f>'Schedule 2I Adjustments'!J67</f>
        <v>0</v>
      </c>
      <c r="H68" s="68">
        <f t="shared" si="0"/>
        <v>0</v>
      </c>
      <c r="J68" s="114">
        <f>'Schedule 2I Adjustments'!P67</f>
        <v>0</v>
      </c>
      <c r="K68" s="68">
        <f>'Schedule 2I Adjustments'!R67</f>
        <v>0</v>
      </c>
      <c r="L68" s="68">
        <f t="shared" si="1"/>
        <v>0</v>
      </c>
      <c r="N68" s="117">
        <f>'Schedule 2I Adjustments'!X67</f>
        <v>0</v>
      </c>
      <c r="O68" s="117">
        <f>'Schedule 2I Adjustments'!AA67</f>
        <v>0</v>
      </c>
    </row>
    <row r="69" spans="1:15" x14ac:dyDescent="0.35">
      <c r="A69" s="24">
        <v>54</v>
      </c>
      <c r="B69" s="565" t="str">
        <f>'Schedule 2I Adjustments'!B68:D68</f>
        <v/>
      </c>
      <c r="C69" s="565"/>
      <c r="D69" s="565"/>
      <c r="F69" s="114">
        <f>'Schedule 2I Adjustments'!H68</f>
        <v>0</v>
      </c>
      <c r="G69" s="68">
        <f>'Schedule 2I Adjustments'!J68</f>
        <v>0</v>
      </c>
      <c r="H69" s="68">
        <f t="shared" si="0"/>
        <v>0</v>
      </c>
      <c r="J69" s="114">
        <f>'Schedule 2I Adjustments'!P68</f>
        <v>0</v>
      </c>
      <c r="K69" s="68">
        <f>'Schedule 2I Adjustments'!R68</f>
        <v>0</v>
      </c>
      <c r="L69" s="68">
        <f t="shared" si="1"/>
        <v>0</v>
      </c>
      <c r="N69" s="117">
        <f>'Schedule 2I Adjustments'!X68</f>
        <v>0</v>
      </c>
      <c r="O69" s="117">
        <f>'Schedule 2I Adjustments'!AA68</f>
        <v>0</v>
      </c>
    </row>
    <row r="70" spans="1:15" x14ac:dyDescent="0.35">
      <c r="A70" s="24">
        <v>55</v>
      </c>
      <c r="B70" s="565" t="str">
        <f>'Schedule 2I Adjustments'!B69:D69</f>
        <v/>
      </c>
      <c r="C70" s="565"/>
      <c r="D70" s="565"/>
      <c r="F70" s="114">
        <f>'Schedule 2I Adjustments'!H69</f>
        <v>0</v>
      </c>
      <c r="G70" s="68">
        <f>'Schedule 2I Adjustments'!J69</f>
        <v>0</v>
      </c>
      <c r="H70" s="68">
        <f t="shared" si="0"/>
        <v>0</v>
      </c>
      <c r="J70" s="114">
        <f>'Schedule 2I Adjustments'!P69</f>
        <v>0</v>
      </c>
      <c r="K70" s="68">
        <f>'Schedule 2I Adjustments'!R69</f>
        <v>0</v>
      </c>
      <c r="L70" s="68">
        <f t="shared" si="1"/>
        <v>0</v>
      </c>
      <c r="N70" s="117">
        <f>'Schedule 2I Adjustments'!X69</f>
        <v>0</v>
      </c>
      <c r="O70" s="117">
        <f>'Schedule 2I Adjustments'!AA69</f>
        <v>0</v>
      </c>
    </row>
    <row r="71" spans="1:15" x14ac:dyDescent="0.35">
      <c r="A71" s="24">
        <v>56</v>
      </c>
      <c r="B71" s="565" t="str">
        <f>'Schedule 2I Adjustments'!B70:D70</f>
        <v/>
      </c>
      <c r="C71" s="565"/>
      <c r="D71" s="565"/>
      <c r="F71" s="114">
        <f>'Schedule 2I Adjustments'!H70</f>
        <v>0</v>
      </c>
      <c r="G71" s="68">
        <f>'Schedule 2I Adjustments'!J70</f>
        <v>0</v>
      </c>
      <c r="H71" s="68">
        <f t="shared" si="0"/>
        <v>0</v>
      </c>
      <c r="J71" s="114">
        <f>'Schedule 2I Adjustments'!P70</f>
        <v>0</v>
      </c>
      <c r="K71" s="68">
        <f>'Schedule 2I Adjustments'!R70</f>
        <v>0</v>
      </c>
      <c r="L71" s="68">
        <f t="shared" si="1"/>
        <v>0</v>
      </c>
      <c r="N71" s="117">
        <f>'Schedule 2I Adjustments'!X70</f>
        <v>0</v>
      </c>
      <c r="O71" s="117">
        <f>'Schedule 2I Adjustments'!AA70</f>
        <v>0</v>
      </c>
    </row>
    <row r="72" spans="1:15" x14ac:dyDescent="0.35">
      <c r="A72" s="24">
        <v>57</v>
      </c>
      <c r="B72" s="565" t="str">
        <f>'Schedule 2I Adjustments'!B71:D71</f>
        <v/>
      </c>
      <c r="C72" s="565"/>
      <c r="D72" s="565"/>
      <c r="F72" s="114">
        <f>'Schedule 2I Adjustments'!H71</f>
        <v>0</v>
      </c>
      <c r="G72" s="68">
        <f>'Schedule 2I Adjustments'!J71</f>
        <v>0</v>
      </c>
      <c r="H72" s="68">
        <f t="shared" si="0"/>
        <v>0</v>
      </c>
      <c r="J72" s="114">
        <f>'Schedule 2I Adjustments'!P71</f>
        <v>0</v>
      </c>
      <c r="K72" s="68">
        <f>'Schedule 2I Adjustments'!R71</f>
        <v>0</v>
      </c>
      <c r="L72" s="68">
        <f t="shared" si="1"/>
        <v>0</v>
      </c>
      <c r="N72" s="117">
        <f>'Schedule 2I Adjustments'!X71</f>
        <v>0</v>
      </c>
      <c r="O72" s="117">
        <f>'Schedule 2I Adjustments'!AA71</f>
        <v>0</v>
      </c>
    </row>
    <row r="73" spans="1:15" x14ac:dyDescent="0.35">
      <c r="A73" s="24">
        <v>58</v>
      </c>
      <c r="B73" s="565" t="str">
        <f>'Schedule 2I Adjustments'!B72:D72</f>
        <v/>
      </c>
      <c r="C73" s="565"/>
      <c r="D73" s="565"/>
      <c r="F73" s="114">
        <f>'Schedule 2I Adjustments'!H72</f>
        <v>0</v>
      </c>
      <c r="G73" s="68">
        <f>'Schedule 2I Adjustments'!J72</f>
        <v>0</v>
      </c>
      <c r="H73" s="68">
        <f t="shared" si="0"/>
        <v>0</v>
      </c>
      <c r="J73" s="114">
        <f>'Schedule 2I Adjustments'!P72</f>
        <v>0</v>
      </c>
      <c r="K73" s="68">
        <f>'Schedule 2I Adjustments'!R72</f>
        <v>0</v>
      </c>
      <c r="L73" s="68">
        <f t="shared" si="1"/>
        <v>0</v>
      </c>
      <c r="N73" s="117">
        <f>'Schedule 2I Adjustments'!X72</f>
        <v>0</v>
      </c>
      <c r="O73" s="117">
        <f>'Schedule 2I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17302493-42B1-4877-869E-E424A97AE78B}" state="hidden">
      <selection activeCell="F17" sqref="F17"/>
      <pageMargins left="0.7" right="0.7" top="0.75" bottom="0.75" header="0.3" footer="0.3"/>
    </customSheetView>
    <customSheetView guid="{5C0BA3A5-859C-46C2-B685-44D9A90065E4}">
      <selection activeCell="K10" sqref="K10"/>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 t="s">
        <v>856</v>
      </c>
      <c r="B3" s="5"/>
      <c r="C3" s="5"/>
      <c r="D3" s="5"/>
      <c r="E3" s="5"/>
      <c r="F3" s="5"/>
      <c r="G3" s="5"/>
      <c r="H3" s="5"/>
    </row>
    <row r="4" spans="1:15" ht="25" customHeight="1" x14ac:dyDescent="0.5">
      <c r="A4" s="235" t="str">
        <f>Results!A4</f>
        <v>Final Adjustments</v>
      </c>
      <c r="B4" s="354"/>
      <c r="C4" s="354"/>
      <c r="D4" s="354"/>
      <c r="E4" s="354"/>
      <c r="F4" s="354"/>
      <c r="G4" s="354"/>
      <c r="H4" s="354"/>
    </row>
    <row r="6" spans="1:15" x14ac:dyDescent="0.35">
      <c r="A6" s="1" t="s">
        <v>776</v>
      </c>
      <c r="C6" s="414" t="str">
        <f>Results!$C$6</f>
        <v>WellPower</v>
      </c>
    </row>
    <row r="7" spans="1:15" x14ac:dyDescent="0.35">
      <c r="A7" s="1" t="s">
        <v>0</v>
      </c>
      <c r="C7" s="35">
        <f>Results!$C$7</f>
        <v>45473</v>
      </c>
      <c r="F7" s="35"/>
    </row>
    <row r="9" spans="1:15" x14ac:dyDescent="0.35">
      <c r="A9" s="1" t="s">
        <v>253</v>
      </c>
      <c r="B9" s="1" t="s">
        <v>828</v>
      </c>
      <c r="C9" s="1"/>
      <c r="F9" s="116" t="str">
        <f>'Schedule 2J Adjustments'!F8</f>
        <v>Yes/No</v>
      </c>
      <c r="G9" s="41" t="s">
        <v>259</v>
      </c>
    </row>
    <row r="11" spans="1:15" x14ac:dyDescent="0.35">
      <c r="A11" s="1" t="s">
        <v>254</v>
      </c>
      <c r="B11" s="1" t="s">
        <v>256</v>
      </c>
      <c r="C11" s="1"/>
    </row>
    <row r="12" spans="1:15" x14ac:dyDescent="0.35">
      <c r="B12" s="311" t="s">
        <v>592</v>
      </c>
    </row>
    <row r="13" spans="1:15" x14ac:dyDescent="0.35">
      <c r="B13" s="560">
        <v>1</v>
      </c>
      <c r="C13" s="560"/>
      <c r="D13" s="560"/>
      <c r="F13" s="23">
        <v>2</v>
      </c>
      <c r="G13" s="23">
        <v>3</v>
      </c>
      <c r="H13" s="23">
        <v>4</v>
      </c>
      <c r="J13" s="23">
        <v>5</v>
      </c>
      <c r="K13" s="23">
        <v>6</v>
      </c>
      <c r="L13" s="23">
        <v>7</v>
      </c>
      <c r="N13" s="23">
        <v>8</v>
      </c>
      <c r="O13" s="23">
        <v>9</v>
      </c>
    </row>
    <row r="14" spans="1:15" ht="15" customHeight="1" x14ac:dyDescent="0.35">
      <c r="B14" s="569" t="s">
        <v>606</v>
      </c>
      <c r="C14" s="570"/>
      <c r="D14" s="571"/>
      <c r="F14" s="563" t="s">
        <v>261</v>
      </c>
      <c r="G14" s="568"/>
      <c r="H14" s="564"/>
      <c r="J14" s="563" t="s">
        <v>262</v>
      </c>
      <c r="K14" s="568"/>
      <c r="L14" s="564"/>
      <c r="N14" s="566" t="s">
        <v>686</v>
      </c>
      <c r="O14" s="566" t="s">
        <v>687</v>
      </c>
    </row>
    <row r="15" spans="1:15" ht="55.5" customHeight="1" x14ac:dyDescent="0.35">
      <c r="B15" s="572"/>
      <c r="C15" s="573"/>
      <c r="D15" s="574"/>
      <c r="E15" s="48"/>
      <c r="F15" s="10" t="s">
        <v>683</v>
      </c>
      <c r="G15" s="142" t="s">
        <v>684</v>
      </c>
      <c r="H15" s="142" t="s">
        <v>685</v>
      </c>
      <c r="I15" s="99"/>
      <c r="J15" s="10" t="s">
        <v>683</v>
      </c>
      <c r="K15" s="142" t="s">
        <v>684</v>
      </c>
      <c r="L15" s="142" t="s">
        <v>685</v>
      </c>
      <c r="M15" s="48"/>
      <c r="N15" s="567"/>
      <c r="O15" s="567"/>
    </row>
    <row r="16" spans="1:15" x14ac:dyDescent="0.35">
      <c r="A16" s="24">
        <v>1</v>
      </c>
      <c r="B16" s="565" t="str">
        <f>'Schedule 2J Adjustments'!B15:D15</f>
        <v/>
      </c>
      <c r="C16" s="565"/>
      <c r="D16" s="565"/>
      <c r="F16" s="114">
        <f>'Schedule 2J Adjustments'!H15</f>
        <v>0</v>
      </c>
      <c r="G16" s="68">
        <f>'Schedule 2J Adjustments'!J15</f>
        <v>0</v>
      </c>
      <c r="H16" s="68">
        <f>SUM(F16:G16)</f>
        <v>0</v>
      </c>
      <c r="J16" s="114">
        <f>'Schedule 2J Adjustments'!P15</f>
        <v>0</v>
      </c>
      <c r="K16" s="68">
        <f>'Schedule 2J Adjustments'!R15</f>
        <v>0</v>
      </c>
      <c r="L16" s="68">
        <f>SUM(J16:K16)</f>
        <v>0</v>
      </c>
      <c r="N16" s="117">
        <f>'Schedule 2J Adjustments'!X15</f>
        <v>0</v>
      </c>
      <c r="O16" s="117">
        <f>'Schedule 2J Adjustments'!AA15</f>
        <v>0</v>
      </c>
    </row>
    <row r="17" spans="1:15" x14ac:dyDescent="0.35">
      <c r="A17" s="24">
        <v>2</v>
      </c>
      <c r="B17" s="565" t="str">
        <f>'Schedule 2J Adjustments'!B16:D16</f>
        <v/>
      </c>
      <c r="C17" s="565"/>
      <c r="D17" s="565"/>
      <c r="F17" s="114">
        <f>'Schedule 2J Adjustments'!H16</f>
        <v>0</v>
      </c>
      <c r="G17" s="68">
        <f>'Schedule 2J Adjustments'!J16</f>
        <v>0</v>
      </c>
      <c r="H17" s="68">
        <f t="shared" ref="H17:H73" si="0">SUM(F17:G17)</f>
        <v>0</v>
      </c>
      <c r="J17" s="114">
        <f>'Schedule 2J Adjustments'!P16</f>
        <v>0</v>
      </c>
      <c r="K17" s="68">
        <f>'Schedule 2J Adjustments'!R16</f>
        <v>0</v>
      </c>
      <c r="L17" s="68">
        <f t="shared" ref="L17:L73" si="1">SUM(J17:K17)</f>
        <v>0</v>
      </c>
      <c r="N17" s="117">
        <f>'Schedule 2J Adjustments'!X16</f>
        <v>0</v>
      </c>
      <c r="O17" s="117">
        <f>'Schedule 2J Adjustments'!AA16</f>
        <v>0</v>
      </c>
    </row>
    <row r="18" spans="1:15" x14ac:dyDescent="0.35">
      <c r="A18" s="24">
        <v>3</v>
      </c>
      <c r="B18" s="565" t="str">
        <f>'Schedule 2J Adjustments'!B17:D17</f>
        <v/>
      </c>
      <c r="C18" s="565"/>
      <c r="D18" s="565"/>
      <c r="F18" s="114">
        <f>'Schedule 2J Adjustments'!H17</f>
        <v>0</v>
      </c>
      <c r="G18" s="68">
        <f>'Schedule 2J Adjustments'!J17</f>
        <v>0</v>
      </c>
      <c r="H18" s="68">
        <f t="shared" si="0"/>
        <v>0</v>
      </c>
      <c r="J18" s="114">
        <f>'Schedule 2J Adjustments'!P17</f>
        <v>0</v>
      </c>
      <c r="K18" s="68">
        <f>'Schedule 2J Adjustments'!R17</f>
        <v>0</v>
      </c>
      <c r="L18" s="68">
        <f t="shared" si="1"/>
        <v>0</v>
      </c>
      <c r="N18" s="117">
        <f>'Schedule 2J Adjustments'!X17</f>
        <v>0</v>
      </c>
      <c r="O18" s="117">
        <f>'Schedule 2J Adjustments'!AA17</f>
        <v>0</v>
      </c>
    </row>
    <row r="19" spans="1:15" x14ac:dyDescent="0.35">
      <c r="A19" s="24">
        <v>4</v>
      </c>
      <c r="B19" s="565" t="str">
        <f>'Schedule 2J Adjustments'!B18:D18</f>
        <v/>
      </c>
      <c r="C19" s="565"/>
      <c r="D19" s="565"/>
      <c r="F19" s="114">
        <f>'Schedule 2J Adjustments'!H18</f>
        <v>0</v>
      </c>
      <c r="G19" s="68">
        <f>'Schedule 2J Adjustments'!J18</f>
        <v>0</v>
      </c>
      <c r="H19" s="68">
        <f t="shared" si="0"/>
        <v>0</v>
      </c>
      <c r="J19" s="114">
        <f>'Schedule 2J Adjustments'!P18</f>
        <v>0</v>
      </c>
      <c r="K19" s="68">
        <f>'Schedule 2J Adjustments'!R18</f>
        <v>0</v>
      </c>
      <c r="L19" s="68">
        <f t="shared" si="1"/>
        <v>0</v>
      </c>
      <c r="N19" s="117">
        <f>'Schedule 2J Adjustments'!X18</f>
        <v>0</v>
      </c>
      <c r="O19" s="117">
        <f>'Schedule 2J Adjustments'!AA18</f>
        <v>0</v>
      </c>
    </row>
    <row r="20" spans="1:15" x14ac:dyDescent="0.35">
      <c r="A20" s="24">
        <v>5</v>
      </c>
      <c r="B20" s="565" t="str">
        <f>'Schedule 2J Adjustments'!B19:D19</f>
        <v/>
      </c>
      <c r="C20" s="565"/>
      <c r="D20" s="565"/>
      <c r="F20" s="114">
        <f>'Schedule 2J Adjustments'!H19</f>
        <v>0</v>
      </c>
      <c r="G20" s="68">
        <f>'Schedule 2J Adjustments'!J19</f>
        <v>0</v>
      </c>
      <c r="H20" s="68">
        <f t="shared" si="0"/>
        <v>0</v>
      </c>
      <c r="J20" s="114">
        <f>'Schedule 2J Adjustments'!P19</f>
        <v>0</v>
      </c>
      <c r="K20" s="68">
        <f>'Schedule 2J Adjustments'!R19</f>
        <v>0</v>
      </c>
      <c r="L20" s="68">
        <f t="shared" si="1"/>
        <v>0</v>
      </c>
      <c r="N20" s="117">
        <f>'Schedule 2J Adjustments'!X19</f>
        <v>0</v>
      </c>
      <c r="O20" s="117">
        <f>'Schedule 2J Adjustments'!AA19</f>
        <v>0</v>
      </c>
    </row>
    <row r="21" spans="1:15" x14ac:dyDescent="0.35">
      <c r="A21" s="24">
        <v>6</v>
      </c>
      <c r="B21" s="565" t="str">
        <f>'Schedule 2J Adjustments'!B20:D20</f>
        <v/>
      </c>
      <c r="C21" s="565"/>
      <c r="D21" s="565"/>
      <c r="F21" s="114">
        <f>'Schedule 2J Adjustments'!H20</f>
        <v>0</v>
      </c>
      <c r="G21" s="68">
        <f>'Schedule 2J Adjustments'!J20</f>
        <v>0</v>
      </c>
      <c r="H21" s="68">
        <f t="shared" si="0"/>
        <v>0</v>
      </c>
      <c r="J21" s="114">
        <f>'Schedule 2J Adjustments'!P20</f>
        <v>0</v>
      </c>
      <c r="K21" s="68">
        <f>'Schedule 2J Adjustments'!R20</f>
        <v>0</v>
      </c>
      <c r="L21" s="68">
        <f t="shared" si="1"/>
        <v>0</v>
      </c>
      <c r="N21" s="117">
        <f>'Schedule 2J Adjustments'!X20</f>
        <v>0</v>
      </c>
      <c r="O21" s="117">
        <f>'Schedule 2J Adjustments'!AA20</f>
        <v>0</v>
      </c>
    </row>
    <row r="22" spans="1:15" x14ac:dyDescent="0.35">
      <c r="A22" s="24">
        <v>7</v>
      </c>
      <c r="B22" s="565" t="str">
        <f>'Schedule 2J Adjustments'!B21:D21</f>
        <v/>
      </c>
      <c r="C22" s="565"/>
      <c r="D22" s="565"/>
      <c r="F22" s="114">
        <f>'Schedule 2J Adjustments'!H21</f>
        <v>0</v>
      </c>
      <c r="G22" s="68">
        <f>'Schedule 2J Adjustments'!J21</f>
        <v>0</v>
      </c>
      <c r="H22" s="68">
        <f t="shared" si="0"/>
        <v>0</v>
      </c>
      <c r="J22" s="114">
        <f>'Schedule 2J Adjustments'!P21</f>
        <v>0</v>
      </c>
      <c r="K22" s="68">
        <f>'Schedule 2J Adjustments'!R21</f>
        <v>0</v>
      </c>
      <c r="L22" s="68">
        <f t="shared" si="1"/>
        <v>0</v>
      </c>
      <c r="N22" s="117">
        <f>'Schedule 2J Adjustments'!X21</f>
        <v>0</v>
      </c>
      <c r="O22" s="117">
        <f>'Schedule 2J Adjustments'!AA21</f>
        <v>0</v>
      </c>
    </row>
    <row r="23" spans="1:15" x14ac:dyDescent="0.35">
      <c r="A23" s="24">
        <v>8</v>
      </c>
      <c r="B23" s="565" t="str">
        <f>'Schedule 2J Adjustments'!B22:D22</f>
        <v/>
      </c>
      <c r="C23" s="565"/>
      <c r="D23" s="565"/>
      <c r="F23" s="114">
        <f>'Schedule 2J Adjustments'!H22</f>
        <v>0</v>
      </c>
      <c r="G23" s="68">
        <f>'Schedule 2J Adjustments'!J22</f>
        <v>0</v>
      </c>
      <c r="H23" s="68">
        <f t="shared" si="0"/>
        <v>0</v>
      </c>
      <c r="J23" s="114">
        <f>'Schedule 2J Adjustments'!P22</f>
        <v>0</v>
      </c>
      <c r="K23" s="68">
        <f>'Schedule 2J Adjustments'!R22</f>
        <v>0</v>
      </c>
      <c r="L23" s="68">
        <f t="shared" si="1"/>
        <v>0</v>
      </c>
      <c r="N23" s="117">
        <f>'Schedule 2J Adjustments'!X22</f>
        <v>0</v>
      </c>
      <c r="O23" s="117">
        <f>'Schedule 2J Adjustments'!AA22</f>
        <v>0</v>
      </c>
    </row>
    <row r="24" spans="1:15" x14ac:dyDescent="0.35">
      <c r="A24" s="24">
        <v>9</v>
      </c>
      <c r="B24" s="565" t="str">
        <f>'Schedule 2J Adjustments'!B23:D23</f>
        <v/>
      </c>
      <c r="C24" s="565"/>
      <c r="D24" s="565"/>
      <c r="F24" s="114">
        <f>'Schedule 2J Adjustments'!H23</f>
        <v>0</v>
      </c>
      <c r="G24" s="68">
        <f>'Schedule 2J Adjustments'!J23</f>
        <v>0</v>
      </c>
      <c r="H24" s="68">
        <f t="shared" si="0"/>
        <v>0</v>
      </c>
      <c r="J24" s="114">
        <f>'Schedule 2J Adjustments'!P23</f>
        <v>0</v>
      </c>
      <c r="K24" s="68">
        <f>'Schedule 2J Adjustments'!R23</f>
        <v>0</v>
      </c>
      <c r="L24" s="68">
        <f t="shared" si="1"/>
        <v>0</v>
      </c>
      <c r="N24" s="117">
        <f>'Schedule 2J Adjustments'!X23</f>
        <v>0</v>
      </c>
      <c r="O24" s="117">
        <f>'Schedule 2J Adjustments'!AA23</f>
        <v>0</v>
      </c>
    </row>
    <row r="25" spans="1:15" x14ac:dyDescent="0.35">
      <c r="A25" s="24">
        <v>10</v>
      </c>
      <c r="B25" s="565" t="str">
        <f>'Schedule 2J Adjustments'!B24:D24</f>
        <v/>
      </c>
      <c r="C25" s="565"/>
      <c r="D25" s="565"/>
      <c r="F25" s="114">
        <f>'Schedule 2J Adjustments'!H24</f>
        <v>0</v>
      </c>
      <c r="G25" s="68">
        <f>'Schedule 2J Adjustments'!J24</f>
        <v>0</v>
      </c>
      <c r="H25" s="68">
        <f t="shared" si="0"/>
        <v>0</v>
      </c>
      <c r="J25" s="114">
        <f>'Schedule 2J Adjustments'!P24</f>
        <v>0</v>
      </c>
      <c r="K25" s="68">
        <f>'Schedule 2J Adjustments'!R24</f>
        <v>0</v>
      </c>
      <c r="L25" s="68">
        <f t="shared" si="1"/>
        <v>0</v>
      </c>
      <c r="N25" s="117">
        <f>'Schedule 2J Adjustments'!X24</f>
        <v>0</v>
      </c>
      <c r="O25" s="117">
        <f>'Schedule 2J Adjustments'!AA24</f>
        <v>0</v>
      </c>
    </row>
    <row r="26" spans="1:15" x14ac:dyDescent="0.35">
      <c r="A26" s="24">
        <v>11</v>
      </c>
      <c r="B26" s="565" t="str">
        <f>'Schedule 2J Adjustments'!B25:D25</f>
        <v/>
      </c>
      <c r="C26" s="565"/>
      <c r="D26" s="565"/>
      <c r="F26" s="114">
        <f>'Schedule 2J Adjustments'!H25</f>
        <v>0</v>
      </c>
      <c r="G26" s="68">
        <f>'Schedule 2J Adjustments'!J25</f>
        <v>0</v>
      </c>
      <c r="H26" s="68">
        <f t="shared" si="0"/>
        <v>0</v>
      </c>
      <c r="J26" s="114">
        <f>'Schedule 2J Adjustments'!P25</f>
        <v>0</v>
      </c>
      <c r="K26" s="68">
        <f>'Schedule 2J Adjustments'!R25</f>
        <v>0</v>
      </c>
      <c r="L26" s="68">
        <f t="shared" si="1"/>
        <v>0</v>
      </c>
      <c r="N26" s="117">
        <f>'Schedule 2J Adjustments'!X25</f>
        <v>0</v>
      </c>
      <c r="O26" s="117">
        <f>'Schedule 2J Adjustments'!AA25</f>
        <v>0</v>
      </c>
    </row>
    <row r="27" spans="1:15" x14ac:dyDescent="0.35">
      <c r="A27" s="24">
        <v>12</v>
      </c>
      <c r="B27" s="565" t="str">
        <f>'Schedule 2J Adjustments'!B26:D26</f>
        <v/>
      </c>
      <c r="C27" s="565"/>
      <c r="D27" s="565"/>
      <c r="F27" s="114">
        <f>'Schedule 2J Adjustments'!H26</f>
        <v>0</v>
      </c>
      <c r="G27" s="68">
        <f>'Schedule 2J Adjustments'!J26</f>
        <v>0</v>
      </c>
      <c r="H27" s="68">
        <f t="shared" si="0"/>
        <v>0</v>
      </c>
      <c r="J27" s="114">
        <f>'Schedule 2J Adjustments'!P26</f>
        <v>0</v>
      </c>
      <c r="K27" s="68">
        <f>'Schedule 2J Adjustments'!R26</f>
        <v>0</v>
      </c>
      <c r="L27" s="68">
        <f t="shared" si="1"/>
        <v>0</v>
      </c>
      <c r="N27" s="117">
        <f>'Schedule 2J Adjustments'!X26</f>
        <v>0</v>
      </c>
      <c r="O27" s="117">
        <f>'Schedule 2J Adjustments'!AA26</f>
        <v>0</v>
      </c>
    </row>
    <row r="28" spans="1:15" x14ac:dyDescent="0.35">
      <c r="A28" s="24">
        <v>13</v>
      </c>
      <c r="B28" s="565" t="str">
        <f>'Schedule 2J Adjustments'!B27:D27</f>
        <v/>
      </c>
      <c r="C28" s="565"/>
      <c r="D28" s="565"/>
      <c r="F28" s="114">
        <f>'Schedule 2J Adjustments'!H27</f>
        <v>0</v>
      </c>
      <c r="G28" s="68">
        <f>'Schedule 2J Adjustments'!J27</f>
        <v>0</v>
      </c>
      <c r="H28" s="68">
        <f t="shared" si="0"/>
        <v>0</v>
      </c>
      <c r="J28" s="114">
        <f>'Schedule 2J Adjustments'!P27</f>
        <v>0</v>
      </c>
      <c r="K28" s="68">
        <f>'Schedule 2J Adjustments'!R27</f>
        <v>0</v>
      </c>
      <c r="L28" s="68">
        <f t="shared" si="1"/>
        <v>0</v>
      </c>
      <c r="N28" s="117">
        <f>'Schedule 2J Adjustments'!X27</f>
        <v>0</v>
      </c>
      <c r="O28" s="117">
        <f>'Schedule 2J Adjustments'!AA27</f>
        <v>0</v>
      </c>
    </row>
    <row r="29" spans="1:15" x14ac:dyDescent="0.35">
      <c r="A29" s="24">
        <v>14</v>
      </c>
      <c r="B29" s="565" t="str">
        <f>'Schedule 2J Adjustments'!B28:D28</f>
        <v/>
      </c>
      <c r="C29" s="565"/>
      <c r="D29" s="565"/>
      <c r="F29" s="114">
        <f>'Schedule 2J Adjustments'!H28</f>
        <v>0</v>
      </c>
      <c r="G29" s="68">
        <f>'Schedule 2J Adjustments'!J28</f>
        <v>0</v>
      </c>
      <c r="H29" s="68">
        <f t="shared" si="0"/>
        <v>0</v>
      </c>
      <c r="J29" s="114">
        <f>'Schedule 2J Adjustments'!P28</f>
        <v>0</v>
      </c>
      <c r="K29" s="68">
        <f>'Schedule 2J Adjustments'!R28</f>
        <v>0</v>
      </c>
      <c r="L29" s="68">
        <f t="shared" si="1"/>
        <v>0</v>
      </c>
      <c r="N29" s="117">
        <f>'Schedule 2J Adjustments'!X28</f>
        <v>0</v>
      </c>
      <c r="O29" s="117">
        <f>'Schedule 2J Adjustments'!AA28</f>
        <v>0</v>
      </c>
    </row>
    <row r="30" spans="1:15" x14ac:dyDescent="0.35">
      <c r="A30" s="24">
        <v>15</v>
      </c>
      <c r="B30" s="565" t="str">
        <f>'Schedule 2J Adjustments'!B29:D29</f>
        <v/>
      </c>
      <c r="C30" s="565"/>
      <c r="D30" s="565"/>
      <c r="F30" s="114">
        <f>'Schedule 2J Adjustments'!H29</f>
        <v>0</v>
      </c>
      <c r="G30" s="68">
        <f>'Schedule 2J Adjustments'!J29</f>
        <v>0</v>
      </c>
      <c r="H30" s="68">
        <f t="shared" si="0"/>
        <v>0</v>
      </c>
      <c r="J30" s="114">
        <f>'Schedule 2J Adjustments'!P29</f>
        <v>0</v>
      </c>
      <c r="K30" s="68">
        <f>'Schedule 2J Adjustments'!R29</f>
        <v>0</v>
      </c>
      <c r="L30" s="68">
        <f t="shared" si="1"/>
        <v>0</v>
      </c>
      <c r="N30" s="117">
        <f>'Schedule 2J Adjustments'!X29</f>
        <v>0</v>
      </c>
      <c r="O30" s="117">
        <f>'Schedule 2J Adjustments'!AA29</f>
        <v>0</v>
      </c>
    </row>
    <row r="31" spans="1:15" x14ac:dyDescent="0.35">
      <c r="A31" s="24">
        <v>16</v>
      </c>
      <c r="B31" s="565" t="str">
        <f>'Schedule 2J Adjustments'!B30:D30</f>
        <v/>
      </c>
      <c r="C31" s="565"/>
      <c r="D31" s="565"/>
      <c r="F31" s="114">
        <f>'Schedule 2J Adjustments'!H30</f>
        <v>0</v>
      </c>
      <c r="G31" s="68">
        <f>'Schedule 2J Adjustments'!J30</f>
        <v>0</v>
      </c>
      <c r="H31" s="68">
        <f t="shared" si="0"/>
        <v>0</v>
      </c>
      <c r="J31" s="114">
        <f>'Schedule 2J Adjustments'!P30</f>
        <v>0</v>
      </c>
      <c r="K31" s="68">
        <f>'Schedule 2J Adjustments'!R30</f>
        <v>0</v>
      </c>
      <c r="L31" s="68">
        <f t="shared" si="1"/>
        <v>0</v>
      </c>
      <c r="N31" s="117">
        <f>'Schedule 2J Adjustments'!X30</f>
        <v>0</v>
      </c>
      <c r="O31" s="117">
        <f>'Schedule 2J Adjustments'!AA30</f>
        <v>0</v>
      </c>
    </row>
    <row r="32" spans="1:15" x14ac:dyDescent="0.35">
      <c r="A32" s="24">
        <v>17</v>
      </c>
      <c r="B32" s="565" t="str">
        <f>'Schedule 2J Adjustments'!B31:D31</f>
        <v/>
      </c>
      <c r="C32" s="565"/>
      <c r="D32" s="565"/>
      <c r="F32" s="114">
        <f>'Schedule 2J Adjustments'!H31</f>
        <v>0</v>
      </c>
      <c r="G32" s="68">
        <f>'Schedule 2J Adjustments'!J31</f>
        <v>0</v>
      </c>
      <c r="H32" s="68">
        <f t="shared" si="0"/>
        <v>0</v>
      </c>
      <c r="J32" s="114">
        <f>'Schedule 2J Adjustments'!P31</f>
        <v>0</v>
      </c>
      <c r="K32" s="68">
        <f>'Schedule 2J Adjustments'!R31</f>
        <v>0</v>
      </c>
      <c r="L32" s="68">
        <f t="shared" si="1"/>
        <v>0</v>
      </c>
      <c r="N32" s="117">
        <f>'Schedule 2J Adjustments'!X31</f>
        <v>0</v>
      </c>
      <c r="O32" s="117">
        <f>'Schedule 2J Adjustments'!AA31</f>
        <v>0</v>
      </c>
    </row>
    <row r="33" spans="1:15" x14ac:dyDescent="0.35">
      <c r="A33" s="24">
        <v>18</v>
      </c>
      <c r="B33" s="565" t="str">
        <f>'Schedule 2J Adjustments'!B32:D32</f>
        <v/>
      </c>
      <c r="C33" s="565"/>
      <c r="D33" s="565"/>
      <c r="F33" s="114">
        <f>'Schedule 2J Adjustments'!H32</f>
        <v>0</v>
      </c>
      <c r="G33" s="68">
        <f>'Schedule 2J Adjustments'!J32</f>
        <v>0</v>
      </c>
      <c r="H33" s="68">
        <f t="shared" si="0"/>
        <v>0</v>
      </c>
      <c r="J33" s="114">
        <f>'Schedule 2J Adjustments'!P32</f>
        <v>0</v>
      </c>
      <c r="K33" s="68">
        <f>'Schedule 2J Adjustments'!R32</f>
        <v>0</v>
      </c>
      <c r="L33" s="68">
        <f t="shared" si="1"/>
        <v>0</v>
      </c>
      <c r="N33" s="117">
        <f>'Schedule 2J Adjustments'!X32</f>
        <v>0</v>
      </c>
      <c r="O33" s="117">
        <f>'Schedule 2J Adjustments'!AA32</f>
        <v>0</v>
      </c>
    </row>
    <row r="34" spans="1:15" x14ac:dyDescent="0.35">
      <c r="A34" s="24">
        <v>19</v>
      </c>
      <c r="B34" s="565" t="str">
        <f>'Schedule 2J Adjustments'!B33:D33</f>
        <v/>
      </c>
      <c r="C34" s="565"/>
      <c r="D34" s="565"/>
      <c r="F34" s="114">
        <f>'Schedule 2J Adjustments'!H33</f>
        <v>0</v>
      </c>
      <c r="G34" s="68">
        <f>'Schedule 2J Adjustments'!J33</f>
        <v>0</v>
      </c>
      <c r="H34" s="68">
        <f t="shared" si="0"/>
        <v>0</v>
      </c>
      <c r="J34" s="114">
        <f>'Schedule 2J Adjustments'!P33</f>
        <v>0</v>
      </c>
      <c r="K34" s="68">
        <f>'Schedule 2J Adjustments'!R33</f>
        <v>0</v>
      </c>
      <c r="L34" s="68">
        <f t="shared" si="1"/>
        <v>0</v>
      </c>
      <c r="N34" s="117">
        <f>'Schedule 2J Adjustments'!X33</f>
        <v>0</v>
      </c>
      <c r="O34" s="117">
        <f>'Schedule 2J Adjustments'!AA33</f>
        <v>0</v>
      </c>
    </row>
    <row r="35" spans="1:15" x14ac:dyDescent="0.35">
      <c r="A35" s="24">
        <v>20</v>
      </c>
      <c r="B35" s="565" t="str">
        <f>'Schedule 2J Adjustments'!B34:D34</f>
        <v/>
      </c>
      <c r="C35" s="565"/>
      <c r="D35" s="565"/>
      <c r="F35" s="114">
        <f>'Schedule 2J Adjustments'!H34</f>
        <v>0</v>
      </c>
      <c r="G35" s="68">
        <f>'Schedule 2J Adjustments'!J34</f>
        <v>0</v>
      </c>
      <c r="H35" s="68">
        <f t="shared" si="0"/>
        <v>0</v>
      </c>
      <c r="J35" s="114">
        <f>'Schedule 2J Adjustments'!P34</f>
        <v>0</v>
      </c>
      <c r="K35" s="68">
        <f>'Schedule 2J Adjustments'!R34</f>
        <v>0</v>
      </c>
      <c r="L35" s="68">
        <f t="shared" si="1"/>
        <v>0</v>
      </c>
      <c r="N35" s="117">
        <f>'Schedule 2J Adjustments'!X34</f>
        <v>0</v>
      </c>
      <c r="O35" s="117">
        <f>'Schedule 2J Adjustments'!AA34</f>
        <v>0</v>
      </c>
    </row>
    <row r="36" spans="1:15" x14ac:dyDescent="0.35">
      <c r="A36" s="24">
        <v>21</v>
      </c>
      <c r="B36" s="565" t="str">
        <f>'Schedule 2J Adjustments'!B35:D35</f>
        <v/>
      </c>
      <c r="C36" s="565"/>
      <c r="D36" s="565"/>
      <c r="F36" s="114">
        <f>'Schedule 2J Adjustments'!H35</f>
        <v>0</v>
      </c>
      <c r="G36" s="68">
        <f>'Schedule 2J Adjustments'!J35</f>
        <v>0</v>
      </c>
      <c r="H36" s="68">
        <f t="shared" si="0"/>
        <v>0</v>
      </c>
      <c r="J36" s="114">
        <f>'Schedule 2J Adjustments'!P35</f>
        <v>0</v>
      </c>
      <c r="K36" s="68">
        <f>'Schedule 2J Adjustments'!R35</f>
        <v>0</v>
      </c>
      <c r="L36" s="68">
        <f t="shared" si="1"/>
        <v>0</v>
      </c>
      <c r="N36" s="117">
        <f>'Schedule 2J Adjustments'!X35</f>
        <v>0</v>
      </c>
      <c r="O36" s="117">
        <f>'Schedule 2J Adjustments'!AA35</f>
        <v>0</v>
      </c>
    </row>
    <row r="37" spans="1:15" x14ac:dyDescent="0.35">
      <c r="A37" s="24">
        <v>22</v>
      </c>
      <c r="B37" s="565" t="str">
        <f>'Schedule 2J Adjustments'!B36:D36</f>
        <v/>
      </c>
      <c r="C37" s="565"/>
      <c r="D37" s="565"/>
      <c r="F37" s="114">
        <f>'Schedule 2J Adjustments'!H36</f>
        <v>0</v>
      </c>
      <c r="G37" s="68">
        <f>'Schedule 2J Adjustments'!J36</f>
        <v>0</v>
      </c>
      <c r="H37" s="68">
        <f t="shared" si="0"/>
        <v>0</v>
      </c>
      <c r="J37" s="114">
        <f>'Schedule 2J Adjustments'!P36</f>
        <v>0</v>
      </c>
      <c r="K37" s="68">
        <f>'Schedule 2J Adjustments'!R36</f>
        <v>0</v>
      </c>
      <c r="L37" s="68">
        <f t="shared" si="1"/>
        <v>0</v>
      </c>
      <c r="N37" s="117">
        <f>'Schedule 2J Adjustments'!X36</f>
        <v>0</v>
      </c>
      <c r="O37" s="117">
        <f>'Schedule 2J Adjustments'!AA36</f>
        <v>0</v>
      </c>
    </row>
    <row r="38" spans="1:15" x14ac:dyDescent="0.35">
      <c r="A38" s="24">
        <v>23</v>
      </c>
      <c r="B38" s="565" t="str">
        <f>'Schedule 2J Adjustments'!B37:D37</f>
        <v/>
      </c>
      <c r="C38" s="565"/>
      <c r="D38" s="565"/>
      <c r="F38" s="114">
        <f>'Schedule 2J Adjustments'!H37</f>
        <v>0</v>
      </c>
      <c r="G38" s="68">
        <f>'Schedule 2J Adjustments'!J37</f>
        <v>0</v>
      </c>
      <c r="H38" s="68">
        <f t="shared" si="0"/>
        <v>0</v>
      </c>
      <c r="J38" s="114">
        <f>'Schedule 2J Adjustments'!P37</f>
        <v>0</v>
      </c>
      <c r="K38" s="68">
        <f>'Schedule 2J Adjustments'!R37</f>
        <v>0</v>
      </c>
      <c r="L38" s="68">
        <f t="shared" si="1"/>
        <v>0</v>
      </c>
      <c r="N38" s="117">
        <f>'Schedule 2J Adjustments'!X37</f>
        <v>0</v>
      </c>
      <c r="O38" s="117">
        <f>'Schedule 2J Adjustments'!AA37</f>
        <v>0</v>
      </c>
    </row>
    <row r="39" spans="1:15" x14ac:dyDescent="0.35">
      <c r="A39" s="24">
        <v>24</v>
      </c>
      <c r="B39" s="565" t="str">
        <f>'Schedule 2J Adjustments'!B38:D38</f>
        <v/>
      </c>
      <c r="C39" s="565"/>
      <c r="D39" s="565"/>
      <c r="F39" s="114">
        <f>'Schedule 2J Adjustments'!H38</f>
        <v>0</v>
      </c>
      <c r="G39" s="68">
        <f>'Schedule 2J Adjustments'!J38</f>
        <v>0</v>
      </c>
      <c r="H39" s="68">
        <f t="shared" si="0"/>
        <v>0</v>
      </c>
      <c r="J39" s="114">
        <f>'Schedule 2J Adjustments'!P38</f>
        <v>0</v>
      </c>
      <c r="K39" s="68">
        <f>'Schedule 2J Adjustments'!R38</f>
        <v>0</v>
      </c>
      <c r="L39" s="68">
        <f t="shared" si="1"/>
        <v>0</v>
      </c>
      <c r="N39" s="117">
        <f>'Schedule 2J Adjustments'!X38</f>
        <v>0</v>
      </c>
      <c r="O39" s="117">
        <f>'Schedule 2J Adjustments'!AA38</f>
        <v>0</v>
      </c>
    </row>
    <row r="40" spans="1:15" x14ac:dyDescent="0.35">
      <c r="A40" s="24">
        <v>25</v>
      </c>
      <c r="B40" s="565" t="str">
        <f>'Schedule 2J Adjustments'!B39:D39</f>
        <v/>
      </c>
      <c r="C40" s="565"/>
      <c r="D40" s="565"/>
      <c r="F40" s="114">
        <f>'Schedule 2J Adjustments'!H39</f>
        <v>0</v>
      </c>
      <c r="G40" s="68">
        <f>'Schedule 2J Adjustments'!J39</f>
        <v>0</v>
      </c>
      <c r="H40" s="68">
        <f t="shared" si="0"/>
        <v>0</v>
      </c>
      <c r="J40" s="114">
        <f>'Schedule 2J Adjustments'!P39</f>
        <v>0</v>
      </c>
      <c r="K40" s="68">
        <f>'Schedule 2J Adjustments'!R39</f>
        <v>0</v>
      </c>
      <c r="L40" s="68">
        <f t="shared" si="1"/>
        <v>0</v>
      </c>
      <c r="N40" s="117">
        <f>'Schedule 2J Adjustments'!X39</f>
        <v>0</v>
      </c>
      <c r="O40" s="117">
        <f>'Schedule 2J Adjustments'!AA39</f>
        <v>0</v>
      </c>
    </row>
    <row r="41" spans="1:15" x14ac:dyDescent="0.35">
      <c r="A41" s="24">
        <v>26</v>
      </c>
      <c r="B41" s="565" t="str">
        <f>'Schedule 2J Adjustments'!B40:D40</f>
        <v/>
      </c>
      <c r="C41" s="565"/>
      <c r="D41" s="565"/>
      <c r="F41" s="114">
        <f>'Schedule 2J Adjustments'!H40</f>
        <v>0</v>
      </c>
      <c r="G41" s="68">
        <f>'Schedule 2J Adjustments'!J40</f>
        <v>0</v>
      </c>
      <c r="H41" s="68">
        <f t="shared" si="0"/>
        <v>0</v>
      </c>
      <c r="J41" s="114">
        <f>'Schedule 2J Adjustments'!P40</f>
        <v>0</v>
      </c>
      <c r="K41" s="68">
        <f>'Schedule 2J Adjustments'!R40</f>
        <v>0</v>
      </c>
      <c r="L41" s="68">
        <f t="shared" si="1"/>
        <v>0</v>
      </c>
      <c r="N41" s="117">
        <f>'Schedule 2J Adjustments'!X40</f>
        <v>0</v>
      </c>
      <c r="O41" s="117">
        <f>'Schedule 2J Adjustments'!AA40</f>
        <v>0</v>
      </c>
    </row>
    <row r="42" spans="1:15" x14ac:dyDescent="0.35">
      <c r="A42" s="24">
        <v>27</v>
      </c>
      <c r="B42" s="565" t="str">
        <f>'Schedule 2J Adjustments'!B41:D41</f>
        <v/>
      </c>
      <c r="C42" s="565"/>
      <c r="D42" s="565"/>
      <c r="F42" s="114">
        <f>'Schedule 2J Adjustments'!H41</f>
        <v>0</v>
      </c>
      <c r="G42" s="68">
        <f>'Schedule 2J Adjustments'!J41</f>
        <v>0</v>
      </c>
      <c r="H42" s="68">
        <f t="shared" si="0"/>
        <v>0</v>
      </c>
      <c r="J42" s="114">
        <f>'Schedule 2J Adjustments'!P41</f>
        <v>0</v>
      </c>
      <c r="K42" s="68">
        <f>'Schedule 2J Adjustments'!R41</f>
        <v>0</v>
      </c>
      <c r="L42" s="68">
        <f t="shared" si="1"/>
        <v>0</v>
      </c>
      <c r="N42" s="117">
        <f>'Schedule 2J Adjustments'!X41</f>
        <v>0</v>
      </c>
      <c r="O42" s="117">
        <f>'Schedule 2J Adjustments'!AA41</f>
        <v>0</v>
      </c>
    </row>
    <row r="43" spans="1:15" x14ac:dyDescent="0.35">
      <c r="A43" s="24">
        <v>28</v>
      </c>
      <c r="B43" s="565" t="str">
        <f>'Schedule 2J Adjustments'!B42:D42</f>
        <v/>
      </c>
      <c r="C43" s="565"/>
      <c r="D43" s="565"/>
      <c r="F43" s="114">
        <f>'Schedule 2J Adjustments'!H42</f>
        <v>0</v>
      </c>
      <c r="G43" s="68">
        <f>'Schedule 2J Adjustments'!J42</f>
        <v>0</v>
      </c>
      <c r="H43" s="68">
        <f t="shared" si="0"/>
        <v>0</v>
      </c>
      <c r="J43" s="114">
        <f>'Schedule 2J Adjustments'!P42</f>
        <v>0</v>
      </c>
      <c r="K43" s="68">
        <f>'Schedule 2J Adjustments'!R42</f>
        <v>0</v>
      </c>
      <c r="L43" s="68">
        <f t="shared" si="1"/>
        <v>0</v>
      </c>
      <c r="N43" s="117">
        <f>'Schedule 2J Adjustments'!X42</f>
        <v>0</v>
      </c>
      <c r="O43" s="117">
        <f>'Schedule 2J Adjustments'!AA42</f>
        <v>0</v>
      </c>
    </row>
    <row r="44" spans="1:15" x14ac:dyDescent="0.35">
      <c r="A44" s="24">
        <v>29</v>
      </c>
      <c r="B44" s="565" t="str">
        <f>'Schedule 2J Adjustments'!B43:D43</f>
        <v/>
      </c>
      <c r="C44" s="565"/>
      <c r="D44" s="565"/>
      <c r="F44" s="114">
        <f>'Schedule 2J Adjustments'!H43</f>
        <v>0</v>
      </c>
      <c r="G44" s="68">
        <f>'Schedule 2J Adjustments'!J43</f>
        <v>0</v>
      </c>
      <c r="H44" s="68">
        <f t="shared" si="0"/>
        <v>0</v>
      </c>
      <c r="J44" s="114">
        <f>'Schedule 2J Adjustments'!P43</f>
        <v>0</v>
      </c>
      <c r="K44" s="68">
        <f>'Schedule 2J Adjustments'!R43</f>
        <v>0</v>
      </c>
      <c r="L44" s="68">
        <f t="shared" si="1"/>
        <v>0</v>
      </c>
      <c r="N44" s="117">
        <f>'Schedule 2J Adjustments'!X43</f>
        <v>0</v>
      </c>
      <c r="O44" s="117">
        <f>'Schedule 2J Adjustments'!AA43</f>
        <v>0</v>
      </c>
    </row>
    <row r="45" spans="1:15" x14ac:dyDescent="0.35">
      <c r="A45" s="24">
        <v>30</v>
      </c>
      <c r="B45" s="565" t="str">
        <f>'Schedule 2J Adjustments'!B44:D44</f>
        <v/>
      </c>
      <c r="C45" s="565"/>
      <c r="D45" s="565"/>
      <c r="F45" s="114">
        <f>'Schedule 2J Adjustments'!H44</f>
        <v>0</v>
      </c>
      <c r="G45" s="68">
        <f>'Schedule 2J Adjustments'!J44</f>
        <v>0</v>
      </c>
      <c r="H45" s="68">
        <f t="shared" si="0"/>
        <v>0</v>
      </c>
      <c r="J45" s="114">
        <f>'Schedule 2J Adjustments'!P44</f>
        <v>0</v>
      </c>
      <c r="K45" s="68">
        <f>'Schedule 2J Adjustments'!R44</f>
        <v>0</v>
      </c>
      <c r="L45" s="68">
        <f t="shared" si="1"/>
        <v>0</v>
      </c>
      <c r="N45" s="117">
        <f>'Schedule 2J Adjustments'!X44</f>
        <v>0</v>
      </c>
      <c r="O45" s="117">
        <f>'Schedule 2J Adjustments'!AA44</f>
        <v>0</v>
      </c>
    </row>
    <row r="46" spans="1:15" x14ac:dyDescent="0.35">
      <c r="A46" s="24">
        <v>31</v>
      </c>
      <c r="B46" s="565" t="str">
        <f>'Schedule 2J Adjustments'!B45:D45</f>
        <v/>
      </c>
      <c r="C46" s="565"/>
      <c r="D46" s="565"/>
      <c r="F46" s="114">
        <f>'Schedule 2J Adjustments'!H45</f>
        <v>0</v>
      </c>
      <c r="G46" s="68">
        <f>'Schedule 2J Adjustments'!J45</f>
        <v>0</v>
      </c>
      <c r="H46" s="68">
        <f t="shared" si="0"/>
        <v>0</v>
      </c>
      <c r="J46" s="114">
        <f>'Schedule 2J Adjustments'!P45</f>
        <v>0</v>
      </c>
      <c r="K46" s="68">
        <f>'Schedule 2J Adjustments'!R45</f>
        <v>0</v>
      </c>
      <c r="L46" s="68">
        <f t="shared" si="1"/>
        <v>0</v>
      </c>
      <c r="N46" s="117">
        <f>'Schedule 2J Adjustments'!X45</f>
        <v>0</v>
      </c>
      <c r="O46" s="117">
        <f>'Schedule 2J Adjustments'!AA45</f>
        <v>0</v>
      </c>
    </row>
    <row r="47" spans="1:15" x14ac:dyDescent="0.35">
      <c r="A47" s="24">
        <v>32</v>
      </c>
      <c r="B47" s="565" t="str">
        <f>'Schedule 2J Adjustments'!B46:D46</f>
        <v/>
      </c>
      <c r="C47" s="565"/>
      <c r="D47" s="565"/>
      <c r="F47" s="114">
        <f>'Schedule 2J Adjustments'!H46</f>
        <v>0</v>
      </c>
      <c r="G47" s="68">
        <f>'Schedule 2J Adjustments'!J46</f>
        <v>0</v>
      </c>
      <c r="H47" s="68">
        <f t="shared" si="0"/>
        <v>0</v>
      </c>
      <c r="J47" s="114">
        <f>'Schedule 2J Adjustments'!P46</f>
        <v>0</v>
      </c>
      <c r="K47" s="68">
        <f>'Schedule 2J Adjustments'!R46</f>
        <v>0</v>
      </c>
      <c r="L47" s="68">
        <f t="shared" si="1"/>
        <v>0</v>
      </c>
      <c r="N47" s="117">
        <f>'Schedule 2J Adjustments'!X46</f>
        <v>0</v>
      </c>
      <c r="O47" s="117">
        <f>'Schedule 2J Adjustments'!AA46</f>
        <v>0</v>
      </c>
    </row>
    <row r="48" spans="1:15" x14ac:dyDescent="0.35">
      <c r="A48" s="24">
        <v>33</v>
      </c>
      <c r="B48" s="565" t="str">
        <f>'Schedule 2J Adjustments'!B47:D47</f>
        <v/>
      </c>
      <c r="C48" s="565"/>
      <c r="D48" s="565"/>
      <c r="F48" s="114">
        <f>'Schedule 2J Adjustments'!H47</f>
        <v>0</v>
      </c>
      <c r="G48" s="68">
        <f>'Schedule 2J Adjustments'!J47</f>
        <v>0</v>
      </c>
      <c r="H48" s="68">
        <f t="shared" si="0"/>
        <v>0</v>
      </c>
      <c r="J48" s="114">
        <f>'Schedule 2J Adjustments'!P47</f>
        <v>0</v>
      </c>
      <c r="K48" s="68">
        <f>'Schedule 2J Adjustments'!R47</f>
        <v>0</v>
      </c>
      <c r="L48" s="68">
        <f t="shared" si="1"/>
        <v>0</v>
      </c>
      <c r="N48" s="117">
        <f>'Schedule 2J Adjustments'!X47</f>
        <v>0</v>
      </c>
      <c r="O48" s="117">
        <f>'Schedule 2J Adjustments'!AA47</f>
        <v>0</v>
      </c>
    </row>
    <row r="49" spans="1:15" x14ac:dyDescent="0.35">
      <c r="A49" s="24">
        <v>34</v>
      </c>
      <c r="B49" s="565" t="str">
        <f>'Schedule 2J Adjustments'!B48:D48</f>
        <v/>
      </c>
      <c r="C49" s="565"/>
      <c r="D49" s="565"/>
      <c r="F49" s="114">
        <f>'Schedule 2J Adjustments'!H48</f>
        <v>0</v>
      </c>
      <c r="G49" s="68">
        <f>'Schedule 2J Adjustments'!J48</f>
        <v>0</v>
      </c>
      <c r="H49" s="68">
        <f t="shared" si="0"/>
        <v>0</v>
      </c>
      <c r="J49" s="114">
        <f>'Schedule 2J Adjustments'!P48</f>
        <v>0</v>
      </c>
      <c r="K49" s="68">
        <f>'Schedule 2J Adjustments'!R48</f>
        <v>0</v>
      </c>
      <c r="L49" s="68">
        <f t="shared" si="1"/>
        <v>0</v>
      </c>
      <c r="N49" s="117">
        <f>'Schedule 2J Adjustments'!X48</f>
        <v>0</v>
      </c>
      <c r="O49" s="117">
        <f>'Schedule 2J Adjustments'!AA48</f>
        <v>0</v>
      </c>
    </row>
    <row r="50" spans="1:15" x14ac:dyDescent="0.35">
      <c r="A50" s="24">
        <v>35</v>
      </c>
      <c r="B50" s="565" t="str">
        <f>'Schedule 2J Adjustments'!B49:D49</f>
        <v/>
      </c>
      <c r="C50" s="565"/>
      <c r="D50" s="565"/>
      <c r="F50" s="114">
        <f>'Schedule 2J Adjustments'!H49</f>
        <v>0</v>
      </c>
      <c r="G50" s="68">
        <f>'Schedule 2J Adjustments'!J49</f>
        <v>0</v>
      </c>
      <c r="H50" s="68">
        <f t="shared" si="0"/>
        <v>0</v>
      </c>
      <c r="J50" s="114">
        <f>'Schedule 2J Adjustments'!P49</f>
        <v>0</v>
      </c>
      <c r="K50" s="68">
        <f>'Schedule 2J Adjustments'!R49</f>
        <v>0</v>
      </c>
      <c r="L50" s="68">
        <f t="shared" si="1"/>
        <v>0</v>
      </c>
      <c r="N50" s="117">
        <f>'Schedule 2J Adjustments'!X49</f>
        <v>0</v>
      </c>
      <c r="O50" s="117">
        <f>'Schedule 2J Adjustments'!AA49</f>
        <v>0</v>
      </c>
    </row>
    <row r="51" spans="1:15" x14ac:dyDescent="0.35">
      <c r="A51" s="24">
        <v>36</v>
      </c>
      <c r="B51" s="565" t="str">
        <f>'Schedule 2J Adjustments'!B50:D50</f>
        <v/>
      </c>
      <c r="C51" s="565"/>
      <c r="D51" s="565"/>
      <c r="F51" s="114">
        <f>'Schedule 2J Adjustments'!H50</f>
        <v>0</v>
      </c>
      <c r="G51" s="68">
        <f>'Schedule 2J Adjustments'!J50</f>
        <v>0</v>
      </c>
      <c r="H51" s="68">
        <f t="shared" si="0"/>
        <v>0</v>
      </c>
      <c r="J51" s="114">
        <f>'Schedule 2J Adjustments'!P50</f>
        <v>0</v>
      </c>
      <c r="K51" s="68">
        <f>'Schedule 2J Adjustments'!R50</f>
        <v>0</v>
      </c>
      <c r="L51" s="68">
        <f t="shared" si="1"/>
        <v>0</v>
      </c>
      <c r="N51" s="117">
        <f>'Schedule 2J Adjustments'!X50</f>
        <v>0</v>
      </c>
      <c r="O51" s="117">
        <f>'Schedule 2J Adjustments'!AA50</f>
        <v>0</v>
      </c>
    </row>
    <row r="52" spans="1:15" x14ac:dyDescent="0.35">
      <c r="A52" s="24">
        <v>37</v>
      </c>
      <c r="B52" s="565" t="str">
        <f>'Schedule 2J Adjustments'!B51:D51</f>
        <v/>
      </c>
      <c r="C52" s="565"/>
      <c r="D52" s="565"/>
      <c r="F52" s="114">
        <f>'Schedule 2J Adjustments'!H51</f>
        <v>0</v>
      </c>
      <c r="G52" s="68">
        <f>'Schedule 2J Adjustments'!J51</f>
        <v>0</v>
      </c>
      <c r="H52" s="68">
        <f t="shared" si="0"/>
        <v>0</v>
      </c>
      <c r="J52" s="114">
        <f>'Schedule 2J Adjustments'!P51</f>
        <v>0</v>
      </c>
      <c r="K52" s="68">
        <f>'Schedule 2J Adjustments'!R51</f>
        <v>0</v>
      </c>
      <c r="L52" s="68">
        <f t="shared" si="1"/>
        <v>0</v>
      </c>
      <c r="N52" s="117">
        <f>'Schedule 2J Adjustments'!X51</f>
        <v>0</v>
      </c>
      <c r="O52" s="117">
        <f>'Schedule 2J Adjustments'!AA51</f>
        <v>0</v>
      </c>
    </row>
    <row r="53" spans="1:15" x14ac:dyDescent="0.35">
      <c r="A53" s="24">
        <v>38</v>
      </c>
      <c r="B53" s="565" t="str">
        <f>'Schedule 2J Adjustments'!B52:D52</f>
        <v/>
      </c>
      <c r="C53" s="565"/>
      <c r="D53" s="565"/>
      <c r="F53" s="114">
        <f>'Schedule 2J Adjustments'!H52</f>
        <v>0</v>
      </c>
      <c r="G53" s="68">
        <f>'Schedule 2J Adjustments'!J52</f>
        <v>0</v>
      </c>
      <c r="H53" s="68">
        <f t="shared" si="0"/>
        <v>0</v>
      </c>
      <c r="J53" s="114">
        <f>'Schedule 2J Adjustments'!P52</f>
        <v>0</v>
      </c>
      <c r="K53" s="68">
        <f>'Schedule 2J Adjustments'!R52</f>
        <v>0</v>
      </c>
      <c r="L53" s="68">
        <f t="shared" si="1"/>
        <v>0</v>
      </c>
      <c r="N53" s="117">
        <f>'Schedule 2J Adjustments'!X52</f>
        <v>0</v>
      </c>
      <c r="O53" s="117">
        <f>'Schedule 2J Adjustments'!AA52</f>
        <v>0</v>
      </c>
    </row>
    <row r="54" spans="1:15" x14ac:dyDescent="0.35">
      <c r="A54" s="24">
        <v>39</v>
      </c>
      <c r="B54" s="565" t="str">
        <f>'Schedule 2J Adjustments'!B53:D53</f>
        <v/>
      </c>
      <c r="C54" s="565"/>
      <c r="D54" s="565"/>
      <c r="F54" s="114">
        <f>'Schedule 2J Adjustments'!H53</f>
        <v>0</v>
      </c>
      <c r="G54" s="68">
        <f>'Schedule 2J Adjustments'!J53</f>
        <v>0</v>
      </c>
      <c r="H54" s="68">
        <f t="shared" si="0"/>
        <v>0</v>
      </c>
      <c r="J54" s="114">
        <f>'Schedule 2J Adjustments'!P53</f>
        <v>0</v>
      </c>
      <c r="K54" s="68">
        <f>'Schedule 2J Adjustments'!R53</f>
        <v>0</v>
      </c>
      <c r="L54" s="68">
        <f t="shared" si="1"/>
        <v>0</v>
      </c>
      <c r="N54" s="117">
        <f>'Schedule 2J Adjustments'!X53</f>
        <v>0</v>
      </c>
      <c r="O54" s="117">
        <f>'Schedule 2J Adjustments'!AA53</f>
        <v>0</v>
      </c>
    </row>
    <row r="55" spans="1:15" x14ac:dyDescent="0.35">
      <c r="A55" s="24">
        <v>40</v>
      </c>
      <c r="B55" s="565" t="str">
        <f>'Schedule 2J Adjustments'!B54:D54</f>
        <v/>
      </c>
      <c r="C55" s="565"/>
      <c r="D55" s="565"/>
      <c r="F55" s="114">
        <f>'Schedule 2J Adjustments'!H54</f>
        <v>0</v>
      </c>
      <c r="G55" s="68">
        <f>'Schedule 2J Adjustments'!J54</f>
        <v>0</v>
      </c>
      <c r="H55" s="68">
        <f t="shared" si="0"/>
        <v>0</v>
      </c>
      <c r="J55" s="114">
        <f>'Schedule 2J Adjustments'!P54</f>
        <v>0</v>
      </c>
      <c r="K55" s="68">
        <f>'Schedule 2J Adjustments'!R54</f>
        <v>0</v>
      </c>
      <c r="L55" s="68">
        <f t="shared" si="1"/>
        <v>0</v>
      </c>
      <c r="N55" s="117">
        <f>'Schedule 2J Adjustments'!X54</f>
        <v>0</v>
      </c>
      <c r="O55" s="117">
        <f>'Schedule 2J Adjustments'!AA54</f>
        <v>0</v>
      </c>
    </row>
    <row r="56" spans="1:15" x14ac:dyDescent="0.35">
      <c r="A56" s="24">
        <v>41</v>
      </c>
      <c r="B56" s="565" t="str">
        <f>'Schedule 2J Adjustments'!B55:D55</f>
        <v/>
      </c>
      <c r="C56" s="565"/>
      <c r="D56" s="565"/>
      <c r="F56" s="114">
        <f>'Schedule 2J Adjustments'!H55</f>
        <v>0</v>
      </c>
      <c r="G56" s="68">
        <f>'Schedule 2J Adjustments'!J55</f>
        <v>0</v>
      </c>
      <c r="H56" s="68">
        <f t="shared" si="0"/>
        <v>0</v>
      </c>
      <c r="J56" s="114">
        <f>'Schedule 2J Adjustments'!P55</f>
        <v>0</v>
      </c>
      <c r="K56" s="68">
        <f>'Schedule 2J Adjustments'!R55</f>
        <v>0</v>
      </c>
      <c r="L56" s="68">
        <f t="shared" si="1"/>
        <v>0</v>
      </c>
      <c r="N56" s="117">
        <f>'Schedule 2J Adjustments'!X55</f>
        <v>0</v>
      </c>
      <c r="O56" s="117">
        <f>'Schedule 2J Adjustments'!AA55</f>
        <v>0</v>
      </c>
    </row>
    <row r="57" spans="1:15" x14ac:dyDescent="0.35">
      <c r="A57" s="24">
        <v>42</v>
      </c>
      <c r="B57" s="565" t="str">
        <f>'Schedule 2J Adjustments'!B56:D56</f>
        <v/>
      </c>
      <c r="C57" s="565"/>
      <c r="D57" s="565"/>
      <c r="F57" s="114">
        <f>'Schedule 2J Adjustments'!H56</f>
        <v>0</v>
      </c>
      <c r="G57" s="68">
        <f>'Schedule 2J Adjustments'!J56</f>
        <v>0</v>
      </c>
      <c r="H57" s="68">
        <f t="shared" si="0"/>
        <v>0</v>
      </c>
      <c r="J57" s="114">
        <f>'Schedule 2J Adjustments'!P56</f>
        <v>0</v>
      </c>
      <c r="K57" s="68">
        <f>'Schedule 2J Adjustments'!R56</f>
        <v>0</v>
      </c>
      <c r="L57" s="68">
        <f t="shared" si="1"/>
        <v>0</v>
      </c>
      <c r="N57" s="117">
        <f>'Schedule 2J Adjustments'!X56</f>
        <v>0</v>
      </c>
      <c r="O57" s="117">
        <f>'Schedule 2J Adjustments'!AA56</f>
        <v>0</v>
      </c>
    </row>
    <row r="58" spans="1:15" x14ac:dyDescent="0.35">
      <c r="A58" s="24">
        <v>43</v>
      </c>
      <c r="B58" s="565" t="str">
        <f>'Schedule 2J Adjustments'!B57:D57</f>
        <v/>
      </c>
      <c r="C58" s="565"/>
      <c r="D58" s="565"/>
      <c r="F58" s="114">
        <f>'Schedule 2J Adjustments'!H57</f>
        <v>0</v>
      </c>
      <c r="G58" s="68">
        <f>'Schedule 2J Adjustments'!J57</f>
        <v>0</v>
      </c>
      <c r="H58" s="68">
        <f t="shared" si="0"/>
        <v>0</v>
      </c>
      <c r="J58" s="114">
        <f>'Schedule 2J Adjustments'!P57</f>
        <v>0</v>
      </c>
      <c r="K58" s="68">
        <f>'Schedule 2J Adjustments'!R57</f>
        <v>0</v>
      </c>
      <c r="L58" s="68">
        <f t="shared" si="1"/>
        <v>0</v>
      </c>
      <c r="N58" s="117">
        <f>'Schedule 2J Adjustments'!X57</f>
        <v>0</v>
      </c>
      <c r="O58" s="117">
        <f>'Schedule 2J Adjustments'!AA57</f>
        <v>0</v>
      </c>
    </row>
    <row r="59" spans="1:15" x14ac:dyDescent="0.35">
      <c r="A59" s="24">
        <v>44</v>
      </c>
      <c r="B59" s="565" t="str">
        <f>'Schedule 2J Adjustments'!B58:D58</f>
        <v/>
      </c>
      <c r="C59" s="565"/>
      <c r="D59" s="565"/>
      <c r="F59" s="114">
        <f>'Schedule 2J Adjustments'!H58</f>
        <v>0</v>
      </c>
      <c r="G59" s="68">
        <f>'Schedule 2J Adjustments'!J58</f>
        <v>0</v>
      </c>
      <c r="H59" s="68">
        <f t="shared" si="0"/>
        <v>0</v>
      </c>
      <c r="J59" s="114">
        <f>'Schedule 2J Adjustments'!P58</f>
        <v>0</v>
      </c>
      <c r="K59" s="68">
        <f>'Schedule 2J Adjustments'!R58</f>
        <v>0</v>
      </c>
      <c r="L59" s="68">
        <f t="shared" si="1"/>
        <v>0</v>
      </c>
      <c r="N59" s="117">
        <f>'Schedule 2J Adjustments'!X58</f>
        <v>0</v>
      </c>
      <c r="O59" s="117">
        <f>'Schedule 2J Adjustments'!AA58</f>
        <v>0</v>
      </c>
    </row>
    <row r="60" spans="1:15" x14ac:dyDescent="0.35">
      <c r="A60" s="24">
        <v>45</v>
      </c>
      <c r="B60" s="565" t="str">
        <f>'Schedule 2J Adjustments'!B59:D59</f>
        <v/>
      </c>
      <c r="C60" s="565"/>
      <c r="D60" s="565"/>
      <c r="F60" s="114">
        <f>'Schedule 2J Adjustments'!H59</f>
        <v>0</v>
      </c>
      <c r="G60" s="68">
        <f>'Schedule 2J Adjustments'!J59</f>
        <v>0</v>
      </c>
      <c r="H60" s="68">
        <f t="shared" si="0"/>
        <v>0</v>
      </c>
      <c r="J60" s="114">
        <f>'Schedule 2J Adjustments'!P59</f>
        <v>0</v>
      </c>
      <c r="K60" s="68">
        <f>'Schedule 2J Adjustments'!R59</f>
        <v>0</v>
      </c>
      <c r="L60" s="68">
        <f t="shared" si="1"/>
        <v>0</v>
      </c>
      <c r="N60" s="117">
        <f>'Schedule 2J Adjustments'!X59</f>
        <v>0</v>
      </c>
      <c r="O60" s="117">
        <f>'Schedule 2J Adjustments'!AA59</f>
        <v>0</v>
      </c>
    </row>
    <row r="61" spans="1:15" x14ac:dyDescent="0.35">
      <c r="A61" s="24">
        <v>46</v>
      </c>
      <c r="B61" s="565" t="str">
        <f>'Schedule 2J Adjustments'!B60:D60</f>
        <v/>
      </c>
      <c r="C61" s="565"/>
      <c r="D61" s="565"/>
      <c r="F61" s="114">
        <f>'Schedule 2J Adjustments'!H60</f>
        <v>0</v>
      </c>
      <c r="G61" s="68">
        <f>'Schedule 2J Adjustments'!J60</f>
        <v>0</v>
      </c>
      <c r="H61" s="68">
        <f t="shared" si="0"/>
        <v>0</v>
      </c>
      <c r="J61" s="114">
        <f>'Schedule 2J Adjustments'!P60</f>
        <v>0</v>
      </c>
      <c r="K61" s="68">
        <f>'Schedule 2J Adjustments'!R60</f>
        <v>0</v>
      </c>
      <c r="L61" s="68">
        <f t="shared" si="1"/>
        <v>0</v>
      </c>
      <c r="N61" s="117">
        <f>'Schedule 2J Adjustments'!X60</f>
        <v>0</v>
      </c>
      <c r="O61" s="117">
        <f>'Schedule 2J Adjustments'!AA60</f>
        <v>0</v>
      </c>
    </row>
    <row r="62" spans="1:15" x14ac:dyDescent="0.35">
      <c r="A62" s="24">
        <v>47</v>
      </c>
      <c r="B62" s="565" t="str">
        <f>'Schedule 2J Adjustments'!B61:D61</f>
        <v/>
      </c>
      <c r="C62" s="565"/>
      <c r="D62" s="565"/>
      <c r="F62" s="114">
        <f>'Schedule 2J Adjustments'!H61</f>
        <v>0</v>
      </c>
      <c r="G62" s="68">
        <f>'Schedule 2J Adjustments'!J61</f>
        <v>0</v>
      </c>
      <c r="H62" s="68">
        <f t="shared" si="0"/>
        <v>0</v>
      </c>
      <c r="J62" s="114">
        <f>'Schedule 2J Adjustments'!P61</f>
        <v>0</v>
      </c>
      <c r="K62" s="68">
        <f>'Schedule 2J Adjustments'!R61</f>
        <v>0</v>
      </c>
      <c r="L62" s="68">
        <f t="shared" si="1"/>
        <v>0</v>
      </c>
      <c r="N62" s="117">
        <f>'Schedule 2J Adjustments'!X61</f>
        <v>0</v>
      </c>
      <c r="O62" s="117">
        <f>'Schedule 2J Adjustments'!AA61</f>
        <v>0</v>
      </c>
    </row>
    <row r="63" spans="1:15" x14ac:dyDescent="0.35">
      <c r="A63" s="24">
        <v>48</v>
      </c>
      <c r="B63" s="565" t="str">
        <f>'Schedule 2J Adjustments'!B62:D62</f>
        <v/>
      </c>
      <c r="C63" s="565"/>
      <c r="D63" s="565"/>
      <c r="F63" s="114">
        <f>'Schedule 2J Adjustments'!H62</f>
        <v>0</v>
      </c>
      <c r="G63" s="68">
        <f>'Schedule 2J Adjustments'!J62</f>
        <v>0</v>
      </c>
      <c r="H63" s="68">
        <f t="shared" si="0"/>
        <v>0</v>
      </c>
      <c r="J63" s="114">
        <f>'Schedule 2J Adjustments'!P62</f>
        <v>0</v>
      </c>
      <c r="K63" s="68">
        <f>'Schedule 2J Adjustments'!R62</f>
        <v>0</v>
      </c>
      <c r="L63" s="68">
        <f t="shared" si="1"/>
        <v>0</v>
      </c>
      <c r="N63" s="117">
        <f>'Schedule 2J Adjustments'!X62</f>
        <v>0</v>
      </c>
      <c r="O63" s="117">
        <f>'Schedule 2J Adjustments'!AA62</f>
        <v>0</v>
      </c>
    </row>
    <row r="64" spans="1:15" x14ac:dyDescent="0.35">
      <c r="A64" s="24">
        <v>49</v>
      </c>
      <c r="B64" s="565" t="str">
        <f>'Schedule 2J Adjustments'!B63:D63</f>
        <v/>
      </c>
      <c r="C64" s="565"/>
      <c r="D64" s="565"/>
      <c r="F64" s="114">
        <f>'Schedule 2J Adjustments'!H63</f>
        <v>0</v>
      </c>
      <c r="G64" s="68">
        <f>'Schedule 2J Adjustments'!J63</f>
        <v>0</v>
      </c>
      <c r="H64" s="68">
        <f t="shared" si="0"/>
        <v>0</v>
      </c>
      <c r="J64" s="114">
        <f>'Schedule 2J Adjustments'!P63</f>
        <v>0</v>
      </c>
      <c r="K64" s="68">
        <f>'Schedule 2J Adjustments'!R63</f>
        <v>0</v>
      </c>
      <c r="L64" s="68">
        <f t="shared" si="1"/>
        <v>0</v>
      </c>
      <c r="N64" s="117">
        <f>'Schedule 2J Adjustments'!X63</f>
        <v>0</v>
      </c>
      <c r="O64" s="117">
        <f>'Schedule 2J Adjustments'!AA63</f>
        <v>0</v>
      </c>
    </row>
    <row r="65" spans="1:15" x14ac:dyDescent="0.35">
      <c r="A65" s="24">
        <v>50</v>
      </c>
      <c r="B65" s="565" t="str">
        <f>'Schedule 2J Adjustments'!B64:D64</f>
        <v/>
      </c>
      <c r="C65" s="565"/>
      <c r="D65" s="565"/>
      <c r="F65" s="114">
        <f>'Schedule 2J Adjustments'!H64</f>
        <v>0</v>
      </c>
      <c r="G65" s="68">
        <f>'Schedule 2J Adjustments'!J64</f>
        <v>0</v>
      </c>
      <c r="H65" s="68">
        <f t="shared" si="0"/>
        <v>0</v>
      </c>
      <c r="J65" s="114">
        <f>'Schedule 2J Adjustments'!P64</f>
        <v>0</v>
      </c>
      <c r="K65" s="68">
        <f>'Schedule 2J Adjustments'!R64</f>
        <v>0</v>
      </c>
      <c r="L65" s="68">
        <f t="shared" si="1"/>
        <v>0</v>
      </c>
      <c r="N65" s="117">
        <f>'Schedule 2J Adjustments'!X64</f>
        <v>0</v>
      </c>
      <c r="O65" s="117">
        <f>'Schedule 2J Adjustments'!AA64</f>
        <v>0</v>
      </c>
    </row>
    <row r="66" spans="1:15" x14ac:dyDescent="0.35">
      <c r="A66" s="24">
        <v>51</v>
      </c>
      <c r="B66" s="565" t="str">
        <f>'Schedule 2J Adjustments'!B65:D65</f>
        <v/>
      </c>
      <c r="C66" s="565"/>
      <c r="D66" s="565"/>
      <c r="F66" s="114">
        <f>'Schedule 2J Adjustments'!H65</f>
        <v>0</v>
      </c>
      <c r="G66" s="68">
        <f>'Schedule 2J Adjustments'!J65</f>
        <v>0</v>
      </c>
      <c r="H66" s="68">
        <f t="shared" si="0"/>
        <v>0</v>
      </c>
      <c r="J66" s="114">
        <f>'Schedule 2J Adjustments'!P65</f>
        <v>0</v>
      </c>
      <c r="K66" s="68">
        <f>'Schedule 2J Adjustments'!R65</f>
        <v>0</v>
      </c>
      <c r="L66" s="68">
        <f t="shared" si="1"/>
        <v>0</v>
      </c>
      <c r="N66" s="117">
        <f>'Schedule 2J Adjustments'!X65</f>
        <v>0</v>
      </c>
      <c r="O66" s="117">
        <f>'Schedule 2J Adjustments'!AA65</f>
        <v>0</v>
      </c>
    </row>
    <row r="67" spans="1:15" x14ac:dyDescent="0.35">
      <c r="A67" s="24">
        <v>52</v>
      </c>
      <c r="B67" s="565" t="str">
        <f>'Schedule 2J Adjustments'!B66:D66</f>
        <v/>
      </c>
      <c r="C67" s="565"/>
      <c r="D67" s="565"/>
      <c r="F67" s="114">
        <f>'Schedule 2J Adjustments'!H66</f>
        <v>0</v>
      </c>
      <c r="G67" s="68">
        <f>'Schedule 2J Adjustments'!J66</f>
        <v>0</v>
      </c>
      <c r="H67" s="68">
        <f t="shared" si="0"/>
        <v>0</v>
      </c>
      <c r="J67" s="114">
        <f>'Schedule 2J Adjustments'!P66</f>
        <v>0</v>
      </c>
      <c r="K67" s="68">
        <f>'Schedule 2J Adjustments'!R66</f>
        <v>0</v>
      </c>
      <c r="L67" s="68">
        <f t="shared" si="1"/>
        <v>0</v>
      </c>
      <c r="N67" s="117">
        <f>'Schedule 2J Adjustments'!X66</f>
        <v>0</v>
      </c>
      <c r="O67" s="117">
        <f>'Schedule 2J Adjustments'!AA66</f>
        <v>0</v>
      </c>
    </row>
    <row r="68" spans="1:15" x14ac:dyDescent="0.35">
      <c r="A68" s="24">
        <v>53</v>
      </c>
      <c r="B68" s="565" t="str">
        <f>'Schedule 2J Adjustments'!B67:D67</f>
        <v/>
      </c>
      <c r="C68" s="565"/>
      <c r="D68" s="565"/>
      <c r="F68" s="114">
        <f>'Schedule 2J Adjustments'!H67</f>
        <v>0</v>
      </c>
      <c r="G68" s="68">
        <f>'Schedule 2J Adjustments'!J67</f>
        <v>0</v>
      </c>
      <c r="H68" s="68">
        <f t="shared" si="0"/>
        <v>0</v>
      </c>
      <c r="J68" s="114">
        <f>'Schedule 2J Adjustments'!P67</f>
        <v>0</v>
      </c>
      <c r="K68" s="68">
        <f>'Schedule 2J Adjustments'!R67</f>
        <v>0</v>
      </c>
      <c r="L68" s="68">
        <f t="shared" si="1"/>
        <v>0</v>
      </c>
      <c r="N68" s="117">
        <f>'Schedule 2J Adjustments'!X67</f>
        <v>0</v>
      </c>
      <c r="O68" s="117">
        <f>'Schedule 2J Adjustments'!AA67</f>
        <v>0</v>
      </c>
    </row>
    <row r="69" spans="1:15" x14ac:dyDescent="0.35">
      <c r="A69" s="24">
        <v>54</v>
      </c>
      <c r="B69" s="565" t="str">
        <f>'Schedule 2J Adjustments'!B68:D68</f>
        <v/>
      </c>
      <c r="C69" s="565"/>
      <c r="D69" s="565"/>
      <c r="F69" s="114">
        <f>'Schedule 2J Adjustments'!H68</f>
        <v>0</v>
      </c>
      <c r="G69" s="68">
        <f>'Schedule 2J Adjustments'!J68</f>
        <v>0</v>
      </c>
      <c r="H69" s="68">
        <f t="shared" si="0"/>
        <v>0</v>
      </c>
      <c r="J69" s="114">
        <f>'Schedule 2J Adjustments'!P68</f>
        <v>0</v>
      </c>
      <c r="K69" s="68">
        <f>'Schedule 2J Adjustments'!R68</f>
        <v>0</v>
      </c>
      <c r="L69" s="68">
        <f t="shared" si="1"/>
        <v>0</v>
      </c>
      <c r="N69" s="117">
        <f>'Schedule 2J Adjustments'!X68</f>
        <v>0</v>
      </c>
      <c r="O69" s="117">
        <f>'Schedule 2J Adjustments'!AA68</f>
        <v>0</v>
      </c>
    </row>
    <row r="70" spans="1:15" x14ac:dyDescent="0.35">
      <c r="A70" s="24">
        <v>55</v>
      </c>
      <c r="B70" s="565" t="str">
        <f>'Schedule 2J Adjustments'!B69:D69</f>
        <v/>
      </c>
      <c r="C70" s="565"/>
      <c r="D70" s="565"/>
      <c r="F70" s="114">
        <f>'Schedule 2J Adjustments'!H69</f>
        <v>0</v>
      </c>
      <c r="G70" s="68">
        <f>'Schedule 2J Adjustments'!J69</f>
        <v>0</v>
      </c>
      <c r="H70" s="68">
        <f t="shared" si="0"/>
        <v>0</v>
      </c>
      <c r="J70" s="114">
        <f>'Schedule 2J Adjustments'!P69</f>
        <v>0</v>
      </c>
      <c r="K70" s="68">
        <f>'Schedule 2J Adjustments'!R69</f>
        <v>0</v>
      </c>
      <c r="L70" s="68">
        <f t="shared" si="1"/>
        <v>0</v>
      </c>
      <c r="N70" s="117">
        <f>'Schedule 2J Adjustments'!X69</f>
        <v>0</v>
      </c>
      <c r="O70" s="117">
        <f>'Schedule 2J Adjustments'!AA69</f>
        <v>0</v>
      </c>
    </row>
    <row r="71" spans="1:15" x14ac:dyDescent="0.35">
      <c r="A71" s="24">
        <v>56</v>
      </c>
      <c r="B71" s="565" t="str">
        <f>'Schedule 2J Adjustments'!B70:D70</f>
        <v/>
      </c>
      <c r="C71" s="565"/>
      <c r="D71" s="565"/>
      <c r="F71" s="114">
        <f>'Schedule 2J Adjustments'!H70</f>
        <v>0</v>
      </c>
      <c r="G71" s="68">
        <f>'Schedule 2J Adjustments'!J70</f>
        <v>0</v>
      </c>
      <c r="H71" s="68">
        <f t="shared" si="0"/>
        <v>0</v>
      </c>
      <c r="J71" s="114">
        <f>'Schedule 2J Adjustments'!P70</f>
        <v>0</v>
      </c>
      <c r="K71" s="68">
        <f>'Schedule 2J Adjustments'!R70</f>
        <v>0</v>
      </c>
      <c r="L71" s="68">
        <f t="shared" si="1"/>
        <v>0</v>
      </c>
      <c r="N71" s="117">
        <f>'Schedule 2J Adjustments'!X70</f>
        <v>0</v>
      </c>
      <c r="O71" s="117">
        <f>'Schedule 2J Adjustments'!AA70</f>
        <v>0</v>
      </c>
    </row>
    <row r="72" spans="1:15" x14ac:dyDescent="0.35">
      <c r="A72" s="24">
        <v>57</v>
      </c>
      <c r="B72" s="565" t="str">
        <f>'Schedule 2J Adjustments'!B71:D71</f>
        <v/>
      </c>
      <c r="C72" s="565"/>
      <c r="D72" s="565"/>
      <c r="F72" s="114">
        <f>'Schedule 2J Adjustments'!H71</f>
        <v>0</v>
      </c>
      <c r="G72" s="68">
        <f>'Schedule 2J Adjustments'!J71</f>
        <v>0</v>
      </c>
      <c r="H72" s="68">
        <f t="shared" si="0"/>
        <v>0</v>
      </c>
      <c r="J72" s="114">
        <f>'Schedule 2J Adjustments'!P71</f>
        <v>0</v>
      </c>
      <c r="K72" s="68">
        <f>'Schedule 2J Adjustments'!R71</f>
        <v>0</v>
      </c>
      <c r="L72" s="68">
        <f t="shared" si="1"/>
        <v>0</v>
      </c>
      <c r="N72" s="117">
        <f>'Schedule 2J Adjustments'!X71</f>
        <v>0</v>
      </c>
      <c r="O72" s="117">
        <f>'Schedule 2J Adjustments'!AA71</f>
        <v>0</v>
      </c>
    </row>
    <row r="73" spans="1:15" x14ac:dyDescent="0.35">
      <c r="A73" s="24">
        <v>58</v>
      </c>
      <c r="B73" s="565" t="str">
        <f>'Schedule 2J Adjustments'!B72:D72</f>
        <v/>
      </c>
      <c r="C73" s="565"/>
      <c r="D73" s="565"/>
      <c r="F73" s="114">
        <f>'Schedule 2J Adjustments'!H72</f>
        <v>0</v>
      </c>
      <c r="G73" s="68">
        <f>'Schedule 2J Adjustments'!J72</f>
        <v>0</v>
      </c>
      <c r="H73" s="68">
        <f t="shared" si="0"/>
        <v>0</v>
      </c>
      <c r="J73" s="114">
        <f>'Schedule 2J Adjustments'!P72</f>
        <v>0</v>
      </c>
      <c r="K73" s="68">
        <f>'Schedule 2J Adjustments'!R72</f>
        <v>0</v>
      </c>
      <c r="L73" s="68">
        <f t="shared" si="1"/>
        <v>0</v>
      </c>
      <c r="N73" s="117">
        <f>'Schedule 2J Adjustments'!X72</f>
        <v>0</v>
      </c>
      <c r="O73" s="117">
        <f>'Schedule 2J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17302493-42B1-4877-869E-E424A97AE78B}" state="hidden">
      <selection activeCell="F17" sqref="F17"/>
      <pageMargins left="0.7" right="0.7" top="0.75" bottom="0.75" header="0.3" footer="0.3"/>
    </customSheetView>
    <customSheetView guid="{5C0BA3A5-859C-46C2-B685-44D9A90065E4}">
      <selection activeCell="I9" sqref="I9"/>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 t="s">
        <v>857</v>
      </c>
      <c r="B3" s="5"/>
      <c r="C3" s="5"/>
      <c r="D3" s="5"/>
      <c r="E3" s="5"/>
      <c r="F3" s="5"/>
      <c r="G3" s="5"/>
      <c r="H3" s="5"/>
    </row>
    <row r="4" spans="1:15" ht="25" customHeight="1" x14ac:dyDescent="0.5">
      <c r="A4" s="235" t="str">
        <f>Results!A4</f>
        <v>Final Adjustments</v>
      </c>
      <c r="B4" s="354"/>
      <c r="C4" s="354"/>
      <c r="D4" s="354"/>
      <c r="E4" s="354"/>
      <c r="F4" s="354"/>
      <c r="G4" s="354"/>
      <c r="H4" s="354"/>
    </row>
    <row r="6" spans="1:15" x14ac:dyDescent="0.35">
      <c r="A6" s="1" t="s">
        <v>776</v>
      </c>
      <c r="C6" s="414" t="str">
        <f>Results!$C$6</f>
        <v>WellPower</v>
      </c>
    </row>
    <row r="7" spans="1:15" x14ac:dyDescent="0.35">
      <c r="A7" s="1" t="s">
        <v>0</v>
      </c>
      <c r="C7" s="35">
        <f>Results!$C$7</f>
        <v>45473</v>
      </c>
      <c r="F7" s="35"/>
    </row>
    <row r="9" spans="1:15" x14ac:dyDescent="0.35">
      <c r="A9" s="1" t="s">
        <v>253</v>
      </c>
      <c r="B9" s="1" t="s">
        <v>831</v>
      </c>
      <c r="C9" s="1"/>
      <c r="F9" s="116" t="str">
        <f>'Schedule 2K Adjustments'!F8</f>
        <v>Yes/No</v>
      </c>
      <c r="G9" s="41" t="s">
        <v>259</v>
      </c>
    </row>
    <row r="11" spans="1:15" x14ac:dyDescent="0.35">
      <c r="A11" s="1" t="s">
        <v>254</v>
      </c>
      <c r="B11" s="1" t="s">
        <v>256</v>
      </c>
      <c r="C11" s="1"/>
    </row>
    <row r="12" spans="1:15" x14ac:dyDescent="0.35">
      <c r="B12" s="311" t="s">
        <v>592</v>
      </c>
    </row>
    <row r="13" spans="1:15" x14ac:dyDescent="0.35">
      <c r="B13" s="560">
        <v>1</v>
      </c>
      <c r="C13" s="560"/>
      <c r="D13" s="560"/>
      <c r="F13" s="23">
        <v>2</v>
      </c>
      <c r="G13" s="23">
        <v>3</v>
      </c>
      <c r="H13" s="23">
        <v>4</v>
      </c>
      <c r="J13" s="23">
        <v>5</v>
      </c>
      <c r="K13" s="23">
        <v>6</v>
      </c>
      <c r="L13" s="23">
        <v>7</v>
      </c>
      <c r="N13" s="23">
        <v>8</v>
      </c>
      <c r="O13" s="23">
        <v>9</v>
      </c>
    </row>
    <row r="14" spans="1:15" ht="15" customHeight="1" x14ac:dyDescent="0.35">
      <c r="B14" s="569" t="s">
        <v>606</v>
      </c>
      <c r="C14" s="570"/>
      <c r="D14" s="571"/>
      <c r="F14" s="563" t="s">
        <v>261</v>
      </c>
      <c r="G14" s="568"/>
      <c r="H14" s="564"/>
      <c r="J14" s="563" t="s">
        <v>262</v>
      </c>
      <c r="K14" s="568"/>
      <c r="L14" s="564"/>
      <c r="N14" s="566" t="s">
        <v>686</v>
      </c>
      <c r="O14" s="566" t="s">
        <v>687</v>
      </c>
    </row>
    <row r="15" spans="1:15" ht="55.5" customHeight="1" x14ac:dyDescent="0.35">
      <c r="B15" s="572"/>
      <c r="C15" s="573"/>
      <c r="D15" s="574"/>
      <c r="E15" s="48"/>
      <c r="F15" s="10" t="s">
        <v>683</v>
      </c>
      <c r="G15" s="142" t="s">
        <v>684</v>
      </c>
      <c r="H15" s="142" t="s">
        <v>685</v>
      </c>
      <c r="I15" s="99"/>
      <c r="J15" s="10" t="s">
        <v>683</v>
      </c>
      <c r="K15" s="142" t="s">
        <v>684</v>
      </c>
      <c r="L15" s="142" t="s">
        <v>685</v>
      </c>
      <c r="M15" s="48"/>
      <c r="N15" s="567"/>
      <c r="O15" s="567"/>
    </row>
    <row r="16" spans="1:15" x14ac:dyDescent="0.35">
      <c r="A16" s="24">
        <v>1</v>
      </c>
      <c r="B16" s="565" t="str">
        <f>'Schedule 2K Adjustments'!B15:D15</f>
        <v/>
      </c>
      <c r="C16" s="565"/>
      <c r="D16" s="565"/>
      <c r="F16" s="114">
        <f>'Schedule 2K Adjustments'!H15</f>
        <v>0</v>
      </c>
      <c r="G16" s="68">
        <f>'Schedule 2K Adjustments'!J15</f>
        <v>0</v>
      </c>
      <c r="H16" s="68">
        <f>SUM(F16:G16)</f>
        <v>0</v>
      </c>
      <c r="J16" s="114">
        <f>'Schedule 2K Adjustments'!P15</f>
        <v>0</v>
      </c>
      <c r="K16" s="68">
        <f>'Schedule 2K Adjustments'!R15</f>
        <v>0</v>
      </c>
      <c r="L16" s="68">
        <f>SUM(J16:K16)</f>
        <v>0</v>
      </c>
      <c r="N16" s="117">
        <f>'Schedule 2K Adjustments'!X15</f>
        <v>0</v>
      </c>
      <c r="O16" s="117">
        <f>'Schedule 2K Adjustments'!AA15</f>
        <v>0</v>
      </c>
    </row>
    <row r="17" spans="1:15" x14ac:dyDescent="0.35">
      <c r="A17" s="24">
        <v>2</v>
      </c>
      <c r="B17" s="565" t="str">
        <f>'Schedule 2K Adjustments'!B16:D16</f>
        <v/>
      </c>
      <c r="C17" s="565"/>
      <c r="D17" s="565"/>
      <c r="F17" s="114">
        <f>'Schedule 2K Adjustments'!H16</f>
        <v>0</v>
      </c>
      <c r="G17" s="68">
        <f>'Schedule 2K Adjustments'!J16</f>
        <v>0</v>
      </c>
      <c r="H17" s="68">
        <f t="shared" ref="H17:H73" si="0">SUM(F17:G17)</f>
        <v>0</v>
      </c>
      <c r="J17" s="114">
        <f>'Schedule 2K Adjustments'!P16</f>
        <v>0</v>
      </c>
      <c r="K17" s="68">
        <f>'Schedule 2K Adjustments'!R16</f>
        <v>0</v>
      </c>
      <c r="L17" s="68">
        <f t="shared" ref="L17:L73" si="1">SUM(J17:K17)</f>
        <v>0</v>
      </c>
      <c r="N17" s="117">
        <f>'Schedule 2K Adjustments'!X16</f>
        <v>0</v>
      </c>
      <c r="O17" s="117">
        <f>'Schedule 2K Adjustments'!AA16</f>
        <v>0</v>
      </c>
    </row>
    <row r="18" spans="1:15" x14ac:dyDescent="0.35">
      <c r="A18" s="24">
        <v>3</v>
      </c>
      <c r="B18" s="565" t="str">
        <f>'Schedule 2K Adjustments'!B17:D17</f>
        <v/>
      </c>
      <c r="C18" s="565"/>
      <c r="D18" s="565"/>
      <c r="F18" s="114">
        <f>'Schedule 2K Adjustments'!H17</f>
        <v>0</v>
      </c>
      <c r="G18" s="68">
        <f>'Schedule 2K Adjustments'!J17</f>
        <v>0</v>
      </c>
      <c r="H18" s="68">
        <f t="shared" si="0"/>
        <v>0</v>
      </c>
      <c r="J18" s="114">
        <f>'Schedule 2K Adjustments'!P17</f>
        <v>0</v>
      </c>
      <c r="K18" s="68">
        <f>'Schedule 2K Adjustments'!R17</f>
        <v>0</v>
      </c>
      <c r="L18" s="68">
        <f t="shared" si="1"/>
        <v>0</v>
      </c>
      <c r="N18" s="117">
        <f>'Schedule 2K Adjustments'!X17</f>
        <v>0</v>
      </c>
      <c r="O18" s="117">
        <f>'Schedule 2K Adjustments'!AA17</f>
        <v>0</v>
      </c>
    </row>
    <row r="19" spans="1:15" x14ac:dyDescent="0.35">
      <c r="A19" s="24">
        <v>4</v>
      </c>
      <c r="B19" s="565" t="str">
        <f>'Schedule 2K Adjustments'!B18:D18</f>
        <v/>
      </c>
      <c r="C19" s="565"/>
      <c r="D19" s="565"/>
      <c r="F19" s="114">
        <f>'Schedule 2K Adjustments'!H18</f>
        <v>0</v>
      </c>
      <c r="G19" s="68">
        <f>'Schedule 2K Adjustments'!J18</f>
        <v>0</v>
      </c>
      <c r="H19" s="68">
        <f t="shared" si="0"/>
        <v>0</v>
      </c>
      <c r="J19" s="114">
        <f>'Schedule 2K Adjustments'!P18</f>
        <v>0</v>
      </c>
      <c r="K19" s="68">
        <f>'Schedule 2K Adjustments'!R18</f>
        <v>0</v>
      </c>
      <c r="L19" s="68">
        <f t="shared" si="1"/>
        <v>0</v>
      </c>
      <c r="N19" s="117">
        <f>'Schedule 2K Adjustments'!X18</f>
        <v>0</v>
      </c>
      <c r="O19" s="117">
        <f>'Schedule 2K Adjustments'!AA18</f>
        <v>0</v>
      </c>
    </row>
    <row r="20" spans="1:15" x14ac:dyDescent="0.35">
      <c r="A20" s="24">
        <v>5</v>
      </c>
      <c r="B20" s="565" t="str">
        <f>'Schedule 2K Adjustments'!B19:D19</f>
        <v/>
      </c>
      <c r="C20" s="565"/>
      <c r="D20" s="565"/>
      <c r="F20" s="114">
        <f>'Schedule 2K Adjustments'!H19</f>
        <v>0</v>
      </c>
      <c r="G20" s="68">
        <f>'Schedule 2K Adjustments'!J19</f>
        <v>0</v>
      </c>
      <c r="H20" s="68">
        <f t="shared" si="0"/>
        <v>0</v>
      </c>
      <c r="J20" s="114">
        <f>'Schedule 2K Adjustments'!P19</f>
        <v>0</v>
      </c>
      <c r="K20" s="68">
        <f>'Schedule 2K Adjustments'!R19</f>
        <v>0</v>
      </c>
      <c r="L20" s="68">
        <f t="shared" si="1"/>
        <v>0</v>
      </c>
      <c r="N20" s="117">
        <f>'Schedule 2K Adjustments'!X19</f>
        <v>0</v>
      </c>
      <c r="O20" s="117">
        <f>'Schedule 2K Adjustments'!AA19</f>
        <v>0</v>
      </c>
    </row>
    <row r="21" spans="1:15" x14ac:dyDescent="0.35">
      <c r="A21" s="24">
        <v>6</v>
      </c>
      <c r="B21" s="565" t="str">
        <f>'Schedule 2K Adjustments'!B20:D20</f>
        <v/>
      </c>
      <c r="C21" s="565"/>
      <c r="D21" s="565"/>
      <c r="F21" s="114">
        <f>'Schedule 2K Adjustments'!H20</f>
        <v>0</v>
      </c>
      <c r="G21" s="68">
        <f>'Schedule 2K Adjustments'!J20</f>
        <v>0</v>
      </c>
      <c r="H21" s="68">
        <f t="shared" si="0"/>
        <v>0</v>
      </c>
      <c r="J21" s="114">
        <f>'Schedule 2K Adjustments'!P20</f>
        <v>0</v>
      </c>
      <c r="K21" s="68">
        <f>'Schedule 2K Adjustments'!R20</f>
        <v>0</v>
      </c>
      <c r="L21" s="68">
        <f t="shared" si="1"/>
        <v>0</v>
      </c>
      <c r="N21" s="117">
        <f>'Schedule 2K Adjustments'!X20</f>
        <v>0</v>
      </c>
      <c r="O21" s="117">
        <f>'Schedule 2K Adjustments'!AA20</f>
        <v>0</v>
      </c>
    </row>
    <row r="22" spans="1:15" x14ac:dyDescent="0.35">
      <c r="A22" s="24">
        <v>7</v>
      </c>
      <c r="B22" s="565" t="str">
        <f>'Schedule 2K Adjustments'!B21:D21</f>
        <v/>
      </c>
      <c r="C22" s="565"/>
      <c r="D22" s="565"/>
      <c r="F22" s="114">
        <f>'Schedule 2K Adjustments'!H21</f>
        <v>0</v>
      </c>
      <c r="G22" s="68">
        <f>'Schedule 2K Adjustments'!J21</f>
        <v>0</v>
      </c>
      <c r="H22" s="68">
        <f t="shared" si="0"/>
        <v>0</v>
      </c>
      <c r="J22" s="114">
        <f>'Schedule 2K Adjustments'!P21</f>
        <v>0</v>
      </c>
      <c r="K22" s="68">
        <f>'Schedule 2K Adjustments'!R21</f>
        <v>0</v>
      </c>
      <c r="L22" s="68">
        <f t="shared" si="1"/>
        <v>0</v>
      </c>
      <c r="N22" s="117">
        <f>'Schedule 2K Adjustments'!X21</f>
        <v>0</v>
      </c>
      <c r="O22" s="117">
        <f>'Schedule 2K Adjustments'!AA21</f>
        <v>0</v>
      </c>
    </row>
    <row r="23" spans="1:15" x14ac:dyDescent="0.35">
      <c r="A23" s="24">
        <v>8</v>
      </c>
      <c r="B23" s="565" t="str">
        <f>'Schedule 2K Adjustments'!B22:D22</f>
        <v/>
      </c>
      <c r="C23" s="565"/>
      <c r="D23" s="565"/>
      <c r="F23" s="114">
        <f>'Schedule 2K Adjustments'!H22</f>
        <v>0</v>
      </c>
      <c r="G23" s="68">
        <f>'Schedule 2K Adjustments'!J22</f>
        <v>0</v>
      </c>
      <c r="H23" s="68">
        <f t="shared" si="0"/>
        <v>0</v>
      </c>
      <c r="J23" s="114">
        <f>'Schedule 2K Adjustments'!P22</f>
        <v>0</v>
      </c>
      <c r="K23" s="68">
        <f>'Schedule 2K Adjustments'!R22</f>
        <v>0</v>
      </c>
      <c r="L23" s="68">
        <f t="shared" si="1"/>
        <v>0</v>
      </c>
      <c r="N23" s="117">
        <f>'Schedule 2K Adjustments'!X22</f>
        <v>0</v>
      </c>
      <c r="O23" s="117">
        <f>'Schedule 2K Adjustments'!AA22</f>
        <v>0</v>
      </c>
    </row>
    <row r="24" spans="1:15" x14ac:dyDescent="0.35">
      <c r="A24" s="24">
        <v>9</v>
      </c>
      <c r="B24" s="565" t="str">
        <f>'Schedule 2K Adjustments'!B23:D23</f>
        <v/>
      </c>
      <c r="C24" s="565"/>
      <c r="D24" s="565"/>
      <c r="F24" s="114">
        <f>'Schedule 2K Adjustments'!H23</f>
        <v>0</v>
      </c>
      <c r="G24" s="68">
        <f>'Schedule 2K Adjustments'!J23</f>
        <v>0</v>
      </c>
      <c r="H24" s="68">
        <f t="shared" si="0"/>
        <v>0</v>
      </c>
      <c r="J24" s="114">
        <f>'Schedule 2K Adjustments'!P23</f>
        <v>0</v>
      </c>
      <c r="K24" s="68">
        <f>'Schedule 2K Adjustments'!R23</f>
        <v>0</v>
      </c>
      <c r="L24" s="68">
        <f t="shared" si="1"/>
        <v>0</v>
      </c>
      <c r="N24" s="117">
        <f>'Schedule 2K Adjustments'!X23</f>
        <v>0</v>
      </c>
      <c r="O24" s="117">
        <f>'Schedule 2K Adjustments'!AA23</f>
        <v>0</v>
      </c>
    </row>
    <row r="25" spans="1:15" x14ac:dyDescent="0.35">
      <c r="A25" s="24">
        <v>10</v>
      </c>
      <c r="B25" s="565" t="str">
        <f>'Schedule 2K Adjustments'!B24:D24</f>
        <v/>
      </c>
      <c r="C25" s="565"/>
      <c r="D25" s="565"/>
      <c r="F25" s="114">
        <f>'Schedule 2K Adjustments'!H24</f>
        <v>0</v>
      </c>
      <c r="G25" s="68">
        <f>'Schedule 2K Adjustments'!J24</f>
        <v>0</v>
      </c>
      <c r="H25" s="68">
        <f t="shared" si="0"/>
        <v>0</v>
      </c>
      <c r="J25" s="114">
        <f>'Schedule 2K Adjustments'!P24</f>
        <v>0</v>
      </c>
      <c r="K25" s="68">
        <f>'Schedule 2K Adjustments'!R24</f>
        <v>0</v>
      </c>
      <c r="L25" s="68">
        <f t="shared" si="1"/>
        <v>0</v>
      </c>
      <c r="N25" s="117">
        <f>'Schedule 2K Adjustments'!X24</f>
        <v>0</v>
      </c>
      <c r="O25" s="117">
        <f>'Schedule 2K Adjustments'!AA24</f>
        <v>0</v>
      </c>
    </row>
    <row r="26" spans="1:15" x14ac:dyDescent="0.35">
      <c r="A26" s="24">
        <v>11</v>
      </c>
      <c r="B26" s="565" t="str">
        <f>'Schedule 2K Adjustments'!B25:D25</f>
        <v/>
      </c>
      <c r="C26" s="565"/>
      <c r="D26" s="565"/>
      <c r="F26" s="114">
        <f>'Schedule 2K Adjustments'!H25</f>
        <v>0</v>
      </c>
      <c r="G26" s="68">
        <f>'Schedule 2K Adjustments'!J25</f>
        <v>0</v>
      </c>
      <c r="H26" s="68">
        <f t="shared" si="0"/>
        <v>0</v>
      </c>
      <c r="J26" s="114">
        <f>'Schedule 2K Adjustments'!P25</f>
        <v>0</v>
      </c>
      <c r="K26" s="68">
        <f>'Schedule 2K Adjustments'!R25</f>
        <v>0</v>
      </c>
      <c r="L26" s="68">
        <f t="shared" si="1"/>
        <v>0</v>
      </c>
      <c r="N26" s="117">
        <f>'Schedule 2K Adjustments'!X25</f>
        <v>0</v>
      </c>
      <c r="O26" s="117">
        <f>'Schedule 2K Adjustments'!AA25</f>
        <v>0</v>
      </c>
    </row>
    <row r="27" spans="1:15" x14ac:dyDescent="0.35">
      <c r="A27" s="24">
        <v>12</v>
      </c>
      <c r="B27" s="565" t="str">
        <f>'Schedule 2K Adjustments'!B26:D26</f>
        <v/>
      </c>
      <c r="C27" s="565"/>
      <c r="D27" s="565"/>
      <c r="F27" s="114">
        <f>'Schedule 2K Adjustments'!H26</f>
        <v>0</v>
      </c>
      <c r="G27" s="68">
        <f>'Schedule 2K Adjustments'!J26</f>
        <v>0</v>
      </c>
      <c r="H27" s="68">
        <f t="shared" si="0"/>
        <v>0</v>
      </c>
      <c r="J27" s="114">
        <f>'Schedule 2K Adjustments'!P26</f>
        <v>0</v>
      </c>
      <c r="K27" s="68">
        <f>'Schedule 2K Adjustments'!R26</f>
        <v>0</v>
      </c>
      <c r="L27" s="68">
        <f t="shared" si="1"/>
        <v>0</v>
      </c>
      <c r="N27" s="117">
        <f>'Schedule 2K Adjustments'!X26</f>
        <v>0</v>
      </c>
      <c r="O27" s="117">
        <f>'Schedule 2K Adjustments'!AA26</f>
        <v>0</v>
      </c>
    </row>
    <row r="28" spans="1:15" x14ac:dyDescent="0.35">
      <c r="A28" s="24">
        <v>13</v>
      </c>
      <c r="B28" s="565" t="str">
        <f>'Schedule 2K Adjustments'!B27:D27</f>
        <v/>
      </c>
      <c r="C28" s="565"/>
      <c r="D28" s="565"/>
      <c r="F28" s="114">
        <f>'Schedule 2K Adjustments'!H27</f>
        <v>0</v>
      </c>
      <c r="G28" s="68">
        <f>'Schedule 2K Adjustments'!J27</f>
        <v>0</v>
      </c>
      <c r="H28" s="68">
        <f t="shared" si="0"/>
        <v>0</v>
      </c>
      <c r="J28" s="114">
        <f>'Schedule 2K Adjustments'!P27</f>
        <v>0</v>
      </c>
      <c r="K28" s="68">
        <f>'Schedule 2K Adjustments'!R27</f>
        <v>0</v>
      </c>
      <c r="L28" s="68">
        <f t="shared" si="1"/>
        <v>0</v>
      </c>
      <c r="N28" s="117">
        <f>'Schedule 2K Adjustments'!X27</f>
        <v>0</v>
      </c>
      <c r="O28" s="117">
        <f>'Schedule 2K Adjustments'!AA27</f>
        <v>0</v>
      </c>
    </row>
    <row r="29" spans="1:15" x14ac:dyDescent="0.35">
      <c r="A29" s="24">
        <v>14</v>
      </c>
      <c r="B29" s="565" t="str">
        <f>'Schedule 2K Adjustments'!B28:D28</f>
        <v/>
      </c>
      <c r="C29" s="565"/>
      <c r="D29" s="565"/>
      <c r="F29" s="114">
        <f>'Schedule 2K Adjustments'!H28</f>
        <v>0</v>
      </c>
      <c r="G29" s="68">
        <f>'Schedule 2K Adjustments'!J28</f>
        <v>0</v>
      </c>
      <c r="H29" s="68">
        <f t="shared" si="0"/>
        <v>0</v>
      </c>
      <c r="J29" s="114">
        <f>'Schedule 2K Adjustments'!P28</f>
        <v>0</v>
      </c>
      <c r="K29" s="68">
        <f>'Schedule 2K Adjustments'!R28</f>
        <v>0</v>
      </c>
      <c r="L29" s="68">
        <f t="shared" si="1"/>
        <v>0</v>
      </c>
      <c r="N29" s="117">
        <f>'Schedule 2K Adjustments'!X28</f>
        <v>0</v>
      </c>
      <c r="O29" s="117">
        <f>'Schedule 2K Adjustments'!AA28</f>
        <v>0</v>
      </c>
    </row>
    <row r="30" spans="1:15" x14ac:dyDescent="0.35">
      <c r="A30" s="24">
        <v>15</v>
      </c>
      <c r="B30" s="565" t="str">
        <f>'Schedule 2K Adjustments'!B29:D29</f>
        <v/>
      </c>
      <c r="C30" s="565"/>
      <c r="D30" s="565"/>
      <c r="F30" s="114">
        <f>'Schedule 2K Adjustments'!H29</f>
        <v>0</v>
      </c>
      <c r="G30" s="68">
        <f>'Schedule 2K Adjustments'!J29</f>
        <v>0</v>
      </c>
      <c r="H30" s="68">
        <f t="shared" si="0"/>
        <v>0</v>
      </c>
      <c r="J30" s="114">
        <f>'Schedule 2K Adjustments'!P29</f>
        <v>0</v>
      </c>
      <c r="K30" s="68">
        <f>'Schedule 2K Adjustments'!R29</f>
        <v>0</v>
      </c>
      <c r="L30" s="68">
        <f t="shared" si="1"/>
        <v>0</v>
      </c>
      <c r="N30" s="117">
        <f>'Schedule 2K Adjustments'!X29</f>
        <v>0</v>
      </c>
      <c r="O30" s="117">
        <f>'Schedule 2K Adjustments'!AA29</f>
        <v>0</v>
      </c>
    </row>
    <row r="31" spans="1:15" x14ac:dyDescent="0.35">
      <c r="A31" s="24">
        <v>16</v>
      </c>
      <c r="B31" s="565" t="str">
        <f>'Schedule 2K Adjustments'!B30:D30</f>
        <v/>
      </c>
      <c r="C31" s="565"/>
      <c r="D31" s="565"/>
      <c r="F31" s="114">
        <f>'Schedule 2K Adjustments'!H30</f>
        <v>0</v>
      </c>
      <c r="G31" s="68">
        <f>'Schedule 2K Adjustments'!J30</f>
        <v>0</v>
      </c>
      <c r="H31" s="68">
        <f t="shared" si="0"/>
        <v>0</v>
      </c>
      <c r="J31" s="114">
        <f>'Schedule 2K Adjustments'!P30</f>
        <v>0</v>
      </c>
      <c r="K31" s="68">
        <f>'Schedule 2K Adjustments'!R30</f>
        <v>0</v>
      </c>
      <c r="L31" s="68">
        <f t="shared" si="1"/>
        <v>0</v>
      </c>
      <c r="N31" s="117">
        <f>'Schedule 2K Adjustments'!X30</f>
        <v>0</v>
      </c>
      <c r="O31" s="117">
        <f>'Schedule 2K Adjustments'!AA30</f>
        <v>0</v>
      </c>
    </row>
    <row r="32" spans="1:15" x14ac:dyDescent="0.35">
      <c r="A32" s="24">
        <v>17</v>
      </c>
      <c r="B32" s="565" t="str">
        <f>'Schedule 2K Adjustments'!B31:D31</f>
        <v/>
      </c>
      <c r="C32" s="565"/>
      <c r="D32" s="565"/>
      <c r="F32" s="114">
        <f>'Schedule 2K Adjustments'!H31</f>
        <v>0</v>
      </c>
      <c r="G32" s="68">
        <f>'Schedule 2K Adjustments'!J31</f>
        <v>0</v>
      </c>
      <c r="H32" s="68">
        <f t="shared" si="0"/>
        <v>0</v>
      </c>
      <c r="J32" s="114">
        <f>'Schedule 2K Adjustments'!P31</f>
        <v>0</v>
      </c>
      <c r="K32" s="68">
        <f>'Schedule 2K Adjustments'!R31</f>
        <v>0</v>
      </c>
      <c r="L32" s="68">
        <f t="shared" si="1"/>
        <v>0</v>
      </c>
      <c r="N32" s="117">
        <f>'Schedule 2K Adjustments'!X31</f>
        <v>0</v>
      </c>
      <c r="O32" s="117">
        <f>'Schedule 2K Adjustments'!AA31</f>
        <v>0</v>
      </c>
    </row>
    <row r="33" spans="1:15" x14ac:dyDescent="0.35">
      <c r="A33" s="24">
        <v>18</v>
      </c>
      <c r="B33" s="565" t="str">
        <f>'Schedule 2K Adjustments'!B32:D32</f>
        <v/>
      </c>
      <c r="C33" s="565"/>
      <c r="D33" s="565"/>
      <c r="F33" s="114">
        <f>'Schedule 2K Adjustments'!H32</f>
        <v>0</v>
      </c>
      <c r="G33" s="68">
        <f>'Schedule 2K Adjustments'!J32</f>
        <v>0</v>
      </c>
      <c r="H33" s="68">
        <f t="shared" si="0"/>
        <v>0</v>
      </c>
      <c r="J33" s="114">
        <f>'Schedule 2K Adjustments'!P32</f>
        <v>0</v>
      </c>
      <c r="K33" s="68">
        <f>'Schedule 2K Adjustments'!R32</f>
        <v>0</v>
      </c>
      <c r="L33" s="68">
        <f t="shared" si="1"/>
        <v>0</v>
      </c>
      <c r="N33" s="117">
        <f>'Schedule 2K Adjustments'!X32</f>
        <v>0</v>
      </c>
      <c r="O33" s="117">
        <f>'Schedule 2K Adjustments'!AA32</f>
        <v>0</v>
      </c>
    </row>
    <row r="34" spans="1:15" x14ac:dyDescent="0.35">
      <c r="A34" s="24">
        <v>19</v>
      </c>
      <c r="B34" s="565" t="str">
        <f>'Schedule 2K Adjustments'!B33:D33</f>
        <v/>
      </c>
      <c r="C34" s="565"/>
      <c r="D34" s="565"/>
      <c r="F34" s="114">
        <f>'Schedule 2K Adjustments'!H33</f>
        <v>0</v>
      </c>
      <c r="G34" s="68">
        <f>'Schedule 2K Adjustments'!J33</f>
        <v>0</v>
      </c>
      <c r="H34" s="68">
        <f t="shared" si="0"/>
        <v>0</v>
      </c>
      <c r="J34" s="114">
        <f>'Schedule 2K Adjustments'!P33</f>
        <v>0</v>
      </c>
      <c r="K34" s="68">
        <f>'Schedule 2K Adjustments'!R33</f>
        <v>0</v>
      </c>
      <c r="L34" s="68">
        <f t="shared" si="1"/>
        <v>0</v>
      </c>
      <c r="N34" s="117">
        <f>'Schedule 2K Adjustments'!X33</f>
        <v>0</v>
      </c>
      <c r="O34" s="117">
        <f>'Schedule 2K Adjustments'!AA33</f>
        <v>0</v>
      </c>
    </row>
    <row r="35" spans="1:15" x14ac:dyDescent="0.35">
      <c r="A35" s="24">
        <v>20</v>
      </c>
      <c r="B35" s="565" t="str">
        <f>'Schedule 2K Adjustments'!B34:D34</f>
        <v/>
      </c>
      <c r="C35" s="565"/>
      <c r="D35" s="565"/>
      <c r="F35" s="114">
        <f>'Schedule 2K Adjustments'!H34</f>
        <v>0</v>
      </c>
      <c r="G35" s="68">
        <f>'Schedule 2K Adjustments'!J34</f>
        <v>0</v>
      </c>
      <c r="H35" s="68">
        <f t="shared" si="0"/>
        <v>0</v>
      </c>
      <c r="J35" s="114">
        <f>'Schedule 2K Adjustments'!P34</f>
        <v>0</v>
      </c>
      <c r="K35" s="68">
        <f>'Schedule 2K Adjustments'!R34</f>
        <v>0</v>
      </c>
      <c r="L35" s="68">
        <f t="shared" si="1"/>
        <v>0</v>
      </c>
      <c r="N35" s="117">
        <f>'Schedule 2K Adjustments'!X34</f>
        <v>0</v>
      </c>
      <c r="O35" s="117">
        <f>'Schedule 2K Adjustments'!AA34</f>
        <v>0</v>
      </c>
    </row>
    <row r="36" spans="1:15" x14ac:dyDescent="0.35">
      <c r="A36" s="24">
        <v>21</v>
      </c>
      <c r="B36" s="565" t="str">
        <f>'Schedule 2K Adjustments'!B35:D35</f>
        <v/>
      </c>
      <c r="C36" s="565"/>
      <c r="D36" s="565"/>
      <c r="F36" s="114">
        <f>'Schedule 2K Adjustments'!H35</f>
        <v>0</v>
      </c>
      <c r="G36" s="68">
        <f>'Schedule 2K Adjustments'!J35</f>
        <v>0</v>
      </c>
      <c r="H36" s="68">
        <f t="shared" si="0"/>
        <v>0</v>
      </c>
      <c r="J36" s="114">
        <f>'Schedule 2K Adjustments'!P35</f>
        <v>0</v>
      </c>
      <c r="K36" s="68">
        <f>'Schedule 2K Adjustments'!R35</f>
        <v>0</v>
      </c>
      <c r="L36" s="68">
        <f t="shared" si="1"/>
        <v>0</v>
      </c>
      <c r="N36" s="117">
        <f>'Schedule 2K Adjustments'!X35</f>
        <v>0</v>
      </c>
      <c r="O36" s="117">
        <f>'Schedule 2K Adjustments'!AA35</f>
        <v>0</v>
      </c>
    </row>
    <row r="37" spans="1:15" x14ac:dyDescent="0.35">
      <c r="A37" s="24">
        <v>22</v>
      </c>
      <c r="B37" s="565" t="str">
        <f>'Schedule 2K Adjustments'!B36:D36</f>
        <v/>
      </c>
      <c r="C37" s="565"/>
      <c r="D37" s="565"/>
      <c r="F37" s="114">
        <f>'Schedule 2K Adjustments'!H36</f>
        <v>0</v>
      </c>
      <c r="G37" s="68">
        <f>'Schedule 2K Adjustments'!J36</f>
        <v>0</v>
      </c>
      <c r="H37" s="68">
        <f t="shared" si="0"/>
        <v>0</v>
      </c>
      <c r="J37" s="114">
        <f>'Schedule 2K Adjustments'!P36</f>
        <v>0</v>
      </c>
      <c r="K37" s="68">
        <f>'Schedule 2K Adjustments'!R36</f>
        <v>0</v>
      </c>
      <c r="L37" s="68">
        <f t="shared" si="1"/>
        <v>0</v>
      </c>
      <c r="N37" s="117">
        <f>'Schedule 2K Adjustments'!X36</f>
        <v>0</v>
      </c>
      <c r="O37" s="117">
        <f>'Schedule 2K Adjustments'!AA36</f>
        <v>0</v>
      </c>
    </row>
    <row r="38" spans="1:15" x14ac:dyDescent="0.35">
      <c r="A38" s="24">
        <v>23</v>
      </c>
      <c r="B38" s="565" t="str">
        <f>'Schedule 2K Adjustments'!B37:D37</f>
        <v/>
      </c>
      <c r="C38" s="565"/>
      <c r="D38" s="565"/>
      <c r="F38" s="114">
        <f>'Schedule 2K Adjustments'!H37</f>
        <v>0</v>
      </c>
      <c r="G38" s="68">
        <f>'Schedule 2K Adjustments'!J37</f>
        <v>0</v>
      </c>
      <c r="H38" s="68">
        <f t="shared" si="0"/>
        <v>0</v>
      </c>
      <c r="J38" s="114">
        <f>'Schedule 2K Adjustments'!P37</f>
        <v>0</v>
      </c>
      <c r="K38" s="68">
        <f>'Schedule 2K Adjustments'!R37</f>
        <v>0</v>
      </c>
      <c r="L38" s="68">
        <f t="shared" si="1"/>
        <v>0</v>
      </c>
      <c r="N38" s="117">
        <f>'Schedule 2K Adjustments'!X37</f>
        <v>0</v>
      </c>
      <c r="O38" s="117">
        <f>'Schedule 2K Adjustments'!AA37</f>
        <v>0</v>
      </c>
    </row>
    <row r="39" spans="1:15" x14ac:dyDescent="0.35">
      <c r="A39" s="24">
        <v>24</v>
      </c>
      <c r="B39" s="565" t="str">
        <f>'Schedule 2K Adjustments'!B38:D38</f>
        <v/>
      </c>
      <c r="C39" s="565"/>
      <c r="D39" s="565"/>
      <c r="F39" s="114">
        <f>'Schedule 2K Adjustments'!H38</f>
        <v>0</v>
      </c>
      <c r="G39" s="68">
        <f>'Schedule 2K Adjustments'!J38</f>
        <v>0</v>
      </c>
      <c r="H39" s="68">
        <f t="shared" si="0"/>
        <v>0</v>
      </c>
      <c r="J39" s="114">
        <f>'Schedule 2K Adjustments'!P38</f>
        <v>0</v>
      </c>
      <c r="K39" s="68">
        <f>'Schedule 2K Adjustments'!R38</f>
        <v>0</v>
      </c>
      <c r="L39" s="68">
        <f t="shared" si="1"/>
        <v>0</v>
      </c>
      <c r="N39" s="117">
        <f>'Schedule 2K Adjustments'!X38</f>
        <v>0</v>
      </c>
      <c r="O39" s="117">
        <f>'Schedule 2K Adjustments'!AA38</f>
        <v>0</v>
      </c>
    </row>
    <row r="40" spans="1:15" x14ac:dyDescent="0.35">
      <c r="A40" s="24">
        <v>25</v>
      </c>
      <c r="B40" s="565" t="str">
        <f>'Schedule 2K Adjustments'!B39:D39</f>
        <v/>
      </c>
      <c r="C40" s="565"/>
      <c r="D40" s="565"/>
      <c r="F40" s="114">
        <f>'Schedule 2K Adjustments'!H39</f>
        <v>0</v>
      </c>
      <c r="G40" s="68">
        <f>'Schedule 2K Adjustments'!J39</f>
        <v>0</v>
      </c>
      <c r="H40" s="68">
        <f t="shared" si="0"/>
        <v>0</v>
      </c>
      <c r="J40" s="114">
        <f>'Schedule 2K Adjustments'!P39</f>
        <v>0</v>
      </c>
      <c r="K40" s="68">
        <f>'Schedule 2K Adjustments'!R39</f>
        <v>0</v>
      </c>
      <c r="L40" s="68">
        <f t="shared" si="1"/>
        <v>0</v>
      </c>
      <c r="N40" s="117">
        <f>'Schedule 2K Adjustments'!X39</f>
        <v>0</v>
      </c>
      <c r="O40" s="117">
        <f>'Schedule 2K Adjustments'!AA39</f>
        <v>0</v>
      </c>
    </row>
    <row r="41" spans="1:15" x14ac:dyDescent="0.35">
      <c r="A41" s="24">
        <v>26</v>
      </c>
      <c r="B41" s="565" t="str">
        <f>'Schedule 2K Adjustments'!B40:D40</f>
        <v/>
      </c>
      <c r="C41" s="565"/>
      <c r="D41" s="565"/>
      <c r="F41" s="114">
        <f>'Schedule 2K Adjustments'!H40</f>
        <v>0</v>
      </c>
      <c r="G41" s="68">
        <f>'Schedule 2K Adjustments'!J40</f>
        <v>0</v>
      </c>
      <c r="H41" s="68">
        <f t="shared" si="0"/>
        <v>0</v>
      </c>
      <c r="J41" s="114">
        <f>'Schedule 2K Adjustments'!P40</f>
        <v>0</v>
      </c>
      <c r="K41" s="68">
        <f>'Schedule 2K Adjustments'!R40</f>
        <v>0</v>
      </c>
      <c r="L41" s="68">
        <f t="shared" si="1"/>
        <v>0</v>
      </c>
      <c r="N41" s="117">
        <f>'Schedule 2K Adjustments'!X40</f>
        <v>0</v>
      </c>
      <c r="O41" s="117">
        <f>'Schedule 2K Adjustments'!AA40</f>
        <v>0</v>
      </c>
    </row>
    <row r="42" spans="1:15" x14ac:dyDescent="0.35">
      <c r="A42" s="24">
        <v>27</v>
      </c>
      <c r="B42" s="565" t="str">
        <f>'Schedule 2K Adjustments'!B41:D41</f>
        <v/>
      </c>
      <c r="C42" s="565"/>
      <c r="D42" s="565"/>
      <c r="F42" s="114">
        <f>'Schedule 2K Adjustments'!H41</f>
        <v>0</v>
      </c>
      <c r="G42" s="68">
        <f>'Schedule 2K Adjustments'!J41</f>
        <v>0</v>
      </c>
      <c r="H42" s="68">
        <f t="shared" si="0"/>
        <v>0</v>
      </c>
      <c r="J42" s="114">
        <f>'Schedule 2K Adjustments'!P41</f>
        <v>0</v>
      </c>
      <c r="K42" s="68">
        <f>'Schedule 2K Adjustments'!R41</f>
        <v>0</v>
      </c>
      <c r="L42" s="68">
        <f t="shared" si="1"/>
        <v>0</v>
      </c>
      <c r="N42" s="117">
        <f>'Schedule 2K Adjustments'!X41</f>
        <v>0</v>
      </c>
      <c r="O42" s="117">
        <f>'Schedule 2K Adjustments'!AA41</f>
        <v>0</v>
      </c>
    </row>
    <row r="43" spans="1:15" x14ac:dyDescent="0.35">
      <c r="A43" s="24">
        <v>28</v>
      </c>
      <c r="B43" s="565" t="str">
        <f>'Schedule 2K Adjustments'!B42:D42</f>
        <v/>
      </c>
      <c r="C43" s="565"/>
      <c r="D43" s="565"/>
      <c r="F43" s="114">
        <f>'Schedule 2K Adjustments'!H42</f>
        <v>0</v>
      </c>
      <c r="G43" s="68">
        <f>'Schedule 2K Adjustments'!J42</f>
        <v>0</v>
      </c>
      <c r="H43" s="68">
        <f t="shared" si="0"/>
        <v>0</v>
      </c>
      <c r="J43" s="114">
        <f>'Schedule 2K Adjustments'!P42</f>
        <v>0</v>
      </c>
      <c r="K43" s="68">
        <f>'Schedule 2K Adjustments'!R42</f>
        <v>0</v>
      </c>
      <c r="L43" s="68">
        <f t="shared" si="1"/>
        <v>0</v>
      </c>
      <c r="N43" s="117">
        <f>'Schedule 2K Adjustments'!X42</f>
        <v>0</v>
      </c>
      <c r="O43" s="117">
        <f>'Schedule 2K Adjustments'!AA42</f>
        <v>0</v>
      </c>
    </row>
    <row r="44" spans="1:15" x14ac:dyDescent="0.35">
      <c r="A44" s="24">
        <v>29</v>
      </c>
      <c r="B44" s="565" t="str">
        <f>'Schedule 2K Adjustments'!B43:D43</f>
        <v/>
      </c>
      <c r="C44" s="565"/>
      <c r="D44" s="565"/>
      <c r="F44" s="114">
        <f>'Schedule 2K Adjustments'!H43</f>
        <v>0</v>
      </c>
      <c r="G44" s="68">
        <f>'Schedule 2K Adjustments'!J43</f>
        <v>0</v>
      </c>
      <c r="H44" s="68">
        <f t="shared" si="0"/>
        <v>0</v>
      </c>
      <c r="J44" s="114">
        <f>'Schedule 2K Adjustments'!P43</f>
        <v>0</v>
      </c>
      <c r="K44" s="68">
        <f>'Schedule 2K Adjustments'!R43</f>
        <v>0</v>
      </c>
      <c r="L44" s="68">
        <f t="shared" si="1"/>
        <v>0</v>
      </c>
      <c r="N44" s="117">
        <f>'Schedule 2K Adjustments'!X43</f>
        <v>0</v>
      </c>
      <c r="O44" s="117">
        <f>'Schedule 2K Adjustments'!AA43</f>
        <v>0</v>
      </c>
    </row>
    <row r="45" spans="1:15" x14ac:dyDescent="0.35">
      <c r="A45" s="24">
        <v>30</v>
      </c>
      <c r="B45" s="565" t="str">
        <f>'Schedule 2K Adjustments'!B44:D44</f>
        <v/>
      </c>
      <c r="C45" s="565"/>
      <c r="D45" s="565"/>
      <c r="F45" s="114">
        <f>'Schedule 2K Adjustments'!H44</f>
        <v>0</v>
      </c>
      <c r="G45" s="68">
        <f>'Schedule 2K Adjustments'!J44</f>
        <v>0</v>
      </c>
      <c r="H45" s="68">
        <f t="shared" si="0"/>
        <v>0</v>
      </c>
      <c r="J45" s="114">
        <f>'Schedule 2K Adjustments'!P44</f>
        <v>0</v>
      </c>
      <c r="K45" s="68">
        <f>'Schedule 2K Adjustments'!R44</f>
        <v>0</v>
      </c>
      <c r="L45" s="68">
        <f t="shared" si="1"/>
        <v>0</v>
      </c>
      <c r="N45" s="117">
        <f>'Schedule 2K Adjustments'!X44</f>
        <v>0</v>
      </c>
      <c r="O45" s="117">
        <f>'Schedule 2K Adjustments'!AA44</f>
        <v>0</v>
      </c>
    </row>
    <row r="46" spans="1:15" x14ac:dyDescent="0.35">
      <c r="A46" s="24">
        <v>31</v>
      </c>
      <c r="B46" s="565" t="str">
        <f>'Schedule 2K Adjustments'!B45:D45</f>
        <v/>
      </c>
      <c r="C46" s="565"/>
      <c r="D46" s="565"/>
      <c r="F46" s="114">
        <f>'Schedule 2K Adjustments'!H45</f>
        <v>0</v>
      </c>
      <c r="G46" s="68">
        <f>'Schedule 2K Adjustments'!J45</f>
        <v>0</v>
      </c>
      <c r="H46" s="68">
        <f t="shared" si="0"/>
        <v>0</v>
      </c>
      <c r="J46" s="114">
        <f>'Schedule 2K Adjustments'!P45</f>
        <v>0</v>
      </c>
      <c r="K46" s="68">
        <f>'Schedule 2K Adjustments'!R45</f>
        <v>0</v>
      </c>
      <c r="L46" s="68">
        <f t="shared" si="1"/>
        <v>0</v>
      </c>
      <c r="N46" s="117">
        <f>'Schedule 2K Adjustments'!X45</f>
        <v>0</v>
      </c>
      <c r="O46" s="117">
        <f>'Schedule 2K Adjustments'!AA45</f>
        <v>0</v>
      </c>
    </row>
    <row r="47" spans="1:15" x14ac:dyDescent="0.35">
      <c r="A47" s="24">
        <v>32</v>
      </c>
      <c r="B47" s="565" t="str">
        <f>'Schedule 2K Adjustments'!B46:D46</f>
        <v/>
      </c>
      <c r="C47" s="565"/>
      <c r="D47" s="565"/>
      <c r="F47" s="114">
        <f>'Schedule 2K Adjustments'!H46</f>
        <v>0</v>
      </c>
      <c r="G47" s="68">
        <f>'Schedule 2K Adjustments'!J46</f>
        <v>0</v>
      </c>
      <c r="H47" s="68">
        <f t="shared" si="0"/>
        <v>0</v>
      </c>
      <c r="J47" s="114">
        <f>'Schedule 2K Adjustments'!P46</f>
        <v>0</v>
      </c>
      <c r="K47" s="68">
        <f>'Schedule 2K Adjustments'!R46</f>
        <v>0</v>
      </c>
      <c r="L47" s="68">
        <f t="shared" si="1"/>
        <v>0</v>
      </c>
      <c r="N47" s="117">
        <f>'Schedule 2K Adjustments'!X46</f>
        <v>0</v>
      </c>
      <c r="O47" s="117">
        <f>'Schedule 2K Adjustments'!AA46</f>
        <v>0</v>
      </c>
    </row>
    <row r="48" spans="1:15" x14ac:dyDescent="0.35">
      <c r="A48" s="24">
        <v>33</v>
      </c>
      <c r="B48" s="565" t="str">
        <f>'Schedule 2K Adjustments'!B47:D47</f>
        <v/>
      </c>
      <c r="C48" s="565"/>
      <c r="D48" s="565"/>
      <c r="F48" s="114">
        <f>'Schedule 2K Adjustments'!H47</f>
        <v>0</v>
      </c>
      <c r="G48" s="68">
        <f>'Schedule 2K Adjustments'!J47</f>
        <v>0</v>
      </c>
      <c r="H48" s="68">
        <f t="shared" si="0"/>
        <v>0</v>
      </c>
      <c r="J48" s="114">
        <f>'Schedule 2K Adjustments'!P47</f>
        <v>0</v>
      </c>
      <c r="K48" s="68">
        <f>'Schedule 2K Adjustments'!R47</f>
        <v>0</v>
      </c>
      <c r="L48" s="68">
        <f t="shared" si="1"/>
        <v>0</v>
      </c>
      <c r="N48" s="117">
        <f>'Schedule 2K Adjustments'!X47</f>
        <v>0</v>
      </c>
      <c r="O48" s="117">
        <f>'Schedule 2K Adjustments'!AA47</f>
        <v>0</v>
      </c>
    </row>
    <row r="49" spans="1:15" x14ac:dyDescent="0.35">
      <c r="A49" s="24">
        <v>34</v>
      </c>
      <c r="B49" s="565" t="str">
        <f>'Schedule 2K Adjustments'!B48:D48</f>
        <v/>
      </c>
      <c r="C49" s="565"/>
      <c r="D49" s="565"/>
      <c r="F49" s="114">
        <f>'Schedule 2K Adjustments'!H48</f>
        <v>0</v>
      </c>
      <c r="G49" s="68">
        <f>'Schedule 2K Adjustments'!J48</f>
        <v>0</v>
      </c>
      <c r="H49" s="68">
        <f t="shared" si="0"/>
        <v>0</v>
      </c>
      <c r="J49" s="114">
        <f>'Schedule 2K Adjustments'!P48</f>
        <v>0</v>
      </c>
      <c r="K49" s="68">
        <f>'Schedule 2K Adjustments'!R48</f>
        <v>0</v>
      </c>
      <c r="L49" s="68">
        <f t="shared" si="1"/>
        <v>0</v>
      </c>
      <c r="N49" s="117">
        <f>'Schedule 2K Adjustments'!X48</f>
        <v>0</v>
      </c>
      <c r="O49" s="117">
        <f>'Schedule 2K Adjustments'!AA48</f>
        <v>0</v>
      </c>
    </row>
    <row r="50" spans="1:15" x14ac:dyDescent="0.35">
      <c r="A50" s="24">
        <v>35</v>
      </c>
      <c r="B50" s="565" t="str">
        <f>'Schedule 2K Adjustments'!B49:D49</f>
        <v/>
      </c>
      <c r="C50" s="565"/>
      <c r="D50" s="565"/>
      <c r="F50" s="114">
        <f>'Schedule 2K Adjustments'!H49</f>
        <v>0</v>
      </c>
      <c r="G50" s="68">
        <f>'Schedule 2K Adjustments'!J49</f>
        <v>0</v>
      </c>
      <c r="H50" s="68">
        <f t="shared" si="0"/>
        <v>0</v>
      </c>
      <c r="J50" s="114">
        <f>'Schedule 2K Adjustments'!P49</f>
        <v>0</v>
      </c>
      <c r="K50" s="68">
        <f>'Schedule 2K Adjustments'!R49</f>
        <v>0</v>
      </c>
      <c r="L50" s="68">
        <f t="shared" si="1"/>
        <v>0</v>
      </c>
      <c r="N50" s="117">
        <f>'Schedule 2K Adjustments'!X49</f>
        <v>0</v>
      </c>
      <c r="O50" s="117">
        <f>'Schedule 2K Adjustments'!AA49</f>
        <v>0</v>
      </c>
    </row>
    <row r="51" spans="1:15" x14ac:dyDescent="0.35">
      <c r="A51" s="24">
        <v>36</v>
      </c>
      <c r="B51" s="565" t="str">
        <f>'Schedule 2K Adjustments'!B50:D50</f>
        <v/>
      </c>
      <c r="C51" s="565"/>
      <c r="D51" s="565"/>
      <c r="F51" s="114">
        <f>'Schedule 2K Adjustments'!H50</f>
        <v>0</v>
      </c>
      <c r="G51" s="68">
        <f>'Schedule 2K Adjustments'!J50</f>
        <v>0</v>
      </c>
      <c r="H51" s="68">
        <f t="shared" si="0"/>
        <v>0</v>
      </c>
      <c r="J51" s="114">
        <f>'Schedule 2K Adjustments'!P50</f>
        <v>0</v>
      </c>
      <c r="K51" s="68">
        <f>'Schedule 2K Adjustments'!R50</f>
        <v>0</v>
      </c>
      <c r="L51" s="68">
        <f t="shared" si="1"/>
        <v>0</v>
      </c>
      <c r="N51" s="117">
        <f>'Schedule 2K Adjustments'!X50</f>
        <v>0</v>
      </c>
      <c r="O51" s="117">
        <f>'Schedule 2K Adjustments'!AA50</f>
        <v>0</v>
      </c>
    </row>
    <row r="52" spans="1:15" x14ac:dyDescent="0.35">
      <c r="A52" s="24">
        <v>37</v>
      </c>
      <c r="B52" s="565" t="str">
        <f>'Schedule 2K Adjustments'!B51:D51</f>
        <v/>
      </c>
      <c r="C52" s="565"/>
      <c r="D52" s="565"/>
      <c r="F52" s="114">
        <f>'Schedule 2K Adjustments'!H51</f>
        <v>0</v>
      </c>
      <c r="G52" s="68">
        <f>'Schedule 2K Adjustments'!J51</f>
        <v>0</v>
      </c>
      <c r="H52" s="68">
        <f t="shared" si="0"/>
        <v>0</v>
      </c>
      <c r="J52" s="114">
        <f>'Schedule 2K Adjustments'!P51</f>
        <v>0</v>
      </c>
      <c r="K52" s="68">
        <f>'Schedule 2K Adjustments'!R51</f>
        <v>0</v>
      </c>
      <c r="L52" s="68">
        <f t="shared" si="1"/>
        <v>0</v>
      </c>
      <c r="N52" s="117">
        <f>'Schedule 2K Adjustments'!X51</f>
        <v>0</v>
      </c>
      <c r="O52" s="117">
        <f>'Schedule 2K Adjustments'!AA51</f>
        <v>0</v>
      </c>
    </row>
    <row r="53" spans="1:15" x14ac:dyDescent="0.35">
      <c r="A53" s="24">
        <v>38</v>
      </c>
      <c r="B53" s="565" t="str">
        <f>'Schedule 2K Adjustments'!B52:D52</f>
        <v/>
      </c>
      <c r="C53" s="565"/>
      <c r="D53" s="565"/>
      <c r="F53" s="114">
        <f>'Schedule 2K Adjustments'!H52</f>
        <v>0</v>
      </c>
      <c r="G53" s="68">
        <f>'Schedule 2K Adjustments'!J52</f>
        <v>0</v>
      </c>
      <c r="H53" s="68">
        <f t="shared" si="0"/>
        <v>0</v>
      </c>
      <c r="J53" s="114">
        <f>'Schedule 2K Adjustments'!P52</f>
        <v>0</v>
      </c>
      <c r="K53" s="68">
        <f>'Schedule 2K Adjustments'!R52</f>
        <v>0</v>
      </c>
      <c r="L53" s="68">
        <f t="shared" si="1"/>
        <v>0</v>
      </c>
      <c r="N53" s="117">
        <f>'Schedule 2K Adjustments'!X52</f>
        <v>0</v>
      </c>
      <c r="O53" s="117">
        <f>'Schedule 2K Adjustments'!AA52</f>
        <v>0</v>
      </c>
    </row>
    <row r="54" spans="1:15" x14ac:dyDescent="0.35">
      <c r="A54" s="24">
        <v>39</v>
      </c>
      <c r="B54" s="565" t="str">
        <f>'Schedule 2K Adjustments'!B53:D53</f>
        <v/>
      </c>
      <c r="C54" s="565"/>
      <c r="D54" s="565"/>
      <c r="F54" s="114">
        <f>'Schedule 2K Adjustments'!H53</f>
        <v>0</v>
      </c>
      <c r="G54" s="68">
        <f>'Schedule 2K Adjustments'!J53</f>
        <v>0</v>
      </c>
      <c r="H54" s="68">
        <f t="shared" si="0"/>
        <v>0</v>
      </c>
      <c r="J54" s="114">
        <f>'Schedule 2K Adjustments'!P53</f>
        <v>0</v>
      </c>
      <c r="K54" s="68">
        <f>'Schedule 2K Adjustments'!R53</f>
        <v>0</v>
      </c>
      <c r="L54" s="68">
        <f t="shared" si="1"/>
        <v>0</v>
      </c>
      <c r="N54" s="117">
        <f>'Schedule 2K Adjustments'!X53</f>
        <v>0</v>
      </c>
      <c r="O54" s="117">
        <f>'Schedule 2K Adjustments'!AA53</f>
        <v>0</v>
      </c>
    </row>
    <row r="55" spans="1:15" x14ac:dyDescent="0.35">
      <c r="A55" s="24">
        <v>40</v>
      </c>
      <c r="B55" s="565" t="str">
        <f>'Schedule 2K Adjustments'!B54:D54</f>
        <v/>
      </c>
      <c r="C55" s="565"/>
      <c r="D55" s="565"/>
      <c r="F55" s="114">
        <f>'Schedule 2K Adjustments'!H54</f>
        <v>0</v>
      </c>
      <c r="G55" s="68">
        <f>'Schedule 2K Adjustments'!J54</f>
        <v>0</v>
      </c>
      <c r="H55" s="68">
        <f t="shared" si="0"/>
        <v>0</v>
      </c>
      <c r="J55" s="114">
        <f>'Schedule 2K Adjustments'!P54</f>
        <v>0</v>
      </c>
      <c r="K55" s="68">
        <f>'Schedule 2K Adjustments'!R54</f>
        <v>0</v>
      </c>
      <c r="L55" s="68">
        <f t="shared" si="1"/>
        <v>0</v>
      </c>
      <c r="N55" s="117">
        <f>'Schedule 2K Adjustments'!X54</f>
        <v>0</v>
      </c>
      <c r="O55" s="117">
        <f>'Schedule 2K Adjustments'!AA54</f>
        <v>0</v>
      </c>
    </row>
    <row r="56" spans="1:15" x14ac:dyDescent="0.35">
      <c r="A56" s="24">
        <v>41</v>
      </c>
      <c r="B56" s="565" t="str">
        <f>'Schedule 2K Adjustments'!B55:D55</f>
        <v/>
      </c>
      <c r="C56" s="565"/>
      <c r="D56" s="565"/>
      <c r="F56" s="114">
        <f>'Schedule 2K Adjustments'!H55</f>
        <v>0</v>
      </c>
      <c r="G56" s="68">
        <f>'Schedule 2K Adjustments'!J55</f>
        <v>0</v>
      </c>
      <c r="H56" s="68">
        <f t="shared" si="0"/>
        <v>0</v>
      </c>
      <c r="J56" s="114">
        <f>'Schedule 2K Adjustments'!P55</f>
        <v>0</v>
      </c>
      <c r="K56" s="68">
        <f>'Schedule 2K Adjustments'!R55</f>
        <v>0</v>
      </c>
      <c r="L56" s="68">
        <f t="shared" si="1"/>
        <v>0</v>
      </c>
      <c r="N56" s="117">
        <f>'Schedule 2K Adjustments'!X55</f>
        <v>0</v>
      </c>
      <c r="O56" s="117">
        <f>'Schedule 2K Adjustments'!AA55</f>
        <v>0</v>
      </c>
    </row>
    <row r="57" spans="1:15" x14ac:dyDescent="0.35">
      <c r="A57" s="24">
        <v>42</v>
      </c>
      <c r="B57" s="565" t="str">
        <f>'Schedule 2K Adjustments'!B56:D56</f>
        <v/>
      </c>
      <c r="C57" s="565"/>
      <c r="D57" s="565"/>
      <c r="F57" s="114">
        <f>'Schedule 2K Adjustments'!H56</f>
        <v>0</v>
      </c>
      <c r="G57" s="68">
        <f>'Schedule 2K Adjustments'!J56</f>
        <v>0</v>
      </c>
      <c r="H57" s="68">
        <f t="shared" si="0"/>
        <v>0</v>
      </c>
      <c r="J57" s="114">
        <f>'Schedule 2K Adjustments'!P56</f>
        <v>0</v>
      </c>
      <c r="K57" s="68">
        <f>'Schedule 2K Adjustments'!R56</f>
        <v>0</v>
      </c>
      <c r="L57" s="68">
        <f t="shared" si="1"/>
        <v>0</v>
      </c>
      <c r="N57" s="117">
        <f>'Schedule 2K Adjustments'!X56</f>
        <v>0</v>
      </c>
      <c r="O57" s="117">
        <f>'Schedule 2K Adjustments'!AA56</f>
        <v>0</v>
      </c>
    </row>
    <row r="58" spans="1:15" x14ac:dyDescent="0.35">
      <c r="A58" s="24">
        <v>43</v>
      </c>
      <c r="B58" s="565" t="str">
        <f>'Schedule 2K Adjustments'!B57:D57</f>
        <v/>
      </c>
      <c r="C58" s="565"/>
      <c r="D58" s="565"/>
      <c r="F58" s="114">
        <f>'Schedule 2K Adjustments'!H57</f>
        <v>0</v>
      </c>
      <c r="G58" s="68">
        <f>'Schedule 2K Adjustments'!J57</f>
        <v>0</v>
      </c>
      <c r="H58" s="68">
        <f t="shared" si="0"/>
        <v>0</v>
      </c>
      <c r="J58" s="114">
        <f>'Schedule 2K Adjustments'!P57</f>
        <v>0</v>
      </c>
      <c r="K58" s="68">
        <f>'Schedule 2K Adjustments'!R57</f>
        <v>0</v>
      </c>
      <c r="L58" s="68">
        <f t="shared" si="1"/>
        <v>0</v>
      </c>
      <c r="N58" s="117">
        <f>'Schedule 2K Adjustments'!X57</f>
        <v>0</v>
      </c>
      <c r="O58" s="117">
        <f>'Schedule 2K Adjustments'!AA57</f>
        <v>0</v>
      </c>
    </row>
    <row r="59" spans="1:15" x14ac:dyDescent="0.35">
      <c r="A59" s="24">
        <v>44</v>
      </c>
      <c r="B59" s="565" t="str">
        <f>'Schedule 2K Adjustments'!B58:D58</f>
        <v/>
      </c>
      <c r="C59" s="565"/>
      <c r="D59" s="565"/>
      <c r="F59" s="114">
        <f>'Schedule 2K Adjustments'!H58</f>
        <v>0</v>
      </c>
      <c r="G59" s="68">
        <f>'Schedule 2K Adjustments'!J58</f>
        <v>0</v>
      </c>
      <c r="H59" s="68">
        <f t="shared" si="0"/>
        <v>0</v>
      </c>
      <c r="J59" s="114">
        <f>'Schedule 2K Adjustments'!P58</f>
        <v>0</v>
      </c>
      <c r="K59" s="68">
        <f>'Schedule 2K Adjustments'!R58</f>
        <v>0</v>
      </c>
      <c r="L59" s="68">
        <f t="shared" si="1"/>
        <v>0</v>
      </c>
      <c r="N59" s="117">
        <f>'Schedule 2K Adjustments'!X58</f>
        <v>0</v>
      </c>
      <c r="O59" s="117">
        <f>'Schedule 2K Adjustments'!AA58</f>
        <v>0</v>
      </c>
    </row>
    <row r="60" spans="1:15" x14ac:dyDescent="0.35">
      <c r="A60" s="24">
        <v>45</v>
      </c>
      <c r="B60" s="565" t="str">
        <f>'Schedule 2K Adjustments'!B59:D59</f>
        <v/>
      </c>
      <c r="C60" s="565"/>
      <c r="D60" s="565"/>
      <c r="F60" s="114">
        <f>'Schedule 2K Adjustments'!H59</f>
        <v>0</v>
      </c>
      <c r="G60" s="68">
        <f>'Schedule 2K Adjustments'!J59</f>
        <v>0</v>
      </c>
      <c r="H60" s="68">
        <f t="shared" si="0"/>
        <v>0</v>
      </c>
      <c r="J60" s="114">
        <f>'Schedule 2K Adjustments'!P59</f>
        <v>0</v>
      </c>
      <c r="K60" s="68">
        <f>'Schedule 2K Adjustments'!R59</f>
        <v>0</v>
      </c>
      <c r="L60" s="68">
        <f t="shared" si="1"/>
        <v>0</v>
      </c>
      <c r="N60" s="117">
        <f>'Schedule 2K Adjustments'!X59</f>
        <v>0</v>
      </c>
      <c r="O60" s="117">
        <f>'Schedule 2K Adjustments'!AA59</f>
        <v>0</v>
      </c>
    </row>
    <row r="61" spans="1:15" x14ac:dyDescent="0.35">
      <c r="A61" s="24">
        <v>46</v>
      </c>
      <c r="B61" s="565" t="str">
        <f>'Schedule 2K Adjustments'!B60:D60</f>
        <v/>
      </c>
      <c r="C61" s="565"/>
      <c r="D61" s="565"/>
      <c r="F61" s="114">
        <f>'Schedule 2K Adjustments'!H60</f>
        <v>0</v>
      </c>
      <c r="G61" s="68">
        <f>'Schedule 2K Adjustments'!J60</f>
        <v>0</v>
      </c>
      <c r="H61" s="68">
        <f t="shared" si="0"/>
        <v>0</v>
      </c>
      <c r="J61" s="114">
        <f>'Schedule 2K Adjustments'!P60</f>
        <v>0</v>
      </c>
      <c r="K61" s="68">
        <f>'Schedule 2K Adjustments'!R60</f>
        <v>0</v>
      </c>
      <c r="L61" s="68">
        <f t="shared" si="1"/>
        <v>0</v>
      </c>
      <c r="N61" s="117">
        <f>'Schedule 2K Adjustments'!X60</f>
        <v>0</v>
      </c>
      <c r="O61" s="117">
        <f>'Schedule 2K Adjustments'!AA60</f>
        <v>0</v>
      </c>
    </row>
    <row r="62" spans="1:15" x14ac:dyDescent="0.35">
      <c r="A62" s="24">
        <v>47</v>
      </c>
      <c r="B62" s="565" t="str">
        <f>'Schedule 2K Adjustments'!B61:D61</f>
        <v/>
      </c>
      <c r="C62" s="565"/>
      <c r="D62" s="565"/>
      <c r="F62" s="114">
        <f>'Schedule 2K Adjustments'!H61</f>
        <v>0</v>
      </c>
      <c r="G62" s="68">
        <f>'Schedule 2K Adjustments'!J61</f>
        <v>0</v>
      </c>
      <c r="H62" s="68">
        <f t="shared" si="0"/>
        <v>0</v>
      </c>
      <c r="J62" s="114">
        <f>'Schedule 2K Adjustments'!P61</f>
        <v>0</v>
      </c>
      <c r="K62" s="68">
        <f>'Schedule 2K Adjustments'!R61</f>
        <v>0</v>
      </c>
      <c r="L62" s="68">
        <f t="shared" si="1"/>
        <v>0</v>
      </c>
      <c r="N62" s="117">
        <f>'Schedule 2K Adjustments'!X61</f>
        <v>0</v>
      </c>
      <c r="O62" s="117">
        <f>'Schedule 2K Adjustments'!AA61</f>
        <v>0</v>
      </c>
    </row>
    <row r="63" spans="1:15" x14ac:dyDescent="0.35">
      <c r="A63" s="24">
        <v>48</v>
      </c>
      <c r="B63" s="565" t="str">
        <f>'Schedule 2K Adjustments'!B62:D62</f>
        <v/>
      </c>
      <c r="C63" s="565"/>
      <c r="D63" s="565"/>
      <c r="F63" s="114">
        <f>'Schedule 2K Adjustments'!H62</f>
        <v>0</v>
      </c>
      <c r="G63" s="68">
        <f>'Schedule 2K Adjustments'!J62</f>
        <v>0</v>
      </c>
      <c r="H63" s="68">
        <f t="shared" si="0"/>
        <v>0</v>
      </c>
      <c r="J63" s="114">
        <f>'Schedule 2K Adjustments'!P62</f>
        <v>0</v>
      </c>
      <c r="K63" s="68">
        <f>'Schedule 2K Adjustments'!R62</f>
        <v>0</v>
      </c>
      <c r="L63" s="68">
        <f t="shared" si="1"/>
        <v>0</v>
      </c>
      <c r="N63" s="117">
        <f>'Schedule 2K Adjustments'!X62</f>
        <v>0</v>
      </c>
      <c r="O63" s="117">
        <f>'Schedule 2K Adjustments'!AA62</f>
        <v>0</v>
      </c>
    </row>
    <row r="64" spans="1:15" x14ac:dyDescent="0.35">
      <c r="A64" s="24">
        <v>49</v>
      </c>
      <c r="B64" s="565" t="str">
        <f>'Schedule 2K Adjustments'!B63:D63</f>
        <v/>
      </c>
      <c r="C64" s="565"/>
      <c r="D64" s="565"/>
      <c r="F64" s="114">
        <f>'Schedule 2K Adjustments'!H63</f>
        <v>0</v>
      </c>
      <c r="G64" s="68">
        <f>'Schedule 2K Adjustments'!J63</f>
        <v>0</v>
      </c>
      <c r="H64" s="68">
        <f t="shared" si="0"/>
        <v>0</v>
      </c>
      <c r="J64" s="114">
        <f>'Schedule 2K Adjustments'!P63</f>
        <v>0</v>
      </c>
      <c r="K64" s="68">
        <f>'Schedule 2K Adjustments'!R63</f>
        <v>0</v>
      </c>
      <c r="L64" s="68">
        <f t="shared" si="1"/>
        <v>0</v>
      </c>
      <c r="N64" s="117">
        <f>'Schedule 2K Adjustments'!X63</f>
        <v>0</v>
      </c>
      <c r="O64" s="117">
        <f>'Schedule 2K Adjustments'!AA63</f>
        <v>0</v>
      </c>
    </row>
    <row r="65" spans="1:15" x14ac:dyDescent="0.35">
      <c r="A65" s="24">
        <v>50</v>
      </c>
      <c r="B65" s="565" t="str">
        <f>'Schedule 2K Adjustments'!B64:D64</f>
        <v/>
      </c>
      <c r="C65" s="565"/>
      <c r="D65" s="565"/>
      <c r="F65" s="114">
        <f>'Schedule 2K Adjustments'!H64</f>
        <v>0</v>
      </c>
      <c r="G65" s="68">
        <f>'Schedule 2K Adjustments'!J64</f>
        <v>0</v>
      </c>
      <c r="H65" s="68">
        <f t="shared" si="0"/>
        <v>0</v>
      </c>
      <c r="J65" s="114">
        <f>'Schedule 2K Adjustments'!P64</f>
        <v>0</v>
      </c>
      <c r="K65" s="68">
        <f>'Schedule 2K Adjustments'!R64</f>
        <v>0</v>
      </c>
      <c r="L65" s="68">
        <f t="shared" si="1"/>
        <v>0</v>
      </c>
      <c r="N65" s="117">
        <f>'Schedule 2K Adjustments'!X64</f>
        <v>0</v>
      </c>
      <c r="O65" s="117">
        <f>'Schedule 2K Adjustments'!AA64</f>
        <v>0</v>
      </c>
    </row>
    <row r="66" spans="1:15" x14ac:dyDescent="0.35">
      <c r="A66" s="24">
        <v>51</v>
      </c>
      <c r="B66" s="565" t="str">
        <f>'Schedule 2K Adjustments'!B65:D65</f>
        <v/>
      </c>
      <c r="C66" s="565"/>
      <c r="D66" s="565"/>
      <c r="F66" s="114">
        <f>'Schedule 2K Adjustments'!H65</f>
        <v>0</v>
      </c>
      <c r="G66" s="68">
        <f>'Schedule 2K Adjustments'!J65</f>
        <v>0</v>
      </c>
      <c r="H66" s="68">
        <f t="shared" si="0"/>
        <v>0</v>
      </c>
      <c r="J66" s="114">
        <f>'Schedule 2K Adjustments'!P65</f>
        <v>0</v>
      </c>
      <c r="K66" s="68">
        <f>'Schedule 2K Adjustments'!R65</f>
        <v>0</v>
      </c>
      <c r="L66" s="68">
        <f t="shared" si="1"/>
        <v>0</v>
      </c>
      <c r="N66" s="117">
        <f>'Schedule 2K Adjustments'!X65</f>
        <v>0</v>
      </c>
      <c r="O66" s="117">
        <f>'Schedule 2K Adjustments'!AA65</f>
        <v>0</v>
      </c>
    </row>
    <row r="67" spans="1:15" x14ac:dyDescent="0.35">
      <c r="A67" s="24">
        <v>52</v>
      </c>
      <c r="B67" s="565" t="str">
        <f>'Schedule 2K Adjustments'!B66:D66</f>
        <v/>
      </c>
      <c r="C67" s="565"/>
      <c r="D67" s="565"/>
      <c r="F67" s="114">
        <f>'Schedule 2K Adjustments'!H66</f>
        <v>0</v>
      </c>
      <c r="G67" s="68">
        <f>'Schedule 2K Adjustments'!J66</f>
        <v>0</v>
      </c>
      <c r="H67" s="68">
        <f t="shared" si="0"/>
        <v>0</v>
      </c>
      <c r="J67" s="114">
        <f>'Schedule 2K Adjustments'!P66</f>
        <v>0</v>
      </c>
      <c r="K67" s="68">
        <f>'Schedule 2K Adjustments'!R66</f>
        <v>0</v>
      </c>
      <c r="L67" s="68">
        <f t="shared" si="1"/>
        <v>0</v>
      </c>
      <c r="N67" s="117">
        <f>'Schedule 2K Adjustments'!X66</f>
        <v>0</v>
      </c>
      <c r="O67" s="117">
        <f>'Schedule 2K Adjustments'!AA66</f>
        <v>0</v>
      </c>
    </row>
    <row r="68" spans="1:15" x14ac:dyDescent="0.35">
      <c r="A68" s="24">
        <v>53</v>
      </c>
      <c r="B68" s="565" t="str">
        <f>'Schedule 2K Adjustments'!B67:D67</f>
        <v/>
      </c>
      <c r="C68" s="565"/>
      <c r="D68" s="565"/>
      <c r="F68" s="114">
        <f>'Schedule 2K Adjustments'!H67</f>
        <v>0</v>
      </c>
      <c r="G68" s="68">
        <f>'Schedule 2K Adjustments'!J67</f>
        <v>0</v>
      </c>
      <c r="H68" s="68">
        <f t="shared" si="0"/>
        <v>0</v>
      </c>
      <c r="J68" s="114">
        <f>'Schedule 2K Adjustments'!P67</f>
        <v>0</v>
      </c>
      <c r="K68" s="68">
        <f>'Schedule 2K Adjustments'!R67</f>
        <v>0</v>
      </c>
      <c r="L68" s="68">
        <f t="shared" si="1"/>
        <v>0</v>
      </c>
      <c r="N68" s="117">
        <f>'Schedule 2K Adjustments'!X67</f>
        <v>0</v>
      </c>
      <c r="O68" s="117">
        <f>'Schedule 2K Adjustments'!AA67</f>
        <v>0</v>
      </c>
    </row>
    <row r="69" spans="1:15" x14ac:dyDescent="0.35">
      <c r="A69" s="24">
        <v>54</v>
      </c>
      <c r="B69" s="565" t="str">
        <f>'Schedule 2K Adjustments'!B68:D68</f>
        <v/>
      </c>
      <c r="C69" s="565"/>
      <c r="D69" s="565"/>
      <c r="F69" s="114">
        <f>'Schedule 2K Adjustments'!H68</f>
        <v>0</v>
      </c>
      <c r="G69" s="68">
        <f>'Schedule 2K Adjustments'!J68</f>
        <v>0</v>
      </c>
      <c r="H69" s="68">
        <f t="shared" si="0"/>
        <v>0</v>
      </c>
      <c r="J69" s="114">
        <f>'Schedule 2K Adjustments'!P68</f>
        <v>0</v>
      </c>
      <c r="K69" s="68">
        <f>'Schedule 2K Adjustments'!R68</f>
        <v>0</v>
      </c>
      <c r="L69" s="68">
        <f t="shared" si="1"/>
        <v>0</v>
      </c>
      <c r="N69" s="117">
        <f>'Schedule 2K Adjustments'!X68</f>
        <v>0</v>
      </c>
      <c r="O69" s="117">
        <f>'Schedule 2K Adjustments'!AA68</f>
        <v>0</v>
      </c>
    </row>
    <row r="70" spans="1:15" x14ac:dyDescent="0.35">
      <c r="A70" s="24">
        <v>55</v>
      </c>
      <c r="B70" s="565" t="str">
        <f>'Schedule 2K Adjustments'!B69:D69</f>
        <v/>
      </c>
      <c r="C70" s="565"/>
      <c r="D70" s="565"/>
      <c r="F70" s="114">
        <f>'Schedule 2K Adjustments'!H69</f>
        <v>0</v>
      </c>
      <c r="G70" s="68">
        <f>'Schedule 2K Adjustments'!J69</f>
        <v>0</v>
      </c>
      <c r="H70" s="68">
        <f t="shared" si="0"/>
        <v>0</v>
      </c>
      <c r="J70" s="114">
        <f>'Schedule 2K Adjustments'!P69</f>
        <v>0</v>
      </c>
      <c r="K70" s="68">
        <f>'Schedule 2K Adjustments'!R69</f>
        <v>0</v>
      </c>
      <c r="L70" s="68">
        <f t="shared" si="1"/>
        <v>0</v>
      </c>
      <c r="N70" s="117">
        <f>'Schedule 2K Adjustments'!X69</f>
        <v>0</v>
      </c>
      <c r="O70" s="117">
        <f>'Schedule 2K Adjustments'!AA69</f>
        <v>0</v>
      </c>
    </row>
    <row r="71" spans="1:15" x14ac:dyDescent="0.35">
      <c r="A71" s="24">
        <v>56</v>
      </c>
      <c r="B71" s="565" t="str">
        <f>'Schedule 2K Adjustments'!B70:D70</f>
        <v/>
      </c>
      <c r="C71" s="565"/>
      <c r="D71" s="565"/>
      <c r="F71" s="114">
        <f>'Schedule 2K Adjustments'!H70</f>
        <v>0</v>
      </c>
      <c r="G71" s="68">
        <f>'Schedule 2K Adjustments'!J70</f>
        <v>0</v>
      </c>
      <c r="H71" s="68">
        <f t="shared" si="0"/>
        <v>0</v>
      </c>
      <c r="J71" s="114">
        <f>'Schedule 2K Adjustments'!P70</f>
        <v>0</v>
      </c>
      <c r="K71" s="68">
        <f>'Schedule 2K Adjustments'!R70</f>
        <v>0</v>
      </c>
      <c r="L71" s="68">
        <f t="shared" si="1"/>
        <v>0</v>
      </c>
      <c r="N71" s="117">
        <f>'Schedule 2K Adjustments'!X70</f>
        <v>0</v>
      </c>
      <c r="O71" s="117">
        <f>'Schedule 2K Adjustments'!AA70</f>
        <v>0</v>
      </c>
    </row>
    <row r="72" spans="1:15" x14ac:dyDescent="0.35">
      <c r="A72" s="24">
        <v>57</v>
      </c>
      <c r="B72" s="565" t="str">
        <f>'Schedule 2K Adjustments'!B71:D71</f>
        <v/>
      </c>
      <c r="C72" s="565"/>
      <c r="D72" s="565"/>
      <c r="F72" s="114">
        <f>'Schedule 2K Adjustments'!H71</f>
        <v>0</v>
      </c>
      <c r="G72" s="68">
        <f>'Schedule 2K Adjustments'!J71</f>
        <v>0</v>
      </c>
      <c r="H72" s="68">
        <f t="shared" si="0"/>
        <v>0</v>
      </c>
      <c r="J72" s="114">
        <f>'Schedule 2K Adjustments'!P71</f>
        <v>0</v>
      </c>
      <c r="K72" s="68">
        <f>'Schedule 2K Adjustments'!R71</f>
        <v>0</v>
      </c>
      <c r="L72" s="68">
        <f t="shared" si="1"/>
        <v>0</v>
      </c>
      <c r="N72" s="117">
        <f>'Schedule 2K Adjustments'!X71</f>
        <v>0</v>
      </c>
      <c r="O72" s="117">
        <f>'Schedule 2K Adjustments'!AA71</f>
        <v>0</v>
      </c>
    </row>
    <row r="73" spans="1:15" x14ac:dyDescent="0.35">
      <c r="A73" s="24">
        <v>58</v>
      </c>
      <c r="B73" s="565" t="str">
        <f>'Schedule 2K Adjustments'!B72:D72</f>
        <v/>
      </c>
      <c r="C73" s="565"/>
      <c r="D73" s="565"/>
      <c r="F73" s="114">
        <f>'Schedule 2K Adjustments'!H72</f>
        <v>0</v>
      </c>
      <c r="G73" s="68">
        <f>'Schedule 2K Adjustments'!J72</f>
        <v>0</v>
      </c>
      <c r="H73" s="68">
        <f t="shared" si="0"/>
        <v>0</v>
      </c>
      <c r="J73" s="114">
        <f>'Schedule 2K Adjustments'!P72</f>
        <v>0</v>
      </c>
      <c r="K73" s="68">
        <f>'Schedule 2K Adjustments'!R72</f>
        <v>0</v>
      </c>
      <c r="L73" s="68">
        <f t="shared" si="1"/>
        <v>0</v>
      </c>
      <c r="N73" s="117">
        <f>'Schedule 2K Adjustments'!X72</f>
        <v>0</v>
      </c>
      <c r="O73" s="117">
        <f>'Schedule 2K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17302493-42B1-4877-869E-E424A97AE78B}" state="hidden">
      <selection activeCell="F17" sqref="F17"/>
      <pageMargins left="0.7" right="0.7" top="0.75" bottom="0.75" header="0.3" footer="0.3"/>
    </customSheetView>
    <customSheetView guid="{5C0BA3A5-859C-46C2-B685-44D9A90065E4}">
      <selection activeCell="J7" sqref="J7"/>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 t="s">
        <v>858</v>
      </c>
      <c r="B3" s="5"/>
      <c r="C3" s="5"/>
      <c r="D3" s="5"/>
      <c r="E3" s="5"/>
      <c r="F3" s="5"/>
      <c r="G3" s="5"/>
      <c r="H3" s="5"/>
    </row>
    <row r="4" spans="1:15" ht="25" customHeight="1" x14ac:dyDescent="0.5">
      <c r="A4" s="235" t="str">
        <f>Results!A4</f>
        <v>Final Adjustments</v>
      </c>
      <c r="B4" s="354"/>
      <c r="C4" s="354"/>
      <c r="D4" s="354"/>
      <c r="E4" s="354"/>
      <c r="F4" s="354"/>
      <c r="G4" s="354"/>
      <c r="H4" s="354"/>
    </row>
    <row r="6" spans="1:15" x14ac:dyDescent="0.35">
      <c r="A6" s="1" t="s">
        <v>776</v>
      </c>
      <c r="C6" s="414" t="str">
        <f>Results!$C$6</f>
        <v>WellPower</v>
      </c>
    </row>
    <row r="7" spans="1:15" x14ac:dyDescent="0.35">
      <c r="A7" s="1" t="s">
        <v>0</v>
      </c>
      <c r="C7" s="35">
        <f>Results!$C$7</f>
        <v>45473</v>
      </c>
      <c r="F7" s="35"/>
    </row>
    <row r="9" spans="1:15" x14ac:dyDescent="0.35">
      <c r="A9" s="1" t="s">
        <v>253</v>
      </c>
      <c r="B9" s="1" t="s">
        <v>834</v>
      </c>
      <c r="C9" s="1"/>
      <c r="F9" s="116" t="str">
        <f>'Schedule 2L Adjustments'!F8</f>
        <v>Yes/No</v>
      </c>
      <c r="G9" s="41" t="s">
        <v>259</v>
      </c>
    </row>
    <row r="11" spans="1:15" x14ac:dyDescent="0.35">
      <c r="A11" s="1" t="s">
        <v>254</v>
      </c>
      <c r="B11" s="1" t="s">
        <v>256</v>
      </c>
      <c r="C11" s="1"/>
    </row>
    <row r="12" spans="1:15" x14ac:dyDescent="0.35">
      <c r="B12" s="311" t="s">
        <v>592</v>
      </c>
    </row>
    <row r="13" spans="1:15" x14ac:dyDescent="0.35">
      <c r="B13" s="560">
        <v>1</v>
      </c>
      <c r="C13" s="560"/>
      <c r="D13" s="560"/>
      <c r="F13" s="23">
        <v>2</v>
      </c>
      <c r="G13" s="23">
        <v>3</v>
      </c>
      <c r="H13" s="23">
        <v>4</v>
      </c>
      <c r="J13" s="23">
        <v>5</v>
      </c>
      <c r="K13" s="23">
        <v>6</v>
      </c>
      <c r="L13" s="23">
        <v>7</v>
      </c>
      <c r="N13" s="23">
        <v>8</v>
      </c>
      <c r="O13" s="23">
        <v>9</v>
      </c>
    </row>
    <row r="14" spans="1:15" ht="15" customHeight="1" x14ac:dyDescent="0.35">
      <c r="B14" s="569" t="s">
        <v>606</v>
      </c>
      <c r="C14" s="570"/>
      <c r="D14" s="571"/>
      <c r="F14" s="563" t="s">
        <v>261</v>
      </c>
      <c r="G14" s="568"/>
      <c r="H14" s="564"/>
      <c r="J14" s="563" t="s">
        <v>262</v>
      </c>
      <c r="K14" s="568"/>
      <c r="L14" s="564"/>
      <c r="N14" s="566" t="s">
        <v>686</v>
      </c>
      <c r="O14" s="566" t="s">
        <v>687</v>
      </c>
    </row>
    <row r="15" spans="1:15" ht="55.5" customHeight="1" x14ac:dyDescent="0.35">
      <c r="B15" s="572"/>
      <c r="C15" s="573"/>
      <c r="D15" s="574"/>
      <c r="E15" s="48"/>
      <c r="F15" s="10" t="s">
        <v>683</v>
      </c>
      <c r="G15" s="142" t="s">
        <v>684</v>
      </c>
      <c r="H15" s="142" t="s">
        <v>685</v>
      </c>
      <c r="I15" s="99"/>
      <c r="J15" s="10" t="s">
        <v>683</v>
      </c>
      <c r="K15" s="142" t="s">
        <v>684</v>
      </c>
      <c r="L15" s="142" t="s">
        <v>685</v>
      </c>
      <c r="M15" s="48"/>
      <c r="N15" s="567"/>
      <c r="O15" s="567"/>
    </row>
    <row r="16" spans="1:15" x14ac:dyDescent="0.35">
      <c r="A16" s="24">
        <v>1</v>
      </c>
      <c r="B16" s="565" t="str">
        <f>'Schedule 2L Adjustments'!B15:D15</f>
        <v/>
      </c>
      <c r="C16" s="565"/>
      <c r="D16" s="565"/>
      <c r="F16" s="114">
        <f>'Schedule 2L Adjustments'!H15</f>
        <v>0</v>
      </c>
      <c r="G16" s="68">
        <f>'Schedule 2L Adjustments'!J15</f>
        <v>0</v>
      </c>
      <c r="H16" s="68">
        <f>SUM(F16:G16)</f>
        <v>0</v>
      </c>
      <c r="J16" s="114">
        <f>'Schedule 2L Adjustments'!P15</f>
        <v>0</v>
      </c>
      <c r="K16" s="68">
        <f>'Schedule 2L Adjustments'!R15</f>
        <v>0</v>
      </c>
      <c r="L16" s="68">
        <f>SUM(J16:K16)</f>
        <v>0</v>
      </c>
      <c r="N16" s="117">
        <f>'Schedule 2L Adjustments'!X15</f>
        <v>0</v>
      </c>
      <c r="O16" s="117">
        <f>'Schedule 2L Adjustments'!AA15</f>
        <v>0</v>
      </c>
    </row>
    <row r="17" spans="1:15" x14ac:dyDescent="0.35">
      <c r="A17" s="24">
        <v>2</v>
      </c>
      <c r="B17" s="565" t="str">
        <f>'Schedule 2L Adjustments'!B16:D16</f>
        <v/>
      </c>
      <c r="C17" s="565"/>
      <c r="D17" s="565"/>
      <c r="F17" s="114">
        <f>'Schedule 2L Adjustments'!H16</f>
        <v>0</v>
      </c>
      <c r="G17" s="68">
        <f>'Schedule 2L Adjustments'!J16</f>
        <v>0</v>
      </c>
      <c r="H17" s="68">
        <f t="shared" ref="H17:H73" si="0">SUM(F17:G17)</f>
        <v>0</v>
      </c>
      <c r="J17" s="114">
        <f>'Schedule 2L Adjustments'!P16</f>
        <v>0</v>
      </c>
      <c r="K17" s="68">
        <f>'Schedule 2L Adjustments'!R16</f>
        <v>0</v>
      </c>
      <c r="L17" s="68">
        <f t="shared" ref="L17:L73" si="1">SUM(J17:K17)</f>
        <v>0</v>
      </c>
      <c r="N17" s="117">
        <f>'Schedule 2L Adjustments'!X16</f>
        <v>0</v>
      </c>
      <c r="O17" s="117">
        <f>'Schedule 2L Adjustments'!AA16</f>
        <v>0</v>
      </c>
    </row>
    <row r="18" spans="1:15" x14ac:dyDescent="0.35">
      <c r="A18" s="24">
        <v>3</v>
      </c>
      <c r="B18" s="565" t="str">
        <f>'Schedule 2L Adjustments'!B17:D17</f>
        <v/>
      </c>
      <c r="C18" s="565"/>
      <c r="D18" s="565"/>
      <c r="F18" s="114">
        <f>'Schedule 2L Adjustments'!H17</f>
        <v>0</v>
      </c>
      <c r="G18" s="68">
        <f>'Schedule 2L Adjustments'!J17</f>
        <v>0</v>
      </c>
      <c r="H18" s="68">
        <f t="shared" si="0"/>
        <v>0</v>
      </c>
      <c r="J18" s="114">
        <f>'Schedule 2L Adjustments'!P17</f>
        <v>0</v>
      </c>
      <c r="K18" s="68">
        <f>'Schedule 2L Adjustments'!R17</f>
        <v>0</v>
      </c>
      <c r="L18" s="68">
        <f t="shared" si="1"/>
        <v>0</v>
      </c>
      <c r="N18" s="117">
        <f>'Schedule 2L Adjustments'!X17</f>
        <v>0</v>
      </c>
      <c r="O18" s="117">
        <f>'Schedule 2L Adjustments'!AA17</f>
        <v>0</v>
      </c>
    </row>
    <row r="19" spans="1:15" x14ac:dyDescent="0.35">
      <c r="A19" s="24">
        <v>4</v>
      </c>
      <c r="B19" s="565" t="str">
        <f>'Schedule 2L Adjustments'!B18:D18</f>
        <v/>
      </c>
      <c r="C19" s="565"/>
      <c r="D19" s="565"/>
      <c r="F19" s="114">
        <f>'Schedule 2L Adjustments'!H18</f>
        <v>0</v>
      </c>
      <c r="G19" s="68">
        <f>'Schedule 2L Adjustments'!J18</f>
        <v>0</v>
      </c>
      <c r="H19" s="68">
        <f t="shared" si="0"/>
        <v>0</v>
      </c>
      <c r="J19" s="114">
        <f>'Schedule 2L Adjustments'!P18</f>
        <v>0</v>
      </c>
      <c r="K19" s="68">
        <f>'Schedule 2L Adjustments'!R18</f>
        <v>0</v>
      </c>
      <c r="L19" s="68">
        <f t="shared" si="1"/>
        <v>0</v>
      </c>
      <c r="N19" s="117">
        <f>'Schedule 2L Adjustments'!X18</f>
        <v>0</v>
      </c>
      <c r="O19" s="117">
        <f>'Schedule 2L Adjustments'!AA18</f>
        <v>0</v>
      </c>
    </row>
    <row r="20" spans="1:15" x14ac:dyDescent="0.35">
      <c r="A20" s="24">
        <v>5</v>
      </c>
      <c r="B20" s="565" t="str">
        <f>'Schedule 2L Adjustments'!B19:D19</f>
        <v/>
      </c>
      <c r="C20" s="565"/>
      <c r="D20" s="565"/>
      <c r="F20" s="114">
        <f>'Schedule 2L Adjustments'!H19</f>
        <v>0</v>
      </c>
      <c r="G20" s="68">
        <f>'Schedule 2L Adjustments'!J19</f>
        <v>0</v>
      </c>
      <c r="H20" s="68">
        <f t="shared" si="0"/>
        <v>0</v>
      </c>
      <c r="J20" s="114">
        <f>'Schedule 2L Adjustments'!P19</f>
        <v>0</v>
      </c>
      <c r="K20" s="68">
        <f>'Schedule 2L Adjustments'!R19</f>
        <v>0</v>
      </c>
      <c r="L20" s="68">
        <f t="shared" si="1"/>
        <v>0</v>
      </c>
      <c r="N20" s="117">
        <f>'Schedule 2L Adjustments'!X19</f>
        <v>0</v>
      </c>
      <c r="O20" s="117">
        <f>'Schedule 2L Adjustments'!AA19</f>
        <v>0</v>
      </c>
    </row>
    <row r="21" spans="1:15" x14ac:dyDescent="0.35">
      <c r="A21" s="24">
        <v>6</v>
      </c>
      <c r="B21" s="565" t="str">
        <f>'Schedule 2L Adjustments'!B20:D20</f>
        <v/>
      </c>
      <c r="C21" s="565"/>
      <c r="D21" s="565"/>
      <c r="F21" s="114">
        <f>'Schedule 2L Adjustments'!H20</f>
        <v>0</v>
      </c>
      <c r="G21" s="68">
        <f>'Schedule 2L Adjustments'!J20</f>
        <v>0</v>
      </c>
      <c r="H21" s="68">
        <f t="shared" si="0"/>
        <v>0</v>
      </c>
      <c r="J21" s="114">
        <f>'Schedule 2L Adjustments'!P20</f>
        <v>0</v>
      </c>
      <c r="K21" s="68">
        <f>'Schedule 2L Adjustments'!R20</f>
        <v>0</v>
      </c>
      <c r="L21" s="68">
        <f t="shared" si="1"/>
        <v>0</v>
      </c>
      <c r="N21" s="117">
        <f>'Schedule 2L Adjustments'!X20</f>
        <v>0</v>
      </c>
      <c r="O21" s="117">
        <f>'Schedule 2L Adjustments'!AA20</f>
        <v>0</v>
      </c>
    </row>
    <row r="22" spans="1:15" x14ac:dyDescent="0.35">
      <c r="A22" s="24">
        <v>7</v>
      </c>
      <c r="B22" s="565" t="str">
        <f>'Schedule 2L Adjustments'!B21:D21</f>
        <v/>
      </c>
      <c r="C22" s="565"/>
      <c r="D22" s="565"/>
      <c r="F22" s="114">
        <f>'Schedule 2L Adjustments'!H21</f>
        <v>0</v>
      </c>
      <c r="G22" s="68">
        <f>'Schedule 2L Adjustments'!J21</f>
        <v>0</v>
      </c>
      <c r="H22" s="68">
        <f t="shared" si="0"/>
        <v>0</v>
      </c>
      <c r="J22" s="114">
        <f>'Schedule 2L Adjustments'!P21</f>
        <v>0</v>
      </c>
      <c r="K22" s="68">
        <f>'Schedule 2L Adjustments'!R21</f>
        <v>0</v>
      </c>
      <c r="L22" s="68">
        <f t="shared" si="1"/>
        <v>0</v>
      </c>
      <c r="N22" s="117">
        <f>'Schedule 2L Adjustments'!X21</f>
        <v>0</v>
      </c>
      <c r="O22" s="117">
        <f>'Schedule 2L Adjustments'!AA21</f>
        <v>0</v>
      </c>
    </row>
    <row r="23" spans="1:15" x14ac:dyDescent="0.35">
      <c r="A23" s="24">
        <v>8</v>
      </c>
      <c r="B23" s="565" t="str">
        <f>'Schedule 2L Adjustments'!B22:D22</f>
        <v/>
      </c>
      <c r="C23" s="565"/>
      <c r="D23" s="565"/>
      <c r="F23" s="114">
        <f>'Schedule 2L Adjustments'!H22</f>
        <v>0</v>
      </c>
      <c r="G23" s="68">
        <f>'Schedule 2L Adjustments'!J22</f>
        <v>0</v>
      </c>
      <c r="H23" s="68">
        <f t="shared" si="0"/>
        <v>0</v>
      </c>
      <c r="J23" s="114">
        <f>'Schedule 2L Adjustments'!P22</f>
        <v>0</v>
      </c>
      <c r="K23" s="68">
        <f>'Schedule 2L Adjustments'!R22</f>
        <v>0</v>
      </c>
      <c r="L23" s="68">
        <f t="shared" si="1"/>
        <v>0</v>
      </c>
      <c r="N23" s="117">
        <f>'Schedule 2L Adjustments'!X22</f>
        <v>0</v>
      </c>
      <c r="O23" s="117">
        <f>'Schedule 2L Adjustments'!AA22</f>
        <v>0</v>
      </c>
    </row>
    <row r="24" spans="1:15" x14ac:dyDescent="0.35">
      <c r="A24" s="24">
        <v>9</v>
      </c>
      <c r="B24" s="565" t="str">
        <f>'Schedule 2L Adjustments'!B23:D23</f>
        <v/>
      </c>
      <c r="C24" s="565"/>
      <c r="D24" s="565"/>
      <c r="F24" s="114">
        <f>'Schedule 2L Adjustments'!H23</f>
        <v>0</v>
      </c>
      <c r="G24" s="68">
        <f>'Schedule 2L Adjustments'!J23</f>
        <v>0</v>
      </c>
      <c r="H24" s="68">
        <f t="shared" si="0"/>
        <v>0</v>
      </c>
      <c r="J24" s="114">
        <f>'Schedule 2L Adjustments'!P23</f>
        <v>0</v>
      </c>
      <c r="K24" s="68">
        <f>'Schedule 2L Adjustments'!R23</f>
        <v>0</v>
      </c>
      <c r="L24" s="68">
        <f t="shared" si="1"/>
        <v>0</v>
      </c>
      <c r="N24" s="117">
        <f>'Schedule 2L Adjustments'!X23</f>
        <v>0</v>
      </c>
      <c r="O24" s="117">
        <f>'Schedule 2L Adjustments'!AA23</f>
        <v>0</v>
      </c>
    </row>
    <row r="25" spans="1:15" x14ac:dyDescent="0.35">
      <c r="A25" s="24">
        <v>10</v>
      </c>
      <c r="B25" s="565" t="str">
        <f>'Schedule 2L Adjustments'!B24:D24</f>
        <v/>
      </c>
      <c r="C25" s="565"/>
      <c r="D25" s="565"/>
      <c r="F25" s="114">
        <f>'Schedule 2L Adjustments'!H24</f>
        <v>0</v>
      </c>
      <c r="G25" s="68">
        <f>'Schedule 2L Adjustments'!J24</f>
        <v>0</v>
      </c>
      <c r="H25" s="68">
        <f t="shared" si="0"/>
        <v>0</v>
      </c>
      <c r="J25" s="114">
        <f>'Schedule 2L Adjustments'!P24</f>
        <v>0</v>
      </c>
      <c r="K25" s="68">
        <f>'Schedule 2L Adjustments'!R24</f>
        <v>0</v>
      </c>
      <c r="L25" s="68">
        <f t="shared" si="1"/>
        <v>0</v>
      </c>
      <c r="N25" s="117">
        <f>'Schedule 2L Adjustments'!X24</f>
        <v>0</v>
      </c>
      <c r="O25" s="117">
        <f>'Schedule 2L Adjustments'!AA24</f>
        <v>0</v>
      </c>
    </row>
    <row r="26" spans="1:15" x14ac:dyDescent="0.35">
      <c r="A26" s="24">
        <v>11</v>
      </c>
      <c r="B26" s="565" t="str">
        <f>'Schedule 2L Adjustments'!B25:D25</f>
        <v/>
      </c>
      <c r="C26" s="565"/>
      <c r="D26" s="565"/>
      <c r="F26" s="114">
        <f>'Schedule 2L Adjustments'!H25</f>
        <v>0</v>
      </c>
      <c r="G26" s="68">
        <f>'Schedule 2L Adjustments'!J25</f>
        <v>0</v>
      </c>
      <c r="H26" s="68">
        <f t="shared" si="0"/>
        <v>0</v>
      </c>
      <c r="J26" s="114">
        <f>'Schedule 2L Adjustments'!P25</f>
        <v>0</v>
      </c>
      <c r="K26" s="68">
        <f>'Schedule 2L Adjustments'!R25</f>
        <v>0</v>
      </c>
      <c r="L26" s="68">
        <f t="shared" si="1"/>
        <v>0</v>
      </c>
      <c r="N26" s="117">
        <f>'Schedule 2L Adjustments'!X25</f>
        <v>0</v>
      </c>
      <c r="O26" s="117">
        <f>'Schedule 2L Adjustments'!AA25</f>
        <v>0</v>
      </c>
    </row>
    <row r="27" spans="1:15" x14ac:dyDescent="0.35">
      <c r="A27" s="24">
        <v>12</v>
      </c>
      <c r="B27" s="565" t="str">
        <f>'Schedule 2L Adjustments'!B26:D26</f>
        <v/>
      </c>
      <c r="C27" s="565"/>
      <c r="D27" s="565"/>
      <c r="F27" s="114">
        <f>'Schedule 2L Adjustments'!H26</f>
        <v>0</v>
      </c>
      <c r="G27" s="68">
        <f>'Schedule 2L Adjustments'!J26</f>
        <v>0</v>
      </c>
      <c r="H27" s="68">
        <f t="shared" si="0"/>
        <v>0</v>
      </c>
      <c r="J27" s="114">
        <f>'Schedule 2L Adjustments'!P26</f>
        <v>0</v>
      </c>
      <c r="K27" s="68">
        <f>'Schedule 2L Adjustments'!R26</f>
        <v>0</v>
      </c>
      <c r="L27" s="68">
        <f t="shared" si="1"/>
        <v>0</v>
      </c>
      <c r="N27" s="117">
        <f>'Schedule 2L Adjustments'!X26</f>
        <v>0</v>
      </c>
      <c r="O27" s="117">
        <f>'Schedule 2L Adjustments'!AA26</f>
        <v>0</v>
      </c>
    </row>
    <row r="28" spans="1:15" x14ac:dyDescent="0.35">
      <c r="A28" s="24">
        <v>13</v>
      </c>
      <c r="B28" s="565" t="str">
        <f>'Schedule 2L Adjustments'!B27:D27</f>
        <v/>
      </c>
      <c r="C28" s="565"/>
      <c r="D28" s="565"/>
      <c r="F28" s="114">
        <f>'Schedule 2L Adjustments'!H27</f>
        <v>0</v>
      </c>
      <c r="G28" s="68">
        <f>'Schedule 2L Adjustments'!J27</f>
        <v>0</v>
      </c>
      <c r="H28" s="68">
        <f t="shared" si="0"/>
        <v>0</v>
      </c>
      <c r="J28" s="114">
        <f>'Schedule 2L Adjustments'!P27</f>
        <v>0</v>
      </c>
      <c r="K28" s="68">
        <f>'Schedule 2L Adjustments'!R27</f>
        <v>0</v>
      </c>
      <c r="L28" s="68">
        <f t="shared" si="1"/>
        <v>0</v>
      </c>
      <c r="N28" s="117">
        <f>'Schedule 2L Adjustments'!X27</f>
        <v>0</v>
      </c>
      <c r="O28" s="117">
        <f>'Schedule 2L Adjustments'!AA27</f>
        <v>0</v>
      </c>
    </row>
    <row r="29" spans="1:15" x14ac:dyDescent="0.35">
      <c r="A29" s="24">
        <v>14</v>
      </c>
      <c r="B29" s="565" t="str">
        <f>'Schedule 2L Adjustments'!B28:D28</f>
        <v/>
      </c>
      <c r="C29" s="565"/>
      <c r="D29" s="565"/>
      <c r="F29" s="114">
        <f>'Schedule 2L Adjustments'!H28</f>
        <v>0</v>
      </c>
      <c r="G29" s="68">
        <f>'Schedule 2L Adjustments'!J28</f>
        <v>0</v>
      </c>
      <c r="H29" s="68">
        <f t="shared" si="0"/>
        <v>0</v>
      </c>
      <c r="J29" s="114">
        <f>'Schedule 2L Adjustments'!P28</f>
        <v>0</v>
      </c>
      <c r="K29" s="68">
        <f>'Schedule 2L Adjustments'!R28</f>
        <v>0</v>
      </c>
      <c r="L29" s="68">
        <f t="shared" si="1"/>
        <v>0</v>
      </c>
      <c r="N29" s="117">
        <f>'Schedule 2L Adjustments'!X28</f>
        <v>0</v>
      </c>
      <c r="O29" s="117">
        <f>'Schedule 2L Adjustments'!AA28</f>
        <v>0</v>
      </c>
    </row>
    <row r="30" spans="1:15" x14ac:dyDescent="0.35">
      <c r="A30" s="24">
        <v>15</v>
      </c>
      <c r="B30" s="565" t="str">
        <f>'Schedule 2L Adjustments'!B29:D29</f>
        <v/>
      </c>
      <c r="C30" s="565"/>
      <c r="D30" s="565"/>
      <c r="F30" s="114">
        <f>'Schedule 2L Adjustments'!H29</f>
        <v>0</v>
      </c>
      <c r="G30" s="68">
        <f>'Schedule 2L Adjustments'!J29</f>
        <v>0</v>
      </c>
      <c r="H30" s="68">
        <f t="shared" si="0"/>
        <v>0</v>
      </c>
      <c r="J30" s="114">
        <f>'Schedule 2L Adjustments'!P29</f>
        <v>0</v>
      </c>
      <c r="K30" s="68">
        <f>'Schedule 2L Adjustments'!R29</f>
        <v>0</v>
      </c>
      <c r="L30" s="68">
        <f t="shared" si="1"/>
        <v>0</v>
      </c>
      <c r="N30" s="117">
        <f>'Schedule 2L Adjustments'!X29</f>
        <v>0</v>
      </c>
      <c r="O30" s="117">
        <f>'Schedule 2L Adjustments'!AA29</f>
        <v>0</v>
      </c>
    </row>
    <row r="31" spans="1:15" x14ac:dyDescent="0.35">
      <c r="A31" s="24">
        <v>16</v>
      </c>
      <c r="B31" s="565" t="str">
        <f>'Schedule 2L Adjustments'!B30:D30</f>
        <v/>
      </c>
      <c r="C31" s="565"/>
      <c r="D31" s="565"/>
      <c r="F31" s="114">
        <f>'Schedule 2L Adjustments'!H30</f>
        <v>0</v>
      </c>
      <c r="G31" s="68">
        <f>'Schedule 2L Adjustments'!J30</f>
        <v>0</v>
      </c>
      <c r="H31" s="68">
        <f t="shared" si="0"/>
        <v>0</v>
      </c>
      <c r="J31" s="114">
        <f>'Schedule 2L Adjustments'!P30</f>
        <v>0</v>
      </c>
      <c r="K31" s="68">
        <f>'Schedule 2L Adjustments'!R30</f>
        <v>0</v>
      </c>
      <c r="L31" s="68">
        <f t="shared" si="1"/>
        <v>0</v>
      </c>
      <c r="N31" s="117">
        <f>'Schedule 2L Adjustments'!X30</f>
        <v>0</v>
      </c>
      <c r="O31" s="117">
        <f>'Schedule 2L Adjustments'!AA30</f>
        <v>0</v>
      </c>
    </row>
    <row r="32" spans="1:15" x14ac:dyDescent="0.35">
      <c r="A32" s="24">
        <v>17</v>
      </c>
      <c r="B32" s="565" t="str">
        <f>'Schedule 2L Adjustments'!B31:D31</f>
        <v/>
      </c>
      <c r="C32" s="565"/>
      <c r="D32" s="565"/>
      <c r="F32" s="114">
        <f>'Schedule 2L Adjustments'!H31</f>
        <v>0</v>
      </c>
      <c r="G32" s="68">
        <f>'Schedule 2L Adjustments'!J31</f>
        <v>0</v>
      </c>
      <c r="H32" s="68">
        <f t="shared" si="0"/>
        <v>0</v>
      </c>
      <c r="J32" s="114">
        <f>'Schedule 2L Adjustments'!P31</f>
        <v>0</v>
      </c>
      <c r="K32" s="68">
        <f>'Schedule 2L Adjustments'!R31</f>
        <v>0</v>
      </c>
      <c r="L32" s="68">
        <f t="shared" si="1"/>
        <v>0</v>
      </c>
      <c r="N32" s="117">
        <f>'Schedule 2L Adjustments'!X31</f>
        <v>0</v>
      </c>
      <c r="O32" s="117">
        <f>'Schedule 2L Adjustments'!AA31</f>
        <v>0</v>
      </c>
    </row>
    <row r="33" spans="1:15" x14ac:dyDescent="0.35">
      <c r="A33" s="24">
        <v>18</v>
      </c>
      <c r="B33" s="565" t="str">
        <f>'Schedule 2L Adjustments'!B32:D32</f>
        <v/>
      </c>
      <c r="C33" s="565"/>
      <c r="D33" s="565"/>
      <c r="F33" s="114">
        <f>'Schedule 2L Adjustments'!H32</f>
        <v>0</v>
      </c>
      <c r="G33" s="68">
        <f>'Schedule 2L Adjustments'!J32</f>
        <v>0</v>
      </c>
      <c r="H33" s="68">
        <f t="shared" si="0"/>
        <v>0</v>
      </c>
      <c r="J33" s="114">
        <f>'Schedule 2L Adjustments'!P32</f>
        <v>0</v>
      </c>
      <c r="K33" s="68">
        <f>'Schedule 2L Adjustments'!R32</f>
        <v>0</v>
      </c>
      <c r="L33" s="68">
        <f t="shared" si="1"/>
        <v>0</v>
      </c>
      <c r="N33" s="117">
        <f>'Schedule 2L Adjustments'!X32</f>
        <v>0</v>
      </c>
      <c r="O33" s="117">
        <f>'Schedule 2L Adjustments'!AA32</f>
        <v>0</v>
      </c>
    </row>
    <row r="34" spans="1:15" x14ac:dyDescent="0.35">
      <c r="A34" s="24">
        <v>19</v>
      </c>
      <c r="B34" s="565" t="str">
        <f>'Schedule 2L Adjustments'!B33:D33</f>
        <v/>
      </c>
      <c r="C34" s="565"/>
      <c r="D34" s="565"/>
      <c r="F34" s="114">
        <f>'Schedule 2L Adjustments'!H33</f>
        <v>0</v>
      </c>
      <c r="G34" s="68">
        <f>'Schedule 2L Adjustments'!J33</f>
        <v>0</v>
      </c>
      <c r="H34" s="68">
        <f t="shared" si="0"/>
        <v>0</v>
      </c>
      <c r="J34" s="114">
        <f>'Schedule 2L Adjustments'!P33</f>
        <v>0</v>
      </c>
      <c r="K34" s="68">
        <f>'Schedule 2L Adjustments'!R33</f>
        <v>0</v>
      </c>
      <c r="L34" s="68">
        <f t="shared" si="1"/>
        <v>0</v>
      </c>
      <c r="N34" s="117">
        <f>'Schedule 2L Adjustments'!X33</f>
        <v>0</v>
      </c>
      <c r="O34" s="117">
        <f>'Schedule 2L Adjustments'!AA33</f>
        <v>0</v>
      </c>
    </row>
    <row r="35" spans="1:15" x14ac:dyDescent="0.35">
      <c r="A35" s="24">
        <v>20</v>
      </c>
      <c r="B35" s="565" t="str">
        <f>'Schedule 2L Adjustments'!B34:D34</f>
        <v/>
      </c>
      <c r="C35" s="565"/>
      <c r="D35" s="565"/>
      <c r="F35" s="114">
        <f>'Schedule 2L Adjustments'!H34</f>
        <v>0</v>
      </c>
      <c r="G35" s="68">
        <f>'Schedule 2L Adjustments'!J34</f>
        <v>0</v>
      </c>
      <c r="H35" s="68">
        <f t="shared" si="0"/>
        <v>0</v>
      </c>
      <c r="J35" s="114">
        <f>'Schedule 2L Adjustments'!P34</f>
        <v>0</v>
      </c>
      <c r="K35" s="68">
        <f>'Schedule 2L Adjustments'!R34</f>
        <v>0</v>
      </c>
      <c r="L35" s="68">
        <f t="shared" si="1"/>
        <v>0</v>
      </c>
      <c r="N35" s="117">
        <f>'Schedule 2L Adjustments'!X34</f>
        <v>0</v>
      </c>
      <c r="O35" s="117">
        <f>'Schedule 2L Adjustments'!AA34</f>
        <v>0</v>
      </c>
    </row>
    <row r="36" spans="1:15" x14ac:dyDescent="0.35">
      <c r="A36" s="24">
        <v>21</v>
      </c>
      <c r="B36" s="565" t="str">
        <f>'Schedule 2L Adjustments'!B35:D35</f>
        <v/>
      </c>
      <c r="C36" s="565"/>
      <c r="D36" s="565"/>
      <c r="F36" s="114">
        <f>'Schedule 2L Adjustments'!H35</f>
        <v>0</v>
      </c>
      <c r="G36" s="68">
        <f>'Schedule 2L Adjustments'!J35</f>
        <v>0</v>
      </c>
      <c r="H36" s="68">
        <f t="shared" si="0"/>
        <v>0</v>
      </c>
      <c r="J36" s="114">
        <f>'Schedule 2L Adjustments'!P35</f>
        <v>0</v>
      </c>
      <c r="K36" s="68">
        <f>'Schedule 2L Adjustments'!R35</f>
        <v>0</v>
      </c>
      <c r="L36" s="68">
        <f t="shared" si="1"/>
        <v>0</v>
      </c>
      <c r="N36" s="117">
        <f>'Schedule 2L Adjustments'!X35</f>
        <v>0</v>
      </c>
      <c r="O36" s="117">
        <f>'Schedule 2L Adjustments'!AA35</f>
        <v>0</v>
      </c>
    </row>
    <row r="37" spans="1:15" x14ac:dyDescent="0.35">
      <c r="A37" s="24">
        <v>22</v>
      </c>
      <c r="B37" s="565" t="str">
        <f>'Schedule 2L Adjustments'!B36:D36</f>
        <v/>
      </c>
      <c r="C37" s="565"/>
      <c r="D37" s="565"/>
      <c r="F37" s="114">
        <f>'Schedule 2L Adjustments'!H36</f>
        <v>0</v>
      </c>
      <c r="G37" s="68">
        <f>'Schedule 2L Adjustments'!J36</f>
        <v>0</v>
      </c>
      <c r="H37" s="68">
        <f t="shared" si="0"/>
        <v>0</v>
      </c>
      <c r="J37" s="114">
        <f>'Schedule 2L Adjustments'!P36</f>
        <v>0</v>
      </c>
      <c r="K37" s="68">
        <f>'Schedule 2L Adjustments'!R36</f>
        <v>0</v>
      </c>
      <c r="L37" s="68">
        <f t="shared" si="1"/>
        <v>0</v>
      </c>
      <c r="N37" s="117">
        <f>'Schedule 2L Adjustments'!X36</f>
        <v>0</v>
      </c>
      <c r="O37" s="117">
        <f>'Schedule 2L Adjustments'!AA36</f>
        <v>0</v>
      </c>
    </row>
    <row r="38" spans="1:15" x14ac:dyDescent="0.35">
      <c r="A38" s="24">
        <v>23</v>
      </c>
      <c r="B38" s="565" t="str">
        <f>'Schedule 2L Adjustments'!B37:D37</f>
        <v/>
      </c>
      <c r="C38" s="565"/>
      <c r="D38" s="565"/>
      <c r="F38" s="114">
        <f>'Schedule 2L Adjustments'!H37</f>
        <v>0</v>
      </c>
      <c r="G38" s="68">
        <f>'Schedule 2L Adjustments'!J37</f>
        <v>0</v>
      </c>
      <c r="H38" s="68">
        <f t="shared" si="0"/>
        <v>0</v>
      </c>
      <c r="J38" s="114">
        <f>'Schedule 2L Adjustments'!P37</f>
        <v>0</v>
      </c>
      <c r="K38" s="68">
        <f>'Schedule 2L Adjustments'!R37</f>
        <v>0</v>
      </c>
      <c r="L38" s="68">
        <f t="shared" si="1"/>
        <v>0</v>
      </c>
      <c r="N38" s="117">
        <f>'Schedule 2L Adjustments'!X37</f>
        <v>0</v>
      </c>
      <c r="O38" s="117">
        <f>'Schedule 2L Adjustments'!AA37</f>
        <v>0</v>
      </c>
    </row>
    <row r="39" spans="1:15" x14ac:dyDescent="0.35">
      <c r="A39" s="24">
        <v>24</v>
      </c>
      <c r="B39" s="565" t="str">
        <f>'Schedule 2L Adjustments'!B38:D38</f>
        <v/>
      </c>
      <c r="C39" s="565"/>
      <c r="D39" s="565"/>
      <c r="F39" s="114">
        <f>'Schedule 2L Adjustments'!H38</f>
        <v>0</v>
      </c>
      <c r="G39" s="68">
        <f>'Schedule 2L Adjustments'!J38</f>
        <v>0</v>
      </c>
      <c r="H39" s="68">
        <f t="shared" si="0"/>
        <v>0</v>
      </c>
      <c r="J39" s="114">
        <f>'Schedule 2L Adjustments'!P38</f>
        <v>0</v>
      </c>
      <c r="K39" s="68">
        <f>'Schedule 2L Adjustments'!R38</f>
        <v>0</v>
      </c>
      <c r="L39" s="68">
        <f t="shared" si="1"/>
        <v>0</v>
      </c>
      <c r="N39" s="117">
        <f>'Schedule 2L Adjustments'!X38</f>
        <v>0</v>
      </c>
      <c r="O39" s="117">
        <f>'Schedule 2L Adjustments'!AA38</f>
        <v>0</v>
      </c>
    </row>
    <row r="40" spans="1:15" x14ac:dyDescent="0.35">
      <c r="A40" s="24">
        <v>25</v>
      </c>
      <c r="B40" s="565" t="str">
        <f>'Schedule 2L Adjustments'!B39:D39</f>
        <v/>
      </c>
      <c r="C40" s="565"/>
      <c r="D40" s="565"/>
      <c r="F40" s="114">
        <f>'Schedule 2L Adjustments'!H39</f>
        <v>0</v>
      </c>
      <c r="G40" s="68">
        <f>'Schedule 2L Adjustments'!J39</f>
        <v>0</v>
      </c>
      <c r="H40" s="68">
        <f t="shared" si="0"/>
        <v>0</v>
      </c>
      <c r="J40" s="114">
        <f>'Schedule 2L Adjustments'!P39</f>
        <v>0</v>
      </c>
      <c r="K40" s="68">
        <f>'Schedule 2L Adjustments'!R39</f>
        <v>0</v>
      </c>
      <c r="L40" s="68">
        <f t="shared" si="1"/>
        <v>0</v>
      </c>
      <c r="N40" s="117">
        <f>'Schedule 2L Adjustments'!X39</f>
        <v>0</v>
      </c>
      <c r="O40" s="117">
        <f>'Schedule 2L Adjustments'!AA39</f>
        <v>0</v>
      </c>
    </row>
    <row r="41" spans="1:15" x14ac:dyDescent="0.35">
      <c r="A41" s="24">
        <v>26</v>
      </c>
      <c r="B41" s="565" t="str">
        <f>'Schedule 2L Adjustments'!B40:D40</f>
        <v/>
      </c>
      <c r="C41" s="565"/>
      <c r="D41" s="565"/>
      <c r="F41" s="114">
        <f>'Schedule 2L Adjustments'!H40</f>
        <v>0</v>
      </c>
      <c r="G41" s="68">
        <f>'Schedule 2L Adjustments'!J40</f>
        <v>0</v>
      </c>
      <c r="H41" s="68">
        <f t="shared" si="0"/>
        <v>0</v>
      </c>
      <c r="J41" s="114">
        <f>'Schedule 2L Adjustments'!P40</f>
        <v>0</v>
      </c>
      <c r="K41" s="68">
        <f>'Schedule 2L Adjustments'!R40</f>
        <v>0</v>
      </c>
      <c r="L41" s="68">
        <f t="shared" si="1"/>
        <v>0</v>
      </c>
      <c r="N41" s="117">
        <f>'Schedule 2L Adjustments'!X40</f>
        <v>0</v>
      </c>
      <c r="O41" s="117">
        <f>'Schedule 2L Adjustments'!AA40</f>
        <v>0</v>
      </c>
    </row>
    <row r="42" spans="1:15" x14ac:dyDescent="0.35">
      <c r="A42" s="24">
        <v>27</v>
      </c>
      <c r="B42" s="565" t="str">
        <f>'Schedule 2L Adjustments'!B41:D41</f>
        <v/>
      </c>
      <c r="C42" s="565"/>
      <c r="D42" s="565"/>
      <c r="F42" s="114">
        <f>'Schedule 2L Adjustments'!H41</f>
        <v>0</v>
      </c>
      <c r="G42" s="68">
        <f>'Schedule 2L Adjustments'!J41</f>
        <v>0</v>
      </c>
      <c r="H42" s="68">
        <f t="shared" si="0"/>
        <v>0</v>
      </c>
      <c r="J42" s="114">
        <f>'Schedule 2L Adjustments'!P41</f>
        <v>0</v>
      </c>
      <c r="K42" s="68">
        <f>'Schedule 2L Adjustments'!R41</f>
        <v>0</v>
      </c>
      <c r="L42" s="68">
        <f t="shared" si="1"/>
        <v>0</v>
      </c>
      <c r="N42" s="117">
        <f>'Schedule 2L Adjustments'!X41</f>
        <v>0</v>
      </c>
      <c r="O42" s="117">
        <f>'Schedule 2L Adjustments'!AA41</f>
        <v>0</v>
      </c>
    </row>
    <row r="43" spans="1:15" x14ac:dyDescent="0.35">
      <c r="A43" s="24">
        <v>28</v>
      </c>
      <c r="B43" s="565" t="str">
        <f>'Schedule 2L Adjustments'!B42:D42</f>
        <v/>
      </c>
      <c r="C43" s="565"/>
      <c r="D43" s="565"/>
      <c r="F43" s="114">
        <f>'Schedule 2L Adjustments'!H42</f>
        <v>0</v>
      </c>
      <c r="G43" s="68">
        <f>'Schedule 2L Adjustments'!J42</f>
        <v>0</v>
      </c>
      <c r="H43" s="68">
        <f t="shared" si="0"/>
        <v>0</v>
      </c>
      <c r="J43" s="114">
        <f>'Schedule 2L Adjustments'!P42</f>
        <v>0</v>
      </c>
      <c r="K43" s="68">
        <f>'Schedule 2L Adjustments'!R42</f>
        <v>0</v>
      </c>
      <c r="L43" s="68">
        <f t="shared" si="1"/>
        <v>0</v>
      </c>
      <c r="N43" s="117">
        <f>'Schedule 2L Adjustments'!X42</f>
        <v>0</v>
      </c>
      <c r="O43" s="117">
        <f>'Schedule 2L Adjustments'!AA42</f>
        <v>0</v>
      </c>
    </row>
    <row r="44" spans="1:15" x14ac:dyDescent="0.35">
      <c r="A44" s="24">
        <v>29</v>
      </c>
      <c r="B44" s="565" t="str">
        <f>'Schedule 2L Adjustments'!B43:D43</f>
        <v/>
      </c>
      <c r="C44" s="565"/>
      <c r="D44" s="565"/>
      <c r="F44" s="114">
        <f>'Schedule 2L Adjustments'!H43</f>
        <v>0</v>
      </c>
      <c r="G44" s="68">
        <f>'Schedule 2L Adjustments'!J43</f>
        <v>0</v>
      </c>
      <c r="H44" s="68">
        <f t="shared" si="0"/>
        <v>0</v>
      </c>
      <c r="J44" s="114">
        <f>'Schedule 2L Adjustments'!P43</f>
        <v>0</v>
      </c>
      <c r="K44" s="68">
        <f>'Schedule 2L Adjustments'!R43</f>
        <v>0</v>
      </c>
      <c r="L44" s="68">
        <f t="shared" si="1"/>
        <v>0</v>
      </c>
      <c r="N44" s="117">
        <f>'Schedule 2L Adjustments'!X43</f>
        <v>0</v>
      </c>
      <c r="O44" s="117">
        <f>'Schedule 2L Adjustments'!AA43</f>
        <v>0</v>
      </c>
    </row>
    <row r="45" spans="1:15" x14ac:dyDescent="0.35">
      <c r="A45" s="24">
        <v>30</v>
      </c>
      <c r="B45" s="565" t="str">
        <f>'Schedule 2L Adjustments'!B44:D44</f>
        <v/>
      </c>
      <c r="C45" s="565"/>
      <c r="D45" s="565"/>
      <c r="F45" s="114">
        <f>'Schedule 2L Adjustments'!H44</f>
        <v>0</v>
      </c>
      <c r="G45" s="68">
        <f>'Schedule 2L Adjustments'!J44</f>
        <v>0</v>
      </c>
      <c r="H45" s="68">
        <f t="shared" si="0"/>
        <v>0</v>
      </c>
      <c r="J45" s="114">
        <f>'Schedule 2L Adjustments'!P44</f>
        <v>0</v>
      </c>
      <c r="K45" s="68">
        <f>'Schedule 2L Adjustments'!R44</f>
        <v>0</v>
      </c>
      <c r="L45" s="68">
        <f t="shared" si="1"/>
        <v>0</v>
      </c>
      <c r="N45" s="117">
        <f>'Schedule 2L Adjustments'!X44</f>
        <v>0</v>
      </c>
      <c r="O45" s="117">
        <f>'Schedule 2L Adjustments'!AA44</f>
        <v>0</v>
      </c>
    </row>
    <row r="46" spans="1:15" x14ac:dyDescent="0.35">
      <c r="A46" s="24">
        <v>31</v>
      </c>
      <c r="B46" s="565" t="str">
        <f>'Schedule 2L Adjustments'!B45:D45</f>
        <v/>
      </c>
      <c r="C46" s="565"/>
      <c r="D46" s="565"/>
      <c r="F46" s="114">
        <f>'Schedule 2L Adjustments'!H45</f>
        <v>0</v>
      </c>
      <c r="G46" s="68">
        <f>'Schedule 2L Adjustments'!J45</f>
        <v>0</v>
      </c>
      <c r="H46" s="68">
        <f t="shared" si="0"/>
        <v>0</v>
      </c>
      <c r="J46" s="114">
        <f>'Schedule 2L Adjustments'!P45</f>
        <v>0</v>
      </c>
      <c r="K46" s="68">
        <f>'Schedule 2L Adjustments'!R45</f>
        <v>0</v>
      </c>
      <c r="L46" s="68">
        <f t="shared" si="1"/>
        <v>0</v>
      </c>
      <c r="N46" s="117">
        <f>'Schedule 2L Adjustments'!X45</f>
        <v>0</v>
      </c>
      <c r="O46" s="117">
        <f>'Schedule 2L Adjustments'!AA45</f>
        <v>0</v>
      </c>
    </row>
    <row r="47" spans="1:15" x14ac:dyDescent="0.35">
      <c r="A47" s="24">
        <v>32</v>
      </c>
      <c r="B47" s="565" t="str">
        <f>'Schedule 2L Adjustments'!B46:D46</f>
        <v/>
      </c>
      <c r="C47" s="565"/>
      <c r="D47" s="565"/>
      <c r="F47" s="114">
        <f>'Schedule 2L Adjustments'!H46</f>
        <v>0</v>
      </c>
      <c r="G47" s="68">
        <f>'Schedule 2L Adjustments'!J46</f>
        <v>0</v>
      </c>
      <c r="H47" s="68">
        <f t="shared" si="0"/>
        <v>0</v>
      </c>
      <c r="J47" s="114">
        <f>'Schedule 2L Adjustments'!P46</f>
        <v>0</v>
      </c>
      <c r="K47" s="68">
        <f>'Schedule 2L Adjustments'!R46</f>
        <v>0</v>
      </c>
      <c r="L47" s="68">
        <f t="shared" si="1"/>
        <v>0</v>
      </c>
      <c r="N47" s="117">
        <f>'Schedule 2L Adjustments'!X46</f>
        <v>0</v>
      </c>
      <c r="O47" s="117">
        <f>'Schedule 2L Adjustments'!AA46</f>
        <v>0</v>
      </c>
    </row>
    <row r="48" spans="1:15" x14ac:dyDescent="0.35">
      <c r="A48" s="24">
        <v>33</v>
      </c>
      <c r="B48" s="565" t="str">
        <f>'Schedule 2L Adjustments'!B47:D47</f>
        <v/>
      </c>
      <c r="C48" s="565"/>
      <c r="D48" s="565"/>
      <c r="F48" s="114">
        <f>'Schedule 2L Adjustments'!H47</f>
        <v>0</v>
      </c>
      <c r="G48" s="68">
        <f>'Schedule 2L Adjustments'!J47</f>
        <v>0</v>
      </c>
      <c r="H48" s="68">
        <f t="shared" si="0"/>
        <v>0</v>
      </c>
      <c r="J48" s="114">
        <f>'Schedule 2L Adjustments'!P47</f>
        <v>0</v>
      </c>
      <c r="K48" s="68">
        <f>'Schedule 2L Adjustments'!R47</f>
        <v>0</v>
      </c>
      <c r="L48" s="68">
        <f t="shared" si="1"/>
        <v>0</v>
      </c>
      <c r="N48" s="117">
        <f>'Schedule 2L Adjustments'!X47</f>
        <v>0</v>
      </c>
      <c r="O48" s="117">
        <f>'Schedule 2L Adjustments'!AA47</f>
        <v>0</v>
      </c>
    </row>
    <row r="49" spans="1:15" x14ac:dyDescent="0.35">
      <c r="A49" s="24">
        <v>34</v>
      </c>
      <c r="B49" s="565" t="str">
        <f>'Schedule 2L Adjustments'!B48:D48</f>
        <v/>
      </c>
      <c r="C49" s="565"/>
      <c r="D49" s="565"/>
      <c r="F49" s="114">
        <f>'Schedule 2L Adjustments'!H48</f>
        <v>0</v>
      </c>
      <c r="G49" s="68">
        <f>'Schedule 2L Adjustments'!J48</f>
        <v>0</v>
      </c>
      <c r="H49" s="68">
        <f t="shared" si="0"/>
        <v>0</v>
      </c>
      <c r="J49" s="114">
        <f>'Schedule 2L Adjustments'!P48</f>
        <v>0</v>
      </c>
      <c r="K49" s="68">
        <f>'Schedule 2L Adjustments'!R48</f>
        <v>0</v>
      </c>
      <c r="L49" s="68">
        <f t="shared" si="1"/>
        <v>0</v>
      </c>
      <c r="N49" s="117">
        <f>'Schedule 2L Adjustments'!X48</f>
        <v>0</v>
      </c>
      <c r="O49" s="117">
        <f>'Schedule 2L Adjustments'!AA48</f>
        <v>0</v>
      </c>
    </row>
    <row r="50" spans="1:15" x14ac:dyDescent="0.35">
      <c r="A50" s="24">
        <v>35</v>
      </c>
      <c r="B50" s="565" t="str">
        <f>'Schedule 2L Adjustments'!B49:D49</f>
        <v/>
      </c>
      <c r="C50" s="565"/>
      <c r="D50" s="565"/>
      <c r="F50" s="114">
        <f>'Schedule 2L Adjustments'!H49</f>
        <v>0</v>
      </c>
      <c r="G50" s="68">
        <f>'Schedule 2L Adjustments'!J49</f>
        <v>0</v>
      </c>
      <c r="H50" s="68">
        <f t="shared" si="0"/>
        <v>0</v>
      </c>
      <c r="J50" s="114">
        <f>'Schedule 2L Adjustments'!P49</f>
        <v>0</v>
      </c>
      <c r="K50" s="68">
        <f>'Schedule 2L Adjustments'!R49</f>
        <v>0</v>
      </c>
      <c r="L50" s="68">
        <f t="shared" si="1"/>
        <v>0</v>
      </c>
      <c r="N50" s="117">
        <f>'Schedule 2L Adjustments'!X49</f>
        <v>0</v>
      </c>
      <c r="O50" s="117">
        <f>'Schedule 2L Adjustments'!AA49</f>
        <v>0</v>
      </c>
    </row>
    <row r="51" spans="1:15" x14ac:dyDescent="0.35">
      <c r="A51" s="24">
        <v>36</v>
      </c>
      <c r="B51" s="565" t="str">
        <f>'Schedule 2L Adjustments'!B50:D50</f>
        <v/>
      </c>
      <c r="C51" s="565"/>
      <c r="D51" s="565"/>
      <c r="F51" s="114">
        <f>'Schedule 2L Adjustments'!H50</f>
        <v>0</v>
      </c>
      <c r="G51" s="68">
        <f>'Schedule 2L Adjustments'!J50</f>
        <v>0</v>
      </c>
      <c r="H51" s="68">
        <f t="shared" si="0"/>
        <v>0</v>
      </c>
      <c r="J51" s="114">
        <f>'Schedule 2L Adjustments'!P50</f>
        <v>0</v>
      </c>
      <c r="K51" s="68">
        <f>'Schedule 2L Adjustments'!R50</f>
        <v>0</v>
      </c>
      <c r="L51" s="68">
        <f t="shared" si="1"/>
        <v>0</v>
      </c>
      <c r="N51" s="117">
        <f>'Schedule 2L Adjustments'!X50</f>
        <v>0</v>
      </c>
      <c r="O51" s="117">
        <f>'Schedule 2L Adjustments'!AA50</f>
        <v>0</v>
      </c>
    </row>
    <row r="52" spans="1:15" x14ac:dyDescent="0.35">
      <c r="A52" s="24">
        <v>37</v>
      </c>
      <c r="B52" s="565" t="str">
        <f>'Schedule 2L Adjustments'!B51:D51</f>
        <v/>
      </c>
      <c r="C52" s="565"/>
      <c r="D52" s="565"/>
      <c r="F52" s="114">
        <f>'Schedule 2L Adjustments'!H51</f>
        <v>0</v>
      </c>
      <c r="G52" s="68">
        <f>'Schedule 2L Adjustments'!J51</f>
        <v>0</v>
      </c>
      <c r="H52" s="68">
        <f t="shared" si="0"/>
        <v>0</v>
      </c>
      <c r="J52" s="114">
        <f>'Schedule 2L Adjustments'!P51</f>
        <v>0</v>
      </c>
      <c r="K52" s="68">
        <f>'Schedule 2L Adjustments'!R51</f>
        <v>0</v>
      </c>
      <c r="L52" s="68">
        <f t="shared" si="1"/>
        <v>0</v>
      </c>
      <c r="N52" s="117">
        <f>'Schedule 2L Adjustments'!X51</f>
        <v>0</v>
      </c>
      <c r="O52" s="117">
        <f>'Schedule 2L Adjustments'!AA51</f>
        <v>0</v>
      </c>
    </row>
    <row r="53" spans="1:15" x14ac:dyDescent="0.35">
      <c r="A53" s="24">
        <v>38</v>
      </c>
      <c r="B53" s="565" t="str">
        <f>'Schedule 2L Adjustments'!B52:D52</f>
        <v/>
      </c>
      <c r="C53" s="565"/>
      <c r="D53" s="565"/>
      <c r="F53" s="114">
        <f>'Schedule 2L Adjustments'!H52</f>
        <v>0</v>
      </c>
      <c r="G53" s="68">
        <f>'Schedule 2L Adjustments'!J52</f>
        <v>0</v>
      </c>
      <c r="H53" s="68">
        <f t="shared" si="0"/>
        <v>0</v>
      </c>
      <c r="J53" s="114">
        <f>'Schedule 2L Adjustments'!P52</f>
        <v>0</v>
      </c>
      <c r="K53" s="68">
        <f>'Schedule 2L Adjustments'!R52</f>
        <v>0</v>
      </c>
      <c r="L53" s="68">
        <f t="shared" si="1"/>
        <v>0</v>
      </c>
      <c r="N53" s="117">
        <f>'Schedule 2L Adjustments'!X52</f>
        <v>0</v>
      </c>
      <c r="O53" s="117">
        <f>'Schedule 2L Adjustments'!AA52</f>
        <v>0</v>
      </c>
    </row>
    <row r="54" spans="1:15" x14ac:dyDescent="0.35">
      <c r="A54" s="24">
        <v>39</v>
      </c>
      <c r="B54" s="565" t="str">
        <f>'Schedule 2L Adjustments'!B53:D53</f>
        <v/>
      </c>
      <c r="C54" s="565"/>
      <c r="D54" s="565"/>
      <c r="F54" s="114">
        <f>'Schedule 2L Adjustments'!H53</f>
        <v>0</v>
      </c>
      <c r="G54" s="68">
        <f>'Schedule 2L Adjustments'!J53</f>
        <v>0</v>
      </c>
      <c r="H54" s="68">
        <f t="shared" si="0"/>
        <v>0</v>
      </c>
      <c r="J54" s="114">
        <f>'Schedule 2L Adjustments'!P53</f>
        <v>0</v>
      </c>
      <c r="K54" s="68">
        <f>'Schedule 2L Adjustments'!R53</f>
        <v>0</v>
      </c>
      <c r="L54" s="68">
        <f t="shared" si="1"/>
        <v>0</v>
      </c>
      <c r="N54" s="117">
        <f>'Schedule 2L Adjustments'!X53</f>
        <v>0</v>
      </c>
      <c r="O54" s="117">
        <f>'Schedule 2L Adjustments'!AA53</f>
        <v>0</v>
      </c>
    </row>
    <row r="55" spans="1:15" x14ac:dyDescent="0.35">
      <c r="A55" s="24">
        <v>40</v>
      </c>
      <c r="B55" s="565" t="str">
        <f>'Schedule 2L Adjustments'!B54:D54</f>
        <v/>
      </c>
      <c r="C55" s="565"/>
      <c r="D55" s="565"/>
      <c r="F55" s="114">
        <f>'Schedule 2L Adjustments'!H54</f>
        <v>0</v>
      </c>
      <c r="G55" s="68">
        <f>'Schedule 2L Adjustments'!J54</f>
        <v>0</v>
      </c>
      <c r="H55" s="68">
        <f t="shared" si="0"/>
        <v>0</v>
      </c>
      <c r="J55" s="114">
        <f>'Schedule 2L Adjustments'!P54</f>
        <v>0</v>
      </c>
      <c r="K55" s="68">
        <f>'Schedule 2L Adjustments'!R54</f>
        <v>0</v>
      </c>
      <c r="L55" s="68">
        <f t="shared" si="1"/>
        <v>0</v>
      </c>
      <c r="N55" s="117">
        <f>'Schedule 2L Adjustments'!X54</f>
        <v>0</v>
      </c>
      <c r="O55" s="117">
        <f>'Schedule 2L Adjustments'!AA54</f>
        <v>0</v>
      </c>
    </row>
    <row r="56" spans="1:15" x14ac:dyDescent="0.35">
      <c r="A56" s="24">
        <v>41</v>
      </c>
      <c r="B56" s="565" t="str">
        <f>'Schedule 2L Adjustments'!B55:D55</f>
        <v/>
      </c>
      <c r="C56" s="565"/>
      <c r="D56" s="565"/>
      <c r="F56" s="114">
        <f>'Schedule 2L Adjustments'!H55</f>
        <v>0</v>
      </c>
      <c r="G56" s="68">
        <f>'Schedule 2L Adjustments'!J55</f>
        <v>0</v>
      </c>
      <c r="H56" s="68">
        <f t="shared" si="0"/>
        <v>0</v>
      </c>
      <c r="J56" s="114">
        <f>'Schedule 2L Adjustments'!P55</f>
        <v>0</v>
      </c>
      <c r="K56" s="68">
        <f>'Schedule 2L Adjustments'!R55</f>
        <v>0</v>
      </c>
      <c r="L56" s="68">
        <f t="shared" si="1"/>
        <v>0</v>
      </c>
      <c r="N56" s="117">
        <f>'Schedule 2L Adjustments'!X55</f>
        <v>0</v>
      </c>
      <c r="O56" s="117">
        <f>'Schedule 2L Adjustments'!AA55</f>
        <v>0</v>
      </c>
    </row>
    <row r="57" spans="1:15" x14ac:dyDescent="0.35">
      <c r="A57" s="24">
        <v>42</v>
      </c>
      <c r="B57" s="565" t="str">
        <f>'Schedule 2L Adjustments'!B56:D56</f>
        <v/>
      </c>
      <c r="C57" s="565"/>
      <c r="D57" s="565"/>
      <c r="F57" s="114">
        <f>'Schedule 2L Adjustments'!H56</f>
        <v>0</v>
      </c>
      <c r="G57" s="68">
        <f>'Schedule 2L Adjustments'!J56</f>
        <v>0</v>
      </c>
      <c r="H57" s="68">
        <f t="shared" si="0"/>
        <v>0</v>
      </c>
      <c r="J57" s="114">
        <f>'Schedule 2L Adjustments'!P56</f>
        <v>0</v>
      </c>
      <c r="K57" s="68">
        <f>'Schedule 2L Adjustments'!R56</f>
        <v>0</v>
      </c>
      <c r="L57" s="68">
        <f t="shared" si="1"/>
        <v>0</v>
      </c>
      <c r="N57" s="117">
        <f>'Schedule 2L Adjustments'!X56</f>
        <v>0</v>
      </c>
      <c r="O57" s="117">
        <f>'Schedule 2L Adjustments'!AA56</f>
        <v>0</v>
      </c>
    </row>
    <row r="58" spans="1:15" x14ac:dyDescent="0.35">
      <c r="A58" s="24">
        <v>43</v>
      </c>
      <c r="B58" s="565" t="str">
        <f>'Schedule 2L Adjustments'!B57:D57</f>
        <v/>
      </c>
      <c r="C58" s="565"/>
      <c r="D58" s="565"/>
      <c r="F58" s="114">
        <f>'Schedule 2L Adjustments'!H57</f>
        <v>0</v>
      </c>
      <c r="G58" s="68">
        <f>'Schedule 2L Adjustments'!J57</f>
        <v>0</v>
      </c>
      <c r="H58" s="68">
        <f t="shared" si="0"/>
        <v>0</v>
      </c>
      <c r="J58" s="114">
        <f>'Schedule 2L Adjustments'!P57</f>
        <v>0</v>
      </c>
      <c r="K58" s="68">
        <f>'Schedule 2L Adjustments'!R57</f>
        <v>0</v>
      </c>
      <c r="L58" s="68">
        <f t="shared" si="1"/>
        <v>0</v>
      </c>
      <c r="N58" s="117">
        <f>'Schedule 2L Adjustments'!X57</f>
        <v>0</v>
      </c>
      <c r="O58" s="117">
        <f>'Schedule 2L Adjustments'!AA57</f>
        <v>0</v>
      </c>
    </row>
    <row r="59" spans="1:15" x14ac:dyDescent="0.35">
      <c r="A59" s="24">
        <v>44</v>
      </c>
      <c r="B59" s="565" t="str">
        <f>'Schedule 2L Adjustments'!B58:D58</f>
        <v/>
      </c>
      <c r="C59" s="565"/>
      <c r="D59" s="565"/>
      <c r="F59" s="114">
        <f>'Schedule 2L Adjustments'!H58</f>
        <v>0</v>
      </c>
      <c r="G59" s="68">
        <f>'Schedule 2L Adjustments'!J58</f>
        <v>0</v>
      </c>
      <c r="H59" s="68">
        <f t="shared" si="0"/>
        <v>0</v>
      </c>
      <c r="J59" s="114">
        <f>'Schedule 2L Adjustments'!P58</f>
        <v>0</v>
      </c>
      <c r="K59" s="68">
        <f>'Schedule 2L Adjustments'!R58</f>
        <v>0</v>
      </c>
      <c r="L59" s="68">
        <f t="shared" si="1"/>
        <v>0</v>
      </c>
      <c r="N59" s="117">
        <f>'Schedule 2L Adjustments'!X58</f>
        <v>0</v>
      </c>
      <c r="O59" s="117">
        <f>'Schedule 2L Adjustments'!AA58</f>
        <v>0</v>
      </c>
    </row>
    <row r="60" spans="1:15" x14ac:dyDescent="0.35">
      <c r="A60" s="24">
        <v>45</v>
      </c>
      <c r="B60" s="565" t="str">
        <f>'Schedule 2L Adjustments'!B59:D59</f>
        <v/>
      </c>
      <c r="C60" s="565"/>
      <c r="D60" s="565"/>
      <c r="F60" s="114">
        <f>'Schedule 2L Adjustments'!H59</f>
        <v>0</v>
      </c>
      <c r="G60" s="68">
        <f>'Schedule 2L Adjustments'!J59</f>
        <v>0</v>
      </c>
      <c r="H60" s="68">
        <f t="shared" si="0"/>
        <v>0</v>
      </c>
      <c r="J60" s="114">
        <f>'Schedule 2L Adjustments'!P59</f>
        <v>0</v>
      </c>
      <c r="K60" s="68">
        <f>'Schedule 2L Adjustments'!R59</f>
        <v>0</v>
      </c>
      <c r="L60" s="68">
        <f t="shared" si="1"/>
        <v>0</v>
      </c>
      <c r="N60" s="117">
        <f>'Schedule 2L Adjustments'!X59</f>
        <v>0</v>
      </c>
      <c r="O60" s="117">
        <f>'Schedule 2L Adjustments'!AA59</f>
        <v>0</v>
      </c>
    </row>
    <row r="61" spans="1:15" x14ac:dyDescent="0.35">
      <c r="A61" s="24">
        <v>46</v>
      </c>
      <c r="B61" s="565" t="str">
        <f>'Schedule 2L Adjustments'!B60:D60</f>
        <v/>
      </c>
      <c r="C61" s="565"/>
      <c r="D61" s="565"/>
      <c r="F61" s="114">
        <f>'Schedule 2L Adjustments'!H60</f>
        <v>0</v>
      </c>
      <c r="G61" s="68">
        <f>'Schedule 2L Adjustments'!J60</f>
        <v>0</v>
      </c>
      <c r="H61" s="68">
        <f t="shared" si="0"/>
        <v>0</v>
      </c>
      <c r="J61" s="114">
        <f>'Schedule 2L Adjustments'!P60</f>
        <v>0</v>
      </c>
      <c r="K61" s="68">
        <f>'Schedule 2L Adjustments'!R60</f>
        <v>0</v>
      </c>
      <c r="L61" s="68">
        <f t="shared" si="1"/>
        <v>0</v>
      </c>
      <c r="N61" s="117">
        <f>'Schedule 2L Adjustments'!X60</f>
        <v>0</v>
      </c>
      <c r="O61" s="117">
        <f>'Schedule 2L Adjustments'!AA60</f>
        <v>0</v>
      </c>
    </row>
    <row r="62" spans="1:15" x14ac:dyDescent="0.35">
      <c r="A62" s="24">
        <v>47</v>
      </c>
      <c r="B62" s="565" t="str">
        <f>'Schedule 2L Adjustments'!B61:D61</f>
        <v/>
      </c>
      <c r="C62" s="565"/>
      <c r="D62" s="565"/>
      <c r="F62" s="114">
        <f>'Schedule 2L Adjustments'!H61</f>
        <v>0</v>
      </c>
      <c r="G62" s="68">
        <f>'Schedule 2L Adjustments'!J61</f>
        <v>0</v>
      </c>
      <c r="H62" s="68">
        <f t="shared" si="0"/>
        <v>0</v>
      </c>
      <c r="J62" s="114">
        <f>'Schedule 2L Adjustments'!P61</f>
        <v>0</v>
      </c>
      <c r="K62" s="68">
        <f>'Schedule 2L Adjustments'!R61</f>
        <v>0</v>
      </c>
      <c r="L62" s="68">
        <f t="shared" si="1"/>
        <v>0</v>
      </c>
      <c r="N62" s="117">
        <f>'Schedule 2L Adjustments'!X61</f>
        <v>0</v>
      </c>
      <c r="O62" s="117">
        <f>'Schedule 2L Adjustments'!AA61</f>
        <v>0</v>
      </c>
    </row>
    <row r="63" spans="1:15" x14ac:dyDescent="0.35">
      <c r="A63" s="24">
        <v>48</v>
      </c>
      <c r="B63" s="565" t="str">
        <f>'Schedule 2L Adjustments'!B62:D62</f>
        <v/>
      </c>
      <c r="C63" s="565"/>
      <c r="D63" s="565"/>
      <c r="F63" s="114">
        <f>'Schedule 2L Adjustments'!H62</f>
        <v>0</v>
      </c>
      <c r="G63" s="68">
        <f>'Schedule 2L Adjustments'!J62</f>
        <v>0</v>
      </c>
      <c r="H63" s="68">
        <f t="shared" si="0"/>
        <v>0</v>
      </c>
      <c r="J63" s="114">
        <f>'Schedule 2L Adjustments'!P62</f>
        <v>0</v>
      </c>
      <c r="K63" s="68">
        <f>'Schedule 2L Adjustments'!R62</f>
        <v>0</v>
      </c>
      <c r="L63" s="68">
        <f t="shared" si="1"/>
        <v>0</v>
      </c>
      <c r="N63" s="117">
        <f>'Schedule 2L Adjustments'!X62</f>
        <v>0</v>
      </c>
      <c r="O63" s="117">
        <f>'Schedule 2L Adjustments'!AA62</f>
        <v>0</v>
      </c>
    </row>
    <row r="64" spans="1:15" x14ac:dyDescent="0.35">
      <c r="A64" s="24">
        <v>49</v>
      </c>
      <c r="B64" s="565" t="str">
        <f>'Schedule 2L Adjustments'!B63:D63</f>
        <v/>
      </c>
      <c r="C64" s="565"/>
      <c r="D64" s="565"/>
      <c r="F64" s="114">
        <f>'Schedule 2L Adjustments'!H63</f>
        <v>0</v>
      </c>
      <c r="G64" s="68">
        <f>'Schedule 2L Adjustments'!J63</f>
        <v>0</v>
      </c>
      <c r="H64" s="68">
        <f t="shared" si="0"/>
        <v>0</v>
      </c>
      <c r="J64" s="114">
        <f>'Schedule 2L Adjustments'!P63</f>
        <v>0</v>
      </c>
      <c r="K64" s="68">
        <f>'Schedule 2L Adjustments'!R63</f>
        <v>0</v>
      </c>
      <c r="L64" s="68">
        <f t="shared" si="1"/>
        <v>0</v>
      </c>
      <c r="N64" s="117">
        <f>'Schedule 2L Adjustments'!X63</f>
        <v>0</v>
      </c>
      <c r="O64" s="117">
        <f>'Schedule 2L Adjustments'!AA63</f>
        <v>0</v>
      </c>
    </row>
    <row r="65" spans="1:15" x14ac:dyDescent="0.35">
      <c r="A65" s="24">
        <v>50</v>
      </c>
      <c r="B65" s="565" t="str">
        <f>'Schedule 2L Adjustments'!B64:D64</f>
        <v/>
      </c>
      <c r="C65" s="565"/>
      <c r="D65" s="565"/>
      <c r="F65" s="114">
        <f>'Schedule 2L Adjustments'!H64</f>
        <v>0</v>
      </c>
      <c r="G65" s="68">
        <f>'Schedule 2L Adjustments'!J64</f>
        <v>0</v>
      </c>
      <c r="H65" s="68">
        <f t="shared" si="0"/>
        <v>0</v>
      </c>
      <c r="J65" s="114">
        <f>'Schedule 2L Adjustments'!P64</f>
        <v>0</v>
      </c>
      <c r="K65" s="68">
        <f>'Schedule 2L Adjustments'!R64</f>
        <v>0</v>
      </c>
      <c r="L65" s="68">
        <f t="shared" si="1"/>
        <v>0</v>
      </c>
      <c r="N65" s="117">
        <f>'Schedule 2L Adjustments'!X64</f>
        <v>0</v>
      </c>
      <c r="O65" s="117">
        <f>'Schedule 2L Adjustments'!AA64</f>
        <v>0</v>
      </c>
    </row>
    <row r="66" spans="1:15" x14ac:dyDescent="0.35">
      <c r="A66" s="24">
        <v>51</v>
      </c>
      <c r="B66" s="565" t="str">
        <f>'Schedule 2L Adjustments'!B65:D65</f>
        <v/>
      </c>
      <c r="C66" s="565"/>
      <c r="D66" s="565"/>
      <c r="F66" s="114">
        <f>'Schedule 2L Adjustments'!H65</f>
        <v>0</v>
      </c>
      <c r="G66" s="68">
        <f>'Schedule 2L Adjustments'!J65</f>
        <v>0</v>
      </c>
      <c r="H66" s="68">
        <f t="shared" si="0"/>
        <v>0</v>
      </c>
      <c r="J66" s="114">
        <f>'Schedule 2L Adjustments'!P65</f>
        <v>0</v>
      </c>
      <c r="K66" s="68">
        <f>'Schedule 2L Adjustments'!R65</f>
        <v>0</v>
      </c>
      <c r="L66" s="68">
        <f t="shared" si="1"/>
        <v>0</v>
      </c>
      <c r="N66" s="117">
        <f>'Schedule 2L Adjustments'!X65</f>
        <v>0</v>
      </c>
      <c r="O66" s="117">
        <f>'Schedule 2L Adjustments'!AA65</f>
        <v>0</v>
      </c>
    </row>
    <row r="67" spans="1:15" x14ac:dyDescent="0.35">
      <c r="A67" s="24">
        <v>52</v>
      </c>
      <c r="B67" s="565" t="str">
        <f>'Schedule 2L Adjustments'!B66:D66</f>
        <v/>
      </c>
      <c r="C67" s="565"/>
      <c r="D67" s="565"/>
      <c r="F67" s="114">
        <f>'Schedule 2L Adjustments'!H66</f>
        <v>0</v>
      </c>
      <c r="G67" s="68">
        <f>'Schedule 2L Adjustments'!J66</f>
        <v>0</v>
      </c>
      <c r="H67" s="68">
        <f t="shared" si="0"/>
        <v>0</v>
      </c>
      <c r="J67" s="114">
        <f>'Schedule 2L Adjustments'!P66</f>
        <v>0</v>
      </c>
      <c r="K67" s="68">
        <f>'Schedule 2L Adjustments'!R66</f>
        <v>0</v>
      </c>
      <c r="L67" s="68">
        <f t="shared" si="1"/>
        <v>0</v>
      </c>
      <c r="N67" s="117">
        <f>'Schedule 2L Adjustments'!X66</f>
        <v>0</v>
      </c>
      <c r="O67" s="117">
        <f>'Schedule 2L Adjustments'!AA66</f>
        <v>0</v>
      </c>
    </row>
    <row r="68" spans="1:15" x14ac:dyDescent="0.35">
      <c r="A68" s="24">
        <v>53</v>
      </c>
      <c r="B68" s="565" t="str">
        <f>'Schedule 2L Adjustments'!B67:D67</f>
        <v/>
      </c>
      <c r="C68" s="565"/>
      <c r="D68" s="565"/>
      <c r="F68" s="114">
        <f>'Schedule 2L Adjustments'!H67</f>
        <v>0</v>
      </c>
      <c r="G68" s="68">
        <f>'Schedule 2L Adjustments'!J67</f>
        <v>0</v>
      </c>
      <c r="H68" s="68">
        <f t="shared" si="0"/>
        <v>0</v>
      </c>
      <c r="J68" s="114">
        <f>'Schedule 2L Adjustments'!P67</f>
        <v>0</v>
      </c>
      <c r="K68" s="68">
        <f>'Schedule 2L Adjustments'!R67</f>
        <v>0</v>
      </c>
      <c r="L68" s="68">
        <f t="shared" si="1"/>
        <v>0</v>
      </c>
      <c r="N68" s="117">
        <f>'Schedule 2L Adjustments'!X67</f>
        <v>0</v>
      </c>
      <c r="O68" s="117">
        <f>'Schedule 2L Adjustments'!AA67</f>
        <v>0</v>
      </c>
    </row>
    <row r="69" spans="1:15" x14ac:dyDescent="0.35">
      <c r="A69" s="24">
        <v>54</v>
      </c>
      <c r="B69" s="565" t="str">
        <f>'Schedule 2L Adjustments'!B68:D68</f>
        <v/>
      </c>
      <c r="C69" s="565"/>
      <c r="D69" s="565"/>
      <c r="F69" s="114">
        <f>'Schedule 2L Adjustments'!H68</f>
        <v>0</v>
      </c>
      <c r="G69" s="68">
        <f>'Schedule 2L Adjustments'!J68</f>
        <v>0</v>
      </c>
      <c r="H69" s="68">
        <f t="shared" si="0"/>
        <v>0</v>
      </c>
      <c r="J69" s="114">
        <f>'Schedule 2L Adjustments'!P68</f>
        <v>0</v>
      </c>
      <c r="K69" s="68">
        <f>'Schedule 2L Adjustments'!R68</f>
        <v>0</v>
      </c>
      <c r="L69" s="68">
        <f t="shared" si="1"/>
        <v>0</v>
      </c>
      <c r="N69" s="117">
        <f>'Schedule 2L Adjustments'!X68</f>
        <v>0</v>
      </c>
      <c r="O69" s="117">
        <f>'Schedule 2L Adjustments'!AA68</f>
        <v>0</v>
      </c>
    </row>
    <row r="70" spans="1:15" x14ac:dyDescent="0.35">
      <c r="A70" s="24">
        <v>55</v>
      </c>
      <c r="B70" s="565" t="str">
        <f>'Schedule 2L Adjustments'!B69:D69</f>
        <v/>
      </c>
      <c r="C70" s="565"/>
      <c r="D70" s="565"/>
      <c r="F70" s="114">
        <f>'Schedule 2L Adjustments'!H69</f>
        <v>0</v>
      </c>
      <c r="G70" s="68">
        <f>'Schedule 2L Adjustments'!J69</f>
        <v>0</v>
      </c>
      <c r="H70" s="68">
        <f t="shared" si="0"/>
        <v>0</v>
      </c>
      <c r="J70" s="114">
        <f>'Schedule 2L Adjustments'!P69</f>
        <v>0</v>
      </c>
      <c r="K70" s="68">
        <f>'Schedule 2L Adjustments'!R69</f>
        <v>0</v>
      </c>
      <c r="L70" s="68">
        <f t="shared" si="1"/>
        <v>0</v>
      </c>
      <c r="N70" s="117">
        <f>'Schedule 2L Adjustments'!X69</f>
        <v>0</v>
      </c>
      <c r="O70" s="117">
        <f>'Schedule 2L Adjustments'!AA69</f>
        <v>0</v>
      </c>
    </row>
    <row r="71" spans="1:15" x14ac:dyDescent="0.35">
      <c r="A71" s="24">
        <v>56</v>
      </c>
      <c r="B71" s="565" t="str">
        <f>'Schedule 2L Adjustments'!B70:D70</f>
        <v/>
      </c>
      <c r="C71" s="565"/>
      <c r="D71" s="565"/>
      <c r="F71" s="114">
        <f>'Schedule 2L Adjustments'!H70</f>
        <v>0</v>
      </c>
      <c r="G71" s="68">
        <f>'Schedule 2L Adjustments'!J70</f>
        <v>0</v>
      </c>
      <c r="H71" s="68">
        <f t="shared" si="0"/>
        <v>0</v>
      </c>
      <c r="J71" s="114">
        <f>'Schedule 2L Adjustments'!P70</f>
        <v>0</v>
      </c>
      <c r="K71" s="68">
        <f>'Schedule 2L Adjustments'!R70</f>
        <v>0</v>
      </c>
      <c r="L71" s="68">
        <f t="shared" si="1"/>
        <v>0</v>
      </c>
      <c r="N71" s="117">
        <f>'Schedule 2L Adjustments'!X70</f>
        <v>0</v>
      </c>
      <c r="O71" s="117">
        <f>'Schedule 2L Adjustments'!AA70</f>
        <v>0</v>
      </c>
    </row>
    <row r="72" spans="1:15" x14ac:dyDescent="0.35">
      <c r="A72" s="24">
        <v>57</v>
      </c>
      <c r="B72" s="565" t="str">
        <f>'Schedule 2L Adjustments'!B71:D71</f>
        <v/>
      </c>
      <c r="C72" s="565"/>
      <c r="D72" s="565"/>
      <c r="F72" s="114">
        <f>'Schedule 2L Adjustments'!H71</f>
        <v>0</v>
      </c>
      <c r="G72" s="68">
        <f>'Schedule 2L Adjustments'!J71</f>
        <v>0</v>
      </c>
      <c r="H72" s="68">
        <f t="shared" si="0"/>
        <v>0</v>
      </c>
      <c r="J72" s="114">
        <f>'Schedule 2L Adjustments'!P71</f>
        <v>0</v>
      </c>
      <c r="K72" s="68">
        <f>'Schedule 2L Adjustments'!R71</f>
        <v>0</v>
      </c>
      <c r="L72" s="68">
        <f t="shared" si="1"/>
        <v>0</v>
      </c>
      <c r="N72" s="117">
        <f>'Schedule 2L Adjustments'!X71</f>
        <v>0</v>
      </c>
      <c r="O72" s="117">
        <f>'Schedule 2L Adjustments'!AA71</f>
        <v>0</v>
      </c>
    </row>
    <row r="73" spans="1:15" x14ac:dyDescent="0.35">
      <c r="A73" s="24">
        <v>58</v>
      </c>
      <c r="B73" s="565" t="str">
        <f>'Schedule 2L Adjustments'!B72:D72</f>
        <v/>
      </c>
      <c r="C73" s="565"/>
      <c r="D73" s="565"/>
      <c r="F73" s="114">
        <f>'Schedule 2L Adjustments'!H72</f>
        <v>0</v>
      </c>
      <c r="G73" s="68">
        <f>'Schedule 2L Adjustments'!J72</f>
        <v>0</v>
      </c>
      <c r="H73" s="68">
        <f t="shared" si="0"/>
        <v>0</v>
      </c>
      <c r="J73" s="114">
        <f>'Schedule 2L Adjustments'!P72</f>
        <v>0</v>
      </c>
      <c r="K73" s="68">
        <f>'Schedule 2L Adjustments'!R72</f>
        <v>0</v>
      </c>
      <c r="L73" s="68">
        <f t="shared" si="1"/>
        <v>0</v>
      </c>
      <c r="N73" s="117">
        <f>'Schedule 2L Adjustments'!X72</f>
        <v>0</v>
      </c>
      <c r="O73" s="117">
        <f>'Schedule 2L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17302493-42B1-4877-869E-E424A97AE78B}" state="hidden">
      <selection activeCell="F17" sqref="F17"/>
      <pageMargins left="0.7" right="0.7" top="0.75" bottom="0.75" header="0.3" footer="0.3"/>
    </customSheetView>
    <customSheetView guid="{5C0BA3A5-859C-46C2-B685-44D9A90065E4}">
      <selection activeCell="G11" sqref="G11"/>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 t="s">
        <v>859</v>
      </c>
      <c r="B3" s="5"/>
      <c r="C3" s="5"/>
      <c r="D3" s="5"/>
      <c r="E3" s="5"/>
      <c r="F3" s="5"/>
      <c r="G3" s="5"/>
      <c r="H3" s="5"/>
    </row>
    <row r="4" spans="1:15" ht="25" customHeight="1" x14ac:dyDescent="0.5">
      <c r="A4" s="234" t="s">
        <v>837</v>
      </c>
      <c r="B4" s="354"/>
      <c r="C4" s="354"/>
      <c r="D4" s="354"/>
      <c r="E4" s="354"/>
      <c r="F4" s="354"/>
      <c r="G4" s="354"/>
      <c r="H4" s="354"/>
    </row>
    <row r="5" spans="1:15" ht="21" x14ac:dyDescent="0.5">
      <c r="A5" s="235" t="str">
        <f>Results!A4</f>
        <v>Final Adjustments</v>
      </c>
    </row>
    <row r="6" spans="1:15" x14ac:dyDescent="0.35">
      <c r="A6" s="1" t="s">
        <v>776</v>
      </c>
      <c r="C6" s="414" t="str">
        <f>Results!$C$6</f>
        <v>WellPower</v>
      </c>
    </row>
    <row r="7" spans="1:15" x14ac:dyDescent="0.35">
      <c r="A7" s="1" t="s">
        <v>0</v>
      </c>
      <c r="C7" s="35">
        <f>Results!$C$7</f>
        <v>45473</v>
      </c>
      <c r="F7" s="35"/>
    </row>
    <row r="9" spans="1:15" x14ac:dyDescent="0.35">
      <c r="A9" s="1" t="s">
        <v>253</v>
      </c>
      <c r="B9" s="1" t="s">
        <v>838</v>
      </c>
      <c r="C9" s="1"/>
      <c r="J9" s="116" t="str">
        <f>'Schedule 2M Adjustments'!I8</f>
        <v>Yes/No</v>
      </c>
      <c r="K9" s="41" t="s">
        <v>259</v>
      </c>
    </row>
    <row r="11" spans="1:15" x14ac:dyDescent="0.35">
      <c r="A11" s="1" t="s">
        <v>254</v>
      </c>
      <c r="B11" s="1" t="s">
        <v>256</v>
      </c>
      <c r="C11" s="1"/>
    </row>
    <row r="12" spans="1:15" x14ac:dyDescent="0.35">
      <c r="B12" s="311" t="s">
        <v>592</v>
      </c>
    </row>
    <row r="13" spans="1:15" x14ac:dyDescent="0.35">
      <c r="B13" s="560">
        <v>1</v>
      </c>
      <c r="C13" s="560"/>
      <c r="D13" s="560"/>
      <c r="F13" s="23">
        <v>2</v>
      </c>
      <c r="G13" s="23">
        <v>3</v>
      </c>
      <c r="H13" s="23">
        <v>4</v>
      </c>
      <c r="J13" s="23">
        <v>5</v>
      </c>
      <c r="K13" s="23">
        <v>6</v>
      </c>
      <c r="L13" s="23">
        <v>7</v>
      </c>
      <c r="N13" s="23">
        <v>8</v>
      </c>
      <c r="O13" s="23">
        <v>9</v>
      </c>
    </row>
    <row r="14" spans="1:15" ht="15" customHeight="1" x14ac:dyDescent="0.35">
      <c r="B14" s="569" t="s">
        <v>606</v>
      </c>
      <c r="C14" s="570"/>
      <c r="D14" s="571"/>
      <c r="F14" s="563" t="s">
        <v>261</v>
      </c>
      <c r="G14" s="568"/>
      <c r="H14" s="564"/>
      <c r="J14" s="563" t="s">
        <v>262</v>
      </c>
      <c r="K14" s="568"/>
      <c r="L14" s="564"/>
      <c r="N14" s="566" t="s">
        <v>686</v>
      </c>
      <c r="O14" s="566" t="s">
        <v>687</v>
      </c>
    </row>
    <row r="15" spans="1:15" ht="55.5" customHeight="1" x14ac:dyDescent="0.35">
      <c r="B15" s="572"/>
      <c r="C15" s="573"/>
      <c r="D15" s="574"/>
      <c r="E15" s="48"/>
      <c r="F15" s="10" t="s">
        <v>683</v>
      </c>
      <c r="G15" s="142" t="s">
        <v>684</v>
      </c>
      <c r="H15" s="142" t="s">
        <v>685</v>
      </c>
      <c r="I15" s="99"/>
      <c r="J15" s="10" t="s">
        <v>683</v>
      </c>
      <c r="K15" s="142" t="s">
        <v>684</v>
      </c>
      <c r="L15" s="142" t="s">
        <v>685</v>
      </c>
      <c r="M15" s="48"/>
      <c r="N15" s="567"/>
      <c r="O15" s="567"/>
    </row>
    <row r="16" spans="1:15" x14ac:dyDescent="0.35">
      <c r="A16" s="24">
        <v>1</v>
      </c>
      <c r="B16" s="565" t="str">
        <f>'Schedule 2M Adjustments'!B15:D15</f>
        <v/>
      </c>
      <c r="C16" s="565"/>
      <c r="D16" s="565"/>
      <c r="F16" s="114">
        <f>'Schedule 2M Adjustments'!H15</f>
        <v>0</v>
      </c>
      <c r="G16" s="68">
        <f>'Schedule 2M Adjustments'!J15</f>
        <v>0</v>
      </c>
      <c r="H16" s="68">
        <f>SUM(F16:G16)</f>
        <v>0</v>
      </c>
      <c r="J16" s="114">
        <f>'Schedule 2M Adjustments'!P15</f>
        <v>0</v>
      </c>
      <c r="K16" s="68">
        <f>'Schedule 2M Adjustments'!R15</f>
        <v>0</v>
      </c>
      <c r="L16" s="68">
        <f>SUM(J16:K16)</f>
        <v>0</v>
      </c>
      <c r="N16" s="117">
        <f>'Schedule 2M Adjustments'!X15</f>
        <v>0</v>
      </c>
      <c r="O16" s="117">
        <f>'Schedule 2M Adjustments'!AA15</f>
        <v>0</v>
      </c>
    </row>
    <row r="17" spans="1:15" x14ac:dyDescent="0.35">
      <c r="A17" s="24">
        <v>2</v>
      </c>
      <c r="B17" s="565" t="str">
        <f>'Schedule 2M Adjustments'!B16:D16</f>
        <v/>
      </c>
      <c r="C17" s="565"/>
      <c r="D17" s="565"/>
      <c r="F17" s="114">
        <f>'Schedule 2M Adjustments'!H16</f>
        <v>0</v>
      </c>
      <c r="G17" s="68">
        <f>'Schedule 2M Adjustments'!J16</f>
        <v>0</v>
      </c>
      <c r="H17" s="68">
        <f t="shared" ref="H17:H73" si="0">SUM(F17:G17)</f>
        <v>0</v>
      </c>
      <c r="J17" s="114">
        <f>'Schedule 2M Adjustments'!P16</f>
        <v>0</v>
      </c>
      <c r="K17" s="68">
        <f>'Schedule 2M Adjustments'!R16</f>
        <v>0</v>
      </c>
      <c r="L17" s="68">
        <f t="shared" ref="L17:L73" si="1">SUM(J17:K17)</f>
        <v>0</v>
      </c>
      <c r="N17" s="117">
        <f>'Schedule 2M Adjustments'!X16</f>
        <v>0</v>
      </c>
      <c r="O17" s="117">
        <f>'Schedule 2M Adjustments'!AA16</f>
        <v>0</v>
      </c>
    </row>
    <row r="18" spans="1:15" x14ac:dyDescent="0.35">
      <c r="A18" s="24">
        <v>3</v>
      </c>
      <c r="B18" s="565" t="str">
        <f>'Schedule 2M Adjustments'!B17:D17</f>
        <v/>
      </c>
      <c r="C18" s="565"/>
      <c r="D18" s="565"/>
      <c r="F18" s="114">
        <f>'Schedule 2M Adjustments'!H17</f>
        <v>0</v>
      </c>
      <c r="G18" s="68">
        <f>'Schedule 2M Adjustments'!J17</f>
        <v>0</v>
      </c>
      <c r="H18" s="68">
        <f t="shared" si="0"/>
        <v>0</v>
      </c>
      <c r="J18" s="114">
        <f>'Schedule 2M Adjustments'!P17</f>
        <v>0</v>
      </c>
      <c r="K18" s="68">
        <f>'Schedule 2M Adjustments'!R17</f>
        <v>0</v>
      </c>
      <c r="L18" s="68">
        <f t="shared" si="1"/>
        <v>0</v>
      </c>
      <c r="N18" s="117">
        <f>'Schedule 2M Adjustments'!X17</f>
        <v>0</v>
      </c>
      <c r="O18" s="117">
        <f>'Schedule 2M Adjustments'!AA17</f>
        <v>0</v>
      </c>
    </row>
    <row r="19" spans="1:15" x14ac:dyDescent="0.35">
      <c r="A19" s="24">
        <v>4</v>
      </c>
      <c r="B19" s="565" t="str">
        <f>'Schedule 2M Adjustments'!B18:D18</f>
        <v/>
      </c>
      <c r="C19" s="565"/>
      <c r="D19" s="565"/>
      <c r="F19" s="114">
        <f>'Schedule 2M Adjustments'!H18</f>
        <v>0</v>
      </c>
      <c r="G19" s="68">
        <f>'Schedule 2M Adjustments'!J18</f>
        <v>0</v>
      </c>
      <c r="H19" s="68">
        <f t="shared" si="0"/>
        <v>0</v>
      </c>
      <c r="J19" s="114">
        <f>'Schedule 2M Adjustments'!P18</f>
        <v>0</v>
      </c>
      <c r="K19" s="68">
        <f>'Schedule 2M Adjustments'!R18</f>
        <v>0</v>
      </c>
      <c r="L19" s="68">
        <f t="shared" si="1"/>
        <v>0</v>
      </c>
      <c r="N19" s="117">
        <f>'Schedule 2M Adjustments'!X18</f>
        <v>0</v>
      </c>
      <c r="O19" s="117">
        <f>'Schedule 2M Adjustments'!AA18</f>
        <v>0</v>
      </c>
    </row>
    <row r="20" spans="1:15" x14ac:dyDescent="0.35">
      <c r="A20" s="24">
        <v>5</v>
      </c>
      <c r="B20" s="565" t="str">
        <f>'Schedule 2M Adjustments'!B19:D19</f>
        <v/>
      </c>
      <c r="C20" s="565"/>
      <c r="D20" s="565"/>
      <c r="F20" s="114">
        <f>'Schedule 2M Adjustments'!H19</f>
        <v>0</v>
      </c>
      <c r="G20" s="68">
        <f>'Schedule 2M Adjustments'!J19</f>
        <v>0</v>
      </c>
      <c r="H20" s="68">
        <f t="shared" si="0"/>
        <v>0</v>
      </c>
      <c r="J20" s="114">
        <f>'Schedule 2M Adjustments'!P19</f>
        <v>0</v>
      </c>
      <c r="K20" s="68">
        <f>'Schedule 2M Adjustments'!R19</f>
        <v>0</v>
      </c>
      <c r="L20" s="68">
        <f t="shared" si="1"/>
        <v>0</v>
      </c>
      <c r="N20" s="117">
        <f>'Schedule 2M Adjustments'!X19</f>
        <v>0</v>
      </c>
      <c r="O20" s="117">
        <f>'Schedule 2M Adjustments'!AA19</f>
        <v>0</v>
      </c>
    </row>
    <row r="21" spans="1:15" x14ac:dyDescent="0.35">
      <c r="A21" s="24">
        <v>6</v>
      </c>
      <c r="B21" s="565" t="str">
        <f>'Schedule 2M Adjustments'!B20:D20</f>
        <v/>
      </c>
      <c r="C21" s="565"/>
      <c r="D21" s="565"/>
      <c r="F21" s="114">
        <f>'Schedule 2M Adjustments'!H20</f>
        <v>0</v>
      </c>
      <c r="G21" s="68">
        <f>'Schedule 2M Adjustments'!J20</f>
        <v>0</v>
      </c>
      <c r="H21" s="68">
        <f t="shared" si="0"/>
        <v>0</v>
      </c>
      <c r="J21" s="114">
        <f>'Schedule 2M Adjustments'!P20</f>
        <v>0</v>
      </c>
      <c r="K21" s="68">
        <f>'Schedule 2M Adjustments'!R20</f>
        <v>0</v>
      </c>
      <c r="L21" s="68">
        <f t="shared" si="1"/>
        <v>0</v>
      </c>
      <c r="N21" s="117">
        <f>'Schedule 2M Adjustments'!X20</f>
        <v>0</v>
      </c>
      <c r="O21" s="117">
        <f>'Schedule 2M Adjustments'!AA20</f>
        <v>0</v>
      </c>
    </row>
    <row r="22" spans="1:15" x14ac:dyDescent="0.35">
      <c r="A22" s="24">
        <v>7</v>
      </c>
      <c r="B22" s="565" t="str">
        <f>'Schedule 2M Adjustments'!B21:D21</f>
        <v/>
      </c>
      <c r="C22" s="565"/>
      <c r="D22" s="565"/>
      <c r="F22" s="114">
        <f>'Schedule 2M Adjustments'!H21</f>
        <v>0</v>
      </c>
      <c r="G22" s="68">
        <f>'Schedule 2M Adjustments'!J21</f>
        <v>0</v>
      </c>
      <c r="H22" s="68">
        <f t="shared" si="0"/>
        <v>0</v>
      </c>
      <c r="J22" s="114">
        <f>'Schedule 2M Adjustments'!P21</f>
        <v>0</v>
      </c>
      <c r="K22" s="68">
        <f>'Schedule 2M Adjustments'!R21</f>
        <v>0</v>
      </c>
      <c r="L22" s="68">
        <f t="shared" si="1"/>
        <v>0</v>
      </c>
      <c r="N22" s="117">
        <f>'Schedule 2M Adjustments'!X21</f>
        <v>0</v>
      </c>
      <c r="O22" s="117">
        <f>'Schedule 2M Adjustments'!AA21</f>
        <v>0</v>
      </c>
    </row>
    <row r="23" spans="1:15" x14ac:dyDescent="0.35">
      <c r="A23" s="24">
        <v>8</v>
      </c>
      <c r="B23" s="565" t="str">
        <f>'Schedule 2M Adjustments'!B22:D22</f>
        <v/>
      </c>
      <c r="C23" s="565"/>
      <c r="D23" s="565"/>
      <c r="F23" s="114">
        <f>'Schedule 2M Adjustments'!H22</f>
        <v>0</v>
      </c>
      <c r="G23" s="68">
        <f>'Schedule 2M Adjustments'!J22</f>
        <v>0</v>
      </c>
      <c r="H23" s="68">
        <f t="shared" si="0"/>
        <v>0</v>
      </c>
      <c r="J23" s="114">
        <f>'Schedule 2M Adjustments'!P22</f>
        <v>0</v>
      </c>
      <c r="K23" s="68">
        <f>'Schedule 2M Adjustments'!R22</f>
        <v>0</v>
      </c>
      <c r="L23" s="68">
        <f t="shared" si="1"/>
        <v>0</v>
      </c>
      <c r="N23" s="117">
        <f>'Schedule 2M Adjustments'!X22</f>
        <v>0</v>
      </c>
      <c r="O23" s="117">
        <f>'Schedule 2M Adjustments'!AA22</f>
        <v>0</v>
      </c>
    </row>
    <row r="24" spans="1:15" x14ac:dyDescent="0.35">
      <c r="A24" s="24">
        <v>9</v>
      </c>
      <c r="B24" s="565" t="str">
        <f>'Schedule 2M Adjustments'!B23:D23</f>
        <v/>
      </c>
      <c r="C24" s="565"/>
      <c r="D24" s="565"/>
      <c r="F24" s="114">
        <f>'Schedule 2M Adjustments'!H23</f>
        <v>0</v>
      </c>
      <c r="G24" s="68">
        <f>'Schedule 2M Adjustments'!J23</f>
        <v>0</v>
      </c>
      <c r="H24" s="68">
        <f t="shared" si="0"/>
        <v>0</v>
      </c>
      <c r="J24" s="114">
        <f>'Schedule 2M Adjustments'!P23</f>
        <v>0</v>
      </c>
      <c r="K24" s="68">
        <f>'Schedule 2M Adjustments'!R23</f>
        <v>0</v>
      </c>
      <c r="L24" s="68">
        <f t="shared" si="1"/>
        <v>0</v>
      </c>
      <c r="N24" s="117">
        <f>'Schedule 2M Adjustments'!X23</f>
        <v>0</v>
      </c>
      <c r="O24" s="117">
        <f>'Schedule 2M Adjustments'!AA23</f>
        <v>0</v>
      </c>
    </row>
    <row r="25" spans="1:15" x14ac:dyDescent="0.35">
      <c r="A25" s="24">
        <v>10</v>
      </c>
      <c r="B25" s="565" t="str">
        <f>'Schedule 2M Adjustments'!B24:D24</f>
        <v/>
      </c>
      <c r="C25" s="565"/>
      <c r="D25" s="565"/>
      <c r="F25" s="114">
        <f>'Schedule 2M Adjustments'!H24</f>
        <v>0</v>
      </c>
      <c r="G25" s="68">
        <f>'Schedule 2M Adjustments'!J24</f>
        <v>0</v>
      </c>
      <c r="H25" s="68">
        <f t="shared" si="0"/>
        <v>0</v>
      </c>
      <c r="J25" s="114">
        <f>'Schedule 2M Adjustments'!P24</f>
        <v>0</v>
      </c>
      <c r="K25" s="68">
        <f>'Schedule 2M Adjustments'!R24</f>
        <v>0</v>
      </c>
      <c r="L25" s="68">
        <f t="shared" si="1"/>
        <v>0</v>
      </c>
      <c r="N25" s="117">
        <f>'Schedule 2M Adjustments'!X24</f>
        <v>0</v>
      </c>
      <c r="O25" s="117">
        <f>'Schedule 2M Adjustments'!AA24</f>
        <v>0</v>
      </c>
    </row>
    <row r="26" spans="1:15" x14ac:dyDescent="0.35">
      <c r="A26" s="24">
        <v>11</v>
      </c>
      <c r="B26" s="565" t="str">
        <f>'Schedule 2M Adjustments'!B25:D25</f>
        <v/>
      </c>
      <c r="C26" s="565"/>
      <c r="D26" s="565"/>
      <c r="F26" s="114">
        <f>'Schedule 2M Adjustments'!H25</f>
        <v>0</v>
      </c>
      <c r="G26" s="68">
        <f>'Schedule 2M Adjustments'!J25</f>
        <v>0</v>
      </c>
      <c r="H26" s="68">
        <f t="shared" si="0"/>
        <v>0</v>
      </c>
      <c r="J26" s="114">
        <f>'Schedule 2M Adjustments'!P25</f>
        <v>0</v>
      </c>
      <c r="K26" s="68">
        <f>'Schedule 2M Adjustments'!R25</f>
        <v>0</v>
      </c>
      <c r="L26" s="68">
        <f t="shared" si="1"/>
        <v>0</v>
      </c>
      <c r="N26" s="117">
        <f>'Schedule 2M Adjustments'!X25</f>
        <v>0</v>
      </c>
      <c r="O26" s="117">
        <f>'Schedule 2M Adjustments'!AA25</f>
        <v>0</v>
      </c>
    </row>
    <row r="27" spans="1:15" x14ac:dyDescent="0.35">
      <c r="A27" s="24">
        <v>12</v>
      </c>
      <c r="B27" s="565" t="str">
        <f>'Schedule 2M Adjustments'!B26:D26</f>
        <v/>
      </c>
      <c r="C27" s="565"/>
      <c r="D27" s="565"/>
      <c r="F27" s="114">
        <f>'Schedule 2M Adjustments'!H26</f>
        <v>0</v>
      </c>
      <c r="G27" s="68">
        <f>'Schedule 2M Adjustments'!J26</f>
        <v>0</v>
      </c>
      <c r="H27" s="68">
        <f t="shared" si="0"/>
        <v>0</v>
      </c>
      <c r="J27" s="114">
        <f>'Schedule 2M Adjustments'!P26</f>
        <v>0</v>
      </c>
      <c r="K27" s="68">
        <f>'Schedule 2M Adjustments'!R26</f>
        <v>0</v>
      </c>
      <c r="L27" s="68">
        <f t="shared" si="1"/>
        <v>0</v>
      </c>
      <c r="N27" s="117">
        <f>'Schedule 2M Adjustments'!X26</f>
        <v>0</v>
      </c>
      <c r="O27" s="117">
        <f>'Schedule 2M Adjustments'!AA26</f>
        <v>0</v>
      </c>
    </row>
    <row r="28" spans="1:15" x14ac:dyDescent="0.35">
      <c r="A28" s="24">
        <v>13</v>
      </c>
      <c r="B28" s="565" t="str">
        <f>'Schedule 2M Adjustments'!B27:D27</f>
        <v/>
      </c>
      <c r="C28" s="565"/>
      <c r="D28" s="565"/>
      <c r="F28" s="114">
        <f>'Schedule 2M Adjustments'!H27</f>
        <v>0</v>
      </c>
      <c r="G28" s="68">
        <f>'Schedule 2M Adjustments'!J27</f>
        <v>0</v>
      </c>
      <c r="H28" s="68">
        <f t="shared" si="0"/>
        <v>0</v>
      </c>
      <c r="J28" s="114">
        <f>'Schedule 2M Adjustments'!P27</f>
        <v>0</v>
      </c>
      <c r="K28" s="68">
        <f>'Schedule 2M Adjustments'!R27</f>
        <v>0</v>
      </c>
      <c r="L28" s="68">
        <f t="shared" si="1"/>
        <v>0</v>
      </c>
      <c r="N28" s="117">
        <f>'Schedule 2M Adjustments'!X27</f>
        <v>0</v>
      </c>
      <c r="O28" s="117">
        <f>'Schedule 2M Adjustments'!AA27</f>
        <v>0</v>
      </c>
    </row>
    <row r="29" spans="1:15" x14ac:dyDescent="0.35">
      <c r="A29" s="24">
        <v>14</v>
      </c>
      <c r="B29" s="565" t="str">
        <f>'Schedule 2M Adjustments'!B28:D28</f>
        <v/>
      </c>
      <c r="C29" s="565"/>
      <c r="D29" s="565"/>
      <c r="F29" s="114">
        <f>'Schedule 2M Adjustments'!H28</f>
        <v>0</v>
      </c>
      <c r="G29" s="68">
        <f>'Schedule 2M Adjustments'!J28</f>
        <v>0</v>
      </c>
      <c r="H29" s="68">
        <f t="shared" si="0"/>
        <v>0</v>
      </c>
      <c r="J29" s="114">
        <f>'Schedule 2M Adjustments'!P28</f>
        <v>0</v>
      </c>
      <c r="K29" s="68">
        <f>'Schedule 2M Adjustments'!R28</f>
        <v>0</v>
      </c>
      <c r="L29" s="68">
        <f t="shared" si="1"/>
        <v>0</v>
      </c>
      <c r="N29" s="117">
        <f>'Schedule 2M Adjustments'!X28</f>
        <v>0</v>
      </c>
      <c r="O29" s="117">
        <f>'Schedule 2M Adjustments'!AA28</f>
        <v>0</v>
      </c>
    </row>
    <row r="30" spans="1:15" x14ac:dyDescent="0.35">
      <c r="A30" s="24">
        <v>15</v>
      </c>
      <c r="B30" s="565" t="str">
        <f>'Schedule 2M Adjustments'!B29:D29</f>
        <v/>
      </c>
      <c r="C30" s="565"/>
      <c r="D30" s="565"/>
      <c r="F30" s="114">
        <f>'Schedule 2M Adjustments'!H29</f>
        <v>0</v>
      </c>
      <c r="G30" s="68">
        <f>'Schedule 2M Adjustments'!J29</f>
        <v>0</v>
      </c>
      <c r="H30" s="68">
        <f t="shared" si="0"/>
        <v>0</v>
      </c>
      <c r="J30" s="114">
        <f>'Schedule 2M Adjustments'!P29</f>
        <v>0</v>
      </c>
      <c r="K30" s="68">
        <f>'Schedule 2M Adjustments'!R29</f>
        <v>0</v>
      </c>
      <c r="L30" s="68">
        <f t="shared" si="1"/>
        <v>0</v>
      </c>
      <c r="N30" s="117">
        <f>'Schedule 2M Adjustments'!X29</f>
        <v>0</v>
      </c>
      <c r="O30" s="117">
        <f>'Schedule 2M Adjustments'!AA29</f>
        <v>0</v>
      </c>
    </row>
    <row r="31" spans="1:15" x14ac:dyDescent="0.35">
      <c r="A31" s="24">
        <v>16</v>
      </c>
      <c r="B31" s="565" t="str">
        <f>'Schedule 2M Adjustments'!B30:D30</f>
        <v/>
      </c>
      <c r="C31" s="565"/>
      <c r="D31" s="565"/>
      <c r="F31" s="114">
        <f>'Schedule 2M Adjustments'!H30</f>
        <v>0</v>
      </c>
      <c r="G31" s="68">
        <f>'Schedule 2M Adjustments'!J30</f>
        <v>0</v>
      </c>
      <c r="H31" s="68">
        <f t="shared" si="0"/>
        <v>0</v>
      </c>
      <c r="J31" s="114">
        <f>'Schedule 2M Adjustments'!P30</f>
        <v>0</v>
      </c>
      <c r="K31" s="68">
        <f>'Schedule 2M Adjustments'!R30</f>
        <v>0</v>
      </c>
      <c r="L31" s="68">
        <f t="shared" si="1"/>
        <v>0</v>
      </c>
      <c r="N31" s="117">
        <f>'Schedule 2M Adjustments'!X30</f>
        <v>0</v>
      </c>
      <c r="O31" s="117">
        <f>'Schedule 2M Adjustments'!AA30</f>
        <v>0</v>
      </c>
    </row>
    <row r="32" spans="1:15" x14ac:dyDescent="0.35">
      <c r="A32" s="24">
        <v>17</v>
      </c>
      <c r="B32" s="565" t="str">
        <f>'Schedule 2M Adjustments'!B31:D31</f>
        <v/>
      </c>
      <c r="C32" s="565"/>
      <c r="D32" s="565"/>
      <c r="F32" s="114">
        <f>'Schedule 2M Adjustments'!H31</f>
        <v>0</v>
      </c>
      <c r="G32" s="68">
        <f>'Schedule 2M Adjustments'!J31</f>
        <v>0</v>
      </c>
      <c r="H32" s="68">
        <f t="shared" si="0"/>
        <v>0</v>
      </c>
      <c r="J32" s="114">
        <f>'Schedule 2M Adjustments'!P31</f>
        <v>0</v>
      </c>
      <c r="K32" s="68">
        <f>'Schedule 2M Adjustments'!R31</f>
        <v>0</v>
      </c>
      <c r="L32" s="68">
        <f t="shared" si="1"/>
        <v>0</v>
      </c>
      <c r="N32" s="117">
        <f>'Schedule 2M Adjustments'!X31</f>
        <v>0</v>
      </c>
      <c r="O32" s="117">
        <f>'Schedule 2M Adjustments'!AA31</f>
        <v>0</v>
      </c>
    </row>
    <row r="33" spans="1:15" x14ac:dyDescent="0.35">
      <c r="A33" s="24">
        <v>18</v>
      </c>
      <c r="B33" s="565" t="str">
        <f>'Schedule 2M Adjustments'!B32:D32</f>
        <v/>
      </c>
      <c r="C33" s="565"/>
      <c r="D33" s="565"/>
      <c r="F33" s="114">
        <f>'Schedule 2M Adjustments'!H32</f>
        <v>0</v>
      </c>
      <c r="G33" s="68">
        <f>'Schedule 2M Adjustments'!J32</f>
        <v>0</v>
      </c>
      <c r="H33" s="68">
        <f t="shared" si="0"/>
        <v>0</v>
      </c>
      <c r="J33" s="114">
        <f>'Schedule 2M Adjustments'!P32</f>
        <v>0</v>
      </c>
      <c r="K33" s="68">
        <f>'Schedule 2M Adjustments'!R32</f>
        <v>0</v>
      </c>
      <c r="L33" s="68">
        <f t="shared" si="1"/>
        <v>0</v>
      </c>
      <c r="N33" s="117">
        <f>'Schedule 2M Adjustments'!X32</f>
        <v>0</v>
      </c>
      <c r="O33" s="117">
        <f>'Schedule 2M Adjustments'!AA32</f>
        <v>0</v>
      </c>
    </row>
    <row r="34" spans="1:15" x14ac:dyDescent="0.35">
      <c r="A34" s="24">
        <v>19</v>
      </c>
      <c r="B34" s="565" t="str">
        <f>'Schedule 2M Adjustments'!B33:D33</f>
        <v/>
      </c>
      <c r="C34" s="565"/>
      <c r="D34" s="565"/>
      <c r="F34" s="114">
        <f>'Schedule 2M Adjustments'!H33</f>
        <v>0</v>
      </c>
      <c r="G34" s="68">
        <f>'Schedule 2M Adjustments'!J33</f>
        <v>0</v>
      </c>
      <c r="H34" s="68">
        <f t="shared" si="0"/>
        <v>0</v>
      </c>
      <c r="J34" s="114">
        <f>'Schedule 2M Adjustments'!P33</f>
        <v>0</v>
      </c>
      <c r="K34" s="68">
        <f>'Schedule 2M Adjustments'!R33</f>
        <v>0</v>
      </c>
      <c r="L34" s="68">
        <f t="shared" si="1"/>
        <v>0</v>
      </c>
      <c r="N34" s="117">
        <f>'Schedule 2M Adjustments'!X33</f>
        <v>0</v>
      </c>
      <c r="O34" s="117">
        <f>'Schedule 2M Adjustments'!AA33</f>
        <v>0</v>
      </c>
    </row>
    <row r="35" spans="1:15" x14ac:dyDescent="0.35">
      <c r="A35" s="24">
        <v>20</v>
      </c>
      <c r="B35" s="565" t="str">
        <f>'Schedule 2M Adjustments'!B34:D34</f>
        <v/>
      </c>
      <c r="C35" s="565"/>
      <c r="D35" s="565"/>
      <c r="F35" s="114">
        <f>'Schedule 2M Adjustments'!H34</f>
        <v>0</v>
      </c>
      <c r="G35" s="68">
        <f>'Schedule 2M Adjustments'!J34</f>
        <v>0</v>
      </c>
      <c r="H35" s="68">
        <f t="shared" si="0"/>
        <v>0</v>
      </c>
      <c r="J35" s="114">
        <f>'Schedule 2M Adjustments'!P34</f>
        <v>0</v>
      </c>
      <c r="K35" s="68">
        <f>'Schedule 2M Adjustments'!R34</f>
        <v>0</v>
      </c>
      <c r="L35" s="68">
        <f t="shared" si="1"/>
        <v>0</v>
      </c>
      <c r="N35" s="117">
        <f>'Schedule 2M Adjustments'!X34</f>
        <v>0</v>
      </c>
      <c r="O35" s="117">
        <f>'Schedule 2M Adjustments'!AA34</f>
        <v>0</v>
      </c>
    </row>
    <row r="36" spans="1:15" x14ac:dyDescent="0.35">
      <c r="A36" s="24">
        <v>21</v>
      </c>
      <c r="B36" s="565" t="str">
        <f>'Schedule 2M Adjustments'!B35:D35</f>
        <v/>
      </c>
      <c r="C36" s="565"/>
      <c r="D36" s="565"/>
      <c r="F36" s="114">
        <f>'Schedule 2M Adjustments'!H35</f>
        <v>0</v>
      </c>
      <c r="G36" s="68">
        <f>'Schedule 2M Adjustments'!J35</f>
        <v>0</v>
      </c>
      <c r="H36" s="68">
        <f t="shared" si="0"/>
        <v>0</v>
      </c>
      <c r="J36" s="114">
        <f>'Schedule 2M Adjustments'!P35</f>
        <v>0</v>
      </c>
      <c r="K36" s="68">
        <f>'Schedule 2M Adjustments'!R35</f>
        <v>0</v>
      </c>
      <c r="L36" s="68">
        <f t="shared" si="1"/>
        <v>0</v>
      </c>
      <c r="N36" s="117">
        <f>'Schedule 2M Adjustments'!X35</f>
        <v>0</v>
      </c>
      <c r="O36" s="117">
        <f>'Schedule 2M Adjustments'!AA35</f>
        <v>0</v>
      </c>
    </row>
    <row r="37" spans="1:15" x14ac:dyDescent="0.35">
      <c r="A37" s="24">
        <v>22</v>
      </c>
      <c r="B37" s="565" t="str">
        <f>'Schedule 2M Adjustments'!B36:D36</f>
        <v/>
      </c>
      <c r="C37" s="565"/>
      <c r="D37" s="565"/>
      <c r="F37" s="114">
        <f>'Schedule 2M Adjustments'!H36</f>
        <v>0</v>
      </c>
      <c r="G37" s="68">
        <f>'Schedule 2M Adjustments'!J36</f>
        <v>0</v>
      </c>
      <c r="H37" s="68">
        <f t="shared" si="0"/>
        <v>0</v>
      </c>
      <c r="J37" s="114">
        <f>'Schedule 2M Adjustments'!P36</f>
        <v>0</v>
      </c>
      <c r="K37" s="68">
        <f>'Schedule 2M Adjustments'!R36</f>
        <v>0</v>
      </c>
      <c r="L37" s="68">
        <f t="shared" si="1"/>
        <v>0</v>
      </c>
      <c r="N37" s="117">
        <f>'Schedule 2M Adjustments'!X36</f>
        <v>0</v>
      </c>
      <c r="O37" s="117">
        <f>'Schedule 2M Adjustments'!AA36</f>
        <v>0</v>
      </c>
    </row>
    <row r="38" spans="1:15" x14ac:dyDescent="0.35">
      <c r="A38" s="24">
        <v>23</v>
      </c>
      <c r="B38" s="565" t="str">
        <f>'Schedule 2M Adjustments'!B37:D37</f>
        <v/>
      </c>
      <c r="C38" s="565"/>
      <c r="D38" s="565"/>
      <c r="F38" s="114">
        <f>'Schedule 2M Adjustments'!H37</f>
        <v>0</v>
      </c>
      <c r="G38" s="68">
        <f>'Schedule 2M Adjustments'!J37</f>
        <v>0</v>
      </c>
      <c r="H38" s="68">
        <f t="shared" si="0"/>
        <v>0</v>
      </c>
      <c r="J38" s="114">
        <f>'Schedule 2M Adjustments'!P37</f>
        <v>0</v>
      </c>
      <c r="K38" s="68">
        <f>'Schedule 2M Adjustments'!R37</f>
        <v>0</v>
      </c>
      <c r="L38" s="68">
        <f t="shared" si="1"/>
        <v>0</v>
      </c>
      <c r="N38" s="117">
        <f>'Schedule 2M Adjustments'!X37</f>
        <v>0</v>
      </c>
      <c r="O38" s="117">
        <f>'Schedule 2M Adjustments'!AA37</f>
        <v>0</v>
      </c>
    </row>
    <row r="39" spans="1:15" x14ac:dyDescent="0.35">
      <c r="A39" s="24">
        <v>24</v>
      </c>
      <c r="B39" s="565" t="str">
        <f>'Schedule 2M Adjustments'!B38:D38</f>
        <v/>
      </c>
      <c r="C39" s="565"/>
      <c r="D39" s="565"/>
      <c r="F39" s="114">
        <f>'Schedule 2M Adjustments'!H38</f>
        <v>0</v>
      </c>
      <c r="G39" s="68">
        <f>'Schedule 2M Adjustments'!J38</f>
        <v>0</v>
      </c>
      <c r="H39" s="68">
        <f t="shared" si="0"/>
        <v>0</v>
      </c>
      <c r="J39" s="114">
        <f>'Schedule 2M Adjustments'!P38</f>
        <v>0</v>
      </c>
      <c r="K39" s="68">
        <f>'Schedule 2M Adjustments'!R38</f>
        <v>0</v>
      </c>
      <c r="L39" s="68">
        <f t="shared" si="1"/>
        <v>0</v>
      </c>
      <c r="N39" s="117">
        <f>'Schedule 2M Adjustments'!X38</f>
        <v>0</v>
      </c>
      <c r="O39" s="117">
        <f>'Schedule 2M Adjustments'!AA38</f>
        <v>0</v>
      </c>
    </row>
    <row r="40" spans="1:15" x14ac:dyDescent="0.35">
      <c r="A40" s="24">
        <v>25</v>
      </c>
      <c r="B40" s="565" t="str">
        <f>'Schedule 2M Adjustments'!B39:D39</f>
        <v/>
      </c>
      <c r="C40" s="565"/>
      <c r="D40" s="565"/>
      <c r="F40" s="114">
        <f>'Schedule 2M Adjustments'!H39</f>
        <v>0</v>
      </c>
      <c r="G40" s="68">
        <f>'Schedule 2M Adjustments'!J39</f>
        <v>0</v>
      </c>
      <c r="H40" s="68">
        <f t="shared" si="0"/>
        <v>0</v>
      </c>
      <c r="J40" s="114">
        <f>'Schedule 2M Adjustments'!P39</f>
        <v>0</v>
      </c>
      <c r="K40" s="68">
        <f>'Schedule 2M Adjustments'!R39</f>
        <v>0</v>
      </c>
      <c r="L40" s="68">
        <f t="shared" si="1"/>
        <v>0</v>
      </c>
      <c r="N40" s="117">
        <f>'Schedule 2M Adjustments'!X39</f>
        <v>0</v>
      </c>
      <c r="O40" s="117">
        <f>'Schedule 2M Adjustments'!AA39</f>
        <v>0</v>
      </c>
    </row>
    <row r="41" spans="1:15" x14ac:dyDescent="0.35">
      <c r="A41" s="24">
        <v>26</v>
      </c>
      <c r="B41" s="565" t="str">
        <f>'Schedule 2M Adjustments'!B40:D40</f>
        <v/>
      </c>
      <c r="C41" s="565"/>
      <c r="D41" s="565"/>
      <c r="F41" s="114">
        <f>'Schedule 2M Adjustments'!H40</f>
        <v>0</v>
      </c>
      <c r="G41" s="68">
        <f>'Schedule 2M Adjustments'!J40</f>
        <v>0</v>
      </c>
      <c r="H41" s="68">
        <f t="shared" si="0"/>
        <v>0</v>
      </c>
      <c r="J41" s="114">
        <f>'Schedule 2M Adjustments'!P40</f>
        <v>0</v>
      </c>
      <c r="K41" s="68">
        <f>'Schedule 2M Adjustments'!R40</f>
        <v>0</v>
      </c>
      <c r="L41" s="68">
        <f t="shared" si="1"/>
        <v>0</v>
      </c>
      <c r="N41" s="117">
        <f>'Schedule 2M Adjustments'!X40</f>
        <v>0</v>
      </c>
      <c r="O41" s="117">
        <f>'Schedule 2M Adjustments'!AA40</f>
        <v>0</v>
      </c>
    </row>
    <row r="42" spans="1:15" x14ac:dyDescent="0.35">
      <c r="A42" s="24">
        <v>27</v>
      </c>
      <c r="B42" s="565" t="str">
        <f>'Schedule 2M Adjustments'!B41:D41</f>
        <v/>
      </c>
      <c r="C42" s="565"/>
      <c r="D42" s="565"/>
      <c r="F42" s="114">
        <f>'Schedule 2M Adjustments'!H41</f>
        <v>0</v>
      </c>
      <c r="G42" s="68">
        <f>'Schedule 2M Adjustments'!J41</f>
        <v>0</v>
      </c>
      <c r="H42" s="68">
        <f t="shared" si="0"/>
        <v>0</v>
      </c>
      <c r="J42" s="114">
        <f>'Schedule 2M Adjustments'!P41</f>
        <v>0</v>
      </c>
      <c r="K42" s="68">
        <f>'Schedule 2M Adjustments'!R41</f>
        <v>0</v>
      </c>
      <c r="L42" s="68">
        <f t="shared" si="1"/>
        <v>0</v>
      </c>
      <c r="N42" s="117">
        <f>'Schedule 2M Adjustments'!X41</f>
        <v>0</v>
      </c>
      <c r="O42" s="117">
        <f>'Schedule 2M Adjustments'!AA41</f>
        <v>0</v>
      </c>
    </row>
    <row r="43" spans="1:15" x14ac:dyDescent="0.35">
      <c r="A43" s="24">
        <v>28</v>
      </c>
      <c r="B43" s="565" t="str">
        <f>'Schedule 2M Adjustments'!B42:D42</f>
        <v/>
      </c>
      <c r="C43" s="565"/>
      <c r="D43" s="565"/>
      <c r="F43" s="114">
        <f>'Schedule 2M Adjustments'!H42</f>
        <v>0</v>
      </c>
      <c r="G43" s="68">
        <f>'Schedule 2M Adjustments'!J42</f>
        <v>0</v>
      </c>
      <c r="H43" s="68">
        <f t="shared" si="0"/>
        <v>0</v>
      </c>
      <c r="J43" s="114">
        <f>'Schedule 2M Adjustments'!P42</f>
        <v>0</v>
      </c>
      <c r="K43" s="68">
        <f>'Schedule 2M Adjustments'!R42</f>
        <v>0</v>
      </c>
      <c r="L43" s="68">
        <f t="shared" si="1"/>
        <v>0</v>
      </c>
      <c r="N43" s="117">
        <f>'Schedule 2M Adjustments'!X42</f>
        <v>0</v>
      </c>
      <c r="O43" s="117">
        <f>'Schedule 2M Adjustments'!AA42</f>
        <v>0</v>
      </c>
    </row>
    <row r="44" spans="1:15" x14ac:dyDescent="0.35">
      <c r="A44" s="24">
        <v>29</v>
      </c>
      <c r="B44" s="565" t="str">
        <f>'Schedule 2M Adjustments'!B43:D43</f>
        <v/>
      </c>
      <c r="C44" s="565"/>
      <c r="D44" s="565"/>
      <c r="F44" s="114">
        <f>'Schedule 2M Adjustments'!H43</f>
        <v>0</v>
      </c>
      <c r="G44" s="68">
        <f>'Schedule 2M Adjustments'!J43</f>
        <v>0</v>
      </c>
      <c r="H44" s="68">
        <f t="shared" si="0"/>
        <v>0</v>
      </c>
      <c r="J44" s="114">
        <f>'Schedule 2M Adjustments'!P43</f>
        <v>0</v>
      </c>
      <c r="K44" s="68">
        <f>'Schedule 2M Adjustments'!R43</f>
        <v>0</v>
      </c>
      <c r="L44" s="68">
        <f t="shared" si="1"/>
        <v>0</v>
      </c>
      <c r="N44" s="117">
        <f>'Schedule 2M Adjustments'!X43</f>
        <v>0</v>
      </c>
      <c r="O44" s="117">
        <f>'Schedule 2M Adjustments'!AA43</f>
        <v>0</v>
      </c>
    </row>
    <row r="45" spans="1:15" x14ac:dyDescent="0.35">
      <c r="A45" s="24">
        <v>30</v>
      </c>
      <c r="B45" s="565" t="str">
        <f>'Schedule 2M Adjustments'!B44:D44</f>
        <v/>
      </c>
      <c r="C45" s="565"/>
      <c r="D45" s="565"/>
      <c r="F45" s="114">
        <f>'Schedule 2M Adjustments'!H44</f>
        <v>0</v>
      </c>
      <c r="G45" s="68">
        <f>'Schedule 2M Adjustments'!J44</f>
        <v>0</v>
      </c>
      <c r="H45" s="68">
        <f t="shared" si="0"/>
        <v>0</v>
      </c>
      <c r="J45" s="114">
        <f>'Schedule 2M Adjustments'!P44</f>
        <v>0</v>
      </c>
      <c r="K45" s="68">
        <f>'Schedule 2M Adjustments'!R44</f>
        <v>0</v>
      </c>
      <c r="L45" s="68">
        <f t="shared" si="1"/>
        <v>0</v>
      </c>
      <c r="N45" s="117">
        <f>'Schedule 2M Adjustments'!X44</f>
        <v>0</v>
      </c>
      <c r="O45" s="117">
        <f>'Schedule 2M Adjustments'!AA44</f>
        <v>0</v>
      </c>
    </row>
    <row r="46" spans="1:15" x14ac:dyDescent="0.35">
      <c r="A46" s="24">
        <v>31</v>
      </c>
      <c r="B46" s="565" t="str">
        <f>'Schedule 2M Adjustments'!B45:D45</f>
        <v/>
      </c>
      <c r="C46" s="565"/>
      <c r="D46" s="565"/>
      <c r="F46" s="114">
        <f>'Schedule 2M Adjustments'!H45</f>
        <v>0</v>
      </c>
      <c r="G46" s="68">
        <f>'Schedule 2M Adjustments'!J45</f>
        <v>0</v>
      </c>
      <c r="H46" s="68">
        <f t="shared" si="0"/>
        <v>0</v>
      </c>
      <c r="J46" s="114">
        <f>'Schedule 2M Adjustments'!P45</f>
        <v>0</v>
      </c>
      <c r="K46" s="68">
        <f>'Schedule 2M Adjustments'!R45</f>
        <v>0</v>
      </c>
      <c r="L46" s="68">
        <f t="shared" si="1"/>
        <v>0</v>
      </c>
      <c r="N46" s="117">
        <f>'Schedule 2M Adjustments'!X45</f>
        <v>0</v>
      </c>
      <c r="O46" s="117">
        <f>'Schedule 2M Adjustments'!AA45</f>
        <v>0</v>
      </c>
    </row>
    <row r="47" spans="1:15" x14ac:dyDescent="0.35">
      <c r="A47" s="24">
        <v>32</v>
      </c>
      <c r="B47" s="565" t="str">
        <f>'Schedule 2M Adjustments'!B46:D46</f>
        <v/>
      </c>
      <c r="C47" s="565"/>
      <c r="D47" s="565"/>
      <c r="F47" s="114">
        <f>'Schedule 2M Adjustments'!H46</f>
        <v>0</v>
      </c>
      <c r="G47" s="68">
        <f>'Schedule 2M Adjustments'!J46</f>
        <v>0</v>
      </c>
      <c r="H47" s="68">
        <f t="shared" si="0"/>
        <v>0</v>
      </c>
      <c r="J47" s="114">
        <f>'Schedule 2M Adjustments'!P46</f>
        <v>0</v>
      </c>
      <c r="K47" s="68">
        <f>'Schedule 2M Adjustments'!R46</f>
        <v>0</v>
      </c>
      <c r="L47" s="68">
        <f t="shared" si="1"/>
        <v>0</v>
      </c>
      <c r="N47" s="117">
        <f>'Schedule 2M Adjustments'!X46</f>
        <v>0</v>
      </c>
      <c r="O47" s="117">
        <f>'Schedule 2M Adjustments'!AA46</f>
        <v>0</v>
      </c>
    </row>
    <row r="48" spans="1:15" x14ac:dyDescent="0.35">
      <c r="A48" s="24">
        <v>33</v>
      </c>
      <c r="B48" s="565" t="str">
        <f>'Schedule 2M Adjustments'!B47:D47</f>
        <v/>
      </c>
      <c r="C48" s="565"/>
      <c r="D48" s="565"/>
      <c r="F48" s="114">
        <f>'Schedule 2M Adjustments'!H47</f>
        <v>0</v>
      </c>
      <c r="G48" s="68">
        <f>'Schedule 2M Adjustments'!J47</f>
        <v>0</v>
      </c>
      <c r="H48" s="68">
        <f t="shared" si="0"/>
        <v>0</v>
      </c>
      <c r="J48" s="114">
        <f>'Schedule 2M Adjustments'!P47</f>
        <v>0</v>
      </c>
      <c r="K48" s="68">
        <f>'Schedule 2M Adjustments'!R47</f>
        <v>0</v>
      </c>
      <c r="L48" s="68">
        <f t="shared" si="1"/>
        <v>0</v>
      </c>
      <c r="N48" s="117">
        <f>'Schedule 2M Adjustments'!X47</f>
        <v>0</v>
      </c>
      <c r="O48" s="117">
        <f>'Schedule 2M Adjustments'!AA47</f>
        <v>0</v>
      </c>
    </row>
    <row r="49" spans="1:15" x14ac:dyDescent="0.35">
      <c r="A49" s="24">
        <v>34</v>
      </c>
      <c r="B49" s="565" t="str">
        <f>'Schedule 2M Adjustments'!B48:D48</f>
        <v/>
      </c>
      <c r="C49" s="565"/>
      <c r="D49" s="565"/>
      <c r="F49" s="114">
        <f>'Schedule 2M Adjustments'!H48</f>
        <v>0</v>
      </c>
      <c r="G49" s="68">
        <f>'Schedule 2M Adjustments'!J48</f>
        <v>0</v>
      </c>
      <c r="H49" s="68">
        <f t="shared" si="0"/>
        <v>0</v>
      </c>
      <c r="J49" s="114">
        <f>'Schedule 2M Adjustments'!P48</f>
        <v>0</v>
      </c>
      <c r="K49" s="68">
        <f>'Schedule 2M Adjustments'!R48</f>
        <v>0</v>
      </c>
      <c r="L49" s="68">
        <f t="shared" si="1"/>
        <v>0</v>
      </c>
      <c r="N49" s="117">
        <f>'Schedule 2M Adjustments'!X48</f>
        <v>0</v>
      </c>
      <c r="O49" s="117">
        <f>'Schedule 2M Adjustments'!AA48</f>
        <v>0</v>
      </c>
    </row>
    <row r="50" spans="1:15" x14ac:dyDescent="0.35">
      <c r="A50" s="24">
        <v>35</v>
      </c>
      <c r="B50" s="565" t="str">
        <f>'Schedule 2M Adjustments'!B49:D49</f>
        <v/>
      </c>
      <c r="C50" s="565"/>
      <c r="D50" s="565"/>
      <c r="F50" s="114">
        <f>'Schedule 2M Adjustments'!H49</f>
        <v>0</v>
      </c>
      <c r="G50" s="68">
        <f>'Schedule 2M Adjustments'!J49</f>
        <v>0</v>
      </c>
      <c r="H50" s="68">
        <f t="shared" si="0"/>
        <v>0</v>
      </c>
      <c r="J50" s="114">
        <f>'Schedule 2M Adjustments'!P49</f>
        <v>0</v>
      </c>
      <c r="K50" s="68">
        <f>'Schedule 2M Adjustments'!R49</f>
        <v>0</v>
      </c>
      <c r="L50" s="68">
        <f t="shared" si="1"/>
        <v>0</v>
      </c>
      <c r="N50" s="117">
        <f>'Schedule 2M Adjustments'!X49</f>
        <v>0</v>
      </c>
      <c r="O50" s="117">
        <f>'Schedule 2M Adjustments'!AA49</f>
        <v>0</v>
      </c>
    </row>
    <row r="51" spans="1:15" x14ac:dyDescent="0.35">
      <c r="A51" s="24">
        <v>36</v>
      </c>
      <c r="B51" s="565" t="str">
        <f>'Schedule 2M Adjustments'!B50:D50</f>
        <v/>
      </c>
      <c r="C51" s="565"/>
      <c r="D51" s="565"/>
      <c r="F51" s="114">
        <f>'Schedule 2M Adjustments'!H50</f>
        <v>0</v>
      </c>
      <c r="G51" s="68">
        <f>'Schedule 2M Adjustments'!J50</f>
        <v>0</v>
      </c>
      <c r="H51" s="68">
        <f t="shared" si="0"/>
        <v>0</v>
      </c>
      <c r="J51" s="114">
        <f>'Schedule 2M Adjustments'!P50</f>
        <v>0</v>
      </c>
      <c r="K51" s="68">
        <f>'Schedule 2M Adjustments'!R50</f>
        <v>0</v>
      </c>
      <c r="L51" s="68">
        <f t="shared" si="1"/>
        <v>0</v>
      </c>
      <c r="N51" s="117">
        <f>'Schedule 2M Adjustments'!X50</f>
        <v>0</v>
      </c>
      <c r="O51" s="117">
        <f>'Schedule 2M Adjustments'!AA50</f>
        <v>0</v>
      </c>
    </row>
    <row r="52" spans="1:15" x14ac:dyDescent="0.35">
      <c r="A52" s="24">
        <v>37</v>
      </c>
      <c r="B52" s="565" t="str">
        <f>'Schedule 2M Adjustments'!B51:D51</f>
        <v/>
      </c>
      <c r="C52" s="565"/>
      <c r="D52" s="565"/>
      <c r="F52" s="114">
        <f>'Schedule 2M Adjustments'!H51</f>
        <v>0</v>
      </c>
      <c r="G52" s="68">
        <f>'Schedule 2M Adjustments'!J51</f>
        <v>0</v>
      </c>
      <c r="H52" s="68">
        <f t="shared" si="0"/>
        <v>0</v>
      </c>
      <c r="J52" s="114">
        <f>'Schedule 2M Adjustments'!P51</f>
        <v>0</v>
      </c>
      <c r="K52" s="68">
        <f>'Schedule 2M Adjustments'!R51</f>
        <v>0</v>
      </c>
      <c r="L52" s="68">
        <f t="shared" si="1"/>
        <v>0</v>
      </c>
      <c r="N52" s="117">
        <f>'Schedule 2M Adjustments'!X51</f>
        <v>0</v>
      </c>
      <c r="O52" s="117">
        <f>'Schedule 2M Adjustments'!AA51</f>
        <v>0</v>
      </c>
    </row>
    <row r="53" spans="1:15" x14ac:dyDescent="0.35">
      <c r="A53" s="24">
        <v>38</v>
      </c>
      <c r="B53" s="565" t="str">
        <f>'Schedule 2M Adjustments'!B52:D52</f>
        <v/>
      </c>
      <c r="C53" s="565"/>
      <c r="D53" s="565"/>
      <c r="F53" s="114">
        <f>'Schedule 2M Adjustments'!H52</f>
        <v>0</v>
      </c>
      <c r="G53" s="68">
        <f>'Schedule 2M Adjustments'!J52</f>
        <v>0</v>
      </c>
      <c r="H53" s="68">
        <f t="shared" si="0"/>
        <v>0</v>
      </c>
      <c r="J53" s="114">
        <f>'Schedule 2M Adjustments'!P52</f>
        <v>0</v>
      </c>
      <c r="K53" s="68">
        <f>'Schedule 2M Adjustments'!R52</f>
        <v>0</v>
      </c>
      <c r="L53" s="68">
        <f t="shared" si="1"/>
        <v>0</v>
      </c>
      <c r="N53" s="117">
        <f>'Schedule 2M Adjustments'!X52</f>
        <v>0</v>
      </c>
      <c r="O53" s="117">
        <f>'Schedule 2M Adjustments'!AA52</f>
        <v>0</v>
      </c>
    </row>
    <row r="54" spans="1:15" x14ac:dyDescent="0.35">
      <c r="A54" s="24">
        <v>39</v>
      </c>
      <c r="B54" s="565" t="str">
        <f>'Schedule 2M Adjustments'!B53:D53</f>
        <v/>
      </c>
      <c r="C54" s="565"/>
      <c r="D54" s="565"/>
      <c r="F54" s="114">
        <f>'Schedule 2M Adjustments'!H53</f>
        <v>0</v>
      </c>
      <c r="G54" s="68">
        <f>'Schedule 2M Adjustments'!J53</f>
        <v>0</v>
      </c>
      <c r="H54" s="68">
        <f t="shared" si="0"/>
        <v>0</v>
      </c>
      <c r="J54" s="114">
        <f>'Schedule 2M Adjustments'!P53</f>
        <v>0</v>
      </c>
      <c r="K54" s="68">
        <f>'Schedule 2M Adjustments'!R53</f>
        <v>0</v>
      </c>
      <c r="L54" s="68">
        <f t="shared" si="1"/>
        <v>0</v>
      </c>
      <c r="N54" s="117">
        <f>'Schedule 2M Adjustments'!X53</f>
        <v>0</v>
      </c>
      <c r="O54" s="117">
        <f>'Schedule 2M Adjustments'!AA53</f>
        <v>0</v>
      </c>
    </row>
    <row r="55" spans="1:15" x14ac:dyDescent="0.35">
      <c r="A55" s="24">
        <v>40</v>
      </c>
      <c r="B55" s="565" t="str">
        <f>'Schedule 2M Adjustments'!B54:D54</f>
        <v/>
      </c>
      <c r="C55" s="565"/>
      <c r="D55" s="565"/>
      <c r="F55" s="114">
        <f>'Schedule 2M Adjustments'!H54</f>
        <v>0</v>
      </c>
      <c r="G55" s="68">
        <f>'Schedule 2M Adjustments'!J54</f>
        <v>0</v>
      </c>
      <c r="H55" s="68">
        <f t="shared" si="0"/>
        <v>0</v>
      </c>
      <c r="J55" s="114">
        <f>'Schedule 2M Adjustments'!P54</f>
        <v>0</v>
      </c>
      <c r="K55" s="68">
        <f>'Schedule 2M Adjustments'!R54</f>
        <v>0</v>
      </c>
      <c r="L55" s="68">
        <f t="shared" si="1"/>
        <v>0</v>
      </c>
      <c r="N55" s="117">
        <f>'Schedule 2M Adjustments'!X54</f>
        <v>0</v>
      </c>
      <c r="O55" s="117">
        <f>'Schedule 2M Adjustments'!AA54</f>
        <v>0</v>
      </c>
    </row>
    <row r="56" spans="1:15" x14ac:dyDescent="0.35">
      <c r="A56" s="24">
        <v>41</v>
      </c>
      <c r="B56" s="565" t="str">
        <f>'Schedule 2M Adjustments'!B55:D55</f>
        <v/>
      </c>
      <c r="C56" s="565"/>
      <c r="D56" s="565"/>
      <c r="F56" s="114">
        <f>'Schedule 2M Adjustments'!H55</f>
        <v>0</v>
      </c>
      <c r="G56" s="68">
        <f>'Schedule 2M Adjustments'!J55</f>
        <v>0</v>
      </c>
      <c r="H56" s="68">
        <f t="shared" si="0"/>
        <v>0</v>
      </c>
      <c r="J56" s="114">
        <f>'Schedule 2M Adjustments'!P55</f>
        <v>0</v>
      </c>
      <c r="K56" s="68">
        <f>'Schedule 2M Adjustments'!R55</f>
        <v>0</v>
      </c>
      <c r="L56" s="68">
        <f t="shared" si="1"/>
        <v>0</v>
      </c>
      <c r="N56" s="117">
        <f>'Schedule 2M Adjustments'!X55</f>
        <v>0</v>
      </c>
      <c r="O56" s="117">
        <f>'Schedule 2M Adjustments'!AA55</f>
        <v>0</v>
      </c>
    </row>
    <row r="57" spans="1:15" x14ac:dyDescent="0.35">
      <c r="A57" s="24">
        <v>42</v>
      </c>
      <c r="B57" s="565" t="str">
        <f>'Schedule 2M Adjustments'!B56:D56</f>
        <v/>
      </c>
      <c r="C57" s="565"/>
      <c r="D57" s="565"/>
      <c r="F57" s="114">
        <f>'Schedule 2M Adjustments'!H56</f>
        <v>0</v>
      </c>
      <c r="G57" s="68">
        <f>'Schedule 2M Adjustments'!J56</f>
        <v>0</v>
      </c>
      <c r="H57" s="68">
        <f t="shared" si="0"/>
        <v>0</v>
      </c>
      <c r="J57" s="114">
        <f>'Schedule 2M Adjustments'!P56</f>
        <v>0</v>
      </c>
      <c r="K57" s="68">
        <f>'Schedule 2M Adjustments'!R56</f>
        <v>0</v>
      </c>
      <c r="L57" s="68">
        <f t="shared" si="1"/>
        <v>0</v>
      </c>
      <c r="N57" s="117">
        <f>'Schedule 2M Adjustments'!X56</f>
        <v>0</v>
      </c>
      <c r="O57" s="117">
        <f>'Schedule 2M Adjustments'!AA56</f>
        <v>0</v>
      </c>
    </row>
    <row r="58" spans="1:15" x14ac:dyDescent="0.35">
      <c r="A58" s="24">
        <v>43</v>
      </c>
      <c r="B58" s="565" t="str">
        <f>'Schedule 2M Adjustments'!B57:D57</f>
        <v/>
      </c>
      <c r="C58" s="565"/>
      <c r="D58" s="565"/>
      <c r="F58" s="114">
        <f>'Schedule 2M Adjustments'!H57</f>
        <v>0</v>
      </c>
      <c r="G58" s="68">
        <f>'Schedule 2M Adjustments'!J57</f>
        <v>0</v>
      </c>
      <c r="H58" s="68">
        <f t="shared" si="0"/>
        <v>0</v>
      </c>
      <c r="J58" s="114">
        <f>'Schedule 2M Adjustments'!P57</f>
        <v>0</v>
      </c>
      <c r="K58" s="68">
        <f>'Schedule 2M Adjustments'!R57</f>
        <v>0</v>
      </c>
      <c r="L58" s="68">
        <f t="shared" si="1"/>
        <v>0</v>
      </c>
      <c r="N58" s="117">
        <f>'Schedule 2M Adjustments'!X57</f>
        <v>0</v>
      </c>
      <c r="O58" s="117">
        <f>'Schedule 2M Adjustments'!AA57</f>
        <v>0</v>
      </c>
    </row>
    <row r="59" spans="1:15" x14ac:dyDescent="0.35">
      <c r="A59" s="24">
        <v>44</v>
      </c>
      <c r="B59" s="565" t="str">
        <f>'Schedule 2M Adjustments'!B58:D58</f>
        <v/>
      </c>
      <c r="C59" s="565"/>
      <c r="D59" s="565"/>
      <c r="F59" s="114">
        <f>'Schedule 2M Adjustments'!H58</f>
        <v>0</v>
      </c>
      <c r="G59" s="68">
        <f>'Schedule 2M Adjustments'!J58</f>
        <v>0</v>
      </c>
      <c r="H59" s="68">
        <f t="shared" si="0"/>
        <v>0</v>
      </c>
      <c r="J59" s="114">
        <f>'Schedule 2M Adjustments'!P58</f>
        <v>0</v>
      </c>
      <c r="K59" s="68">
        <f>'Schedule 2M Adjustments'!R58</f>
        <v>0</v>
      </c>
      <c r="L59" s="68">
        <f t="shared" si="1"/>
        <v>0</v>
      </c>
      <c r="N59" s="117">
        <f>'Schedule 2M Adjustments'!X58</f>
        <v>0</v>
      </c>
      <c r="O59" s="117">
        <f>'Schedule 2M Adjustments'!AA58</f>
        <v>0</v>
      </c>
    </row>
    <row r="60" spans="1:15" x14ac:dyDescent="0.35">
      <c r="A60" s="24">
        <v>45</v>
      </c>
      <c r="B60" s="565" t="str">
        <f>'Schedule 2M Adjustments'!B59:D59</f>
        <v/>
      </c>
      <c r="C60" s="565"/>
      <c r="D60" s="565"/>
      <c r="F60" s="114">
        <f>'Schedule 2M Adjustments'!H59</f>
        <v>0</v>
      </c>
      <c r="G60" s="68">
        <f>'Schedule 2M Adjustments'!J59</f>
        <v>0</v>
      </c>
      <c r="H60" s="68">
        <f t="shared" si="0"/>
        <v>0</v>
      </c>
      <c r="J60" s="114">
        <f>'Schedule 2M Adjustments'!P59</f>
        <v>0</v>
      </c>
      <c r="K60" s="68">
        <f>'Schedule 2M Adjustments'!R59</f>
        <v>0</v>
      </c>
      <c r="L60" s="68">
        <f t="shared" si="1"/>
        <v>0</v>
      </c>
      <c r="N60" s="117">
        <f>'Schedule 2M Adjustments'!X59</f>
        <v>0</v>
      </c>
      <c r="O60" s="117">
        <f>'Schedule 2M Adjustments'!AA59</f>
        <v>0</v>
      </c>
    </row>
    <row r="61" spans="1:15" x14ac:dyDescent="0.35">
      <c r="A61" s="24">
        <v>46</v>
      </c>
      <c r="B61" s="565" t="str">
        <f>'Schedule 2M Adjustments'!B60:D60</f>
        <v/>
      </c>
      <c r="C61" s="565"/>
      <c r="D61" s="565"/>
      <c r="F61" s="114">
        <f>'Schedule 2M Adjustments'!H60</f>
        <v>0</v>
      </c>
      <c r="G61" s="68">
        <f>'Schedule 2M Adjustments'!J60</f>
        <v>0</v>
      </c>
      <c r="H61" s="68">
        <f t="shared" si="0"/>
        <v>0</v>
      </c>
      <c r="J61" s="114">
        <f>'Schedule 2M Adjustments'!P60</f>
        <v>0</v>
      </c>
      <c r="K61" s="68">
        <f>'Schedule 2M Adjustments'!R60</f>
        <v>0</v>
      </c>
      <c r="L61" s="68">
        <f t="shared" si="1"/>
        <v>0</v>
      </c>
      <c r="N61" s="117">
        <f>'Schedule 2M Adjustments'!X60</f>
        <v>0</v>
      </c>
      <c r="O61" s="117">
        <f>'Schedule 2M Adjustments'!AA60</f>
        <v>0</v>
      </c>
    </row>
    <row r="62" spans="1:15" x14ac:dyDescent="0.35">
      <c r="A62" s="24">
        <v>47</v>
      </c>
      <c r="B62" s="565" t="str">
        <f>'Schedule 2M Adjustments'!B61:D61</f>
        <v/>
      </c>
      <c r="C62" s="565"/>
      <c r="D62" s="565"/>
      <c r="F62" s="114">
        <f>'Schedule 2M Adjustments'!H61</f>
        <v>0</v>
      </c>
      <c r="G62" s="68">
        <f>'Schedule 2M Adjustments'!J61</f>
        <v>0</v>
      </c>
      <c r="H62" s="68">
        <f t="shared" si="0"/>
        <v>0</v>
      </c>
      <c r="J62" s="114">
        <f>'Schedule 2M Adjustments'!P61</f>
        <v>0</v>
      </c>
      <c r="K62" s="68">
        <f>'Schedule 2M Adjustments'!R61</f>
        <v>0</v>
      </c>
      <c r="L62" s="68">
        <f t="shared" si="1"/>
        <v>0</v>
      </c>
      <c r="N62" s="117">
        <f>'Schedule 2M Adjustments'!X61</f>
        <v>0</v>
      </c>
      <c r="O62" s="117">
        <f>'Schedule 2M Adjustments'!AA61</f>
        <v>0</v>
      </c>
    </row>
    <row r="63" spans="1:15" x14ac:dyDescent="0.35">
      <c r="A63" s="24">
        <v>48</v>
      </c>
      <c r="B63" s="565" t="str">
        <f>'Schedule 2M Adjustments'!B62:D62</f>
        <v/>
      </c>
      <c r="C63" s="565"/>
      <c r="D63" s="565"/>
      <c r="F63" s="114">
        <f>'Schedule 2M Adjustments'!H62</f>
        <v>0</v>
      </c>
      <c r="G63" s="68">
        <f>'Schedule 2M Adjustments'!J62</f>
        <v>0</v>
      </c>
      <c r="H63" s="68">
        <f t="shared" si="0"/>
        <v>0</v>
      </c>
      <c r="J63" s="114">
        <f>'Schedule 2M Adjustments'!P62</f>
        <v>0</v>
      </c>
      <c r="K63" s="68">
        <f>'Schedule 2M Adjustments'!R62</f>
        <v>0</v>
      </c>
      <c r="L63" s="68">
        <f t="shared" si="1"/>
        <v>0</v>
      </c>
      <c r="N63" s="117">
        <f>'Schedule 2M Adjustments'!X62</f>
        <v>0</v>
      </c>
      <c r="O63" s="117">
        <f>'Schedule 2M Adjustments'!AA62</f>
        <v>0</v>
      </c>
    </row>
    <row r="64" spans="1:15" x14ac:dyDescent="0.35">
      <c r="A64" s="24">
        <v>49</v>
      </c>
      <c r="B64" s="565" t="str">
        <f>'Schedule 2M Adjustments'!B63:D63</f>
        <v/>
      </c>
      <c r="C64" s="565"/>
      <c r="D64" s="565"/>
      <c r="F64" s="114">
        <f>'Schedule 2M Adjustments'!H63</f>
        <v>0</v>
      </c>
      <c r="G64" s="68">
        <f>'Schedule 2M Adjustments'!J63</f>
        <v>0</v>
      </c>
      <c r="H64" s="68">
        <f t="shared" si="0"/>
        <v>0</v>
      </c>
      <c r="J64" s="114">
        <f>'Schedule 2M Adjustments'!P63</f>
        <v>0</v>
      </c>
      <c r="K64" s="68">
        <f>'Schedule 2M Adjustments'!R63</f>
        <v>0</v>
      </c>
      <c r="L64" s="68">
        <f t="shared" si="1"/>
        <v>0</v>
      </c>
      <c r="N64" s="117">
        <f>'Schedule 2M Adjustments'!X63</f>
        <v>0</v>
      </c>
      <c r="O64" s="117">
        <f>'Schedule 2M Adjustments'!AA63</f>
        <v>0</v>
      </c>
    </row>
    <row r="65" spans="1:15" x14ac:dyDescent="0.35">
      <c r="A65" s="24">
        <v>50</v>
      </c>
      <c r="B65" s="565" t="str">
        <f>'Schedule 2M Adjustments'!B64:D64</f>
        <v/>
      </c>
      <c r="C65" s="565"/>
      <c r="D65" s="565"/>
      <c r="F65" s="114">
        <f>'Schedule 2M Adjustments'!H64</f>
        <v>0</v>
      </c>
      <c r="G65" s="68">
        <f>'Schedule 2M Adjustments'!J64</f>
        <v>0</v>
      </c>
      <c r="H65" s="68">
        <f t="shared" si="0"/>
        <v>0</v>
      </c>
      <c r="J65" s="114">
        <f>'Schedule 2M Adjustments'!P64</f>
        <v>0</v>
      </c>
      <c r="K65" s="68">
        <f>'Schedule 2M Adjustments'!R64</f>
        <v>0</v>
      </c>
      <c r="L65" s="68">
        <f t="shared" si="1"/>
        <v>0</v>
      </c>
      <c r="N65" s="117">
        <f>'Schedule 2M Adjustments'!X64</f>
        <v>0</v>
      </c>
      <c r="O65" s="117">
        <f>'Schedule 2M Adjustments'!AA64</f>
        <v>0</v>
      </c>
    </row>
    <row r="66" spans="1:15" x14ac:dyDescent="0.35">
      <c r="A66" s="24">
        <v>51</v>
      </c>
      <c r="B66" s="565" t="str">
        <f>'Schedule 2M Adjustments'!B65:D65</f>
        <v/>
      </c>
      <c r="C66" s="565"/>
      <c r="D66" s="565"/>
      <c r="F66" s="114">
        <f>'Schedule 2M Adjustments'!H65</f>
        <v>0</v>
      </c>
      <c r="G66" s="68">
        <f>'Schedule 2M Adjustments'!J65</f>
        <v>0</v>
      </c>
      <c r="H66" s="68">
        <f t="shared" si="0"/>
        <v>0</v>
      </c>
      <c r="J66" s="114">
        <f>'Schedule 2M Adjustments'!P65</f>
        <v>0</v>
      </c>
      <c r="K66" s="68">
        <f>'Schedule 2M Adjustments'!R65</f>
        <v>0</v>
      </c>
      <c r="L66" s="68">
        <f t="shared" si="1"/>
        <v>0</v>
      </c>
      <c r="N66" s="117">
        <f>'Schedule 2M Adjustments'!X65</f>
        <v>0</v>
      </c>
      <c r="O66" s="117">
        <f>'Schedule 2M Adjustments'!AA65</f>
        <v>0</v>
      </c>
    </row>
    <row r="67" spans="1:15" x14ac:dyDescent="0.35">
      <c r="A67" s="24">
        <v>52</v>
      </c>
      <c r="B67" s="565" t="str">
        <f>'Schedule 2M Adjustments'!B66:D66</f>
        <v/>
      </c>
      <c r="C67" s="565"/>
      <c r="D67" s="565"/>
      <c r="F67" s="114">
        <f>'Schedule 2M Adjustments'!H66</f>
        <v>0</v>
      </c>
      <c r="G67" s="68">
        <f>'Schedule 2M Adjustments'!J66</f>
        <v>0</v>
      </c>
      <c r="H67" s="68">
        <f t="shared" si="0"/>
        <v>0</v>
      </c>
      <c r="J67" s="114">
        <f>'Schedule 2M Adjustments'!P66</f>
        <v>0</v>
      </c>
      <c r="K67" s="68">
        <f>'Schedule 2M Adjustments'!R66</f>
        <v>0</v>
      </c>
      <c r="L67" s="68">
        <f t="shared" si="1"/>
        <v>0</v>
      </c>
      <c r="N67" s="117">
        <f>'Schedule 2M Adjustments'!X66</f>
        <v>0</v>
      </c>
      <c r="O67" s="117">
        <f>'Schedule 2M Adjustments'!AA66</f>
        <v>0</v>
      </c>
    </row>
    <row r="68" spans="1:15" x14ac:dyDescent="0.35">
      <c r="A68" s="24">
        <v>53</v>
      </c>
      <c r="B68" s="565" t="str">
        <f>'Schedule 2M Adjustments'!B67:D67</f>
        <v/>
      </c>
      <c r="C68" s="565"/>
      <c r="D68" s="565"/>
      <c r="F68" s="114">
        <f>'Schedule 2M Adjustments'!H67</f>
        <v>0</v>
      </c>
      <c r="G68" s="68">
        <f>'Schedule 2M Adjustments'!J67</f>
        <v>0</v>
      </c>
      <c r="H68" s="68">
        <f t="shared" si="0"/>
        <v>0</v>
      </c>
      <c r="J68" s="114">
        <f>'Schedule 2M Adjustments'!P67</f>
        <v>0</v>
      </c>
      <c r="K68" s="68">
        <f>'Schedule 2M Adjustments'!R67</f>
        <v>0</v>
      </c>
      <c r="L68" s="68">
        <f t="shared" si="1"/>
        <v>0</v>
      </c>
      <c r="N68" s="117">
        <f>'Schedule 2M Adjustments'!X67</f>
        <v>0</v>
      </c>
      <c r="O68" s="117">
        <f>'Schedule 2M Adjustments'!AA67</f>
        <v>0</v>
      </c>
    </row>
    <row r="69" spans="1:15" x14ac:dyDescent="0.35">
      <c r="A69" s="24">
        <v>54</v>
      </c>
      <c r="B69" s="565" t="str">
        <f>'Schedule 2M Adjustments'!B68:D68</f>
        <v/>
      </c>
      <c r="C69" s="565"/>
      <c r="D69" s="565"/>
      <c r="F69" s="114">
        <f>'Schedule 2M Adjustments'!H68</f>
        <v>0</v>
      </c>
      <c r="G69" s="68">
        <f>'Schedule 2M Adjustments'!J68</f>
        <v>0</v>
      </c>
      <c r="H69" s="68">
        <f t="shared" si="0"/>
        <v>0</v>
      </c>
      <c r="J69" s="114">
        <f>'Schedule 2M Adjustments'!P68</f>
        <v>0</v>
      </c>
      <c r="K69" s="68">
        <f>'Schedule 2M Adjustments'!R68</f>
        <v>0</v>
      </c>
      <c r="L69" s="68">
        <f t="shared" si="1"/>
        <v>0</v>
      </c>
      <c r="N69" s="117">
        <f>'Schedule 2M Adjustments'!X68</f>
        <v>0</v>
      </c>
      <c r="O69" s="117">
        <f>'Schedule 2M Adjustments'!AA68</f>
        <v>0</v>
      </c>
    </row>
    <row r="70" spans="1:15" x14ac:dyDescent="0.35">
      <c r="A70" s="24">
        <v>55</v>
      </c>
      <c r="B70" s="565" t="str">
        <f>'Schedule 2M Adjustments'!B69:D69</f>
        <v/>
      </c>
      <c r="C70" s="565"/>
      <c r="D70" s="565"/>
      <c r="F70" s="114">
        <f>'Schedule 2M Adjustments'!H69</f>
        <v>0</v>
      </c>
      <c r="G70" s="68">
        <f>'Schedule 2M Adjustments'!J69</f>
        <v>0</v>
      </c>
      <c r="H70" s="68">
        <f t="shared" si="0"/>
        <v>0</v>
      </c>
      <c r="J70" s="114">
        <f>'Schedule 2M Adjustments'!P69</f>
        <v>0</v>
      </c>
      <c r="K70" s="68">
        <f>'Schedule 2M Adjustments'!R69</f>
        <v>0</v>
      </c>
      <c r="L70" s="68">
        <f t="shared" si="1"/>
        <v>0</v>
      </c>
      <c r="N70" s="117">
        <f>'Schedule 2M Adjustments'!X69</f>
        <v>0</v>
      </c>
      <c r="O70" s="117">
        <f>'Schedule 2M Adjustments'!AA69</f>
        <v>0</v>
      </c>
    </row>
    <row r="71" spans="1:15" x14ac:dyDescent="0.35">
      <c r="A71" s="24">
        <v>56</v>
      </c>
      <c r="B71" s="565" t="str">
        <f>'Schedule 2M Adjustments'!B70:D70</f>
        <v/>
      </c>
      <c r="C71" s="565"/>
      <c r="D71" s="565"/>
      <c r="F71" s="114">
        <f>'Schedule 2M Adjustments'!H70</f>
        <v>0</v>
      </c>
      <c r="G71" s="68">
        <f>'Schedule 2M Adjustments'!J70</f>
        <v>0</v>
      </c>
      <c r="H71" s="68">
        <f t="shared" si="0"/>
        <v>0</v>
      </c>
      <c r="J71" s="114">
        <f>'Schedule 2M Adjustments'!P70</f>
        <v>0</v>
      </c>
      <c r="K71" s="68">
        <f>'Schedule 2M Adjustments'!R70</f>
        <v>0</v>
      </c>
      <c r="L71" s="68">
        <f t="shared" si="1"/>
        <v>0</v>
      </c>
      <c r="N71" s="117">
        <f>'Schedule 2M Adjustments'!X70</f>
        <v>0</v>
      </c>
      <c r="O71" s="117">
        <f>'Schedule 2M Adjustments'!AA70</f>
        <v>0</v>
      </c>
    </row>
    <row r="72" spans="1:15" x14ac:dyDescent="0.35">
      <c r="A72" s="24">
        <v>57</v>
      </c>
      <c r="B72" s="565" t="str">
        <f>'Schedule 2M Adjustments'!B71:D71</f>
        <v/>
      </c>
      <c r="C72" s="565"/>
      <c r="D72" s="565"/>
      <c r="F72" s="114">
        <f>'Schedule 2M Adjustments'!H71</f>
        <v>0</v>
      </c>
      <c r="G72" s="68">
        <f>'Schedule 2M Adjustments'!J71</f>
        <v>0</v>
      </c>
      <c r="H72" s="68">
        <f t="shared" si="0"/>
        <v>0</v>
      </c>
      <c r="J72" s="114">
        <f>'Schedule 2M Adjustments'!P71</f>
        <v>0</v>
      </c>
      <c r="K72" s="68">
        <f>'Schedule 2M Adjustments'!R71</f>
        <v>0</v>
      </c>
      <c r="L72" s="68">
        <f t="shared" si="1"/>
        <v>0</v>
      </c>
      <c r="N72" s="117">
        <f>'Schedule 2M Adjustments'!X71</f>
        <v>0</v>
      </c>
      <c r="O72" s="117">
        <f>'Schedule 2M Adjustments'!AA71</f>
        <v>0</v>
      </c>
    </row>
    <row r="73" spans="1:15" x14ac:dyDescent="0.35">
      <c r="A73" s="24">
        <v>58</v>
      </c>
      <c r="B73" s="565" t="str">
        <f>'Schedule 2M Adjustments'!B72:D72</f>
        <v/>
      </c>
      <c r="C73" s="565"/>
      <c r="D73" s="565"/>
      <c r="F73" s="114">
        <f>'Schedule 2M Adjustments'!H72</f>
        <v>0</v>
      </c>
      <c r="G73" s="68">
        <f>'Schedule 2M Adjustments'!J72</f>
        <v>0</v>
      </c>
      <c r="H73" s="68">
        <f t="shared" si="0"/>
        <v>0</v>
      </c>
      <c r="J73" s="114">
        <f>'Schedule 2M Adjustments'!P72</f>
        <v>0</v>
      </c>
      <c r="K73" s="68">
        <f>'Schedule 2M Adjustments'!R72</f>
        <v>0</v>
      </c>
      <c r="L73" s="68">
        <f t="shared" si="1"/>
        <v>0</v>
      </c>
      <c r="N73" s="117">
        <f>'Schedule 2M Adjustments'!X72</f>
        <v>0</v>
      </c>
      <c r="O73" s="117">
        <f>'Schedule 2M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17302493-42B1-4877-869E-E424A97AE78B}" state="hidden">
      <selection activeCell="F17" sqref="F17"/>
      <pageMargins left="0.7" right="0.7" top="0.75" bottom="0.75" header="0.3" footer="0.3"/>
    </customSheetView>
    <customSheetView guid="{5C0BA3A5-859C-46C2-B685-44D9A90065E4}">
      <selection activeCell="F7" sqref="F7"/>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F8971D"/>
    <pageSetUpPr fitToPage="1"/>
  </sheetPr>
  <dimension ref="A1:V262"/>
  <sheetViews>
    <sheetView workbookViewId="0">
      <selection activeCell="C26" sqref="C26"/>
    </sheetView>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29" customWidth="1"/>
    <col min="8" max="8" width="14.81640625" style="129"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777</v>
      </c>
      <c r="C1" s="11"/>
      <c r="D1" s="4"/>
      <c r="E1" s="13"/>
      <c r="F1" s="13"/>
      <c r="G1" s="128"/>
      <c r="H1" s="128"/>
      <c r="I1" s="13"/>
      <c r="J1" s="13"/>
    </row>
    <row r="2" spans="1:22" ht="21" x14ac:dyDescent="0.5">
      <c r="A2" s="2" t="s">
        <v>775</v>
      </c>
      <c r="C2" s="11"/>
      <c r="D2" s="4"/>
      <c r="E2" s="13"/>
      <c r="F2" s="13"/>
      <c r="G2" s="128"/>
      <c r="H2" s="128"/>
      <c r="I2" s="13"/>
      <c r="J2" s="13"/>
    </row>
    <row r="3" spans="1:22" ht="25" customHeight="1" x14ac:dyDescent="0.5">
      <c r="A3" s="5" t="s">
        <v>691</v>
      </c>
      <c r="B3" s="5"/>
      <c r="C3" s="12"/>
      <c r="D3" s="7"/>
      <c r="E3" s="14"/>
      <c r="F3" s="13"/>
      <c r="G3" s="128"/>
      <c r="H3" s="14"/>
      <c r="I3" s="13"/>
    </row>
    <row r="4" spans="1:22" ht="25" customHeight="1" x14ac:dyDescent="0.5">
      <c r="A4" s="235" t="str">
        <f>Results!A4</f>
        <v>Final Adjustments</v>
      </c>
      <c r="B4" s="5"/>
      <c r="C4" s="12"/>
      <c r="D4" s="7"/>
      <c r="E4" s="14"/>
      <c r="F4" s="13"/>
      <c r="G4" s="128"/>
      <c r="H4" s="14"/>
      <c r="I4" s="13"/>
    </row>
    <row r="5" spans="1:22" x14ac:dyDescent="0.35">
      <c r="C5" s="11"/>
      <c r="D5" s="4"/>
      <c r="E5" s="13"/>
      <c r="F5" s="13"/>
      <c r="G5" s="128"/>
      <c r="H5" s="128"/>
      <c r="I5" s="13"/>
      <c r="J5" s="50"/>
      <c r="T5" s="122"/>
      <c r="U5" s="122"/>
      <c r="V5" s="122"/>
    </row>
    <row r="6" spans="1:22" x14ac:dyDescent="0.35">
      <c r="A6" s="1" t="s">
        <v>776</v>
      </c>
      <c r="C6" s="414" t="str">
        <f>Results!$C$6</f>
        <v>WellPower</v>
      </c>
      <c r="D6" s="233"/>
      <c r="E6" s="13"/>
      <c r="F6" s="13"/>
      <c r="G6" s="128"/>
      <c r="H6" s="128"/>
      <c r="I6" s="13"/>
      <c r="J6" s="50"/>
      <c r="T6" s="40"/>
      <c r="U6" s="40"/>
      <c r="V6" s="40"/>
    </row>
    <row r="7" spans="1:22" x14ac:dyDescent="0.35">
      <c r="A7" s="1" t="s">
        <v>0</v>
      </c>
      <c r="C7" s="35">
        <f>Results!$C$7</f>
        <v>45473</v>
      </c>
      <c r="D7" s="35"/>
      <c r="E7" s="50"/>
      <c r="F7" s="13"/>
      <c r="G7" s="128"/>
      <c r="H7" s="128"/>
      <c r="I7" s="13"/>
      <c r="J7" s="50"/>
      <c r="T7" s="40"/>
      <c r="U7" s="40"/>
    </row>
    <row r="8" spans="1:22" x14ac:dyDescent="0.35">
      <c r="A8" s="196"/>
      <c r="B8" s="99"/>
      <c r="C8" s="197"/>
      <c r="D8" s="197"/>
      <c r="E8" s="198"/>
      <c r="F8" s="198"/>
      <c r="G8" s="199"/>
      <c r="H8" s="199"/>
      <c r="I8" s="198"/>
      <c r="J8" s="198"/>
      <c r="K8" s="99"/>
      <c r="L8" s="99"/>
      <c r="T8" s="40"/>
      <c r="U8" s="40"/>
      <c r="V8" s="40"/>
    </row>
    <row r="9" spans="1:22" x14ac:dyDescent="0.35">
      <c r="A9" s="196" t="s">
        <v>479</v>
      </c>
      <c r="B9" s="99"/>
      <c r="C9" s="99"/>
      <c r="D9" s="99"/>
      <c r="E9" s="99"/>
      <c r="F9" s="99"/>
      <c r="G9" s="196"/>
      <c r="H9" s="112"/>
      <c r="I9" s="99"/>
      <c r="J9" s="198"/>
      <c r="K9" s="99"/>
      <c r="L9" s="99"/>
      <c r="T9" s="40"/>
      <c r="U9" s="40"/>
      <c r="V9" s="40"/>
    </row>
    <row r="10" spans="1:22" ht="15" customHeight="1" x14ac:dyDescent="0.35">
      <c r="A10" s="554" t="s">
        <v>480</v>
      </c>
      <c r="B10" s="554"/>
      <c r="C10" s="554"/>
      <c r="D10" s="554"/>
      <c r="E10" s="554"/>
      <c r="F10" s="554"/>
      <c r="G10" s="554"/>
      <c r="H10" s="554"/>
      <c r="I10" s="554"/>
      <c r="J10" s="554"/>
      <c r="K10" s="554"/>
      <c r="L10" s="99"/>
      <c r="T10" s="40"/>
      <c r="U10" s="40"/>
      <c r="V10" s="40"/>
    </row>
    <row r="11" spans="1:22" x14ac:dyDescent="0.35">
      <c r="A11" s="554"/>
      <c r="B11" s="554"/>
      <c r="C11" s="554"/>
      <c r="D11" s="554"/>
      <c r="E11" s="554"/>
      <c r="F11" s="554"/>
      <c r="G11" s="554"/>
      <c r="H11" s="554"/>
      <c r="I11" s="554"/>
      <c r="J11" s="554"/>
      <c r="K11" s="554"/>
      <c r="L11" s="99"/>
      <c r="T11" s="40"/>
      <c r="U11" s="40"/>
      <c r="V11" s="40"/>
    </row>
    <row r="12" spans="1:22" x14ac:dyDescent="0.35">
      <c r="A12" s="554"/>
      <c r="B12" s="554"/>
      <c r="C12" s="554"/>
      <c r="D12" s="554"/>
      <c r="E12" s="554"/>
      <c r="F12" s="554"/>
      <c r="G12" s="554"/>
      <c r="H12" s="554"/>
      <c r="I12" s="554"/>
      <c r="J12" s="554"/>
      <c r="K12" s="554"/>
      <c r="L12" s="99"/>
      <c r="T12" s="40"/>
      <c r="U12" s="40"/>
      <c r="V12" s="40"/>
    </row>
    <row r="13" spans="1:22" x14ac:dyDescent="0.35">
      <c r="A13" s="196"/>
      <c r="B13" s="311"/>
      <c r="C13" s="197"/>
      <c r="D13" s="197"/>
      <c r="E13" s="198"/>
      <c r="F13" s="198"/>
      <c r="G13" s="199"/>
      <c r="H13" s="199"/>
      <c r="I13" s="198"/>
      <c r="J13" s="198"/>
      <c r="K13" s="99"/>
      <c r="L13" s="99"/>
      <c r="T13" s="40"/>
      <c r="U13" s="40"/>
      <c r="V13" s="40"/>
    </row>
    <row r="14" spans="1:22" x14ac:dyDescent="0.35">
      <c r="A14" s="99"/>
      <c r="B14" s="548">
        <v>1</v>
      </c>
      <c r="C14" s="549"/>
      <c r="D14" s="167">
        <v>2</v>
      </c>
      <c r="E14" s="167">
        <v>3</v>
      </c>
      <c r="F14" s="167">
        <v>4</v>
      </c>
      <c r="G14" s="167">
        <v>5</v>
      </c>
      <c r="H14" s="167">
        <v>6</v>
      </c>
      <c r="I14" s="167">
        <v>7</v>
      </c>
      <c r="J14" s="167">
        <v>8</v>
      </c>
      <c r="K14" s="167">
        <v>9</v>
      </c>
      <c r="L14" s="167">
        <v>10</v>
      </c>
      <c r="M14" s="23">
        <v>11</v>
      </c>
      <c r="N14" s="23">
        <v>12</v>
      </c>
      <c r="O14" s="23">
        <v>13</v>
      </c>
      <c r="P14" s="23">
        <v>14</v>
      </c>
      <c r="Q14" s="23">
        <v>15</v>
      </c>
      <c r="R14" s="23">
        <v>16</v>
      </c>
    </row>
    <row r="15" spans="1:22" x14ac:dyDescent="0.35">
      <c r="A15" s="99"/>
      <c r="B15" s="582" t="s">
        <v>626</v>
      </c>
      <c r="C15" s="583"/>
      <c r="D15" s="579" t="s">
        <v>627</v>
      </c>
      <c r="E15" s="579" t="s">
        <v>628</v>
      </c>
      <c r="F15" s="579" t="s">
        <v>629</v>
      </c>
      <c r="G15" s="586" t="s">
        <v>757</v>
      </c>
      <c r="H15" s="586" t="s">
        <v>758</v>
      </c>
      <c r="I15" s="200"/>
      <c r="J15" s="200"/>
      <c r="K15" s="579" t="s">
        <v>692</v>
      </c>
      <c r="L15" s="579" t="s">
        <v>693</v>
      </c>
      <c r="M15" s="581" t="s">
        <v>168</v>
      </c>
      <c r="N15" s="581"/>
      <c r="O15" s="581" t="s">
        <v>34</v>
      </c>
      <c r="P15" s="581"/>
      <c r="Q15" s="581" t="s">
        <v>169</v>
      </c>
      <c r="R15" s="581"/>
    </row>
    <row r="16" spans="1:22" ht="60" customHeight="1" x14ac:dyDescent="0.35">
      <c r="A16" s="99"/>
      <c r="B16" s="584"/>
      <c r="C16" s="585"/>
      <c r="D16" s="580"/>
      <c r="E16" s="580"/>
      <c r="F16" s="580"/>
      <c r="G16" s="587"/>
      <c r="H16" s="587"/>
      <c r="I16" s="201" t="s">
        <v>454</v>
      </c>
      <c r="J16" s="201" t="s">
        <v>496</v>
      </c>
      <c r="K16" s="580"/>
      <c r="L16" s="580"/>
      <c r="M16" s="10" t="s">
        <v>694</v>
      </c>
      <c r="N16" s="10" t="s">
        <v>695</v>
      </c>
      <c r="O16" s="10" t="s">
        <v>696</v>
      </c>
      <c r="P16" s="10" t="s">
        <v>697</v>
      </c>
      <c r="Q16" s="10" t="s">
        <v>698</v>
      </c>
      <c r="R16" s="10" t="s">
        <v>699</v>
      </c>
    </row>
    <row r="17" spans="1:18" x14ac:dyDescent="0.35">
      <c r="A17" s="99"/>
      <c r="B17" s="311" t="s">
        <v>592</v>
      </c>
      <c r="C17" s="202"/>
      <c r="D17" s="97"/>
      <c r="E17" s="97"/>
      <c r="F17" s="97"/>
      <c r="G17" s="203"/>
      <c r="H17" s="203"/>
      <c r="I17" s="97"/>
      <c r="J17" s="97"/>
      <c r="K17" s="97"/>
      <c r="L17" s="97"/>
      <c r="M17" s="6"/>
      <c r="N17" s="6"/>
      <c r="O17" s="6"/>
      <c r="P17" s="6"/>
      <c r="Q17" s="6"/>
      <c r="R17" s="6"/>
    </row>
    <row r="18" spans="1:18" s="34" customFormat="1" x14ac:dyDescent="0.35">
      <c r="A18" s="204">
        <v>1</v>
      </c>
      <c r="B18" s="577" t="str">
        <f>'Schedule 3 Adjustments'!B17:C17</f>
        <v>100-880-Behavioral Health Solutions Center</v>
      </c>
      <c r="C18" s="578"/>
      <c r="D18" s="358" t="str">
        <f>'Schedule 3 Adjustments'!D17</f>
        <v>CSU</v>
      </c>
      <c r="E18" s="358">
        <f>'Schedule 3 Adjustments'!E17</f>
        <v>0</v>
      </c>
      <c r="F18" s="363">
        <f>'Schedule 3 Adjustments'!F17</f>
        <v>16</v>
      </c>
      <c r="G18" s="366">
        <f>'Schedule 3 Adjustments'!G17</f>
        <v>0</v>
      </c>
      <c r="H18" s="366">
        <f>'Schedule 3 Adjustments'!H17</f>
        <v>0</v>
      </c>
      <c r="I18" s="205">
        <f>IF(B18=0,"",IF(AND(G18=0,H18=0),365,IF(AND(G18&gt;0,H18=0),$C$7-G18+1,IF(AND(G18=0,H18&gt;0),H18-($C$7-365),H18-G18+1))))</f>
        <v>365</v>
      </c>
      <c r="J18" s="98"/>
      <c r="K18" s="206">
        <f>SUM(K19:K21)</f>
        <v>2335</v>
      </c>
      <c r="L18" s="207">
        <f>IF(K18&gt;0,K18/(F18*I18),"")</f>
        <v>0.39982876712328769</v>
      </c>
      <c r="M18" s="118">
        <f>'Schedule 3 Adjustments'!R17</f>
        <v>5859032.5698663527</v>
      </c>
      <c r="N18" s="85">
        <f>IFERROR(M18/K18,"")</f>
        <v>2509.221657330344</v>
      </c>
      <c r="O18" s="118">
        <f>'Schedule 3 Adjustments'!W17</f>
        <v>119836.27538423194</v>
      </c>
      <c r="P18" s="85">
        <f>IFERROR(O18/K18,"")</f>
        <v>51.321745346566139</v>
      </c>
      <c r="Q18" s="86">
        <f>IF(M18=0,"",M18-O18)</f>
        <v>5739196.2944821212</v>
      </c>
      <c r="R18" s="85">
        <f>IFERROR(Q18/K18,"")</f>
        <v>2457.8999119837777</v>
      </c>
    </row>
    <row r="19" spans="1:18" x14ac:dyDescent="0.35">
      <c r="A19" s="208" t="s">
        <v>447</v>
      </c>
      <c r="B19" s="209"/>
      <c r="C19" s="209"/>
      <c r="D19" s="209"/>
      <c r="E19" s="209"/>
      <c r="F19" s="210"/>
      <c r="G19" s="211"/>
      <c r="H19" s="211"/>
      <c r="I19" s="212"/>
      <c r="J19" s="362" t="str">
        <f>'Schedule 3 Adjustments'!J18</f>
        <v>H0018</v>
      </c>
      <c r="K19" s="213">
        <f>'Schedule 3 Adjustments'!M18</f>
        <v>2335</v>
      </c>
      <c r="L19" s="214"/>
      <c r="M19" s="87"/>
      <c r="N19" s="87"/>
      <c r="O19" s="87"/>
      <c r="P19" s="87"/>
      <c r="Q19" s="87"/>
      <c r="R19" s="87"/>
    </row>
    <row r="20" spans="1:18" x14ac:dyDescent="0.35">
      <c r="A20" s="215" t="s">
        <v>448</v>
      </c>
      <c r="B20" s="216"/>
      <c r="C20" s="216"/>
      <c r="D20" s="216"/>
      <c r="E20" s="216"/>
      <c r="F20" s="217"/>
      <c r="G20" s="218"/>
      <c r="H20" s="218"/>
      <c r="I20" s="219"/>
      <c r="J20" s="364">
        <f>'Schedule 3 Adjustments'!J19</f>
        <v>0</v>
      </c>
      <c r="K20" s="220">
        <f>'Schedule 3 Adjustments'!M19</f>
        <v>0</v>
      </c>
      <c r="L20" s="221"/>
      <c r="M20" s="88"/>
      <c r="N20" s="88"/>
      <c r="O20" s="88"/>
      <c r="P20" s="88"/>
      <c r="Q20" s="88"/>
      <c r="R20" s="88"/>
    </row>
    <row r="21" spans="1:18" x14ac:dyDescent="0.35">
      <c r="A21" s="222" t="s">
        <v>449</v>
      </c>
      <c r="B21" s="216"/>
      <c r="C21" s="216"/>
      <c r="D21" s="216"/>
      <c r="E21" s="216"/>
      <c r="F21" s="217"/>
      <c r="G21" s="218"/>
      <c r="H21" s="218"/>
      <c r="I21" s="219"/>
      <c r="J21" s="365">
        <f>'Schedule 3 Adjustments'!J20</f>
        <v>0</v>
      </c>
      <c r="K21" s="223">
        <f>'Schedule 3 Adjustments'!M20</f>
        <v>0</v>
      </c>
      <c r="L21" s="221"/>
      <c r="M21" s="88"/>
      <c r="N21" s="88"/>
      <c r="O21" s="88"/>
      <c r="P21" s="88"/>
      <c r="Q21" s="88"/>
      <c r="R21" s="88"/>
    </row>
    <row r="22" spans="1:18" x14ac:dyDescent="0.35">
      <c r="J22" s="99"/>
      <c r="L22" s="28"/>
    </row>
    <row r="23" spans="1:18" s="34" customFormat="1" x14ac:dyDescent="0.35">
      <c r="A23" s="84">
        <v>2</v>
      </c>
      <c r="B23" s="577" t="str">
        <f>'Schedule 3 Adjustments'!B22:C22</f>
        <v>400-612-Monaco House</v>
      </c>
      <c r="C23" s="578"/>
      <c r="D23" s="358" t="str">
        <f>'Schedule 3 Adjustments'!D22</f>
        <v>Residential</v>
      </c>
      <c r="E23" s="358" t="str">
        <f>'Schedule 3 Adjustments'!E22</f>
        <v>ALR</v>
      </c>
      <c r="F23" s="363">
        <f>'Schedule 3 Adjustments'!F22</f>
        <v>8</v>
      </c>
      <c r="G23" s="366">
        <f>'Schedule 3 Adjustments'!G22</f>
        <v>0</v>
      </c>
      <c r="H23" s="366">
        <f>'Schedule 3 Adjustments'!H22</f>
        <v>0</v>
      </c>
      <c r="I23" s="130">
        <f>IF(B23=0,"",IF(AND(G23=0,H23=0),365,IF(AND(G23&gt;0,H23=0),$C$7-G23+1,IF(AND(G23=0,H23&gt;0),H23-($C$7-365),H23-G23+1))))</f>
        <v>365</v>
      </c>
      <c r="J23" s="98"/>
      <c r="K23" s="8">
        <f>SUM(K24:K26)</f>
        <v>2321</v>
      </c>
      <c r="L23" s="91">
        <f>IF(K23&gt;0,K23/(F23*I23),"")</f>
        <v>0.79486301369863011</v>
      </c>
      <c r="M23" s="118">
        <f>'Schedule 3 Adjustments'!R22</f>
        <v>860085.82522861415</v>
      </c>
      <c r="N23" s="85">
        <f>IFERROR(M23/K23,"")</f>
        <v>370.56692168402162</v>
      </c>
      <c r="O23" s="118">
        <f>'Schedule 3 Adjustments'!W22</f>
        <v>90213.141881695235</v>
      </c>
      <c r="P23" s="85">
        <f>IFERROR(O23/K23,"")</f>
        <v>38.86822140529739</v>
      </c>
      <c r="Q23" s="86">
        <f>IF(M23=0,"",M23-O23)</f>
        <v>769872.6833469189</v>
      </c>
      <c r="R23" s="85">
        <f>IFERROR(Q23/K23,"")</f>
        <v>331.69870027872423</v>
      </c>
    </row>
    <row r="24" spans="1:18" x14ac:dyDescent="0.35">
      <c r="A24" s="100" t="s">
        <v>447</v>
      </c>
      <c r="B24" s="87"/>
      <c r="C24" s="87"/>
      <c r="D24" s="87"/>
      <c r="E24" s="87"/>
      <c r="F24" s="124"/>
      <c r="G24" s="126"/>
      <c r="H24" s="126"/>
      <c r="I24" s="103"/>
      <c r="J24" s="362" t="str">
        <f>'Schedule 3 Adjustments'!J23</f>
        <v>H0019</v>
      </c>
      <c r="K24" s="213">
        <f>'Schedule 3 Adjustments'!M23</f>
        <v>2321</v>
      </c>
      <c r="L24" s="89"/>
      <c r="M24" s="87"/>
      <c r="N24" s="87"/>
      <c r="O24" s="87"/>
      <c r="P24" s="87"/>
      <c r="Q24" s="87"/>
      <c r="R24" s="87"/>
    </row>
    <row r="25" spans="1:18" x14ac:dyDescent="0.35">
      <c r="A25" s="101" t="s">
        <v>448</v>
      </c>
      <c r="B25" s="88"/>
      <c r="C25" s="88"/>
      <c r="D25" s="88"/>
      <c r="E25" s="88"/>
      <c r="F25" s="125"/>
      <c r="G25" s="127"/>
      <c r="H25" s="127"/>
      <c r="I25" s="104"/>
      <c r="J25" s="364">
        <f>'Schedule 3 Adjustments'!J24</f>
        <v>0</v>
      </c>
      <c r="K25" s="220">
        <f>'Schedule 3 Adjustments'!M24</f>
        <v>0</v>
      </c>
      <c r="L25" s="90"/>
      <c r="M25" s="88"/>
      <c r="N25" s="88"/>
      <c r="O25" s="88"/>
      <c r="P25" s="88"/>
      <c r="Q25" s="88"/>
      <c r="R25" s="88"/>
    </row>
    <row r="26" spans="1:18" x14ac:dyDescent="0.35">
      <c r="A26" s="102" t="s">
        <v>449</v>
      </c>
      <c r="B26" s="88"/>
      <c r="C26" s="88"/>
      <c r="D26" s="88"/>
      <c r="E26" s="88"/>
      <c r="F26" s="125"/>
      <c r="G26" s="127"/>
      <c r="H26" s="127"/>
      <c r="I26" s="104"/>
      <c r="J26" s="365">
        <f>'Schedule 3 Adjustments'!J25</f>
        <v>0</v>
      </c>
      <c r="K26" s="223">
        <f>'Schedule 3 Adjustments'!M25</f>
        <v>0</v>
      </c>
      <c r="L26" s="90"/>
      <c r="M26" s="88"/>
      <c r="N26" s="88"/>
      <c r="O26" s="88"/>
      <c r="P26" s="88"/>
      <c r="Q26" s="88"/>
      <c r="R26" s="88"/>
    </row>
    <row r="27" spans="1:18" x14ac:dyDescent="0.35">
      <c r="J27" s="99"/>
      <c r="L27" s="28"/>
    </row>
    <row r="28" spans="1:18" s="34" customFormat="1" x14ac:dyDescent="0.35">
      <c r="A28" s="84">
        <v>3</v>
      </c>
      <c r="B28" s="577" t="str">
        <f>'Schedule 3 Adjustments'!B27:C27</f>
        <v>400-614-Monroe House</v>
      </c>
      <c r="C28" s="578"/>
      <c r="D28" s="358" t="str">
        <f>'Schedule 3 Adjustments'!D27</f>
        <v>Residential</v>
      </c>
      <c r="E28" s="358" t="str">
        <f>'Schedule 3 Adjustments'!E27</f>
        <v>ALR</v>
      </c>
      <c r="F28" s="363">
        <f>'Schedule 3 Adjustments'!F27</f>
        <v>12</v>
      </c>
      <c r="G28" s="366">
        <f>'Schedule 3 Adjustments'!G27</f>
        <v>0</v>
      </c>
      <c r="H28" s="366">
        <f>'Schedule 3 Adjustments'!H27</f>
        <v>0</v>
      </c>
      <c r="I28" s="130">
        <f>IF(B28=0,"",IF(AND(G28=0,H28=0),365,IF(AND(G28&gt;0,H28=0),$C$7-G28+1,IF(AND(G28=0,H28&gt;0),H28-($C$7-365),H28-G28+1))))</f>
        <v>365</v>
      </c>
      <c r="J28" s="98"/>
      <c r="K28" s="8">
        <f>SUM(K29:K31)</f>
        <v>3654</v>
      </c>
      <c r="L28" s="91">
        <f>IF(K28&gt;0,K28/(F28*I28),"")</f>
        <v>0.83424657534246571</v>
      </c>
      <c r="M28" s="118">
        <f>'Schedule 3 Adjustments'!R27</f>
        <v>1448893.9400124617</v>
      </c>
      <c r="N28" s="85">
        <f>IFERROR(M28/K28,"")</f>
        <v>396.52269841610882</v>
      </c>
      <c r="O28" s="118">
        <f>'Schedule 3 Adjustments'!W27</f>
        <v>132954.37419592525</v>
      </c>
      <c r="P28" s="85">
        <f>IFERROR(O28/K28,"")</f>
        <v>36.385980896531265</v>
      </c>
      <c r="Q28" s="86">
        <f>IF(M28=0,"",M28-O28)</f>
        <v>1315939.5658165365</v>
      </c>
      <c r="R28" s="85">
        <f>IFERROR(Q28/K28,"")</f>
        <v>360.13671751957759</v>
      </c>
    </row>
    <row r="29" spans="1:18" x14ac:dyDescent="0.35">
      <c r="A29" s="100" t="s">
        <v>447</v>
      </c>
      <c r="B29" s="87"/>
      <c r="C29" s="87"/>
      <c r="D29" s="87"/>
      <c r="E29" s="87"/>
      <c r="F29" s="124"/>
      <c r="G29" s="126"/>
      <c r="H29" s="126"/>
      <c r="I29" s="103"/>
      <c r="J29" s="362" t="str">
        <f>'Schedule 3 Adjustments'!J28</f>
        <v>H0019</v>
      </c>
      <c r="K29" s="213">
        <f>'Schedule 3 Adjustments'!M28</f>
        <v>3654</v>
      </c>
      <c r="L29" s="89"/>
      <c r="M29" s="87"/>
      <c r="N29" s="87"/>
      <c r="O29" s="87"/>
      <c r="P29" s="87"/>
      <c r="Q29" s="87"/>
      <c r="R29" s="87"/>
    </row>
    <row r="30" spans="1:18" x14ac:dyDescent="0.35">
      <c r="A30" s="101" t="s">
        <v>448</v>
      </c>
      <c r="B30" s="88"/>
      <c r="C30" s="88"/>
      <c r="D30" s="88"/>
      <c r="E30" s="88"/>
      <c r="F30" s="125"/>
      <c r="G30" s="127"/>
      <c r="H30" s="127"/>
      <c r="I30" s="104"/>
      <c r="J30" s="364">
        <f>'Schedule 3 Adjustments'!J29</f>
        <v>0</v>
      </c>
      <c r="K30" s="220">
        <f>'Schedule 3 Adjustments'!M29</f>
        <v>0</v>
      </c>
      <c r="L30" s="90"/>
      <c r="M30" s="88"/>
      <c r="N30" s="88"/>
      <c r="O30" s="88"/>
      <c r="P30" s="88"/>
      <c r="Q30" s="88"/>
      <c r="R30" s="88"/>
    </row>
    <row r="31" spans="1:18" x14ac:dyDescent="0.35">
      <c r="A31" s="102" t="s">
        <v>449</v>
      </c>
      <c r="B31" s="88"/>
      <c r="C31" s="88"/>
      <c r="D31" s="88"/>
      <c r="E31" s="88"/>
      <c r="F31" s="125"/>
      <c r="G31" s="127"/>
      <c r="H31" s="127"/>
      <c r="I31" s="104"/>
      <c r="J31" s="365">
        <f>'Schedule 3 Adjustments'!J30</f>
        <v>0</v>
      </c>
      <c r="K31" s="223">
        <f>'Schedule 3 Adjustments'!M30</f>
        <v>0</v>
      </c>
      <c r="L31" s="90"/>
      <c r="M31" s="88"/>
      <c r="N31" s="88"/>
      <c r="O31" s="88"/>
      <c r="P31" s="88"/>
      <c r="Q31" s="88"/>
      <c r="R31" s="88"/>
    </row>
    <row r="32" spans="1:18" x14ac:dyDescent="0.35">
      <c r="J32" s="99"/>
      <c r="L32" s="28"/>
    </row>
    <row r="33" spans="1:18" s="34" customFormat="1" x14ac:dyDescent="0.35">
      <c r="A33" s="84">
        <v>4</v>
      </c>
      <c r="B33" s="577" t="str">
        <f>'Schedule 3 Adjustments'!B32:C32</f>
        <v>400-626-New Visions</v>
      </c>
      <c r="C33" s="578"/>
      <c r="D33" s="358" t="str">
        <f>'Schedule 3 Adjustments'!D32</f>
        <v>Residential</v>
      </c>
      <c r="E33" s="358" t="str">
        <f>'Schedule 3 Adjustments'!E32</f>
        <v>ALR</v>
      </c>
      <c r="F33" s="363">
        <f>'Schedule 3 Adjustments'!F32</f>
        <v>8</v>
      </c>
      <c r="G33" s="366">
        <f>'Schedule 3 Adjustments'!G32</f>
        <v>0</v>
      </c>
      <c r="H33" s="366">
        <f>'Schedule 3 Adjustments'!H32</f>
        <v>0</v>
      </c>
      <c r="I33" s="130">
        <f>IF(B33=0,"",IF(AND(G33=0,H33=0),365,IF(AND(G33&gt;0,H33=0),$C$7-G33+1,IF(AND(G33=0,H33&gt;0),H33-($C$7-365),H33-G33+1))))</f>
        <v>365</v>
      </c>
      <c r="J33" s="98"/>
      <c r="K33" s="8">
        <f>SUM(K34:K36)</f>
        <v>2191</v>
      </c>
      <c r="L33" s="91">
        <f>IF(K33&gt;0,K33/(F33*I33),"")</f>
        <v>0.75034246575342467</v>
      </c>
      <c r="M33" s="118">
        <f>'Schedule 3 Adjustments'!R32</f>
        <v>672333.08350408101</v>
      </c>
      <c r="N33" s="85">
        <f>IFERROR(M33/K33,"")</f>
        <v>306.86128868283021</v>
      </c>
      <c r="O33" s="118">
        <f>'Schedule 3 Adjustments'!W32</f>
        <v>65359.143796033713</v>
      </c>
      <c r="P33" s="85">
        <f>IFERROR(O33/K33,"")</f>
        <v>29.830736556838755</v>
      </c>
      <c r="Q33" s="86">
        <f>IF(M33=0,"",M33-O33)</f>
        <v>606973.93970804731</v>
      </c>
      <c r="R33" s="85">
        <f>IFERROR(Q33/K33,"")</f>
        <v>277.03055212599145</v>
      </c>
    </row>
    <row r="34" spans="1:18" x14ac:dyDescent="0.35">
      <c r="A34" s="100" t="s">
        <v>447</v>
      </c>
      <c r="B34" s="87"/>
      <c r="C34" s="87"/>
      <c r="D34" s="87"/>
      <c r="E34" s="87"/>
      <c r="F34" s="124"/>
      <c r="G34" s="126"/>
      <c r="H34" s="126"/>
      <c r="I34" s="103"/>
      <c r="J34" s="362" t="str">
        <f>'Schedule 3 Adjustments'!J33</f>
        <v>H0019</v>
      </c>
      <c r="K34" s="213">
        <f>'Schedule 3 Adjustments'!M33</f>
        <v>2191</v>
      </c>
      <c r="L34" s="89"/>
      <c r="M34" s="87"/>
      <c r="N34" s="87"/>
      <c r="O34" s="87"/>
      <c r="P34" s="87"/>
      <c r="Q34" s="87"/>
      <c r="R34" s="87"/>
    </row>
    <row r="35" spans="1:18" x14ac:dyDescent="0.35">
      <c r="A35" s="101" t="s">
        <v>448</v>
      </c>
      <c r="B35" s="88"/>
      <c r="C35" s="88"/>
      <c r="D35" s="88"/>
      <c r="E35" s="88"/>
      <c r="F35" s="125"/>
      <c r="G35" s="127"/>
      <c r="H35" s="127"/>
      <c r="I35" s="104"/>
      <c r="J35" s="364">
        <f>'Schedule 3 Adjustments'!J34</f>
        <v>0</v>
      </c>
      <c r="K35" s="220">
        <f>'Schedule 3 Adjustments'!M34</f>
        <v>0</v>
      </c>
      <c r="L35" s="90"/>
      <c r="M35" s="88"/>
      <c r="N35" s="88"/>
      <c r="O35" s="88"/>
      <c r="P35" s="88"/>
      <c r="Q35" s="88"/>
      <c r="R35" s="88"/>
    </row>
    <row r="36" spans="1:18" x14ac:dyDescent="0.35">
      <c r="A36" s="102" t="s">
        <v>449</v>
      </c>
      <c r="B36" s="88"/>
      <c r="C36" s="88"/>
      <c r="D36" s="88"/>
      <c r="E36" s="88"/>
      <c r="F36" s="125"/>
      <c r="G36" s="127"/>
      <c r="H36" s="127"/>
      <c r="I36" s="104"/>
      <c r="J36" s="365">
        <f>'Schedule 3 Adjustments'!J35</f>
        <v>0</v>
      </c>
      <c r="K36" s="223">
        <f>'Schedule 3 Adjustments'!M35</f>
        <v>0</v>
      </c>
      <c r="L36" s="90"/>
      <c r="M36" s="88"/>
      <c r="N36" s="88"/>
      <c r="O36" s="88"/>
      <c r="P36" s="88"/>
      <c r="Q36" s="88"/>
      <c r="R36" s="88"/>
    </row>
    <row r="37" spans="1:18" x14ac:dyDescent="0.35">
      <c r="J37" s="99"/>
      <c r="L37" s="28"/>
    </row>
    <row r="38" spans="1:18" s="34" customFormat="1" x14ac:dyDescent="0.35">
      <c r="A38" s="84">
        <v>5</v>
      </c>
      <c r="B38" s="577" t="str">
        <f>'Schedule 3 Adjustments'!B37:C37</f>
        <v>400-628-Ash House</v>
      </c>
      <c r="C38" s="578"/>
      <c r="D38" s="358" t="str">
        <f>'Schedule 3 Adjustments'!D37</f>
        <v>Residential</v>
      </c>
      <c r="E38" s="358" t="str">
        <f>'Schedule 3 Adjustments'!E37</f>
        <v>ALR</v>
      </c>
      <c r="F38" s="363">
        <f>'Schedule 3 Adjustments'!F37</f>
        <v>8</v>
      </c>
      <c r="G38" s="366">
        <f>'Schedule 3 Adjustments'!G37</f>
        <v>0</v>
      </c>
      <c r="H38" s="366">
        <f>'Schedule 3 Adjustments'!H37</f>
        <v>0</v>
      </c>
      <c r="I38" s="130">
        <f>IF(B38=0,"",IF(AND(G38=0,H38=0),365,IF(AND(G38&gt;0,H38=0),$C$7-G38+1,IF(AND(G38=0,H38&gt;0),H38-($C$7-365),H38-G38+1))))</f>
        <v>365</v>
      </c>
      <c r="J38" s="98"/>
      <c r="K38" s="8">
        <f>SUM(K39:K41)</f>
        <v>2291</v>
      </c>
      <c r="L38" s="91">
        <f>IF(K38&gt;0,K38/(F38*I38),"")</f>
        <v>0.78458904109589045</v>
      </c>
      <c r="M38" s="118">
        <f>'Schedule 3 Adjustments'!R37</f>
        <v>852133.16824688774</v>
      </c>
      <c r="N38" s="85">
        <f>IFERROR(M38/K38,"")</f>
        <v>371.94813105494882</v>
      </c>
      <c r="O38" s="118">
        <f>'Schedule 3 Adjustments'!W37</f>
        <v>99994.449243235897</v>
      </c>
      <c r="P38" s="85">
        <f>IFERROR(O38/K38,"")</f>
        <v>43.646638691940595</v>
      </c>
      <c r="Q38" s="86">
        <f>IF(M38=0,"",M38-O38)</f>
        <v>752138.71900365187</v>
      </c>
      <c r="R38" s="85">
        <f>IFERROR(Q38/K38,"")</f>
        <v>328.30149236300826</v>
      </c>
    </row>
    <row r="39" spans="1:18" x14ac:dyDescent="0.35">
      <c r="A39" s="100" t="s">
        <v>447</v>
      </c>
      <c r="B39" s="87"/>
      <c r="C39" s="87"/>
      <c r="D39" s="87"/>
      <c r="E39" s="87"/>
      <c r="F39" s="124"/>
      <c r="G39" s="126"/>
      <c r="H39" s="126"/>
      <c r="I39" s="103"/>
      <c r="J39" s="362" t="str">
        <f>'Schedule 3 Adjustments'!J38</f>
        <v>H0019</v>
      </c>
      <c r="K39" s="213">
        <f>'Schedule 3 Adjustments'!M38</f>
        <v>2291</v>
      </c>
      <c r="L39" s="89"/>
      <c r="M39" s="87"/>
      <c r="N39" s="87"/>
      <c r="O39" s="87"/>
      <c r="P39" s="87"/>
      <c r="Q39" s="87"/>
      <c r="R39" s="87"/>
    </row>
    <row r="40" spans="1:18" x14ac:dyDescent="0.35">
      <c r="A40" s="101" t="s">
        <v>448</v>
      </c>
      <c r="B40" s="88"/>
      <c r="C40" s="88"/>
      <c r="D40" s="88"/>
      <c r="E40" s="88"/>
      <c r="F40" s="125"/>
      <c r="G40" s="127"/>
      <c r="H40" s="127"/>
      <c r="I40" s="104"/>
      <c r="J40" s="364">
        <f>'Schedule 3 Adjustments'!J39</f>
        <v>0</v>
      </c>
      <c r="K40" s="220">
        <f>'Schedule 3 Adjustments'!M39</f>
        <v>0</v>
      </c>
      <c r="L40" s="90"/>
      <c r="M40" s="88"/>
      <c r="N40" s="88"/>
      <c r="O40" s="88"/>
      <c r="P40" s="88"/>
      <c r="Q40" s="88"/>
      <c r="R40" s="88"/>
    </row>
    <row r="41" spans="1:18" x14ac:dyDescent="0.35">
      <c r="A41" s="102" t="s">
        <v>449</v>
      </c>
      <c r="B41" s="88"/>
      <c r="C41" s="88"/>
      <c r="D41" s="88"/>
      <c r="E41" s="88"/>
      <c r="F41" s="125"/>
      <c r="G41" s="127"/>
      <c r="H41" s="127"/>
      <c r="I41" s="104"/>
      <c r="J41" s="365">
        <f>'Schedule 3 Adjustments'!J40</f>
        <v>0</v>
      </c>
      <c r="K41" s="223">
        <f>'Schedule 3 Adjustments'!M40</f>
        <v>0</v>
      </c>
      <c r="L41" s="90"/>
      <c r="M41" s="88"/>
      <c r="N41" s="88"/>
      <c r="O41" s="88"/>
      <c r="P41" s="88"/>
      <c r="Q41" s="88"/>
      <c r="R41" s="88"/>
    </row>
    <row r="42" spans="1:18" x14ac:dyDescent="0.35">
      <c r="J42" s="99"/>
      <c r="L42" s="28"/>
    </row>
    <row r="43" spans="1:18" s="34" customFormat="1" x14ac:dyDescent="0.35">
      <c r="A43" s="84">
        <v>6</v>
      </c>
      <c r="B43" s="577" t="str">
        <f>'Schedule 3 Adjustments'!B42:C42</f>
        <v>400-630-Franklin House</v>
      </c>
      <c r="C43" s="578"/>
      <c r="D43" s="358" t="str">
        <f>'Schedule 3 Adjustments'!D42</f>
        <v>Residential</v>
      </c>
      <c r="E43" s="358" t="str">
        <f>'Schedule 3 Adjustments'!E42</f>
        <v>ALR</v>
      </c>
      <c r="F43" s="363">
        <f>'Schedule 3 Adjustments'!F42</f>
        <v>11</v>
      </c>
      <c r="G43" s="366">
        <f>'Schedule 3 Adjustments'!G42</f>
        <v>0</v>
      </c>
      <c r="H43" s="366">
        <f>'Schedule 3 Adjustments'!H42</f>
        <v>0</v>
      </c>
      <c r="I43" s="130">
        <f>IF(B43=0,"",IF(AND(G43=0,H43=0),365,IF(AND(G43&gt;0,H43=0),$C$7-G43+1,IF(AND(G43=0,H43&gt;0),H43-($C$7-365),H43-G43+1))))</f>
        <v>365</v>
      </c>
      <c r="J43" s="98"/>
      <c r="K43" s="8">
        <f>SUM(K44:K46)</f>
        <v>3115</v>
      </c>
      <c r="L43" s="91">
        <f>IF(K43&gt;0,K43/(F43*I43),"")</f>
        <v>0.77584059775840597</v>
      </c>
      <c r="M43" s="118">
        <f>'Schedule 3 Adjustments'!R42</f>
        <v>897484.74637888628</v>
      </c>
      <c r="N43" s="85">
        <f>IFERROR(M43/K43,"")</f>
        <v>288.11709354057342</v>
      </c>
      <c r="O43" s="118">
        <f>'Schedule 3 Adjustments'!W42</f>
        <v>113982.9352477061</v>
      </c>
      <c r="P43" s="85">
        <f>IFERROR(O43/K43,"")</f>
        <v>36.591632503276436</v>
      </c>
      <c r="Q43" s="86">
        <f>IF(M43=0,"",M43-O43)</f>
        <v>783501.81113118015</v>
      </c>
      <c r="R43" s="85">
        <f>IFERROR(Q43/K43,"")</f>
        <v>251.52546103729699</v>
      </c>
    </row>
    <row r="44" spans="1:18" x14ac:dyDescent="0.35">
      <c r="A44" s="100" t="s">
        <v>447</v>
      </c>
      <c r="B44" s="87"/>
      <c r="C44" s="87"/>
      <c r="D44" s="87"/>
      <c r="E44" s="87"/>
      <c r="F44" s="124"/>
      <c r="G44" s="126"/>
      <c r="H44" s="126"/>
      <c r="I44" s="103"/>
      <c r="J44" s="362" t="str">
        <f>'Schedule 3 Adjustments'!J43</f>
        <v>H0019</v>
      </c>
      <c r="K44" s="213">
        <f>'Schedule 3 Adjustments'!M43</f>
        <v>3115</v>
      </c>
      <c r="L44" s="89"/>
      <c r="M44" s="87"/>
      <c r="N44" s="87"/>
      <c r="O44" s="87"/>
      <c r="P44" s="87"/>
      <c r="Q44" s="87"/>
      <c r="R44" s="87"/>
    </row>
    <row r="45" spans="1:18" x14ac:dyDescent="0.35">
      <c r="A45" s="101" t="s">
        <v>448</v>
      </c>
      <c r="B45" s="88"/>
      <c r="C45" s="88"/>
      <c r="D45" s="88"/>
      <c r="E45" s="88"/>
      <c r="F45" s="125"/>
      <c r="G45" s="127"/>
      <c r="H45" s="127"/>
      <c r="I45" s="104"/>
      <c r="J45" s="364">
        <f>'Schedule 3 Adjustments'!J44</f>
        <v>0</v>
      </c>
      <c r="K45" s="220">
        <f>'Schedule 3 Adjustments'!M44</f>
        <v>0</v>
      </c>
      <c r="L45" s="90"/>
      <c r="M45" s="88"/>
      <c r="N45" s="88"/>
      <c r="O45" s="88"/>
      <c r="P45" s="88"/>
      <c r="Q45" s="88"/>
      <c r="R45" s="88"/>
    </row>
    <row r="46" spans="1:18" x14ac:dyDescent="0.35">
      <c r="A46" s="102" t="s">
        <v>449</v>
      </c>
      <c r="B46" s="88"/>
      <c r="C46" s="88"/>
      <c r="D46" s="88"/>
      <c r="E46" s="88"/>
      <c r="F46" s="125"/>
      <c r="G46" s="127"/>
      <c r="H46" s="127"/>
      <c r="I46" s="104"/>
      <c r="J46" s="365">
        <f>'Schedule 3 Adjustments'!J45</f>
        <v>0</v>
      </c>
      <c r="K46" s="223">
        <f>'Schedule 3 Adjustments'!M45</f>
        <v>0</v>
      </c>
      <c r="L46" s="90"/>
      <c r="M46" s="88"/>
      <c r="N46" s="88"/>
      <c r="O46" s="88"/>
      <c r="P46" s="88"/>
      <c r="Q46" s="88"/>
      <c r="R46" s="88"/>
    </row>
    <row r="47" spans="1:18" x14ac:dyDescent="0.35">
      <c r="J47" s="99"/>
      <c r="L47" s="28"/>
    </row>
    <row r="48" spans="1:18" s="34" customFormat="1" x14ac:dyDescent="0.35">
      <c r="A48" s="84">
        <v>7</v>
      </c>
      <c r="B48" s="577" t="str">
        <f>'Schedule 3 Adjustments'!B47:C47</f>
        <v xml:space="preserve"> 400-634-Vallegos House</v>
      </c>
      <c r="C48" s="578"/>
      <c r="D48" s="358" t="str">
        <f>'Schedule 3 Adjustments'!D47</f>
        <v>Residential</v>
      </c>
      <c r="E48" s="358" t="str">
        <f>'Schedule 3 Adjustments'!E47</f>
        <v>ALR</v>
      </c>
      <c r="F48" s="363">
        <f>'Schedule 3 Adjustments'!F47</f>
        <v>8</v>
      </c>
      <c r="G48" s="366">
        <f>'Schedule 3 Adjustments'!G47</f>
        <v>0</v>
      </c>
      <c r="H48" s="366">
        <f>'Schedule 3 Adjustments'!H47</f>
        <v>0</v>
      </c>
      <c r="I48" s="130">
        <f>IF(B48=0,"",IF(AND(G48=0,H48=0),365,IF(AND(G48&gt;0,H48=0),$C$7-G48+1,IF(AND(G48=0,H48&gt;0),H48-($C$7-365),H48-G48+1))))</f>
        <v>365</v>
      </c>
      <c r="J48" s="98"/>
      <c r="K48" s="8">
        <f>SUM(K49:K51)</f>
        <v>1870</v>
      </c>
      <c r="L48" s="91">
        <f>IF(K48&gt;0,K48/(F48*I48),"")</f>
        <v>0.6404109589041096</v>
      </c>
      <c r="M48" s="118">
        <f>'Schedule 3 Adjustments'!R47</f>
        <v>720819.88429848151</v>
      </c>
      <c r="N48" s="85">
        <f>IFERROR(M48/K48,"")</f>
        <v>385.46517876924145</v>
      </c>
      <c r="O48" s="118">
        <f>'Schedule 3 Adjustments'!W47</f>
        <v>63032.212856927166</v>
      </c>
      <c r="P48" s="85">
        <f>IFERROR(O48/K48,"")</f>
        <v>33.707065698891533</v>
      </c>
      <c r="Q48" s="86">
        <f>IF(M48=0,"",M48-O48)</f>
        <v>657787.67144155432</v>
      </c>
      <c r="R48" s="85">
        <f>IFERROR(Q48/K48,"")</f>
        <v>351.75811307034991</v>
      </c>
    </row>
    <row r="49" spans="1:18" x14ac:dyDescent="0.35">
      <c r="A49" s="100" t="s">
        <v>447</v>
      </c>
      <c r="B49" s="87"/>
      <c r="C49" s="87"/>
      <c r="D49" s="87"/>
      <c r="E49" s="87"/>
      <c r="F49" s="124"/>
      <c r="G49" s="126"/>
      <c r="H49" s="126"/>
      <c r="I49" s="103"/>
      <c r="J49" s="362" t="str">
        <f>'Schedule 3 Adjustments'!J48</f>
        <v>H0019</v>
      </c>
      <c r="K49" s="213">
        <f>'Schedule 3 Adjustments'!M48</f>
        <v>1870</v>
      </c>
      <c r="L49" s="89"/>
      <c r="M49" s="87"/>
      <c r="N49" s="87"/>
      <c r="O49" s="87"/>
      <c r="P49" s="87"/>
      <c r="Q49" s="87"/>
      <c r="R49" s="87"/>
    </row>
    <row r="50" spans="1:18" x14ac:dyDescent="0.35">
      <c r="A50" s="101" t="s">
        <v>448</v>
      </c>
      <c r="B50" s="88"/>
      <c r="C50" s="88"/>
      <c r="D50" s="88"/>
      <c r="E50" s="88"/>
      <c r="F50" s="125"/>
      <c r="G50" s="127"/>
      <c r="H50" s="127"/>
      <c r="I50" s="104"/>
      <c r="J50" s="364">
        <f>'Schedule 3 Adjustments'!J49</f>
        <v>0</v>
      </c>
      <c r="K50" s="220">
        <f>'Schedule 3 Adjustments'!M49</f>
        <v>0</v>
      </c>
      <c r="L50" s="90"/>
      <c r="M50" s="88"/>
      <c r="N50" s="88"/>
      <c r="O50" s="88"/>
      <c r="P50" s="88"/>
      <c r="Q50" s="88"/>
      <c r="R50" s="88"/>
    </row>
    <row r="51" spans="1:18" x14ac:dyDescent="0.35">
      <c r="A51" s="102" t="s">
        <v>449</v>
      </c>
      <c r="B51" s="88"/>
      <c r="C51" s="88"/>
      <c r="D51" s="88"/>
      <c r="E51" s="88"/>
      <c r="F51" s="125"/>
      <c r="G51" s="127"/>
      <c r="H51" s="127"/>
      <c r="I51" s="104"/>
      <c r="J51" s="365">
        <f>'Schedule 3 Adjustments'!J50</f>
        <v>0</v>
      </c>
      <c r="K51" s="223">
        <f>'Schedule 3 Adjustments'!M50</f>
        <v>0</v>
      </c>
      <c r="L51" s="90"/>
      <c r="M51" s="88"/>
      <c r="N51" s="88"/>
      <c r="O51" s="88"/>
      <c r="P51" s="88"/>
      <c r="Q51" s="88"/>
      <c r="R51" s="88"/>
    </row>
    <row r="52" spans="1:18" x14ac:dyDescent="0.35">
      <c r="J52" s="99"/>
      <c r="L52" s="28"/>
    </row>
    <row r="53" spans="1:18" s="34" customFormat="1" x14ac:dyDescent="0.35">
      <c r="A53" s="84">
        <v>8</v>
      </c>
      <c r="B53" s="577" t="str">
        <f>'Schedule 3 Adjustments'!B52:C52</f>
        <v>400-650-Beeler House</v>
      </c>
      <c r="C53" s="578"/>
      <c r="D53" s="358" t="str">
        <f>'Schedule 3 Adjustments'!D52</f>
        <v>Residential</v>
      </c>
      <c r="E53" s="358" t="str">
        <f>'Schedule 3 Adjustments'!E52</f>
        <v>ALR</v>
      </c>
      <c r="F53" s="363">
        <f>'Schedule 3 Adjustments'!F52</f>
        <v>15</v>
      </c>
      <c r="G53" s="366">
        <f>'Schedule 3 Adjustments'!G52</f>
        <v>0</v>
      </c>
      <c r="H53" s="366">
        <f>'Schedule 3 Adjustments'!H52</f>
        <v>0</v>
      </c>
      <c r="I53" s="130">
        <f>IF(B53=0,"",IF(AND(G53=0,H53=0),365,IF(AND(G53&gt;0,H53=0),$C$7-G53+1,IF(AND(G53=0,H53&gt;0),H53-($C$7-365),H53-G53+1))))</f>
        <v>365</v>
      </c>
      <c r="J53" s="98"/>
      <c r="K53" s="8">
        <f>SUM(K54:K56)</f>
        <v>4087</v>
      </c>
      <c r="L53" s="91">
        <f>IF(K53&gt;0,K53/(F53*I53),"")</f>
        <v>0.74648401826484023</v>
      </c>
      <c r="M53" s="118">
        <f>'Schedule 3 Adjustments'!R52</f>
        <v>1448183.1465178435</v>
      </c>
      <c r="N53" s="85">
        <f>IFERROR(M53/K53,"")</f>
        <v>354.33891522335296</v>
      </c>
      <c r="O53" s="118">
        <f>'Schedule 3 Adjustments'!W52</f>
        <v>205072.48514038994</v>
      </c>
      <c r="P53" s="85">
        <f>IFERROR(O53/K53,"")</f>
        <v>50.176776398431599</v>
      </c>
      <c r="Q53" s="86">
        <f>IF(M53=0,"",M53-O53)</f>
        <v>1243110.6613774535</v>
      </c>
      <c r="R53" s="85">
        <f>IFERROR(Q53/K53,"")</f>
        <v>304.16213882492133</v>
      </c>
    </row>
    <row r="54" spans="1:18" x14ac:dyDescent="0.35">
      <c r="A54" s="100" t="s">
        <v>447</v>
      </c>
      <c r="B54" s="87"/>
      <c r="C54" s="87"/>
      <c r="D54" s="87"/>
      <c r="E54" s="87"/>
      <c r="F54" s="124"/>
      <c r="G54" s="126"/>
      <c r="H54" s="126"/>
      <c r="I54" s="103"/>
      <c r="J54" s="362" t="str">
        <f>'Schedule 3 Adjustments'!J53</f>
        <v>H0019</v>
      </c>
      <c r="K54" s="213">
        <f>'Schedule 3 Adjustments'!M53</f>
        <v>2187</v>
      </c>
      <c r="L54" s="89"/>
      <c r="M54" s="87"/>
      <c r="N54" s="87"/>
      <c r="O54" s="87"/>
      <c r="P54" s="87"/>
      <c r="Q54" s="87"/>
      <c r="R54" s="87"/>
    </row>
    <row r="55" spans="1:18" x14ac:dyDescent="0.35">
      <c r="A55" s="101" t="s">
        <v>448</v>
      </c>
      <c r="B55" s="88"/>
      <c r="C55" s="88"/>
      <c r="D55" s="88"/>
      <c r="E55" s="88"/>
      <c r="F55" s="125"/>
      <c r="G55" s="127"/>
      <c r="H55" s="127"/>
      <c r="I55" s="104"/>
      <c r="J55" s="364" t="str">
        <f>'Schedule 3 Adjustments'!J54</f>
        <v>H2036 3.7</v>
      </c>
      <c r="K55" s="220">
        <f>'Schedule 3 Adjustments'!M54</f>
        <v>1900</v>
      </c>
      <c r="L55" s="90"/>
      <c r="M55" s="88"/>
      <c r="N55" s="88"/>
      <c r="O55" s="88"/>
      <c r="P55" s="88"/>
      <c r="Q55" s="88"/>
      <c r="R55" s="88"/>
    </row>
    <row r="56" spans="1:18" x14ac:dyDescent="0.35">
      <c r="A56" s="102" t="s">
        <v>449</v>
      </c>
      <c r="B56" s="88"/>
      <c r="C56" s="88"/>
      <c r="D56" s="88"/>
      <c r="E56" s="88"/>
      <c r="F56" s="125"/>
      <c r="G56" s="127"/>
      <c r="H56" s="127"/>
      <c r="I56" s="104"/>
      <c r="J56" s="365">
        <f>'Schedule 3 Adjustments'!J55</f>
        <v>0</v>
      </c>
      <c r="K56" s="223">
        <f>'Schedule 3 Adjustments'!M55</f>
        <v>0</v>
      </c>
      <c r="L56" s="90"/>
      <c r="M56" s="88"/>
      <c r="N56" s="88"/>
      <c r="O56" s="88"/>
      <c r="P56" s="88"/>
      <c r="Q56" s="88"/>
      <c r="R56" s="88"/>
    </row>
    <row r="57" spans="1:18" x14ac:dyDescent="0.35">
      <c r="J57" s="99"/>
      <c r="L57" s="28"/>
    </row>
    <row r="58" spans="1:18" s="34" customFormat="1" x14ac:dyDescent="0.35">
      <c r="A58" s="84">
        <v>9</v>
      </c>
      <c r="B58" s="577" t="str">
        <f>'Schedule 3 Adjustments'!B57:C57</f>
        <v>400-652-Park Place</v>
      </c>
      <c r="C58" s="578"/>
      <c r="D58" s="358" t="str">
        <f>'Schedule 3 Adjustments'!D57</f>
        <v>Residential</v>
      </c>
      <c r="E58" s="358" t="str">
        <f>'Schedule 3 Adjustments'!E57</f>
        <v>ALR</v>
      </c>
      <c r="F58" s="363">
        <f>'Schedule 3 Adjustments'!F57</f>
        <v>16</v>
      </c>
      <c r="G58" s="366">
        <f>'Schedule 3 Adjustments'!G57</f>
        <v>0</v>
      </c>
      <c r="H58" s="366">
        <f>'Schedule 3 Adjustments'!H57</f>
        <v>0</v>
      </c>
      <c r="I58" s="130">
        <f>IF(B58=0,"",IF(AND(G58=0,H58=0),365,IF(AND(G58&gt;0,H58=0),$C$7-G58+1,IF(AND(G58=0,H58&gt;0),H58-($C$7-365),H58-G58+1))))</f>
        <v>365</v>
      </c>
      <c r="J58" s="98"/>
      <c r="K58" s="8">
        <f>SUM(K59:K61)</f>
        <v>4325</v>
      </c>
      <c r="L58" s="91">
        <f>IF(K58&gt;0,K58/(F58*I58),"")</f>
        <v>0.74058219178082196</v>
      </c>
      <c r="M58" s="118">
        <f>'Schedule 3 Adjustments'!R57</f>
        <v>1748821.7820320721</v>
      </c>
      <c r="N58" s="85">
        <f>IFERROR(M58/K58,"")</f>
        <v>404.3518571172421</v>
      </c>
      <c r="O58" s="118">
        <f>'Schedule 3 Adjustments'!W57</f>
        <v>180574.38645861091</v>
      </c>
      <c r="P58" s="85">
        <f>IFERROR(O58/K58,"")</f>
        <v>41.751303227424486</v>
      </c>
      <c r="Q58" s="86">
        <f>IF(M58=0,"",M58-O58)</f>
        <v>1568247.3955734612</v>
      </c>
      <c r="R58" s="85">
        <f>IFERROR(Q58/K58,"")</f>
        <v>362.6005538898176</v>
      </c>
    </row>
    <row r="59" spans="1:18" x14ac:dyDescent="0.35">
      <c r="A59" s="100" t="s">
        <v>447</v>
      </c>
      <c r="B59" s="87"/>
      <c r="C59" s="87"/>
      <c r="D59" s="87"/>
      <c r="E59" s="87"/>
      <c r="F59" s="124"/>
      <c r="G59" s="126"/>
      <c r="H59" s="126"/>
      <c r="I59" s="103"/>
      <c r="J59" s="362" t="str">
        <f>'Schedule 3 Adjustments'!J58</f>
        <v>H0018</v>
      </c>
      <c r="K59" s="213">
        <f>'Schedule 3 Adjustments'!M58</f>
        <v>4325</v>
      </c>
      <c r="L59" s="89"/>
      <c r="M59" s="87"/>
      <c r="N59" s="87"/>
      <c r="O59" s="87"/>
      <c r="P59" s="87"/>
      <c r="Q59" s="87"/>
      <c r="R59" s="87"/>
    </row>
    <row r="60" spans="1:18" x14ac:dyDescent="0.35">
      <c r="A60" s="101" t="s">
        <v>448</v>
      </c>
      <c r="B60" s="88"/>
      <c r="C60" s="88"/>
      <c r="D60" s="88"/>
      <c r="E60" s="88"/>
      <c r="F60" s="125"/>
      <c r="G60" s="127"/>
      <c r="H60" s="127"/>
      <c r="I60" s="104"/>
      <c r="J60" s="364">
        <f>'Schedule 3 Adjustments'!J59</f>
        <v>0</v>
      </c>
      <c r="K60" s="220">
        <f>'Schedule 3 Adjustments'!M59</f>
        <v>0</v>
      </c>
      <c r="L60" s="90"/>
      <c r="M60" s="88"/>
      <c r="N60" s="88"/>
      <c r="O60" s="88"/>
      <c r="P60" s="88"/>
      <c r="Q60" s="88"/>
      <c r="R60" s="88"/>
    </row>
    <row r="61" spans="1:18" x14ac:dyDescent="0.35">
      <c r="A61" s="102" t="s">
        <v>449</v>
      </c>
      <c r="B61" s="88"/>
      <c r="C61" s="88"/>
      <c r="D61" s="88"/>
      <c r="E61" s="88"/>
      <c r="F61" s="125"/>
      <c r="G61" s="127"/>
      <c r="H61" s="127"/>
      <c r="I61" s="104"/>
      <c r="J61" s="365">
        <f>'Schedule 3 Adjustments'!J60</f>
        <v>0</v>
      </c>
      <c r="K61" s="223">
        <f>'Schedule 3 Adjustments'!M60</f>
        <v>0</v>
      </c>
      <c r="L61" s="90"/>
      <c r="M61" s="88"/>
      <c r="N61" s="88"/>
      <c r="O61" s="88"/>
      <c r="P61" s="88"/>
      <c r="Q61" s="88"/>
      <c r="R61" s="88"/>
    </row>
    <row r="62" spans="1:18" x14ac:dyDescent="0.35">
      <c r="J62" s="99"/>
      <c r="L62" s="28"/>
    </row>
    <row r="63" spans="1:18" s="34" customFormat="1" x14ac:dyDescent="0.35">
      <c r="A63" s="84">
        <v>10</v>
      </c>
      <c r="B63" s="577" t="str">
        <f>'Schedule 3 Adjustments'!B62:C62</f>
        <v>400-660-Second Street</v>
      </c>
      <c r="C63" s="578"/>
      <c r="D63" s="358" t="str">
        <f>'Schedule 3 Adjustments'!D62</f>
        <v>Residential</v>
      </c>
      <c r="E63" s="358" t="str">
        <f>'Schedule 3 Adjustments'!E62</f>
        <v>ALR</v>
      </c>
      <c r="F63" s="363">
        <f>'Schedule 3 Adjustments'!F62</f>
        <v>8</v>
      </c>
      <c r="G63" s="366">
        <f>'Schedule 3 Adjustments'!G62</f>
        <v>0</v>
      </c>
      <c r="H63" s="366">
        <f>'Schedule 3 Adjustments'!H62</f>
        <v>0</v>
      </c>
      <c r="I63" s="130">
        <f>IF(B63=0,"",IF(AND(G63=0,H63=0),365,IF(AND(G63&gt;0,H63=0),$C$7-G63+1,IF(AND(G63=0,H63&gt;0),H63-($C$7-365),H63-G63+1))))</f>
        <v>365</v>
      </c>
      <c r="J63" s="98"/>
      <c r="K63" s="8">
        <f>SUM(K64:K66)</f>
        <v>2425</v>
      </c>
      <c r="L63" s="91">
        <f>IF(K63&gt;0,K63/(F63*I63),"")</f>
        <v>0.83047945205479456</v>
      </c>
      <c r="M63" s="118">
        <f>'Schedule 3 Adjustments'!R62</f>
        <v>1114301.9126722368</v>
      </c>
      <c r="N63" s="85">
        <f>IFERROR(M63/K63,"")</f>
        <v>459.50594336999455</v>
      </c>
      <c r="O63" s="118">
        <f>'Schedule 3 Adjustments'!W62</f>
        <v>106694.97208810414</v>
      </c>
      <c r="P63" s="85">
        <f>IFERROR(O63/K63,"")</f>
        <v>43.997926634269753</v>
      </c>
      <c r="Q63" s="86">
        <f>IF(M63=0,"",M63-O63)</f>
        <v>1007606.9405841327</v>
      </c>
      <c r="R63" s="85">
        <f>IFERROR(Q63/K63,"")</f>
        <v>415.50801673572482</v>
      </c>
    </row>
    <row r="64" spans="1:18" x14ac:dyDescent="0.35">
      <c r="A64" s="100" t="s">
        <v>447</v>
      </c>
      <c r="B64" s="87"/>
      <c r="C64" s="87"/>
      <c r="D64" s="87"/>
      <c r="E64" s="87"/>
      <c r="F64" s="124"/>
      <c r="G64" s="126"/>
      <c r="H64" s="126"/>
      <c r="I64" s="103"/>
      <c r="J64" s="362" t="str">
        <f>'Schedule 3 Adjustments'!J63</f>
        <v>H0019</v>
      </c>
      <c r="K64" s="213">
        <f>'Schedule 3 Adjustments'!M63</f>
        <v>1231</v>
      </c>
      <c r="L64" s="89"/>
      <c r="M64" s="87"/>
      <c r="N64" s="87"/>
      <c r="O64" s="87"/>
      <c r="P64" s="87"/>
      <c r="Q64" s="87"/>
      <c r="R64" s="87"/>
    </row>
    <row r="65" spans="1:18" x14ac:dyDescent="0.35">
      <c r="A65" s="101" t="s">
        <v>448</v>
      </c>
      <c r="B65" s="88"/>
      <c r="C65" s="88"/>
      <c r="D65" s="88"/>
      <c r="E65" s="88"/>
      <c r="F65" s="125"/>
      <c r="G65" s="127"/>
      <c r="H65" s="127"/>
      <c r="I65" s="104"/>
      <c r="J65" s="364" t="str">
        <f>'Schedule 3 Adjustments'!J64</f>
        <v>H2036 3.7</v>
      </c>
      <c r="K65" s="220">
        <f>'Schedule 3 Adjustments'!M64</f>
        <v>1194</v>
      </c>
      <c r="L65" s="90"/>
      <c r="M65" s="88"/>
      <c r="N65" s="88"/>
      <c r="O65" s="88"/>
      <c r="P65" s="88"/>
      <c r="Q65" s="88"/>
      <c r="R65" s="88"/>
    </row>
    <row r="66" spans="1:18" x14ac:dyDescent="0.35">
      <c r="A66" s="102" t="s">
        <v>449</v>
      </c>
      <c r="B66" s="88"/>
      <c r="C66" s="88"/>
      <c r="D66" s="88"/>
      <c r="E66" s="88"/>
      <c r="F66" s="125"/>
      <c r="G66" s="127"/>
      <c r="H66" s="127"/>
      <c r="I66" s="104"/>
      <c r="J66" s="365">
        <f>'Schedule 3 Adjustments'!J65</f>
        <v>0</v>
      </c>
      <c r="K66" s="223">
        <f>'Schedule 3 Adjustments'!M65</f>
        <v>0</v>
      </c>
      <c r="L66" s="90"/>
      <c r="M66" s="88"/>
      <c r="N66" s="88"/>
      <c r="O66" s="88"/>
      <c r="P66" s="88"/>
      <c r="Q66" s="88"/>
      <c r="R66" s="88"/>
    </row>
    <row r="67" spans="1:18" x14ac:dyDescent="0.35">
      <c r="J67" s="99"/>
      <c r="L67" s="28"/>
    </row>
    <row r="68" spans="1:18" s="34" customFormat="1" x14ac:dyDescent="0.35">
      <c r="A68" s="84">
        <v>11</v>
      </c>
      <c r="B68" s="577" t="str">
        <f>'Schedule 3 Adjustments'!B67:C67</f>
        <v>400-670-Miller House</v>
      </c>
      <c r="C68" s="578"/>
      <c r="D68" s="358" t="str">
        <f>'Schedule 3 Adjustments'!D67</f>
        <v>Residential</v>
      </c>
      <c r="E68" s="358" t="str">
        <f>'Schedule 3 Adjustments'!E67</f>
        <v>ALR</v>
      </c>
      <c r="F68" s="363">
        <f>'Schedule 3 Adjustments'!F67</f>
        <v>8</v>
      </c>
      <c r="G68" s="366">
        <f>'Schedule 3 Adjustments'!G67</f>
        <v>0</v>
      </c>
      <c r="H68" s="366">
        <f>'Schedule 3 Adjustments'!H67</f>
        <v>0</v>
      </c>
      <c r="I68" s="130">
        <f>IF(B68=0,"",IF(AND(G68=0,H68=0),365,IF(AND(G68&gt;0,H68=0),$C$7-G68+1,IF(AND(G68=0,H68&gt;0),H68-($C$7-365),H68-G68+1))))</f>
        <v>365</v>
      </c>
      <c r="J68" s="98"/>
      <c r="K68" s="8">
        <f>SUM(K69:K71)</f>
        <v>2388</v>
      </c>
      <c r="L68" s="91">
        <f>IF(K68&gt;0,K68/(F68*I68),"")</f>
        <v>0.81780821917808222</v>
      </c>
      <c r="M68" s="118">
        <f>'Schedule 3 Adjustments'!R67</f>
        <v>841932.28507519246</v>
      </c>
      <c r="N68" s="85">
        <f>IFERROR(M68/K68,"")</f>
        <v>352.56795857420121</v>
      </c>
      <c r="O68" s="118">
        <f>'Schedule 3 Adjustments'!W67</f>
        <v>112513.63253184987</v>
      </c>
      <c r="P68" s="85">
        <f>IFERROR(O68/K68,"")</f>
        <v>47.116261529250366</v>
      </c>
      <c r="Q68" s="86">
        <f>IF(M68=0,"",M68-O68)</f>
        <v>729418.65254334256</v>
      </c>
      <c r="R68" s="85">
        <f>IFERROR(Q68/K68,"")</f>
        <v>305.45169704495083</v>
      </c>
    </row>
    <row r="69" spans="1:18" x14ac:dyDescent="0.35">
      <c r="A69" s="100" t="s">
        <v>447</v>
      </c>
      <c r="B69" s="87"/>
      <c r="C69" s="87"/>
      <c r="D69" s="87"/>
      <c r="E69" s="87"/>
      <c r="F69" s="124"/>
      <c r="G69" s="126"/>
      <c r="H69" s="126"/>
      <c r="I69" s="103"/>
      <c r="J69" s="362" t="str">
        <f>'Schedule 3 Adjustments'!J68</f>
        <v>H0019</v>
      </c>
      <c r="K69" s="213">
        <f>'Schedule 3 Adjustments'!M68</f>
        <v>2388</v>
      </c>
      <c r="L69" s="89"/>
      <c r="M69" s="87"/>
      <c r="N69" s="87"/>
      <c r="O69" s="87"/>
      <c r="P69" s="87"/>
      <c r="Q69" s="87"/>
      <c r="R69" s="87"/>
    </row>
    <row r="70" spans="1:18" x14ac:dyDescent="0.35">
      <c r="A70" s="101" t="s">
        <v>448</v>
      </c>
      <c r="B70" s="88"/>
      <c r="C70" s="88"/>
      <c r="D70" s="88"/>
      <c r="E70" s="88"/>
      <c r="F70" s="125"/>
      <c r="G70" s="127"/>
      <c r="H70" s="127"/>
      <c r="I70" s="104"/>
      <c r="J70" s="364">
        <f>'Schedule 3 Adjustments'!J69</f>
        <v>0</v>
      </c>
      <c r="K70" s="220">
        <f>'Schedule 3 Adjustments'!M69</f>
        <v>0</v>
      </c>
      <c r="L70" s="90"/>
      <c r="M70" s="88"/>
      <c r="N70" s="88"/>
      <c r="O70" s="88"/>
      <c r="P70" s="88"/>
      <c r="Q70" s="88"/>
      <c r="R70" s="88"/>
    </row>
    <row r="71" spans="1:18" x14ac:dyDescent="0.35">
      <c r="A71" s="102" t="s">
        <v>449</v>
      </c>
      <c r="B71" s="88"/>
      <c r="C71" s="88"/>
      <c r="D71" s="88"/>
      <c r="E71" s="88"/>
      <c r="F71" s="125"/>
      <c r="G71" s="127"/>
      <c r="H71" s="127"/>
      <c r="I71" s="104"/>
      <c r="J71" s="365">
        <f>'Schedule 3 Adjustments'!J70</f>
        <v>0</v>
      </c>
      <c r="K71" s="223">
        <f>'Schedule 3 Adjustments'!M70</f>
        <v>0</v>
      </c>
      <c r="L71" s="90"/>
      <c r="M71" s="88"/>
      <c r="N71" s="88"/>
      <c r="O71" s="88"/>
      <c r="P71" s="88"/>
      <c r="Q71" s="88"/>
      <c r="R71" s="88"/>
    </row>
    <row r="72" spans="1:18" x14ac:dyDescent="0.35">
      <c r="J72" s="99"/>
      <c r="L72" s="28"/>
    </row>
    <row r="73" spans="1:18" s="34" customFormat="1" x14ac:dyDescent="0.35">
      <c r="A73" s="84">
        <v>12</v>
      </c>
      <c r="B73" s="577" t="str">
        <f>'Schedule 3 Adjustments'!B72:C72</f>
        <v xml:space="preserve"> 400-672-Grant House</v>
      </c>
      <c r="C73" s="578"/>
      <c r="D73" s="358" t="str">
        <f>'Schedule 3 Adjustments'!D72</f>
        <v>Residential</v>
      </c>
      <c r="E73" s="358" t="str">
        <f>'Schedule 3 Adjustments'!E72</f>
        <v>ALR</v>
      </c>
      <c r="F73" s="363">
        <f>'Schedule 3 Adjustments'!F72</f>
        <v>10</v>
      </c>
      <c r="G73" s="366">
        <f>'Schedule 3 Adjustments'!G72</f>
        <v>0</v>
      </c>
      <c r="H73" s="366">
        <f>'Schedule 3 Adjustments'!H72</f>
        <v>0</v>
      </c>
      <c r="I73" s="130">
        <f>IF(B73=0,"",IF(AND(G73=0,H73=0),365,IF(AND(G73&gt;0,H73=0),$C$7-G73+1,IF(AND(G73=0,H73&gt;0),H73-($C$7-365),H73-G73+1))))</f>
        <v>365</v>
      </c>
      <c r="J73" s="98"/>
      <c r="K73" s="8">
        <f>SUM(K74:K76)</f>
        <v>3162</v>
      </c>
      <c r="L73" s="91">
        <f>IF(K73&gt;0,K73/(F73*I73),"")</f>
        <v>0.86630136986301365</v>
      </c>
      <c r="M73" s="118">
        <f>'Schedule 3 Adjustments'!R72</f>
        <v>1042920.1595276883</v>
      </c>
      <c r="N73" s="85">
        <f>IFERROR(M73/K73,"")</f>
        <v>329.8292724628995</v>
      </c>
      <c r="O73" s="118">
        <f>'Schedule 3 Adjustments'!W72</f>
        <v>181963.3767863416</v>
      </c>
      <c r="P73" s="85">
        <f>IFERROR(O73/K73,"")</f>
        <v>57.546924979867676</v>
      </c>
      <c r="Q73" s="86">
        <f>IF(M73=0,"",M73-O73)</f>
        <v>860956.78274134663</v>
      </c>
      <c r="R73" s="85">
        <f>IFERROR(Q73/K73,"")</f>
        <v>272.2823474830318</v>
      </c>
    </row>
    <row r="74" spans="1:18" x14ac:dyDescent="0.35">
      <c r="A74" s="100" t="s">
        <v>447</v>
      </c>
      <c r="B74" s="87"/>
      <c r="C74" s="87"/>
      <c r="D74" s="87"/>
      <c r="E74" s="87"/>
      <c r="F74" s="124"/>
      <c r="G74" s="126"/>
      <c r="H74" s="126"/>
      <c r="I74" s="103"/>
      <c r="J74" s="362" t="str">
        <f>'Schedule 3 Adjustments'!J73</f>
        <v>H0019</v>
      </c>
      <c r="K74" s="213">
        <f>'Schedule 3 Adjustments'!M73</f>
        <v>3162</v>
      </c>
      <c r="L74" s="89"/>
      <c r="M74" s="87"/>
      <c r="N74" s="87"/>
      <c r="O74" s="87"/>
      <c r="P74" s="87"/>
      <c r="Q74" s="87"/>
      <c r="R74" s="87"/>
    </row>
    <row r="75" spans="1:18" x14ac:dyDescent="0.35">
      <c r="A75" s="101" t="s">
        <v>448</v>
      </c>
      <c r="B75" s="88"/>
      <c r="C75" s="88"/>
      <c r="D75" s="88"/>
      <c r="E75" s="88"/>
      <c r="F75" s="125"/>
      <c r="G75" s="127"/>
      <c r="H75" s="127"/>
      <c r="I75" s="104"/>
      <c r="J75" s="364">
        <f>'Schedule 3 Adjustments'!J74</f>
        <v>0</v>
      </c>
      <c r="K75" s="220">
        <f>'Schedule 3 Adjustments'!M74</f>
        <v>0</v>
      </c>
      <c r="L75" s="90"/>
      <c r="M75" s="88"/>
      <c r="N75" s="88"/>
      <c r="O75" s="88"/>
      <c r="P75" s="88"/>
      <c r="Q75" s="88"/>
      <c r="R75" s="88"/>
    </row>
    <row r="76" spans="1:18" x14ac:dyDescent="0.35">
      <c r="A76" s="102" t="s">
        <v>449</v>
      </c>
      <c r="B76" s="88"/>
      <c r="C76" s="88"/>
      <c r="D76" s="88"/>
      <c r="E76" s="88"/>
      <c r="F76" s="125"/>
      <c r="G76" s="127"/>
      <c r="H76" s="127"/>
      <c r="I76" s="104"/>
      <c r="J76" s="365">
        <f>'Schedule 3 Adjustments'!J75</f>
        <v>0</v>
      </c>
      <c r="K76" s="223">
        <f>'Schedule 3 Adjustments'!M75</f>
        <v>0</v>
      </c>
      <c r="L76" s="90"/>
      <c r="M76" s="88"/>
      <c r="N76" s="88"/>
      <c r="O76" s="88"/>
      <c r="P76" s="88"/>
      <c r="Q76" s="88"/>
      <c r="R76" s="88"/>
    </row>
    <row r="77" spans="1:18" x14ac:dyDescent="0.35">
      <c r="J77" s="99"/>
      <c r="L77" s="28"/>
    </row>
    <row r="78" spans="1:18" s="34" customFormat="1" x14ac:dyDescent="0.35">
      <c r="A78" s="84">
        <v>13</v>
      </c>
      <c r="B78" s="577" t="str">
        <f>'Schedule 3 Adjustments'!B77:C77</f>
        <v>400-673-Garfield Apartments</v>
      </c>
      <c r="C78" s="578"/>
      <c r="D78" s="358" t="str">
        <f>'Schedule 3 Adjustments'!D77</f>
        <v>Apartments</v>
      </c>
      <c r="E78" s="358">
        <f>'Schedule 3 Adjustments'!E77</f>
        <v>0</v>
      </c>
      <c r="F78" s="363">
        <f>'Schedule 3 Adjustments'!F77</f>
        <v>0</v>
      </c>
      <c r="G78" s="366">
        <f>'Schedule 3 Adjustments'!G77</f>
        <v>0</v>
      </c>
      <c r="H78" s="366">
        <f>'Schedule 3 Adjustments'!H77</f>
        <v>0</v>
      </c>
      <c r="I78" s="130">
        <f>IF(B78=0,"",IF(AND(G78=0,H78=0),365,IF(AND(G78&gt;0,H78=0),$C$7-G78+1,IF(AND(G78=0,H78&gt;0),H78-($C$7-365),H78-G78+1))))</f>
        <v>365</v>
      </c>
      <c r="J78" s="98"/>
      <c r="K78" s="8">
        <f>SUM(K79:K81)</f>
        <v>0</v>
      </c>
      <c r="L78" s="91" t="str">
        <f>IF(K78&gt;0,K78/(F78*I78),"")</f>
        <v/>
      </c>
      <c r="M78" s="118">
        <f>'Schedule 3 Adjustments'!R77</f>
        <v>242820.01644591751</v>
      </c>
      <c r="N78" s="85" t="str">
        <f>IFERROR(M78/K78,"")</f>
        <v/>
      </c>
      <c r="O78" s="118">
        <f>'Schedule 3 Adjustments'!W77</f>
        <v>0</v>
      </c>
      <c r="P78" s="85" t="str">
        <f>IFERROR(O78/K78,"")</f>
        <v/>
      </c>
      <c r="Q78" s="86">
        <f>IF(M78=0,"",M78-O78)</f>
        <v>242820.01644591751</v>
      </c>
      <c r="R78" s="85" t="str">
        <f>IFERROR(Q78/K78,"")</f>
        <v/>
      </c>
    </row>
    <row r="79" spans="1:18" x14ac:dyDescent="0.35">
      <c r="A79" s="100" t="s">
        <v>447</v>
      </c>
      <c r="B79" s="87"/>
      <c r="C79" s="87"/>
      <c r="D79" s="87"/>
      <c r="E79" s="87"/>
      <c r="F79" s="124"/>
      <c r="G79" s="126"/>
      <c r="H79" s="126"/>
      <c r="I79" s="103"/>
      <c r="J79" s="362">
        <f>'Schedule 3 Adjustments'!J78</f>
        <v>0</v>
      </c>
      <c r="K79" s="213">
        <f>'Schedule 3 Adjustments'!M78</f>
        <v>0</v>
      </c>
      <c r="L79" s="89"/>
      <c r="M79" s="87"/>
      <c r="N79" s="87"/>
      <c r="O79" s="87"/>
      <c r="P79" s="87"/>
      <c r="Q79" s="87"/>
      <c r="R79" s="87"/>
    </row>
    <row r="80" spans="1:18" x14ac:dyDescent="0.35">
      <c r="A80" s="101" t="s">
        <v>448</v>
      </c>
      <c r="B80" s="88"/>
      <c r="C80" s="88"/>
      <c r="D80" s="88"/>
      <c r="E80" s="88"/>
      <c r="F80" s="125"/>
      <c r="G80" s="127"/>
      <c r="H80" s="127"/>
      <c r="I80" s="104"/>
      <c r="J80" s="364">
        <f>'Schedule 3 Adjustments'!J79</f>
        <v>0</v>
      </c>
      <c r="K80" s="220">
        <f>'Schedule 3 Adjustments'!M79</f>
        <v>0</v>
      </c>
      <c r="L80" s="90"/>
      <c r="M80" s="88"/>
      <c r="N80" s="88"/>
      <c r="O80" s="88"/>
      <c r="P80" s="88"/>
      <c r="Q80" s="88"/>
      <c r="R80" s="88"/>
    </row>
    <row r="81" spans="1:18" x14ac:dyDescent="0.35">
      <c r="A81" s="102" t="s">
        <v>449</v>
      </c>
      <c r="B81" s="88"/>
      <c r="C81" s="88"/>
      <c r="D81" s="88"/>
      <c r="E81" s="88"/>
      <c r="F81" s="125"/>
      <c r="G81" s="127"/>
      <c r="H81" s="127"/>
      <c r="I81" s="104"/>
      <c r="J81" s="365">
        <f>'Schedule 3 Adjustments'!J80</f>
        <v>0</v>
      </c>
      <c r="K81" s="223">
        <f>'Schedule 3 Adjustments'!M80</f>
        <v>0</v>
      </c>
      <c r="L81" s="90"/>
      <c r="M81" s="88"/>
      <c r="N81" s="88"/>
      <c r="O81" s="88"/>
      <c r="P81" s="88"/>
      <c r="Q81" s="88"/>
      <c r="R81" s="88"/>
    </row>
    <row r="82" spans="1:18" x14ac:dyDescent="0.35">
      <c r="J82" s="99"/>
      <c r="L82" s="28"/>
    </row>
    <row r="83" spans="1:18" s="34" customFormat="1" x14ac:dyDescent="0.35">
      <c r="A83" s="84">
        <v>14</v>
      </c>
      <c r="B83" s="577" t="str">
        <f>'Schedule 3 Adjustments'!B82:C82</f>
        <v xml:space="preserve"> 400-674-Vine Apartments</v>
      </c>
      <c r="C83" s="578"/>
      <c r="D83" s="358" t="str">
        <f>'Schedule 3 Adjustments'!D82</f>
        <v>Apartments</v>
      </c>
      <c r="E83" s="358">
        <f>'Schedule 3 Adjustments'!E82</f>
        <v>0</v>
      </c>
      <c r="F83" s="363">
        <f>'Schedule 3 Adjustments'!F82</f>
        <v>0</v>
      </c>
      <c r="G83" s="366">
        <f>'Schedule 3 Adjustments'!G82</f>
        <v>0</v>
      </c>
      <c r="H83" s="366">
        <f>'Schedule 3 Adjustments'!H82</f>
        <v>0</v>
      </c>
      <c r="I83" s="130">
        <f>IF(B83=0,"",IF(AND(G83=0,H83=0),365,IF(AND(G83&gt;0,H83=0),$C$7-G83+1,IF(AND(G83=0,H83&gt;0),H83-($C$7-365),H83-G83+1))))</f>
        <v>365</v>
      </c>
      <c r="J83" s="98"/>
      <c r="K83" s="8">
        <f>SUM(K84:K86)</f>
        <v>0</v>
      </c>
      <c r="L83" s="91" t="str">
        <f>IF(K83&gt;0,K83/(F83*I83),"")</f>
        <v/>
      </c>
      <c r="M83" s="118">
        <f>'Schedule 3 Adjustments'!R82</f>
        <v>108935.4</v>
      </c>
      <c r="N83" s="85" t="str">
        <f>IFERROR(M83/K83,"")</f>
        <v/>
      </c>
      <c r="O83" s="118">
        <f>'Schedule 3 Adjustments'!W82</f>
        <v>0</v>
      </c>
      <c r="P83" s="85" t="str">
        <f>IFERROR(O83/K83,"")</f>
        <v/>
      </c>
      <c r="Q83" s="86">
        <f>IF(M83=0,"",M83-O83)</f>
        <v>108935.4</v>
      </c>
      <c r="R83" s="85" t="str">
        <f>IFERROR(Q83/K83,"")</f>
        <v/>
      </c>
    </row>
    <row r="84" spans="1:18" x14ac:dyDescent="0.35">
      <c r="A84" s="100" t="s">
        <v>447</v>
      </c>
      <c r="B84" s="87"/>
      <c r="C84" s="87"/>
      <c r="D84" s="87"/>
      <c r="E84" s="87"/>
      <c r="F84" s="124"/>
      <c r="G84" s="126"/>
      <c r="H84" s="126"/>
      <c r="I84" s="103"/>
      <c r="J84" s="362">
        <f>'Schedule 3 Adjustments'!J83</f>
        <v>0</v>
      </c>
      <c r="K84" s="213">
        <f>'Schedule 3 Adjustments'!M83</f>
        <v>0</v>
      </c>
      <c r="L84" s="89"/>
      <c r="M84" s="87"/>
      <c r="N84" s="87"/>
      <c r="O84" s="87"/>
      <c r="P84" s="87"/>
      <c r="Q84" s="87"/>
      <c r="R84" s="87"/>
    </row>
    <row r="85" spans="1:18" x14ac:dyDescent="0.35">
      <c r="A85" s="101" t="s">
        <v>448</v>
      </c>
      <c r="B85" s="88"/>
      <c r="C85" s="88"/>
      <c r="D85" s="88"/>
      <c r="E85" s="88"/>
      <c r="F85" s="125"/>
      <c r="G85" s="127"/>
      <c r="H85" s="127"/>
      <c r="I85" s="104"/>
      <c r="J85" s="364">
        <f>'Schedule 3 Adjustments'!J84</f>
        <v>0</v>
      </c>
      <c r="K85" s="220">
        <f>'Schedule 3 Adjustments'!M84</f>
        <v>0</v>
      </c>
      <c r="L85" s="90"/>
      <c r="M85" s="88"/>
      <c r="N85" s="88"/>
      <c r="O85" s="88"/>
      <c r="P85" s="88"/>
      <c r="Q85" s="88"/>
      <c r="R85" s="88"/>
    </row>
    <row r="86" spans="1:18" x14ac:dyDescent="0.35">
      <c r="A86" s="102" t="s">
        <v>449</v>
      </c>
      <c r="B86" s="88"/>
      <c r="C86" s="88"/>
      <c r="D86" s="88"/>
      <c r="E86" s="88"/>
      <c r="F86" s="125"/>
      <c r="G86" s="127"/>
      <c r="H86" s="127"/>
      <c r="I86" s="104"/>
      <c r="J86" s="365">
        <f>'Schedule 3 Adjustments'!J85</f>
        <v>0</v>
      </c>
      <c r="K86" s="223">
        <f>'Schedule 3 Adjustments'!M85</f>
        <v>0</v>
      </c>
      <c r="L86" s="90"/>
      <c r="M86" s="88"/>
      <c r="N86" s="88"/>
      <c r="O86" s="88"/>
      <c r="P86" s="88"/>
      <c r="Q86" s="88"/>
      <c r="R86" s="88"/>
    </row>
    <row r="87" spans="1:18" x14ac:dyDescent="0.35">
      <c r="J87" s="99"/>
      <c r="L87" s="28"/>
    </row>
    <row r="88" spans="1:18" s="34" customFormat="1" x14ac:dyDescent="0.35">
      <c r="A88" s="84">
        <v>15</v>
      </c>
      <c r="B88" s="577" t="str">
        <f>'Schedule 3 Adjustments'!B87:C87</f>
        <v xml:space="preserve"> 400-682-Narcissus House</v>
      </c>
      <c r="C88" s="578"/>
      <c r="D88" s="358" t="str">
        <f>'Schedule 3 Adjustments'!D87</f>
        <v>Residential</v>
      </c>
      <c r="E88" s="358" t="str">
        <f>'Schedule 3 Adjustments'!E87</f>
        <v>ALR</v>
      </c>
      <c r="F88" s="363">
        <f>'Schedule 3 Adjustments'!F87</f>
        <v>6</v>
      </c>
      <c r="G88" s="366">
        <f>'Schedule 3 Adjustments'!G87</f>
        <v>0</v>
      </c>
      <c r="H88" s="366">
        <f>'Schedule 3 Adjustments'!H87</f>
        <v>0</v>
      </c>
      <c r="I88" s="130">
        <f>IF(B88=0,"",IF(AND(G88=0,H88=0),365,IF(AND(G88&gt;0,H88=0),$C$7-G88+1,IF(AND(G88=0,H88&gt;0),H88-($C$7-365),H88-G88+1))))</f>
        <v>365</v>
      </c>
      <c r="J88" s="98"/>
      <c r="K88" s="8">
        <f>SUM(K89:K91)</f>
        <v>2022</v>
      </c>
      <c r="L88" s="91">
        <f>IF(K88&gt;0,K88/(F88*I88),"")</f>
        <v>0.92328767123287669</v>
      </c>
      <c r="M88" s="118">
        <f>'Schedule 3 Adjustments'!R87</f>
        <v>695206.86879630492</v>
      </c>
      <c r="N88" s="85">
        <f>IFERROR(M88/K88,"")</f>
        <v>343.82139900905287</v>
      </c>
      <c r="O88" s="118">
        <f>'Schedule 3 Adjustments'!W87</f>
        <v>98068.57660649193</v>
      </c>
      <c r="P88" s="85">
        <f>IFERROR(O88/K88,"")</f>
        <v>48.500779726257136</v>
      </c>
      <c r="Q88" s="86">
        <f>IF(M88=0,"",M88-O88)</f>
        <v>597138.29218981299</v>
      </c>
      <c r="R88" s="85">
        <f>IFERROR(Q88/K88,"")</f>
        <v>295.32061928279575</v>
      </c>
    </row>
    <row r="89" spans="1:18" x14ac:dyDescent="0.35">
      <c r="A89" s="100" t="s">
        <v>447</v>
      </c>
      <c r="B89" s="87"/>
      <c r="C89" s="87"/>
      <c r="D89" s="87"/>
      <c r="E89" s="87"/>
      <c r="F89" s="124"/>
      <c r="G89" s="126"/>
      <c r="H89" s="126"/>
      <c r="I89" s="103"/>
      <c r="J89" s="362" t="str">
        <f>'Schedule 3 Adjustments'!J88</f>
        <v>H0019</v>
      </c>
      <c r="K89" s="213">
        <f>'Schedule 3 Adjustments'!M88</f>
        <v>2022</v>
      </c>
      <c r="L89" s="89"/>
      <c r="M89" s="87"/>
      <c r="N89" s="87"/>
      <c r="O89" s="87"/>
      <c r="P89" s="87"/>
      <c r="Q89" s="87"/>
      <c r="R89" s="87"/>
    </row>
    <row r="90" spans="1:18" x14ac:dyDescent="0.35">
      <c r="A90" s="101" t="s">
        <v>448</v>
      </c>
      <c r="B90" s="88"/>
      <c r="C90" s="88"/>
      <c r="D90" s="88"/>
      <c r="E90" s="88"/>
      <c r="F90" s="125"/>
      <c r="G90" s="127"/>
      <c r="H90" s="127"/>
      <c r="I90" s="104"/>
      <c r="J90" s="364">
        <f>'Schedule 3 Adjustments'!J89</f>
        <v>0</v>
      </c>
      <c r="K90" s="220">
        <f>'Schedule 3 Adjustments'!M89</f>
        <v>0</v>
      </c>
      <c r="L90" s="90"/>
      <c r="M90" s="88"/>
      <c r="N90" s="88"/>
      <c r="O90" s="88"/>
      <c r="P90" s="88"/>
      <c r="Q90" s="88"/>
      <c r="R90" s="88"/>
    </row>
    <row r="91" spans="1:18" x14ac:dyDescent="0.35">
      <c r="A91" s="102" t="s">
        <v>449</v>
      </c>
      <c r="B91" s="88"/>
      <c r="C91" s="88"/>
      <c r="D91" s="88"/>
      <c r="E91" s="88"/>
      <c r="F91" s="125"/>
      <c r="G91" s="127"/>
      <c r="H91" s="127"/>
      <c r="I91" s="104"/>
      <c r="J91" s="365">
        <f>'Schedule 3 Adjustments'!J90</f>
        <v>0</v>
      </c>
      <c r="K91" s="223">
        <f>'Schedule 3 Adjustments'!M90</f>
        <v>0</v>
      </c>
      <c r="L91" s="90"/>
      <c r="M91" s="88"/>
      <c r="N91" s="88"/>
      <c r="O91" s="88"/>
      <c r="P91" s="88"/>
      <c r="Q91" s="88"/>
      <c r="R91" s="88"/>
    </row>
    <row r="92" spans="1:18" x14ac:dyDescent="0.35">
      <c r="J92" s="99"/>
      <c r="L92" s="28"/>
    </row>
    <row r="93" spans="1:18" s="34" customFormat="1" x14ac:dyDescent="0.35">
      <c r="A93" s="84">
        <v>16</v>
      </c>
      <c r="B93" s="577" t="str">
        <f>'Schedule 3 Adjustments'!B92:C92</f>
        <v>400-684-Roanoke Apartments</v>
      </c>
      <c r="C93" s="578"/>
      <c r="D93" s="358" t="str">
        <f>'Schedule 3 Adjustments'!D92</f>
        <v>Apartments</v>
      </c>
      <c r="E93" s="358">
        <f>'Schedule 3 Adjustments'!E92</f>
        <v>0</v>
      </c>
      <c r="F93" s="363">
        <f>'Schedule 3 Adjustments'!F92</f>
        <v>0</v>
      </c>
      <c r="G93" s="366">
        <f>'Schedule 3 Adjustments'!G92</f>
        <v>0</v>
      </c>
      <c r="H93" s="366">
        <f>'Schedule 3 Adjustments'!H92</f>
        <v>0</v>
      </c>
      <c r="I93" s="130">
        <f>IF(B93=0,"",IF(AND(G93=0,H93=0),365,IF(AND(G93&gt;0,H93=0),$C$7-G93+1,IF(AND(G93=0,H93&gt;0),H93-($C$7-365),H93-G93+1))))</f>
        <v>365</v>
      </c>
      <c r="J93" s="98"/>
      <c r="K93" s="8">
        <f>SUM(K94:K96)</f>
        <v>0</v>
      </c>
      <c r="L93" s="91" t="str">
        <f>IF(K93&gt;0,K93/(F93*I93),"")</f>
        <v/>
      </c>
      <c r="M93" s="118">
        <f>'Schedule 3 Adjustments'!R92</f>
        <v>102551.39999999998</v>
      </c>
      <c r="N93" s="85" t="str">
        <f>IFERROR(M93/K93,"")</f>
        <v/>
      </c>
      <c r="O93" s="118">
        <f>'Schedule 3 Adjustments'!W92</f>
        <v>0</v>
      </c>
      <c r="P93" s="85" t="str">
        <f>IFERROR(O93/K93,"")</f>
        <v/>
      </c>
      <c r="Q93" s="86">
        <f>IF(M93=0,"",M93-O93)</f>
        <v>102551.39999999998</v>
      </c>
      <c r="R93" s="85" t="str">
        <f>IFERROR(Q93/K93,"")</f>
        <v/>
      </c>
    </row>
    <row r="94" spans="1:18" x14ac:dyDescent="0.35">
      <c r="A94" s="100" t="s">
        <v>447</v>
      </c>
      <c r="B94" s="87"/>
      <c r="C94" s="87"/>
      <c r="D94" s="87"/>
      <c r="E94" s="87"/>
      <c r="F94" s="124"/>
      <c r="G94" s="126"/>
      <c r="H94" s="126"/>
      <c r="I94" s="103"/>
      <c r="J94" s="362">
        <f>'Schedule 3 Adjustments'!J93</f>
        <v>0</v>
      </c>
      <c r="K94" s="213">
        <f>'Schedule 3 Adjustments'!M93</f>
        <v>0</v>
      </c>
      <c r="L94" s="89"/>
      <c r="M94" s="87"/>
      <c r="N94" s="87"/>
      <c r="O94" s="87"/>
      <c r="P94" s="87"/>
      <c r="Q94" s="87"/>
      <c r="R94" s="87"/>
    </row>
    <row r="95" spans="1:18" x14ac:dyDescent="0.35">
      <c r="A95" s="101" t="s">
        <v>448</v>
      </c>
      <c r="B95" s="88"/>
      <c r="C95" s="88"/>
      <c r="D95" s="88"/>
      <c r="E95" s="88"/>
      <c r="F95" s="125"/>
      <c r="G95" s="127"/>
      <c r="H95" s="127"/>
      <c r="I95" s="104"/>
      <c r="J95" s="364">
        <f>'Schedule 3 Adjustments'!J94</f>
        <v>0</v>
      </c>
      <c r="K95" s="220">
        <f>'Schedule 3 Adjustments'!M94</f>
        <v>0</v>
      </c>
      <c r="L95" s="90"/>
      <c r="M95" s="88"/>
      <c r="N95" s="88"/>
      <c r="O95" s="88"/>
      <c r="P95" s="88"/>
      <c r="Q95" s="88"/>
      <c r="R95" s="88"/>
    </row>
    <row r="96" spans="1:18" x14ac:dyDescent="0.35">
      <c r="A96" s="102" t="s">
        <v>449</v>
      </c>
      <c r="B96" s="88"/>
      <c r="C96" s="88"/>
      <c r="D96" s="88"/>
      <c r="E96" s="88"/>
      <c r="F96" s="125"/>
      <c r="G96" s="127"/>
      <c r="H96" s="127"/>
      <c r="I96" s="104"/>
      <c r="J96" s="365">
        <f>'Schedule 3 Adjustments'!J95</f>
        <v>0</v>
      </c>
      <c r="K96" s="223">
        <f>'Schedule 3 Adjustments'!M95</f>
        <v>0</v>
      </c>
      <c r="L96" s="90"/>
      <c r="M96" s="88"/>
      <c r="N96" s="88"/>
      <c r="O96" s="88"/>
      <c r="P96" s="88"/>
      <c r="Q96" s="88"/>
      <c r="R96" s="88"/>
    </row>
    <row r="97" spans="1:18" x14ac:dyDescent="0.35">
      <c r="J97" s="99"/>
      <c r="L97" s="28"/>
    </row>
    <row r="98" spans="1:18" s="34" customFormat="1" x14ac:dyDescent="0.35">
      <c r="A98" s="84">
        <v>17</v>
      </c>
      <c r="B98" s="577" t="str">
        <f>'Schedule 3 Adjustments'!B97:C97</f>
        <v>400-685-Anchor Apartments</v>
      </c>
      <c r="C98" s="578"/>
      <c r="D98" s="358" t="str">
        <f>'Schedule 3 Adjustments'!D97</f>
        <v>Apartments</v>
      </c>
      <c r="E98" s="358">
        <f>'Schedule 3 Adjustments'!E97</f>
        <v>0</v>
      </c>
      <c r="F98" s="363">
        <f>'Schedule 3 Adjustments'!F97</f>
        <v>0</v>
      </c>
      <c r="G98" s="366">
        <f>'Schedule 3 Adjustments'!G97</f>
        <v>0</v>
      </c>
      <c r="H98" s="366">
        <f>'Schedule 3 Adjustments'!H97</f>
        <v>0</v>
      </c>
      <c r="I98" s="130">
        <f>IF(B98=0,"",IF(AND(G98=0,H98=0),365,IF(AND(G98&gt;0,H98=0),$C$7-G98+1,IF(AND(G98=0,H98&gt;0),H98-($C$7-365),H98-G98+1))))</f>
        <v>365</v>
      </c>
      <c r="J98" s="98"/>
      <c r="K98" s="8">
        <f>SUM(K99:K101)</f>
        <v>0</v>
      </c>
      <c r="L98" s="91" t="str">
        <f>IF(K98&gt;0,K98/(F98*I98),"")</f>
        <v/>
      </c>
      <c r="M98" s="118">
        <f>'Schedule 3 Adjustments'!R97</f>
        <v>95335.49000000002</v>
      </c>
      <c r="N98" s="85" t="str">
        <f>IFERROR(M98/K98,"")</f>
        <v/>
      </c>
      <c r="O98" s="118">
        <f>'Schedule 3 Adjustments'!W97</f>
        <v>0</v>
      </c>
      <c r="P98" s="85" t="str">
        <f>IFERROR(O98/K98,"")</f>
        <v/>
      </c>
      <c r="Q98" s="86">
        <f>IF(M98=0,"",M98-O98)</f>
        <v>95335.49000000002</v>
      </c>
      <c r="R98" s="85" t="str">
        <f>IFERROR(Q98/K98,"")</f>
        <v/>
      </c>
    </row>
    <row r="99" spans="1:18" x14ac:dyDescent="0.35">
      <c r="A99" s="100" t="s">
        <v>447</v>
      </c>
      <c r="B99" s="87"/>
      <c r="C99" s="87"/>
      <c r="D99" s="87"/>
      <c r="E99" s="87"/>
      <c r="F99" s="124"/>
      <c r="G99" s="126"/>
      <c r="H99" s="126"/>
      <c r="I99" s="103"/>
      <c r="J99" s="362">
        <f>'Schedule 3 Adjustments'!J98</f>
        <v>0</v>
      </c>
      <c r="K99" s="213">
        <f>'Schedule 3 Adjustments'!M98</f>
        <v>0</v>
      </c>
      <c r="L99" s="89"/>
      <c r="M99" s="87"/>
      <c r="N99" s="87"/>
      <c r="O99" s="87"/>
      <c r="P99" s="87"/>
      <c r="Q99" s="87"/>
      <c r="R99" s="87"/>
    </row>
    <row r="100" spans="1:18" x14ac:dyDescent="0.35">
      <c r="A100" s="101" t="s">
        <v>448</v>
      </c>
      <c r="B100" s="88"/>
      <c r="C100" s="88"/>
      <c r="D100" s="88"/>
      <c r="E100" s="88"/>
      <c r="F100" s="125"/>
      <c r="G100" s="127"/>
      <c r="H100" s="127"/>
      <c r="I100" s="104"/>
      <c r="J100" s="364">
        <f>'Schedule 3 Adjustments'!J99</f>
        <v>0</v>
      </c>
      <c r="K100" s="220">
        <f>'Schedule 3 Adjustments'!M99</f>
        <v>0</v>
      </c>
      <c r="L100" s="90"/>
      <c r="M100" s="88"/>
      <c r="N100" s="88"/>
      <c r="O100" s="88"/>
      <c r="P100" s="88"/>
      <c r="Q100" s="88"/>
      <c r="R100" s="88"/>
    </row>
    <row r="101" spans="1:18" x14ac:dyDescent="0.35">
      <c r="A101" s="102" t="s">
        <v>449</v>
      </c>
      <c r="B101" s="88"/>
      <c r="C101" s="88"/>
      <c r="D101" s="88"/>
      <c r="E101" s="88"/>
      <c r="F101" s="125"/>
      <c r="G101" s="127"/>
      <c r="H101" s="127"/>
      <c r="I101" s="104"/>
      <c r="J101" s="365">
        <f>'Schedule 3 Adjustments'!J100</f>
        <v>0</v>
      </c>
      <c r="K101" s="223">
        <f>'Schedule 3 Adjustments'!M100</f>
        <v>0</v>
      </c>
      <c r="L101" s="90"/>
      <c r="M101" s="88"/>
      <c r="N101" s="88"/>
      <c r="O101" s="88"/>
      <c r="P101" s="88"/>
      <c r="Q101" s="88"/>
      <c r="R101" s="88"/>
    </row>
    <row r="102" spans="1:18" x14ac:dyDescent="0.35">
      <c r="J102" s="99"/>
      <c r="L102" s="28"/>
    </row>
    <row r="103" spans="1:18" s="34" customFormat="1" x14ac:dyDescent="0.35">
      <c r="A103" s="84">
        <v>18</v>
      </c>
      <c r="B103" s="577" t="str">
        <f>'Schedule 3 Adjustments'!B102:C102</f>
        <v>400-686-Humboldt Apartments</v>
      </c>
      <c r="C103" s="578"/>
      <c r="D103" s="358" t="str">
        <f>'Schedule 3 Adjustments'!D102</f>
        <v>Apartments</v>
      </c>
      <c r="E103" s="358">
        <f>'Schedule 3 Adjustments'!E102</f>
        <v>0</v>
      </c>
      <c r="F103" s="363">
        <f>'Schedule 3 Adjustments'!F102</f>
        <v>0</v>
      </c>
      <c r="G103" s="366">
        <f>'Schedule 3 Adjustments'!G102</f>
        <v>0</v>
      </c>
      <c r="H103" s="366">
        <f>'Schedule 3 Adjustments'!H102</f>
        <v>0</v>
      </c>
      <c r="I103" s="130">
        <f>IF(B103=0,"",IF(AND(G103=0,H103=0),365,IF(AND(G103&gt;0,H103=0),$C$7-G103+1,IF(AND(G103=0,H103&gt;0),H103-($C$7-365),H103-G103+1))))</f>
        <v>365</v>
      </c>
      <c r="J103" s="98"/>
      <c r="K103" s="8">
        <f>SUM(K104:K106)</f>
        <v>0</v>
      </c>
      <c r="L103" s="91" t="str">
        <f>IF(K103&gt;0,K103/(F103*I103),"")</f>
        <v/>
      </c>
      <c r="M103" s="118">
        <f>'Schedule 3 Adjustments'!R102</f>
        <v>163334.32999999999</v>
      </c>
      <c r="N103" s="85" t="str">
        <f>IFERROR(M103/K103,"")</f>
        <v/>
      </c>
      <c r="O103" s="118">
        <f>'Schedule 3 Adjustments'!W102</f>
        <v>0</v>
      </c>
      <c r="P103" s="85" t="str">
        <f>IFERROR(O103/K103,"")</f>
        <v/>
      </c>
      <c r="Q103" s="86">
        <f>IF(M103=0,"",M103-O103)</f>
        <v>163334.32999999999</v>
      </c>
      <c r="R103" s="85" t="str">
        <f>IFERROR(Q103/K103,"")</f>
        <v/>
      </c>
    </row>
    <row r="104" spans="1:18" x14ac:dyDescent="0.35">
      <c r="A104" s="100" t="s">
        <v>447</v>
      </c>
      <c r="B104" s="87"/>
      <c r="C104" s="87"/>
      <c r="D104" s="87"/>
      <c r="E104" s="87"/>
      <c r="F104" s="124"/>
      <c r="G104" s="126"/>
      <c r="H104" s="126"/>
      <c r="I104" s="103"/>
      <c r="J104" s="362">
        <f>'Schedule 3 Adjustments'!J103</f>
        <v>0</v>
      </c>
      <c r="K104" s="213">
        <f>'Schedule 3 Adjustments'!M103</f>
        <v>0</v>
      </c>
      <c r="L104" s="89"/>
      <c r="M104" s="87"/>
      <c r="N104" s="87"/>
      <c r="O104" s="87"/>
      <c r="P104" s="87"/>
      <c r="Q104" s="87"/>
      <c r="R104" s="87"/>
    </row>
    <row r="105" spans="1:18" x14ac:dyDescent="0.35">
      <c r="A105" s="101" t="s">
        <v>448</v>
      </c>
      <c r="B105" s="88"/>
      <c r="C105" s="88"/>
      <c r="D105" s="88"/>
      <c r="E105" s="88"/>
      <c r="F105" s="125"/>
      <c r="G105" s="127"/>
      <c r="H105" s="127"/>
      <c r="I105" s="104"/>
      <c r="J105" s="364">
        <f>'Schedule 3 Adjustments'!J104</f>
        <v>0</v>
      </c>
      <c r="K105" s="220">
        <f>'Schedule 3 Adjustments'!M104</f>
        <v>0</v>
      </c>
      <c r="L105" s="90"/>
      <c r="M105" s="88"/>
      <c r="N105" s="88"/>
      <c r="O105" s="88"/>
      <c r="P105" s="88"/>
      <c r="Q105" s="88"/>
      <c r="R105" s="88"/>
    </row>
    <row r="106" spans="1:18" x14ac:dyDescent="0.35">
      <c r="A106" s="102" t="s">
        <v>449</v>
      </c>
      <c r="B106" s="88"/>
      <c r="C106" s="88"/>
      <c r="D106" s="88"/>
      <c r="E106" s="88"/>
      <c r="F106" s="125"/>
      <c r="G106" s="127"/>
      <c r="H106" s="127"/>
      <c r="I106" s="104"/>
      <c r="J106" s="365">
        <f>'Schedule 3 Adjustments'!J105</f>
        <v>0</v>
      </c>
      <c r="K106" s="223">
        <f>'Schedule 3 Adjustments'!M105</f>
        <v>0</v>
      </c>
      <c r="L106" s="90"/>
      <c r="M106" s="88"/>
      <c r="N106" s="88"/>
      <c r="O106" s="88"/>
      <c r="P106" s="88"/>
      <c r="Q106" s="88"/>
      <c r="R106" s="88"/>
    </row>
    <row r="107" spans="1:18" x14ac:dyDescent="0.35">
      <c r="J107" s="99"/>
      <c r="L107" s="28"/>
    </row>
    <row r="108" spans="1:18" s="34" customFormat="1" x14ac:dyDescent="0.35">
      <c r="A108" s="84">
        <v>19</v>
      </c>
      <c r="B108" s="577" t="str">
        <f>'Schedule 3 Adjustments'!B107:C107</f>
        <v>400-690-Sanderson Apartments</v>
      </c>
      <c r="C108" s="578"/>
      <c r="D108" s="358">
        <f>'Schedule 3 Adjustments'!D107</f>
        <v>0</v>
      </c>
      <c r="E108" s="358">
        <f>'Schedule 3 Adjustments'!E107</f>
        <v>0</v>
      </c>
      <c r="F108" s="363">
        <f>'Schedule 3 Adjustments'!F107</f>
        <v>0</v>
      </c>
      <c r="G108" s="366">
        <f>'Schedule 3 Adjustments'!G107</f>
        <v>0</v>
      </c>
      <c r="H108" s="366">
        <f>'Schedule 3 Adjustments'!H107</f>
        <v>0</v>
      </c>
      <c r="I108" s="130">
        <f>IF(B108=0,"",IF(AND(G108=0,H108=0),365,IF(AND(G108&gt;0,H108=0),$C$7-G108+1,IF(AND(G108=0,H108&gt;0),H108-($C$7-365),H108-G108+1))))</f>
        <v>365</v>
      </c>
      <c r="J108" s="98"/>
      <c r="K108" s="8">
        <f>SUM(K109:K111)</f>
        <v>0</v>
      </c>
      <c r="L108" s="91" t="str">
        <f>IF(K108&gt;0,K108/(F108*I108),"")</f>
        <v/>
      </c>
      <c r="M108" s="118">
        <f>'Schedule 3 Adjustments'!R107</f>
        <v>1308457.9411448182</v>
      </c>
      <c r="N108" s="85" t="str">
        <f>IFERROR(M108/K108,"")</f>
        <v/>
      </c>
      <c r="O108" s="118">
        <f>'Schedule 3 Adjustments'!W107</f>
        <v>0</v>
      </c>
      <c r="P108" s="85" t="str">
        <f>IFERROR(O108/K108,"")</f>
        <v/>
      </c>
      <c r="Q108" s="86">
        <f>IF(M108=0,"",M108-O108)</f>
        <v>1308457.9411448182</v>
      </c>
      <c r="R108" s="85" t="str">
        <f>IFERROR(Q108/K108,"")</f>
        <v/>
      </c>
    </row>
    <row r="109" spans="1:18" x14ac:dyDescent="0.35">
      <c r="A109" s="100" t="s">
        <v>447</v>
      </c>
      <c r="B109" s="87"/>
      <c r="C109" s="87"/>
      <c r="D109" s="87"/>
      <c r="E109" s="87"/>
      <c r="F109" s="124"/>
      <c r="G109" s="126"/>
      <c r="H109" s="126"/>
      <c r="I109" s="103"/>
      <c r="J109" s="362">
        <f>'Schedule 3 Adjustments'!J108</f>
        <v>0</v>
      </c>
      <c r="K109" s="213">
        <f>'Schedule 3 Adjustments'!M108</f>
        <v>0</v>
      </c>
      <c r="L109" s="89"/>
      <c r="M109" s="87"/>
      <c r="N109" s="87"/>
      <c r="O109" s="87"/>
      <c r="P109" s="87"/>
      <c r="Q109" s="87"/>
      <c r="R109" s="87"/>
    </row>
    <row r="110" spans="1:18" x14ac:dyDescent="0.35">
      <c r="A110" s="101" t="s">
        <v>448</v>
      </c>
      <c r="B110" s="88"/>
      <c r="C110" s="88"/>
      <c r="D110" s="88"/>
      <c r="E110" s="88"/>
      <c r="F110" s="125"/>
      <c r="G110" s="127"/>
      <c r="H110" s="127"/>
      <c r="I110" s="104"/>
      <c r="J110" s="364">
        <f>'Schedule 3 Adjustments'!J109</f>
        <v>0</v>
      </c>
      <c r="K110" s="220">
        <f>'Schedule 3 Adjustments'!M109</f>
        <v>0</v>
      </c>
      <c r="L110" s="90"/>
      <c r="M110" s="88"/>
      <c r="N110" s="88"/>
      <c r="O110" s="88"/>
      <c r="P110" s="88"/>
      <c r="Q110" s="88"/>
      <c r="R110" s="88"/>
    </row>
    <row r="111" spans="1:18" x14ac:dyDescent="0.35">
      <c r="A111" s="102" t="s">
        <v>449</v>
      </c>
      <c r="B111" s="88"/>
      <c r="C111" s="88"/>
      <c r="D111" s="88"/>
      <c r="E111" s="88"/>
      <c r="F111" s="125"/>
      <c r="G111" s="127"/>
      <c r="H111" s="127"/>
      <c r="I111" s="104"/>
      <c r="J111" s="365">
        <f>'Schedule 3 Adjustments'!J110</f>
        <v>0</v>
      </c>
      <c r="K111" s="223">
        <f>'Schedule 3 Adjustments'!M110</f>
        <v>0</v>
      </c>
      <c r="L111" s="90"/>
      <c r="M111" s="88"/>
      <c r="N111" s="88"/>
      <c r="O111" s="88"/>
      <c r="P111" s="88"/>
      <c r="Q111" s="88"/>
      <c r="R111" s="88"/>
    </row>
    <row r="112" spans="1:18" x14ac:dyDescent="0.35">
      <c r="J112" s="99"/>
      <c r="L112" s="28"/>
    </row>
    <row r="113" spans="1:18" s="34" customFormat="1" x14ac:dyDescent="0.35">
      <c r="A113" s="84">
        <v>20</v>
      </c>
      <c r="B113" s="577" t="str">
        <f>'Schedule 3 Adjustments'!B112:C112</f>
        <v>400-699-Rental Assistance</v>
      </c>
      <c r="C113" s="578"/>
      <c r="D113" s="358">
        <f>'Schedule 3 Adjustments'!D112</f>
        <v>0</v>
      </c>
      <c r="E113" s="358">
        <f>'Schedule 3 Adjustments'!E112</f>
        <v>0</v>
      </c>
      <c r="F113" s="363">
        <f>'Schedule 3 Adjustments'!F112</f>
        <v>0</v>
      </c>
      <c r="G113" s="366">
        <f>'Schedule 3 Adjustments'!G112</f>
        <v>0</v>
      </c>
      <c r="H113" s="366">
        <f>'Schedule 3 Adjustments'!H112</f>
        <v>0</v>
      </c>
      <c r="I113" s="130">
        <f>IF(B113=0,"",IF(AND(G113=0,H113=0),365,IF(AND(G113&gt;0,H113=0),$C$7-G113+1,IF(AND(G113=0,H113&gt;0),H113-($C$7-365),H113-G113+1))))</f>
        <v>365</v>
      </c>
      <c r="J113" s="98"/>
      <c r="K113" s="8">
        <f>SUM(K114:K116)</f>
        <v>0</v>
      </c>
      <c r="L113" s="91" t="str">
        <f>IF(K113&gt;0,K113/(F113*I113),"")</f>
        <v/>
      </c>
      <c r="M113" s="118">
        <f>'Schedule 3 Adjustments'!R112</f>
        <v>2059085.3864190921</v>
      </c>
      <c r="N113" s="85" t="str">
        <f>IFERROR(M113/K113,"")</f>
        <v/>
      </c>
      <c r="O113" s="118">
        <f>'Schedule 3 Adjustments'!W112</f>
        <v>0</v>
      </c>
      <c r="P113" s="85" t="str">
        <f>IFERROR(O113/K113,"")</f>
        <v/>
      </c>
      <c r="Q113" s="86">
        <f>IF(M113=0,"",M113-O113)</f>
        <v>2059085.3864190921</v>
      </c>
      <c r="R113" s="85" t="str">
        <f>IFERROR(Q113/K113,"")</f>
        <v/>
      </c>
    </row>
    <row r="114" spans="1:18" x14ac:dyDescent="0.35">
      <c r="A114" s="100" t="s">
        <v>447</v>
      </c>
      <c r="B114" s="87"/>
      <c r="C114" s="87"/>
      <c r="D114" s="87"/>
      <c r="E114" s="87"/>
      <c r="F114" s="124"/>
      <c r="G114" s="126"/>
      <c r="H114" s="126"/>
      <c r="I114" s="103"/>
      <c r="J114" s="362">
        <f>'Schedule 3 Adjustments'!J113</f>
        <v>0</v>
      </c>
      <c r="K114" s="213">
        <f>'Schedule 3 Adjustments'!M113</f>
        <v>0</v>
      </c>
      <c r="L114" s="89"/>
      <c r="M114" s="87"/>
      <c r="N114" s="87"/>
      <c r="O114" s="87"/>
      <c r="P114" s="87"/>
      <c r="Q114" s="87"/>
      <c r="R114" s="87"/>
    </row>
    <row r="115" spans="1:18" x14ac:dyDescent="0.35">
      <c r="A115" s="101" t="s">
        <v>448</v>
      </c>
      <c r="B115" s="88"/>
      <c r="C115" s="88"/>
      <c r="D115" s="88"/>
      <c r="E115" s="88"/>
      <c r="F115" s="125"/>
      <c r="G115" s="127"/>
      <c r="H115" s="127"/>
      <c r="I115" s="104"/>
      <c r="J115" s="364">
        <f>'Schedule 3 Adjustments'!J114</f>
        <v>0</v>
      </c>
      <c r="K115" s="220">
        <f>'Schedule 3 Adjustments'!M114</f>
        <v>0</v>
      </c>
      <c r="L115" s="90"/>
      <c r="M115" s="88"/>
      <c r="N115" s="88"/>
      <c r="O115" s="88"/>
      <c r="P115" s="88"/>
      <c r="Q115" s="88"/>
      <c r="R115" s="88"/>
    </row>
    <row r="116" spans="1:18" x14ac:dyDescent="0.35">
      <c r="A116" s="102" t="s">
        <v>449</v>
      </c>
      <c r="B116" s="88"/>
      <c r="C116" s="88"/>
      <c r="D116" s="88"/>
      <c r="E116" s="88"/>
      <c r="F116" s="125"/>
      <c r="G116" s="127"/>
      <c r="H116" s="127"/>
      <c r="I116" s="104"/>
      <c r="J116" s="365">
        <f>'Schedule 3 Adjustments'!J115</f>
        <v>0</v>
      </c>
      <c r="K116" s="223">
        <f>'Schedule 3 Adjustments'!M115</f>
        <v>0</v>
      </c>
      <c r="L116" s="90"/>
      <c r="M116" s="88"/>
      <c r="N116" s="88"/>
      <c r="O116" s="88"/>
      <c r="P116" s="88"/>
      <c r="Q116" s="88"/>
      <c r="R116" s="88"/>
    </row>
    <row r="117" spans="1:18" x14ac:dyDescent="0.35">
      <c r="J117" s="99"/>
      <c r="L117" s="28"/>
    </row>
    <row r="118" spans="1:18" s="34" customFormat="1" x14ac:dyDescent="0.35">
      <c r="A118" s="84">
        <v>21</v>
      </c>
      <c r="B118" s="577" t="str">
        <f>'Schedule 3 Adjustments'!B117:C117</f>
        <v xml:space="preserve"> Sabin Group</v>
      </c>
      <c r="C118" s="578"/>
      <c r="D118" s="358">
        <f>'Schedule 3 Adjustments'!D117</f>
        <v>0</v>
      </c>
      <c r="E118" s="358">
        <f>'Schedule 3 Adjustments'!E117</f>
        <v>0</v>
      </c>
      <c r="F118" s="363">
        <f>'Schedule 3 Adjustments'!F117</f>
        <v>0</v>
      </c>
      <c r="G118" s="366">
        <f>'Schedule 3 Adjustments'!G117</f>
        <v>0</v>
      </c>
      <c r="H118" s="366">
        <f>'Schedule 3 Adjustments'!H117</f>
        <v>0</v>
      </c>
      <c r="I118" s="130">
        <f>IF(B118=0,"",IF(AND(G118=0,H118=0),365,IF(AND(G118&gt;0,H118=0),$C$7-G118+1,IF(AND(G118=0,H118&gt;0),H118-($C$7-365),H118-G118+1))))</f>
        <v>365</v>
      </c>
      <c r="J118" s="98"/>
      <c r="K118" s="8">
        <f>SUM(K119:K121)</f>
        <v>0</v>
      </c>
      <c r="L118" s="91" t="str">
        <f>IF(K118&gt;0,K118/(F118*I118),"")</f>
        <v/>
      </c>
      <c r="M118" s="118">
        <f>'Schedule 3 Adjustments'!R117</f>
        <v>1402944.4</v>
      </c>
      <c r="N118" s="85" t="str">
        <f>IFERROR(M118/K118,"")</f>
        <v/>
      </c>
      <c r="O118" s="118">
        <f>'Schedule 3 Adjustments'!W117</f>
        <v>0</v>
      </c>
      <c r="P118" s="85" t="str">
        <f>IFERROR(O118/K118,"")</f>
        <v/>
      </c>
      <c r="Q118" s="86">
        <f>IF(M118=0,"",M118-O118)</f>
        <v>1402944.4</v>
      </c>
      <c r="R118" s="85" t="str">
        <f>IFERROR(Q118/K118,"")</f>
        <v/>
      </c>
    </row>
    <row r="119" spans="1:18" x14ac:dyDescent="0.35">
      <c r="A119" s="100" t="s">
        <v>447</v>
      </c>
      <c r="B119" s="87"/>
      <c r="C119" s="87"/>
      <c r="D119" s="87"/>
      <c r="E119" s="87"/>
      <c r="F119" s="124"/>
      <c r="G119" s="126"/>
      <c r="H119" s="126"/>
      <c r="I119" s="103"/>
      <c r="J119" s="362">
        <f>'Schedule 3 Adjustments'!J118</f>
        <v>0</v>
      </c>
      <c r="K119" s="213">
        <f>'Schedule 3 Adjustments'!M118</f>
        <v>0</v>
      </c>
      <c r="L119" s="89"/>
      <c r="M119" s="87"/>
      <c r="N119" s="87"/>
      <c r="O119" s="87"/>
      <c r="P119" s="87"/>
      <c r="Q119" s="87"/>
      <c r="R119" s="87"/>
    </row>
    <row r="120" spans="1:18" x14ac:dyDescent="0.35">
      <c r="A120" s="101" t="s">
        <v>448</v>
      </c>
      <c r="B120" s="88"/>
      <c r="C120" s="88"/>
      <c r="D120" s="88"/>
      <c r="E120" s="88"/>
      <c r="F120" s="125"/>
      <c r="G120" s="127"/>
      <c r="H120" s="127"/>
      <c r="I120" s="104"/>
      <c r="J120" s="364">
        <f>'Schedule 3 Adjustments'!J119</f>
        <v>0</v>
      </c>
      <c r="K120" s="220">
        <f>'Schedule 3 Adjustments'!M119</f>
        <v>0</v>
      </c>
      <c r="L120" s="90"/>
      <c r="M120" s="88"/>
      <c r="N120" s="88"/>
      <c r="O120" s="88"/>
      <c r="P120" s="88"/>
      <c r="Q120" s="88"/>
      <c r="R120" s="88"/>
    </row>
    <row r="121" spans="1:18" x14ac:dyDescent="0.35">
      <c r="A121" s="102" t="s">
        <v>449</v>
      </c>
      <c r="B121" s="88"/>
      <c r="C121" s="88"/>
      <c r="D121" s="88"/>
      <c r="E121" s="88"/>
      <c r="F121" s="125"/>
      <c r="G121" s="127"/>
      <c r="H121" s="127"/>
      <c r="I121" s="104"/>
      <c r="J121" s="365">
        <f>'Schedule 3 Adjustments'!J120</f>
        <v>0</v>
      </c>
      <c r="K121" s="223">
        <f>'Schedule 3 Adjustments'!M120</f>
        <v>0</v>
      </c>
      <c r="L121" s="90"/>
      <c r="M121" s="88"/>
      <c r="N121" s="88"/>
      <c r="O121" s="88"/>
      <c r="P121" s="88"/>
      <c r="Q121" s="88"/>
      <c r="R121" s="88"/>
    </row>
    <row r="122" spans="1:18" x14ac:dyDescent="0.35">
      <c r="J122" s="99"/>
      <c r="L122" s="28"/>
    </row>
    <row r="123" spans="1:18" s="34" customFormat="1" x14ac:dyDescent="0.35">
      <c r="A123" s="84">
        <v>22</v>
      </c>
      <c r="B123" s="577" t="str">
        <f>'Schedule 3 Adjustments'!B122:C122</f>
        <v>Sanderson LLC-Sanderson Apartments</v>
      </c>
      <c r="C123" s="578"/>
      <c r="D123" s="358">
        <f>'Schedule 3 Adjustments'!D122</f>
        <v>0</v>
      </c>
      <c r="E123" s="358">
        <f>'Schedule 3 Adjustments'!E122</f>
        <v>0</v>
      </c>
      <c r="F123" s="363">
        <f>'Schedule 3 Adjustments'!F122</f>
        <v>0</v>
      </c>
      <c r="G123" s="366">
        <f>'Schedule 3 Adjustments'!G122</f>
        <v>0</v>
      </c>
      <c r="H123" s="366">
        <f>'Schedule 3 Adjustments'!H122</f>
        <v>0</v>
      </c>
      <c r="I123" s="130">
        <f>IF(B123=0,"",IF(AND(G123=0,H123=0),365,IF(AND(G123&gt;0,H123=0),$C$7-G123+1,IF(AND(G123=0,H123&gt;0),H123-($C$7-365),H123-G123+1))))</f>
        <v>365</v>
      </c>
      <c r="J123" s="98"/>
      <c r="K123" s="8">
        <f>SUM(K124:K126)</f>
        <v>0</v>
      </c>
      <c r="L123" s="91" t="str">
        <f>IF(K123&gt;0,K123/(F123*I123),"")</f>
        <v/>
      </c>
      <c r="M123" s="118">
        <f>'Schedule 3 Adjustments'!R122</f>
        <v>1093347.5</v>
      </c>
      <c r="N123" s="85" t="str">
        <f>IFERROR(M123/K123,"")</f>
        <v/>
      </c>
      <c r="O123" s="118">
        <f>'Schedule 3 Adjustments'!W122</f>
        <v>0</v>
      </c>
      <c r="P123" s="85" t="str">
        <f>IFERROR(O123/K123,"")</f>
        <v/>
      </c>
      <c r="Q123" s="86">
        <f>IF(M123=0,"",M123-O123)</f>
        <v>1093347.5</v>
      </c>
      <c r="R123" s="85" t="str">
        <f>IFERROR(Q123/K123,"")</f>
        <v/>
      </c>
    </row>
    <row r="124" spans="1:18" x14ac:dyDescent="0.35">
      <c r="A124" s="100" t="s">
        <v>447</v>
      </c>
      <c r="B124" s="87"/>
      <c r="C124" s="87"/>
      <c r="D124" s="87"/>
      <c r="E124" s="87"/>
      <c r="F124" s="124"/>
      <c r="G124" s="126"/>
      <c r="H124" s="126"/>
      <c r="I124" s="103"/>
      <c r="J124" s="362">
        <f>'Schedule 3 Adjustments'!J123</f>
        <v>0</v>
      </c>
      <c r="K124" s="213">
        <f>'Schedule 3 Adjustments'!M123</f>
        <v>0</v>
      </c>
      <c r="L124" s="89"/>
      <c r="M124" s="87"/>
      <c r="N124" s="87"/>
      <c r="O124" s="87"/>
      <c r="P124" s="87"/>
      <c r="Q124" s="87"/>
      <c r="R124" s="87"/>
    </row>
    <row r="125" spans="1:18" x14ac:dyDescent="0.35">
      <c r="A125" s="101" t="s">
        <v>448</v>
      </c>
      <c r="B125" s="88"/>
      <c r="C125" s="88"/>
      <c r="D125" s="88"/>
      <c r="E125" s="88"/>
      <c r="F125" s="125"/>
      <c r="G125" s="127"/>
      <c r="H125" s="127"/>
      <c r="I125" s="104"/>
      <c r="J125" s="364">
        <f>'Schedule 3 Adjustments'!J124</f>
        <v>0</v>
      </c>
      <c r="K125" s="220">
        <f>'Schedule 3 Adjustments'!M124</f>
        <v>0</v>
      </c>
      <c r="L125" s="90"/>
      <c r="M125" s="88"/>
      <c r="N125" s="88"/>
      <c r="O125" s="88"/>
      <c r="P125" s="88"/>
      <c r="Q125" s="88"/>
      <c r="R125" s="88"/>
    </row>
    <row r="126" spans="1:18" x14ac:dyDescent="0.35">
      <c r="A126" s="102" t="s">
        <v>449</v>
      </c>
      <c r="B126" s="88"/>
      <c r="C126" s="88"/>
      <c r="D126" s="88"/>
      <c r="E126" s="88"/>
      <c r="F126" s="125"/>
      <c r="G126" s="127"/>
      <c r="H126" s="127"/>
      <c r="I126" s="104"/>
      <c r="J126" s="365">
        <f>'Schedule 3 Adjustments'!J125</f>
        <v>0</v>
      </c>
      <c r="K126" s="223">
        <f>'Schedule 3 Adjustments'!M125</f>
        <v>0</v>
      </c>
      <c r="L126" s="90"/>
      <c r="M126" s="88"/>
      <c r="N126" s="88"/>
      <c r="O126" s="88"/>
      <c r="P126" s="88"/>
      <c r="Q126" s="88"/>
      <c r="R126" s="88"/>
    </row>
    <row r="127" spans="1:18" x14ac:dyDescent="0.35">
      <c r="J127" s="99"/>
      <c r="L127" s="28"/>
    </row>
    <row r="128" spans="1:18" s="34" customFormat="1" x14ac:dyDescent="0.35">
      <c r="A128" s="84">
        <v>23</v>
      </c>
      <c r="B128" s="577">
        <f>'Schedule 3 Adjustments'!B127:C127</f>
        <v>0</v>
      </c>
      <c r="C128" s="578"/>
      <c r="D128" s="358">
        <f>'Schedule 3 Adjustments'!D127</f>
        <v>0</v>
      </c>
      <c r="E128" s="358">
        <f>'Schedule 3 Adjustments'!E127</f>
        <v>0</v>
      </c>
      <c r="F128" s="363">
        <f>'Schedule 3 Adjustments'!F127</f>
        <v>0</v>
      </c>
      <c r="G128" s="366">
        <f>'Schedule 3 Adjustments'!G127</f>
        <v>0</v>
      </c>
      <c r="H128" s="366">
        <f>'Schedule 3 Adjustments'!H127</f>
        <v>0</v>
      </c>
      <c r="I128" s="130" t="str">
        <f>IF(B128=0,"",IF(AND(G128=0,H128=0),365,IF(AND(G128&gt;0,H128=0),$C$7-G128+1,IF(AND(G128=0,H128&gt;0),H128-($C$7-365),H128-G128+1))))</f>
        <v/>
      </c>
      <c r="J128" s="98"/>
      <c r="K128" s="8">
        <f>SUM(K129:K131)</f>
        <v>0</v>
      </c>
      <c r="L128" s="91" t="str">
        <f>IF(K128&gt;0,K128/(F128*I128),"")</f>
        <v/>
      </c>
      <c r="M128" s="118">
        <f>'Schedule 3 Adjustments'!R127</f>
        <v>0</v>
      </c>
      <c r="N128" s="85" t="str">
        <f>IFERROR(M128/K128,"")</f>
        <v/>
      </c>
      <c r="O128" s="118">
        <f>'Schedule 3 Adjustments'!W127</f>
        <v>0</v>
      </c>
      <c r="P128" s="85" t="str">
        <f>IFERROR(O128/K128,"")</f>
        <v/>
      </c>
      <c r="Q128" s="86" t="str">
        <f>IF(M128=0,"",M128-O128)</f>
        <v/>
      </c>
      <c r="R128" s="85" t="str">
        <f>IFERROR(Q128/K128,"")</f>
        <v/>
      </c>
    </row>
    <row r="129" spans="1:18" x14ac:dyDescent="0.35">
      <c r="A129" s="100" t="s">
        <v>447</v>
      </c>
      <c r="B129" s="87"/>
      <c r="C129" s="87"/>
      <c r="D129" s="87"/>
      <c r="E129" s="87"/>
      <c r="F129" s="124"/>
      <c r="G129" s="126"/>
      <c r="H129" s="126"/>
      <c r="I129" s="103"/>
      <c r="J129" s="362">
        <f>'Schedule 3 Adjustments'!J128</f>
        <v>0</v>
      </c>
      <c r="K129" s="213">
        <f>'Schedule 3 Adjustments'!M128</f>
        <v>0</v>
      </c>
      <c r="L129" s="89"/>
      <c r="M129" s="87"/>
      <c r="N129" s="87"/>
      <c r="O129" s="87"/>
      <c r="P129" s="87"/>
      <c r="Q129" s="87"/>
      <c r="R129" s="87"/>
    </row>
    <row r="130" spans="1:18" x14ac:dyDescent="0.35">
      <c r="A130" s="101" t="s">
        <v>448</v>
      </c>
      <c r="B130" s="88"/>
      <c r="C130" s="88"/>
      <c r="D130" s="88"/>
      <c r="E130" s="88"/>
      <c r="F130" s="125"/>
      <c r="G130" s="127"/>
      <c r="H130" s="127"/>
      <c r="I130" s="104"/>
      <c r="J130" s="364">
        <f>'Schedule 3 Adjustments'!J129</f>
        <v>0</v>
      </c>
      <c r="K130" s="220">
        <f>'Schedule 3 Adjustments'!M129</f>
        <v>0</v>
      </c>
      <c r="L130" s="90"/>
      <c r="M130" s="88"/>
      <c r="N130" s="88"/>
      <c r="O130" s="88"/>
      <c r="P130" s="88"/>
      <c r="Q130" s="88"/>
      <c r="R130" s="88"/>
    </row>
    <row r="131" spans="1:18" x14ac:dyDescent="0.35">
      <c r="A131" s="102" t="s">
        <v>449</v>
      </c>
      <c r="B131" s="88"/>
      <c r="C131" s="88"/>
      <c r="D131" s="88"/>
      <c r="E131" s="88"/>
      <c r="F131" s="125"/>
      <c r="G131" s="127"/>
      <c r="H131" s="127"/>
      <c r="I131" s="104"/>
      <c r="J131" s="365">
        <f>'Schedule 3 Adjustments'!J130</f>
        <v>0</v>
      </c>
      <c r="K131" s="223">
        <f>'Schedule 3 Adjustments'!M130</f>
        <v>0</v>
      </c>
      <c r="L131" s="90"/>
      <c r="M131" s="88"/>
      <c r="N131" s="88"/>
      <c r="O131" s="88"/>
      <c r="P131" s="88"/>
      <c r="Q131" s="88"/>
      <c r="R131" s="88"/>
    </row>
    <row r="132" spans="1:18" x14ac:dyDescent="0.35">
      <c r="J132" s="99"/>
      <c r="L132" s="28"/>
    </row>
    <row r="133" spans="1:18" s="34" customFormat="1" x14ac:dyDescent="0.35">
      <c r="A133" s="84">
        <v>24</v>
      </c>
      <c r="B133" s="577">
        <f>'Schedule 3 Adjustments'!B132:C132</f>
        <v>0</v>
      </c>
      <c r="C133" s="578"/>
      <c r="D133" s="358">
        <f>'Schedule 3 Adjustments'!D132</f>
        <v>0</v>
      </c>
      <c r="E133" s="358">
        <f>'Schedule 3 Adjustments'!E132</f>
        <v>0</v>
      </c>
      <c r="F133" s="363">
        <f>'Schedule 3 Adjustments'!F132</f>
        <v>0</v>
      </c>
      <c r="G133" s="366">
        <f>'Schedule 3 Adjustments'!G132</f>
        <v>0</v>
      </c>
      <c r="H133" s="366">
        <f>'Schedule 3 Adjustments'!H132</f>
        <v>0</v>
      </c>
      <c r="I133" s="130" t="str">
        <f>IF(B133=0,"",IF(AND(G133=0,H133=0),365,IF(AND(G133&gt;0,H133=0),$C$7-G133+1,IF(AND(G133=0,H133&gt;0),H133-($C$7-365),H133-G133+1))))</f>
        <v/>
      </c>
      <c r="J133" s="98"/>
      <c r="K133" s="8">
        <f>SUM(K134:K136)</f>
        <v>0</v>
      </c>
      <c r="L133" s="91" t="str">
        <f>IF(K133&gt;0,K133/(F133*I133),"")</f>
        <v/>
      </c>
      <c r="M133" s="118">
        <f>'Schedule 3 Adjustments'!R132</f>
        <v>0</v>
      </c>
      <c r="N133" s="85" t="str">
        <f>IFERROR(M133/K133,"")</f>
        <v/>
      </c>
      <c r="O133" s="118">
        <f>'Schedule 3 Adjustments'!W132</f>
        <v>0</v>
      </c>
      <c r="P133" s="85" t="str">
        <f>IFERROR(O133/K133,"")</f>
        <v/>
      </c>
      <c r="Q133" s="86" t="str">
        <f>IF(M133=0,"",M133-O133)</f>
        <v/>
      </c>
      <c r="R133" s="85" t="str">
        <f>IFERROR(Q133/K133,"")</f>
        <v/>
      </c>
    </row>
    <row r="134" spans="1:18" x14ac:dyDescent="0.35">
      <c r="A134" s="100" t="s">
        <v>447</v>
      </c>
      <c r="B134" s="87"/>
      <c r="C134" s="87"/>
      <c r="D134" s="87"/>
      <c r="E134" s="87"/>
      <c r="F134" s="124"/>
      <c r="G134" s="126"/>
      <c r="H134" s="126"/>
      <c r="I134" s="103"/>
      <c r="J134" s="362">
        <f>'Schedule 3 Adjustments'!J133</f>
        <v>0</v>
      </c>
      <c r="K134" s="213">
        <f>'Schedule 3 Adjustments'!M133</f>
        <v>0</v>
      </c>
      <c r="L134" s="89"/>
      <c r="M134" s="87"/>
      <c r="N134" s="87"/>
      <c r="O134" s="87"/>
      <c r="P134" s="87"/>
      <c r="Q134" s="87"/>
      <c r="R134" s="87"/>
    </row>
    <row r="135" spans="1:18" x14ac:dyDescent="0.35">
      <c r="A135" s="101" t="s">
        <v>448</v>
      </c>
      <c r="B135" s="88"/>
      <c r="C135" s="88"/>
      <c r="D135" s="88"/>
      <c r="E135" s="88"/>
      <c r="F135" s="125"/>
      <c r="G135" s="127"/>
      <c r="H135" s="127"/>
      <c r="I135" s="104"/>
      <c r="J135" s="364">
        <f>'Schedule 3 Adjustments'!J134</f>
        <v>0</v>
      </c>
      <c r="K135" s="220">
        <f>'Schedule 3 Adjustments'!M134</f>
        <v>0</v>
      </c>
      <c r="L135" s="90"/>
      <c r="M135" s="88"/>
      <c r="N135" s="88"/>
      <c r="O135" s="88"/>
      <c r="P135" s="88"/>
      <c r="Q135" s="88"/>
      <c r="R135" s="88"/>
    </row>
    <row r="136" spans="1:18" x14ac:dyDescent="0.35">
      <c r="A136" s="102" t="s">
        <v>449</v>
      </c>
      <c r="B136" s="88"/>
      <c r="C136" s="88"/>
      <c r="D136" s="88"/>
      <c r="E136" s="88"/>
      <c r="F136" s="125"/>
      <c r="G136" s="127"/>
      <c r="H136" s="127"/>
      <c r="I136" s="104"/>
      <c r="J136" s="365">
        <f>'Schedule 3 Adjustments'!J135</f>
        <v>0</v>
      </c>
      <c r="K136" s="223">
        <f>'Schedule 3 Adjustments'!M135</f>
        <v>0</v>
      </c>
      <c r="L136" s="90"/>
      <c r="M136" s="88"/>
      <c r="N136" s="88"/>
      <c r="O136" s="88"/>
      <c r="P136" s="88"/>
      <c r="Q136" s="88"/>
      <c r="R136" s="88"/>
    </row>
    <row r="137" spans="1:18" x14ac:dyDescent="0.35">
      <c r="J137" s="99"/>
      <c r="L137" s="28"/>
    </row>
    <row r="138" spans="1:18" s="34" customFormat="1" x14ac:dyDescent="0.35">
      <c r="A138" s="84">
        <v>25</v>
      </c>
      <c r="B138" s="577">
        <f>'Schedule 3 Adjustments'!B137:C137</f>
        <v>0</v>
      </c>
      <c r="C138" s="578"/>
      <c r="D138" s="358">
        <f>'Schedule 3 Adjustments'!D137</f>
        <v>0</v>
      </c>
      <c r="E138" s="358">
        <f>'Schedule 3 Adjustments'!E137</f>
        <v>0</v>
      </c>
      <c r="F138" s="363">
        <f>'Schedule 3 Adjustments'!F137</f>
        <v>0</v>
      </c>
      <c r="G138" s="366">
        <f>'Schedule 3 Adjustments'!G137</f>
        <v>0</v>
      </c>
      <c r="H138" s="366">
        <f>'Schedule 3 Adjustments'!H137</f>
        <v>0</v>
      </c>
      <c r="I138" s="130" t="str">
        <f>IF(B138=0,"",IF(AND(G138=0,H138=0),365,IF(AND(G138&gt;0,H138=0),$C$7-G138+1,IF(AND(G138=0,H138&gt;0),H138-($C$7-365),H138-G138+1))))</f>
        <v/>
      </c>
      <c r="J138" s="98"/>
      <c r="K138" s="8">
        <f>SUM(K139:K141)</f>
        <v>0</v>
      </c>
      <c r="L138" s="91" t="str">
        <f>IF(K138&gt;0,K138/(F138*I138),"")</f>
        <v/>
      </c>
      <c r="M138" s="118">
        <f>'Schedule 3 Adjustments'!R137</f>
        <v>0</v>
      </c>
      <c r="N138" s="85" t="str">
        <f>IFERROR(M138/K138,"")</f>
        <v/>
      </c>
      <c r="O138" s="118">
        <f>'Schedule 3 Adjustments'!W137</f>
        <v>0</v>
      </c>
      <c r="P138" s="85" t="str">
        <f>IFERROR(O138/K138,"")</f>
        <v/>
      </c>
      <c r="Q138" s="86" t="str">
        <f>IF(M138=0,"",M138-O138)</f>
        <v/>
      </c>
      <c r="R138" s="85" t="str">
        <f>IFERROR(Q138/K138,"")</f>
        <v/>
      </c>
    </row>
    <row r="139" spans="1:18" x14ac:dyDescent="0.35">
      <c r="A139" s="100" t="s">
        <v>447</v>
      </c>
      <c r="B139" s="87"/>
      <c r="C139" s="87"/>
      <c r="D139" s="87"/>
      <c r="E139" s="87"/>
      <c r="F139" s="124"/>
      <c r="G139" s="126"/>
      <c r="H139" s="126"/>
      <c r="I139" s="103"/>
      <c r="J139" s="362">
        <f>'Schedule 3 Adjustments'!J138</f>
        <v>0</v>
      </c>
      <c r="K139" s="213">
        <f>'Schedule 3 Adjustments'!M138</f>
        <v>0</v>
      </c>
      <c r="L139" s="89"/>
      <c r="M139" s="87"/>
      <c r="N139" s="87"/>
      <c r="O139" s="87"/>
      <c r="P139" s="87"/>
      <c r="Q139" s="87"/>
      <c r="R139" s="87"/>
    </row>
    <row r="140" spans="1:18" x14ac:dyDescent="0.35">
      <c r="A140" s="101" t="s">
        <v>448</v>
      </c>
      <c r="B140" s="88"/>
      <c r="C140" s="88"/>
      <c r="D140" s="88"/>
      <c r="E140" s="88"/>
      <c r="F140" s="125"/>
      <c r="G140" s="127"/>
      <c r="H140" s="127"/>
      <c r="I140" s="104"/>
      <c r="J140" s="364">
        <f>'Schedule 3 Adjustments'!J139</f>
        <v>0</v>
      </c>
      <c r="K140" s="220">
        <f>'Schedule 3 Adjustments'!M139</f>
        <v>0</v>
      </c>
      <c r="L140" s="90"/>
      <c r="M140" s="88"/>
      <c r="N140" s="88"/>
      <c r="O140" s="88"/>
      <c r="P140" s="88"/>
      <c r="Q140" s="88"/>
      <c r="R140" s="88"/>
    </row>
    <row r="141" spans="1:18" x14ac:dyDescent="0.35">
      <c r="A141" s="102" t="s">
        <v>449</v>
      </c>
      <c r="B141" s="88"/>
      <c r="C141" s="88"/>
      <c r="D141" s="88"/>
      <c r="E141" s="88"/>
      <c r="F141" s="125"/>
      <c r="G141" s="127"/>
      <c r="H141" s="127"/>
      <c r="I141" s="104"/>
      <c r="J141" s="365">
        <f>'Schedule 3 Adjustments'!J140</f>
        <v>0</v>
      </c>
      <c r="K141" s="223">
        <f>'Schedule 3 Adjustments'!M140</f>
        <v>0</v>
      </c>
      <c r="L141" s="90"/>
      <c r="M141" s="88"/>
      <c r="N141" s="88"/>
      <c r="O141" s="88"/>
      <c r="P141" s="88"/>
      <c r="Q141" s="88"/>
      <c r="R141" s="88"/>
    </row>
    <row r="142" spans="1:18" x14ac:dyDescent="0.35">
      <c r="J142" s="99"/>
      <c r="L142" s="28"/>
    </row>
    <row r="143" spans="1:18" s="34" customFormat="1" x14ac:dyDescent="0.35">
      <c r="A143" s="84">
        <v>26</v>
      </c>
      <c r="B143" s="577">
        <f>'Schedule 3 Adjustments'!B142:C142</f>
        <v>0</v>
      </c>
      <c r="C143" s="578"/>
      <c r="D143" s="358">
        <f>'Schedule 3 Adjustments'!D142</f>
        <v>0</v>
      </c>
      <c r="E143" s="358">
        <f>'Schedule 3 Adjustments'!E142</f>
        <v>0</v>
      </c>
      <c r="F143" s="363">
        <f>'Schedule 3 Adjustments'!F142</f>
        <v>0</v>
      </c>
      <c r="G143" s="366">
        <f>'Schedule 3 Adjustments'!G142</f>
        <v>0</v>
      </c>
      <c r="H143" s="366">
        <f>'Schedule 3 Adjustments'!H142</f>
        <v>0</v>
      </c>
      <c r="I143" s="130" t="str">
        <f>IF(B143=0,"",IF(AND(G143=0,H143=0),365,IF(AND(G143&gt;0,H143=0),$C$7-G143+1,IF(AND(G143=0,H143&gt;0),H143-($C$7-365),H143-G143+1))))</f>
        <v/>
      </c>
      <c r="J143" s="98"/>
      <c r="K143" s="8">
        <f>SUM(K144:K146)</f>
        <v>0</v>
      </c>
      <c r="L143" s="91" t="str">
        <f>IF(K143&gt;0,K143/(F143*I143),"")</f>
        <v/>
      </c>
      <c r="M143" s="118">
        <f>'Schedule 3 Adjustments'!R142</f>
        <v>0</v>
      </c>
      <c r="N143" s="85" t="str">
        <f>IFERROR(M143/K143,"")</f>
        <v/>
      </c>
      <c r="O143" s="118">
        <f>'Schedule 3 Adjustments'!W142</f>
        <v>0</v>
      </c>
      <c r="P143" s="85" t="str">
        <f>IFERROR(O143/K143,"")</f>
        <v/>
      </c>
      <c r="Q143" s="86" t="str">
        <f>IF(M143=0,"",M143-O143)</f>
        <v/>
      </c>
      <c r="R143" s="85" t="str">
        <f>IFERROR(Q143/K143,"")</f>
        <v/>
      </c>
    </row>
    <row r="144" spans="1:18" x14ac:dyDescent="0.35">
      <c r="A144" s="100" t="s">
        <v>447</v>
      </c>
      <c r="B144" s="87"/>
      <c r="C144" s="87"/>
      <c r="D144" s="87"/>
      <c r="E144" s="87"/>
      <c r="F144" s="124"/>
      <c r="G144" s="126"/>
      <c r="H144" s="126"/>
      <c r="I144" s="103"/>
      <c r="J144" s="362">
        <f>'Schedule 3 Adjustments'!J143</f>
        <v>0</v>
      </c>
      <c r="K144" s="213">
        <f>'Schedule 3 Adjustments'!M143</f>
        <v>0</v>
      </c>
      <c r="L144" s="89"/>
      <c r="M144" s="87"/>
      <c r="N144" s="87"/>
      <c r="O144" s="87"/>
      <c r="P144" s="87"/>
      <c r="Q144" s="87"/>
      <c r="R144" s="87"/>
    </row>
    <row r="145" spans="1:18" x14ac:dyDescent="0.35">
      <c r="A145" s="101" t="s">
        <v>448</v>
      </c>
      <c r="B145" s="88"/>
      <c r="C145" s="88"/>
      <c r="D145" s="88"/>
      <c r="E145" s="88"/>
      <c r="F145" s="125"/>
      <c r="G145" s="127"/>
      <c r="H145" s="127"/>
      <c r="I145" s="104"/>
      <c r="J145" s="364">
        <f>'Schedule 3 Adjustments'!J144</f>
        <v>0</v>
      </c>
      <c r="K145" s="220">
        <f>'Schedule 3 Adjustments'!M144</f>
        <v>0</v>
      </c>
      <c r="L145" s="90"/>
      <c r="M145" s="88"/>
      <c r="N145" s="88"/>
      <c r="O145" s="88"/>
      <c r="P145" s="88"/>
      <c r="Q145" s="88"/>
      <c r="R145" s="88"/>
    </row>
    <row r="146" spans="1:18" x14ac:dyDescent="0.35">
      <c r="A146" s="102" t="s">
        <v>449</v>
      </c>
      <c r="B146" s="88"/>
      <c r="C146" s="88"/>
      <c r="D146" s="88"/>
      <c r="E146" s="88"/>
      <c r="F146" s="125"/>
      <c r="G146" s="127"/>
      <c r="H146" s="127"/>
      <c r="I146" s="104"/>
      <c r="J146" s="365">
        <f>'Schedule 3 Adjustments'!J145</f>
        <v>0</v>
      </c>
      <c r="K146" s="223">
        <f>'Schedule 3 Adjustments'!M145</f>
        <v>0</v>
      </c>
      <c r="L146" s="90"/>
      <c r="M146" s="88"/>
      <c r="N146" s="88"/>
      <c r="O146" s="88"/>
      <c r="P146" s="88"/>
      <c r="Q146" s="88"/>
      <c r="R146" s="88"/>
    </row>
    <row r="147" spans="1:18" x14ac:dyDescent="0.35">
      <c r="J147" s="99"/>
      <c r="L147" s="28"/>
    </row>
    <row r="148" spans="1:18" s="34" customFormat="1" x14ac:dyDescent="0.35">
      <c r="A148" s="84">
        <v>27</v>
      </c>
      <c r="B148" s="577">
        <f>'Schedule 3 Adjustments'!B147:C147</f>
        <v>0</v>
      </c>
      <c r="C148" s="578"/>
      <c r="D148" s="358">
        <f>'Schedule 3 Adjustments'!D147</f>
        <v>0</v>
      </c>
      <c r="E148" s="358">
        <f>'Schedule 3 Adjustments'!E147</f>
        <v>0</v>
      </c>
      <c r="F148" s="363">
        <f>'Schedule 3 Adjustments'!F147</f>
        <v>0</v>
      </c>
      <c r="G148" s="366">
        <f>'Schedule 3 Adjustments'!G147</f>
        <v>0</v>
      </c>
      <c r="H148" s="366">
        <f>'Schedule 3 Adjustments'!H147</f>
        <v>0</v>
      </c>
      <c r="I148" s="130" t="str">
        <f>IF(B148=0,"",IF(AND(G148=0,H148=0),365,IF(AND(G148&gt;0,H148=0),$C$7-G148+1,IF(AND(G148=0,H148&gt;0),H148-($C$7-365),H148-G148+1))))</f>
        <v/>
      </c>
      <c r="J148" s="98"/>
      <c r="K148" s="8">
        <f>SUM(K149:K151)</f>
        <v>0</v>
      </c>
      <c r="L148" s="91" t="str">
        <f>IF(K148&gt;0,K148/(F148*I148),"")</f>
        <v/>
      </c>
      <c r="M148" s="118">
        <f>'Schedule 3 Adjustments'!R147</f>
        <v>0</v>
      </c>
      <c r="N148" s="85" t="str">
        <f>IFERROR(M148/K148,"")</f>
        <v/>
      </c>
      <c r="O148" s="118">
        <f>'Schedule 3 Adjustments'!W147</f>
        <v>0</v>
      </c>
      <c r="P148" s="85" t="str">
        <f>IFERROR(O148/K148,"")</f>
        <v/>
      </c>
      <c r="Q148" s="86" t="str">
        <f>IF(M148=0,"",M148-O148)</f>
        <v/>
      </c>
      <c r="R148" s="85" t="str">
        <f>IFERROR(Q148/K148,"")</f>
        <v/>
      </c>
    </row>
    <row r="149" spans="1:18" x14ac:dyDescent="0.35">
      <c r="A149" s="100" t="s">
        <v>447</v>
      </c>
      <c r="B149" s="87"/>
      <c r="C149" s="87"/>
      <c r="D149" s="87"/>
      <c r="E149" s="87"/>
      <c r="F149" s="124"/>
      <c r="G149" s="126"/>
      <c r="H149" s="126"/>
      <c r="I149" s="103"/>
      <c r="J149" s="362">
        <f>'Schedule 3 Adjustments'!J148</f>
        <v>0</v>
      </c>
      <c r="K149" s="213">
        <f>'Schedule 3 Adjustments'!M148</f>
        <v>0</v>
      </c>
      <c r="L149" s="89"/>
      <c r="M149" s="87"/>
      <c r="N149" s="87"/>
      <c r="O149" s="87"/>
      <c r="P149" s="87"/>
      <c r="Q149" s="87"/>
      <c r="R149" s="87"/>
    </row>
    <row r="150" spans="1:18" x14ac:dyDescent="0.35">
      <c r="A150" s="101" t="s">
        <v>448</v>
      </c>
      <c r="B150" s="88"/>
      <c r="C150" s="88"/>
      <c r="D150" s="88"/>
      <c r="E150" s="88"/>
      <c r="F150" s="125"/>
      <c r="G150" s="127"/>
      <c r="H150" s="127"/>
      <c r="I150" s="104"/>
      <c r="J150" s="364">
        <f>'Schedule 3 Adjustments'!J149</f>
        <v>0</v>
      </c>
      <c r="K150" s="220">
        <f>'Schedule 3 Adjustments'!M149</f>
        <v>0</v>
      </c>
      <c r="L150" s="90"/>
      <c r="M150" s="88"/>
      <c r="N150" s="88"/>
      <c r="O150" s="88"/>
      <c r="P150" s="88"/>
      <c r="Q150" s="88"/>
      <c r="R150" s="88"/>
    </row>
    <row r="151" spans="1:18" x14ac:dyDescent="0.35">
      <c r="A151" s="102" t="s">
        <v>449</v>
      </c>
      <c r="B151" s="88"/>
      <c r="C151" s="88"/>
      <c r="D151" s="88"/>
      <c r="E151" s="88"/>
      <c r="F151" s="125"/>
      <c r="G151" s="127"/>
      <c r="H151" s="127"/>
      <c r="I151" s="104"/>
      <c r="J151" s="365">
        <f>'Schedule 3 Adjustments'!J150</f>
        <v>0</v>
      </c>
      <c r="K151" s="223">
        <f>'Schedule 3 Adjustments'!M150</f>
        <v>0</v>
      </c>
      <c r="L151" s="90"/>
      <c r="M151" s="88"/>
      <c r="N151" s="88"/>
      <c r="O151" s="88"/>
      <c r="P151" s="88"/>
      <c r="Q151" s="88"/>
      <c r="R151" s="88"/>
    </row>
    <row r="152" spans="1:18" x14ac:dyDescent="0.35">
      <c r="J152" s="99"/>
      <c r="L152" s="28"/>
    </row>
    <row r="153" spans="1:18" s="34" customFormat="1" x14ac:dyDescent="0.35">
      <c r="A153" s="84">
        <v>28</v>
      </c>
      <c r="B153" s="577">
        <f>'Schedule 3 Adjustments'!B152:C152</f>
        <v>0</v>
      </c>
      <c r="C153" s="578"/>
      <c r="D153" s="358">
        <f>'Schedule 3 Adjustments'!D152</f>
        <v>0</v>
      </c>
      <c r="E153" s="358">
        <f>'Schedule 3 Adjustments'!E152</f>
        <v>0</v>
      </c>
      <c r="F153" s="363">
        <f>'Schedule 3 Adjustments'!F152</f>
        <v>0</v>
      </c>
      <c r="G153" s="366">
        <f>'Schedule 3 Adjustments'!G152</f>
        <v>0</v>
      </c>
      <c r="H153" s="366">
        <f>'Schedule 3 Adjustments'!H152</f>
        <v>0</v>
      </c>
      <c r="I153" s="130" t="str">
        <f>IF(B153=0,"",IF(AND(G153=0,H153=0),365,IF(AND(G153&gt;0,H153=0),$C$7-G153+1,IF(AND(G153=0,H153&gt;0),H153-($C$7-365),H153-G153+1))))</f>
        <v/>
      </c>
      <c r="J153" s="98"/>
      <c r="K153" s="8">
        <f>SUM(K154:K156)</f>
        <v>0</v>
      </c>
      <c r="L153" s="91" t="str">
        <f>IF(K153&gt;0,K153/(F153*I153),"")</f>
        <v/>
      </c>
      <c r="M153" s="118">
        <f>'Schedule 3 Adjustments'!R152</f>
        <v>0</v>
      </c>
      <c r="N153" s="85" t="str">
        <f>IFERROR(M153/K153,"")</f>
        <v/>
      </c>
      <c r="O153" s="118">
        <f>'Schedule 3 Adjustments'!W152</f>
        <v>0</v>
      </c>
      <c r="P153" s="85" t="str">
        <f>IFERROR(O153/K153,"")</f>
        <v/>
      </c>
      <c r="Q153" s="86" t="str">
        <f>IF(M153=0,"",M153-O153)</f>
        <v/>
      </c>
      <c r="R153" s="85" t="str">
        <f>IFERROR(Q153/K153,"")</f>
        <v/>
      </c>
    </row>
    <row r="154" spans="1:18" x14ac:dyDescent="0.35">
      <c r="A154" s="100" t="s">
        <v>447</v>
      </c>
      <c r="B154" s="87"/>
      <c r="C154" s="87"/>
      <c r="D154" s="87"/>
      <c r="E154" s="87"/>
      <c r="F154" s="124"/>
      <c r="G154" s="126"/>
      <c r="H154" s="126"/>
      <c r="I154" s="103"/>
      <c r="J154" s="362">
        <f>'Schedule 3 Adjustments'!J153</f>
        <v>0</v>
      </c>
      <c r="K154" s="213">
        <f>'Schedule 3 Adjustments'!M153</f>
        <v>0</v>
      </c>
      <c r="L154" s="89"/>
      <c r="M154" s="87"/>
      <c r="N154" s="87"/>
      <c r="O154" s="87"/>
      <c r="P154" s="87"/>
      <c r="Q154" s="87"/>
      <c r="R154" s="87"/>
    </row>
    <row r="155" spans="1:18" x14ac:dyDescent="0.35">
      <c r="A155" s="101" t="s">
        <v>448</v>
      </c>
      <c r="B155" s="88"/>
      <c r="C155" s="88"/>
      <c r="D155" s="88"/>
      <c r="E155" s="88"/>
      <c r="F155" s="125"/>
      <c r="G155" s="127"/>
      <c r="H155" s="127"/>
      <c r="I155" s="104"/>
      <c r="J155" s="364">
        <f>'Schedule 3 Adjustments'!J154</f>
        <v>0</v>
      </c>
      <c r="K155" s="220">
        <f>'Schedule 3 Adjustments'!M154</f>
        <v>0</v>
      </c>
      <c r="L155" s="90"/>
      <c r="M155" s="88"/>
      <c r="N155" s="88"/>
      <c r="O155" s="88"/>
      <c r="P155" s="88"/>
      <c r="Q155" s="88"/>
      <c r="R155" s="88"/>
    </row>
    <row r="156" spans="1:18" x14ac:dyDescent="0.35">
      <c r="A156" s="102" t="s">
        <v>449</v>
      </c>
      <c r="B156" s="88"/>
      <c r="C156" s="88"/>
      <c r="D156" s="88"/>
      <c r="E156" s="88"/>
      <c r="F156" s="125"/>
      <c r="G156" s="127"/>
      <c r="H156" s="127"/>
      <c r="I156" s="104"/>
      <c r="J156" s="365">
        <f>'Schedule 3 Adjustments'!J155</f>
        <v>0</v>
      </c>
      <c r="K156" s="223">
        <f>'Schedule 3 Adjustments'!M155</f>
        <v>0</v>
      </c>
      <c r="L156" s="90"/>
      <c r="M156" s="88"/>
      <c r="N156" s="88"/>
      <c r="O156" s="88"/>
      <c r="P156" s="88"/>
      <c r="Q156" s="88"/>
      <c r="R156" s="88"/>
    </row>
    <row r="157" spans="1:18" x14ac:dyDescent="0.35">
      <c r="J157" s="99"/>
      <c r="L157" s="28"/>
    </row>
    <row r="158" spans="1:18" s="34" customFormat="1" x14ac:dyDescent="0.35">
      <c r="A158" s="84">
        <v>29</v>
      </c>
      <c r="B158" s="577">
        <f>'Schedule 3 Adjustments'!B157:C157</f>
        <v>0</v>
      </c>
      <c r="C158" s="578"/>
      <c r="D158" s="358">
        <f>'Schedule 3 Adjustments'!D157</f>
        <v>0</v>
      </c>
      <c r="E158" s="358">
        <f>'Schedule 3 Adjustments'!E157</f>
        <v>0</v>
      </c>
      <c r="F158" s="363">
        <f>'Schedule 3 Adjustments'!F157</f>
        <v>0</v>
      </c>
      <c r="G158" s="366">
        <f>'Schedule 3 Adjustments'!G157</f>
        <v>0</v>
      </c>
      <c r="H158" s="366">
        <f>'Schedule 3 Adjustments'!H157</f>
        <v>0</v>
      </c>
      <c r="I158" s="130" t="str">
        <f>IF(B158=0,"",IF(AND(G158=0,H158=0),365,IF(AND(G158&gt;0,H158=0),$C$7-G158+1,IF(AND(G158=0,H158&gt;0),H158-($C$7-365),H158-G158+1))))</f>
        <v/>
      </c>
      <c r="J158" s="98"/>
      <c r="K158" s="8">
        <f>SUM(K159:K161)</f>
        <v>0</v>
      </c>
      <c r="L158" s="91" t="str">
        <f>IF(K158&gt;0,K158/(F158*I158),"")</f>
        <v/>
      </c>
      <c r="M158" s="118">
        <f>'Schedule 3 Adjustments'!R157</f>
        <v>0</v>
      </c>
      <c r="N158" s="85" t="str">
        <f>IFERROR(M158/K158,"")</f>
        <v/>
      </c>
      <c r="O158" s="118">
        <f>'Schedule 3 Adjustments'!W157</f>
        <v>0</v>
      </c>
      <c r="P158" s="85" t="str">
        <f>IFERROR(O158/K158,"")</f>
        <v/>
      </c>
      <c r="Q158" s="86" t="str">
        <f>IF(M158=0,"",M158-O158)</f>
        <v/>
      </c>
      <c r="R158" s="85" t="str">
        <f>IFERROR(Q158/K158,"")</f>
        <v/>
      </c>
    </row>
    <row r="159" spans="1:18" x14ac:dyDescent="0.35">
      <c r="A159" s="100" t="s">
        <v>447</v>
      </c>
      <c r="B159" s="87"/>
      <c r="C159" s="87"/>
      <c r="D159" s="87"/>
      <c r="E159" s="87"/>
      <c r="F159" s="124"/>
      <c r="G159" s="126"/>
      <c r="H159" s="126"/>
      <c r="I159" s="103"/>
      <c r="J159" s="362">
        <f>'Schedule 3 Adjustments'!J158</f>
        <v>0</v>
      </c>
      <c r="K159" s="213">
        <f>'Schedule 3 Adjustments'!M158</f>
        <v>0</v>
      </c>
      <c r="L159" s="89"/>
      <c r="M159" s="87"/>
      <c r="N159" s="87"/>
      <c r="O159" s="87"/>
      <c r="P159" s="87"/>
      <c r="Q159" s="87"/>
      <c r="R159" s="87"/>
    </row>
    <row r="160" spans="1:18" x14ac:dyDescent="0.35">
      <c r="A160" s="101" t="s">
        <v>448</v>
      </c>
      <c r="B160" s="88"/>
      <c r="C160" s="88"/>
      <c r="D160" s="88"/>
      <c r="E160" s="88"/>
      <c r="F160" s="125"/>
      <c r="G160" s="127"/>
      <c r="H160" s="127"/>
      <c r="I160" s="104"/>
      <c r="J160" s="364">
        <f>'Schedule 3 Adjustments'!J159</f>
        <v>0</v>
      </c>
      <c r="K160" s="220">
        <f>'Schedule 3 Adjustments'!M159</f>
        <v>0</v>
      </c>
      <c r="L160" s="90"/>
      <c r="M160" s="88"/>
      <c r="N160" s="88"/>
      <c r="O160" s="88"/>
      <c r="P160" s="88"/>
      <c r="Q160" s="88"/>
      <c r="R160" s="88"/>
    </row>
    <row r="161" spans="1:18" x14ac:dyDescent="0.35">
      <c r="A161" s="102" t="s">
        <v>449</v>
      </c>
      <c r="B161" s="88"/>
      <c r="C161" s="88"/>
      <c r="D161" s="88"/>
      <c r="E161" s="88"/>
      <c r="F161" s="125"/>
      <c r="G161" s="127"/>
      <c r="H161" s="127"/>
      <c r="I161" s="104"/>
      <c r="J161" s="365">
        <f>'Schedule 3 Adjustments'!J160</f>
        <v>0</v>
      </c>
      <c r="K161" s="223">
        <f>'Schedule 3 Adjustments'!M160</f>
        <v>0</v>
      </c>
      <c r="L161" s="90"/>
      <c r="M161" s="88"/>
      <c r="N161" s="88"/>
      <c r="O161" s="88"/>
      <c r="P161" s="88"/>
      <c r="Q161" s="88"/>
      <c r="R161" s="88"/>
    </row>
    <row r="162" spans="1:18" x14ac:dyDescent="0.35">
      <c r="J162" s="99"/>
      <c r="L162" s="28"/>
    </row>
    <row r="163" spans="1:18" s="34" customFormat="1" x14ac:dyDescent="0.35">
      <c r="A163" s="84">
        <v>30</v>
      </c>
      <c r="B163" s="577">
        <f>'Schedule 3 Adjustments'!B162:C162</f>
        <v>0</v>
      </c>
      <c r="C163" s="578"/>
      <c r="D163" s="358">
        <f>'Schedule 3 Adjustments'!D162</f>
        <v>0</v>
      </c>
      <c r="E163" s="358">
        <f>'Schedule 3 Adjustments'!E162</f>
        <v>0</v>
      </c>
      <c r="F163" s="363">
        <f>'Schedule 3 Adjustments'!F162</f>
        <v>0</v>
      </c>
      <c r="G163" s="366">
        <f>'Schedule 3 Adjustments'!G162</f>
        <v>0</v>
      </c>
      <c r="H163" s="366">
        <f>'Schedule 3 Adjustments'!H162</f>
        <v>0</v>
      </c>
      <c r="I163" s="130" t="str">
        <f>IF(B163=0,"",IF(AND(G163=0,H163=0),365,IF(AND(G163&gt;0,H163=0),$C$7-G163+1,IF(AND(G163=0,H163&gt;0),H163-($C$7-365),H163-G163+1))))</f>
        <v/>
      </c>
      <c r="J163" s="98"/>
      <c r="K163" s="8">
        <f>SUM(K164:K166)</f>
        <v>0</v>
      </c>
      <c r="L163" s="91" t="str">
        <f>IF(K163&gt;0,K163/(F163*I163),"")</f>
        <v/>
      </c>
      <c r="M163" s="118">
        <f>'Schedule 3 Adjustments'!R162</f>
        <v>0</v>
      </c>
      <c r="N163" s="85" t="str">
        <f>IFERROR(M163/K163,"")</f>
        <v/>
      </c>
      <c r="O163" s="118">
        <f>'Schedule 3 Adjustments'!W162</f>
        <v>0</v>
      </c>
      <c r="P163" s="85" t="str">
        <f>IFERROR(O163/K163,"")</f>
        <v/>
      </c>
      <c r="Q163" s="86" t="str">
        <f>IF(M163=0,"",M163-O163)</f>
        <v/>
      </c>
      <c r="R163" s="85" t="str">
        <f>IFERROR(Q163/K163,"")</f>
        <v/>
      </c>
    </row>
    <row r="164" spans="1:18" x14ac:dyDescent="0.35">
      <c r="A164" s="100" t="s">
        <v>447</v>
      </c>
      <c r="B164" s="87"/>
      <c r="C164" s="87"/>
      <c r="D164" s="87"/>
      <c r="E164" s="87"/>
      <c r="F164" s="124"/>
      <c r="G164" s="126"/>
      <c r="H164" s="126"/>
      <c r="I164" s="103"/>
      <c r="J164" s="362">
        <f>'Schedule 3 Adjustments'!J163</f>
        <v>0</v>
      </c>
      <c r="K164" s="213">
        <f>'Schedule 3 Adjustments'!M163</f>
        <v>0</v>
      </c>
      <c r="L164" s="89"/>
      <c r="M164" s="87"/>
      <c r="N164" s="87"/>
      <c r="O164" s="87"/>
      <c r="P164" s="87"/>
      <c r="Q164" s="87"/>
      <c r="R164" s="87"/>
    </row>
    <row r="165" spans="1:18" x14ac:dyDescent="0.35">
      <c r="A165" s="101" t="s">
        <v>448</v>
      </c>
      <c r="B165" s="88"/>
      <c r="C165" s="88"/>
      <c r="D165" s="88"/>
      <c r="E165" s="88"/>
      <c r="F165" s="125"/>
      <c r="G165" s="127"/>
      <c r="H165" s="127"/>
      <c r="I165" s="104"/>
      <c r="J165" s="364">
        <f>'Schedule 3 Adjustments'!J164</f>
        <v>0</v>
      </c>
      <c r="K165" s="220">
        <f>'Schedule 3 Adjustments'!M164</f>
        <v>0</v>
      </c>
      <c r="L165" s="90"/>
      <c r="M165" s="88"/>
      <c r="N165" s="88"/>
      <c r="O165" s="88"/>
      <c r="P165" s="88"/>
      <c r="Q165" s="88"/>
      <c r="R165" s="88"/>
    </row>
    <row r="166" spans="1:18" x14ac:dyDescent="0.35">
      <c r="A166" s="102" t="s">
        <v>449</v>
      </c>
      <c r="B166" s="88"/>
      <c r="C166" s="88"/>
      <c r="D166" s="88"/>
      <c r="E166" s="88"/>
      <c r="F166" s="125"/>
      <c r="G166" s="127"/>
      <c r="H166" s="127"/>
      <c r="I166" s="104"/>
      <c r="J166" s="365">
        <f>'Schedule 3 Adjustments'!J165</f>
        <v>0</v>
      </c>
      <c r="K166" s="223">
        <f>'Schedule 3 Adjustments'!M165</f>
        <v>0</v>
      </c>
      <c r="L166" s="90"/>
      <c r="M166" s="88"/>
      <c r="N166" s="88"/>
      <c r="O166" s="88"/>
      <c r="P166" s="88"/>
      <c r="Q166" s="88"/>
      <c r="R166" s="88"/>
    </row>
    <row r="167" spans="1:18" x14ac:dyDescent="0.35">
      <c r="J167" s="99"/>
      <c r="L167" s="28"/>
    </row>
    <row r="168" spans="1:18" x14ac:dyDescent="0.35">
      <c r="A168" s="19">
        <v>31</v>
      </c>
      <c r="B168" s="576" t="s">
        <v>173</v>
      </c>
      <c r="C168" s="576"/>
      <c r="D168" s="576"/>
      <c r="E168" s="576"/>
      <c r="F168" s="27">
        <f>F163+F158+F153+F148+F143+F138+F133+F128+F123+F118+F113+F108+F103+F98+F93+F88+F83+F78+F73+F68+F63+F58+F53+F48+F43+F38+F33+F28+F23+F18</f>
        <v>134</v>
      </c>
      <c r="G168" s="32"/>
      <c r="H168" s="32"/>
      <c r="I168" s="32"/>
      <c r="J168" s="32"/>
      <c r="K168" s="27">
        <f>K163+K158+K153+K148+K143+K138+K133+K128+K123+K118+K113+K108+K103+K98+K93+K88+K83+K78+K73+K68+K63+K58+K53+K48+K43+K38+K33+K28+K23+K18</f>
        <v>36186</v>
      </c>
      <c r="L168" s="29">
        <f>IF(K168&gt;0,K168/(F168*365),"")</f>
        <v>0.73984870169699446</v>
      </c>
      <c r="M168" s="27">
        <f>M163+M158+M153+M148+M143+M138+M133+M128+M123+M118+M113+M108+M103+M98+M93+M88+M83+M78+M73+M68+M63+M58+M53+M48+M43+M38+M33+M28+M23+M18</f>
        <v>24778961.236166928</v>
      </c>
      <c r="N168" s="17">
        <f>IFERROR(M168/K168,"")</f>
        <v>684.76651843715604</v>
      </c>
      <c r="O168" s="27">
        <f>O163+O158+O153+O148+O143+O138+O133+O128+O123+O118+O113+O108+O103+O98+O93+O88+O83+O78+O73+O68+O63+O58+O53+O48+O43+O38+O33+O28+O23+O18</f>
        <v>1570259.9622175435</v>
      </c>
      <c r="P168" s="17">
        <f t="shared" ref="P168" si="0">IFERROR(O168/K168,"")</f>
        <v>43.394129282527594</v>
      </c>
      <c r="Q168" s="30">
        <f t="shared" ref="Q168" si="1">IF(M168=0,"",M168-O168)</f>
        <v>23208701.273949385</v>
      </c>
      <c r="R168" s="17">
        <f t="shared" ref="R168" si="2">IFERROR(Q168/K168,"")</f>
        <v>641.37238915462842</v>
      </c>
    </row>
    <row r="170" spans="1:18" x14ac:dyDescent="0.35">
      <c r="A170" s="19">
        <v>32</v>
      </c>
      <c r="L170" s="37" t="s">
        <v>199</v>
      </c>
      <c r="M170" s="39">
        <f>'Schedule 3 Adjustments'!R169</f>
        <v>19062400.119320475</v>
      </c>
    </row>
    <row r="171" spans="1:18" x14ac:dyDescent="0.35">
      <c r="A171" s="19">
        <v>33</v>
      </c>
      <c r="L171" s="37" t="s">
        <v>186</v>
      </c>
      <c r="M171" s="39">
        <f>'Schedule 3 Adjustments'!R170</f>
        <v>5716561.1168464525</v>
      </c>
    </row>
    <row r="172" spans="1:18" x14ac:dyDescent="0.35">
      <c r="A172" s="19">
        <v>34</v>
      </c>
      <c r="L172" s="37" t="s">
        <v>200</v>
      </c>
      <c r="M172" s="18">
        <f>SUM(M170:M171)</f>
        <v>24778961.236166928</v>
      </c>
    </row>
    <row r="173" spans="1:18" x14ac:dyDescent="0.35">
      <c r="A173" s="19">
        <v>35</v>
      </c>
      <c r="L173" s="37" t="s">
        <v>10</v>
      </c>
      <c r="M173" s="18">
        <f>M168-M172</f>
        <v>0</v>
      </c>
    </row>
    <row r="174" spans="1:18" x14ac:dyDescent="0.35">
      <c r="M174" s="38" t="str">
        <f>IF(M173&lt;&gt;0,"ERROR","")</f>
        <v/>
      </c>
    </row>
    <row r="175" spans="1:18" ht="39" customHeight="1" x14ac:dyDescent="0.35">
      <c r="J175" s="6" t="s">
        <v>40</v>
      </c>
      <c r="K175" s="6" t="s">
        <v>446</v>
      </c>
      <c r="L175" s="6" t="s">
        <v>445</v>
      </c>
      <c r="M175" s="78" t="s">
        <v>10</v>
      </c>
    </row>
    <row r="176" spans="1:18" x14ac:dyDescent="0.35">
      <c r="A176" s="19">
        <v>36</v>
      </c>
      <c r="J176" s="93" t="s">
        <v>442</v>
      </c>
      <c r="K176" s="27">
        <f>SUMIF($J$18:$J$168,"H0010 3.2 WM",$K$18:$K$168)</f>
        <v>0</v>
      </c>
      <c r="L176" s="27">
        <f>'Adjusted Schedule 4'!D123+'Adjusted Schedule 4'!H123</f>
        <v>0</v>
      </c>
      <c r="M176" s="27">
        <f>L176-K176</f>
        <v>0</v>
      </c>
      <c r="N176" s="92" t="str">
        <f>IF(M176&lt;&gt;0,"ERROR","")</f>
        <v/>
      </c>
    </row>
    <row r="177" spans="1:14" x14ac:dyDescent="0.35">
      <c r="A177" s="19">
        <v>37</v>
      </c>
      <c r="J177" s="94" t="s">
        <v>443</v>
      </c>
      <c r="K177" s="27">
        <f>SUMIF($J$18:$J$168,"H0011 3.7 WM",$K$18:$K$168)</f>
        <v>0</v>
      </c>
      <c r="L177" s="27">
        <f>'Adjusted Schedule 4'!D124+'Adjusted Schedule 4'!H124</f>
        <v>0</v>
      </c>
      <c r="M177" s="27">
        <f t="shared" ref="M177:M180" si="3">L177-K177</f>
        <v>0</v>
      </c>
      <c r="N177" s="92" t="str">
        <f t="shared" ref="N177:N180" si="4">IF(M177&lt;&gt;0,"ERROR","")</f>
        <v/>
      </c>
    </row>
    <row r="178" spans="1:14" x14ac:dyDescent="0.35">
      <c r="A178" s="19">
        <v>38</v>
      </c>
      <c r="C178" s="224" t="s">
        <v>476</v>
      </c>
      <c r="D178" s="225"/>
      <c r="E178" s="225"/>
      <c r="F178" s="225"/>
      <c r="G178" s="136"/>
      <c r="J178" s="94" t="s">
        <v>51</v>
      </c>
      <c r="K178" s="27">
        <f t="shared" ref="K178:K185" si="5">SUMIF($J$18:$J$168,J178,$K$18:$K$168)</f>
        <v>0</v>
      </c>
      <c r="L178" s="27">
        <f>'Adjusted Schedule 4'!D126+'Adjusted Schedule 4'!H126</f>
        <v>0</v>
      </c>
      <c r="M178" s="27">
        <f t="shared" si="3"/>
        <v>0</v>
      </c>
      <c r="N178" s="92" t="str">
        <f t="shared" si="4"/>
        <v/>
      </c>
    </row>
    <row r="179" spans="1:14" x14ac:dyDescent="0.35">
      <c r="A179" s="19">
        <v>39</v>
      </c>
      <c r="C179" s="226" t="s">
        <v>468</v>
      </c>
      <c r="D179" s="227"/>
      <c r="E179" s="227" t="s">
        <v>472</v>
      </c>
      <c r="F179" s="99"/>
      <c r="G179" s="137"/>
      <c r="J179" s="94" t="s">
        <v>52</v>
      </c>
      <c r="K179" s="27">
        <f t="shared" si="5"/>
        <v>6660</v>
      </c>
      <c r="L179" s="27">
        <f>'Adjusted Schedule 4'!D127+'Adjusted Schedule 4'!H127</f>
        <v>6660</v>
      </c>
      <c r="M179" s="27">
        <f t="shared" si="3"/>
        <v>0</v>
      </c>
      <c r="N179" s="92" t="str">
        <f t="shared" si="4"/>
        <v/>
      </c>
    </row>
    <row r="180" spans="1:14" x14ac:dyDescent="0.35">
      <c r="A180" s="19">
        <v>40</v>
      </c>
      <c r="C180" s="226" t="s">
        <v>477</v>
      </c>
      <c r="D180" s="227"/>
      <c r="E180" s="227" t="s">
        <v>474</v>
      </c>
      <c r="F180" s="99"/>
      <c r="G180" s="137"/>
      <c r="J180" s="94" t="s">
        <v>53</v>
      </c>
      <c r="K180" s="27">
        <f t="shared" si="5"/>
        <v>26432</v>
      </c>
      <c r="L180" s="27">
        <f>'Adjusted Schedule 4'!D128+'Adjusted Schedule 4'!H128</f>
        <v>26432</v>
      </c>
      <c r="M180" s="27">
        <f t="shared" si="3"/>
        <v>0</v>
      </c>
      <c r="N180" s="92" t="str">
        <f t="shared" si="4"/>
        <v/>
      </c>
    </row>
    <row r="181" spans="1:14" x14ac:dyDescent="0.35">
      <c r="A181" s="19">
        <v>41</v>
      </c>
      <c r="C181" s="226" t="s">
        <v>469</v>
      </c>
      <c r="D181" s="227"/>
      <c r="E181" s="227" t="s">
        <v>473</v>
      </c>
      <c r="F181" s="99"/>
      <c r="G181" s="137"/>
      <c r="J181" s="95" t="s">
        <v>440</v>
      </c>
      <c r="K181" s="105">
        <f t="shared" si="5"/>
        <v>0</v>
      </c>
      <c r="L181" s="89"/>
      <c r="M181" s="87"/>
    </row>
    <row r="182" spans="1:14" x14ac:dyDescent="0.35">
      <c r="A182" s="19">
        <v>42</v>
      </c>
      <c r="C182" s="226" t="s">
        <v>470</v>
      </c>
      <c r="D182" s="227"/>
      <c r="E182" s="227" t="s">
        <v>471</v>
      </c>
      <c r="F182" s="99"/>
      <c r="G182" s="137"/>
      <c r="J182" s="95" t="s">
        <v>444</v>
      </c>
      <c r="K182" s="107">
        <f t="shared" si="5"/>
        <v>0</v>
      </c>
      <c r="L182" s="90"/>
      <c r="M182" s="88"/>
    </row>
    <row r="183" spans="1:14" x14ac:dyDescent="0.35">
      <c r="A183" s="19">
        <v>43</v>
      </c>
      <c r="C183" s="228" t="s">
        <v>478</v>
      </c>
      <c r="D183" s="229"/>
      <c r="E183" s="229" t="s">
        <v>475</v>
      </c>
      <c r="F183" s="230"/>
      <c r="G183" s="138"/>
      <c r="J183" s="95" t="s">
        <v>439</v>
      </c>
      <c r="K183" s="107">
        <f t="shared" si="5"/>
        <v>0</v>
      </c>
      <c r="L183" s="108"/>
      <c r="M183" s="109"/>
    </row>
    <row r="184" spans="1:14" x14ac:dyDescent="0.35">
      <c r="A184" s="19">
        <v>44</v>
      </c>
      <c r="C184" s="99"/>
      <c r="D184" s="99"/>
      <c r="E184" s="99"/>
      <c r="F184" s="99"/>
      <c r="J184" s="96" t="s">
        <v>438</v>
      </c>
      <c r="K184" s="106">
        <f t="shared" si="5"/>
        <v>3094</v>
      </c>
      <c r="L184" s="27">
        <f>'Adjusted Schedule 4'!D181+'Adjusted Schedule 4'!H181</f>
        <v>3094</v>
      </c>
      <c r="M184" s="27">
        <f>L184-SUM(K181:K184)</f>
        <v>0</v>
      </c>
      <c r="N184" s="92" t="str">
        <f t="shared" ref="N184" si="6">IF(M184&lt;&gt;0,"ERROR","")</f>
        <v/>
      </c>
    </row>
    <row r="185" spans="1:14" x14ac:dyDescent="0.35">
      <c r="A185" s="19">
        <v>45</v>
      </c>
      <c r="C185" s="99"/>
      <c r="D185" s="99"/>
      <c r="E185" s="99"/>
      <c r="F185" s="99"/>
      <c r="J185" s="94" t="s">
        <v>481</v>
      </c>
      <c r="K185" s="27">
        <f t="shared" si="5"/>
        <v>0</v>
      </c>
      <c r="L185" s="90"/>
      <c r="M185" s="88"/>
    </row>
    <row r="186" spans="1:14" x14ac:dyDescent="0.35">
      <c r="C186" s="99"/>
      <c r="D186" s="99"/>
      <c r="E186" s="99"/>
      <c r="F186" s="99"/>
    </row>
    <row r="250" spans="4:10" ht="17.25" customHeight="1" x14ac:dyDescent="0.35"/>
    <row r="252" spans="4:10" hidden="1" x14ac:dyDescent="0.35">
      <c r="D252" t="s">
        <v>456</v>
      </c>
      <c r="E252" t="s">
        <v>159</v>
      </c>
      <c r="J252" s="110" t="s">
        <v>450</v>
      </c>
    </row>
    <row r="253" spans="4:10" hidden="1" x14ac:dyDescent="0.35">
      <c r="D253" t="s">
        <v>176</v>
      </c>
      <c r="E253" t="s">
        <v>456</v>
      </c>
      <c r="J253" s="111" t="s">
        <v>451</v>
      </c>
    </row>
    <row r="254" spans="4:10" hidden="1" x14ac:dyDescent="0.35">
      <c r="D254" t="s">
        <v>175</v>
      </c>
      <c r="E254" t="s">
        <v>467</v>
      </c>
      <c r="J254" s="111" t="s">
        <v>51</v>
      </c>
    </row>
    <row r="255" spans="4:10" hidden="1" x14ac:dyDescent="0.35">
      <c r="D255" t="s">
        <v>435</v>
      </c>
      <c r="E255" t="s">
        <v>466</v>
      </c>
      <c r="J255" s="111" t="s">
        <v>52</v>
      </c>
    </row>
    <row r="256" spans="4:10" hidden="1" x14ac:dyDescent="0.35">
      <c r="D256" t="s">
        <v>170</v>
      </c>
      <c r="E256" t="s">
        <v>174</v>
      </c>
      <c r="J256" s="111" t="s">
        <v>53</v>
      </c>
    </row>
    <row r="257" spans="4:10" hidden="1" x14ac:dyDescent="0.35">
      <c r="D257" t="s">
        <v>482</v>
      </c>
      <c r="E257" t="s">
        <v>172</v>
      </c>
      <c r="J257" s="111" t="s">
        <v>440</v>
      </c>
    </row>
    <row r="258" spans="4:10" hidden="1" x14ac:dyDescent="0.35">
      <c r="E258" t="s">
        <v>171</v>
      </c>
      <c r="J258" s="111" t="s">
        <v>444</v>
      </c>
    </row>
    <row r="259" spans="4:10" hidden="1" x14ac:dyDescent="0.35">
      <c r="E259" t="s">
        <v>465</v>
      </c>
      <c r="J259" s="111" t="s">
        <v>439</v>
      </c>
    </row>
    <row r="260" spans="4:10" hidden="1" x14ac:dyDescent="0.35">
      <c r="E260" t="s">
        <v>436</v>
      </c>
      <c r="J260" s="112" t="s">
        <v>438</v>
      </c>
    </row>
    <row r="261" spans="4:10" hidden="1" x14ac:dyDescent="0.35">
      <c r="J261" s="112" t="s">
        <v>481</v>
      </c>
    </row>
    <row r="262" spans="4:10" hidden="1" x14ac:dyDescent="0.35">
      <c r="J262" s="112" t="s">
        <v>455</v>
      </c>
    </row>
  </sheetData>
  <sheetProtection sheet="1" objects="1" scenarios="1"/>
  <customSheetViews>
    <customSheetView guid="{17302493-42B1-4877-869E-E424A97AE78B}" hiddenRows="1" topLeftCell="M1">
      <selection activeCell="M21" sqref="M21"/>
      <pageMargins left="0.7" right="0.7" top="0.75" bottom="0.75" header="0.3" footer="0.3"/>
      <pageSetup orientation="portrait" horizontalDpi="1200" verticalDpi="1200" r:id="rId1"/>
    </customSheetView>
    <customSheetView guid="{5C0BA3A5-859C-46C2-B685-44D9A90065E4}" hiddenRows="1" topLeftCell="M1">
      <selection activeCell="M21" sqref="M21"/>
      <pageMargins left="0.7" right="0.7" top="0.75" bottom="0.75" header="0.3" footer="0.3"/>
      <pageSetup orientation="portrait" horizontalDpi="1200" verticalDpi="1200" r:id="rId2"/>
    </customSheetView>
  </customSheetViews>
  <mergeCells count="44">
    <mergeCell ref="Q15:R15"/>
    <mergeCell ref="B18:C18"/>
    <mergeCell ref="A10:K12"/>
    <mergeCell ref="B14:C14"/>
    <mergeCell ref="B15:C16"/>
    <mergeCell ref="D15:D16"/>
    <mergeCell ref="E15:E16"/>
    <mergeCell ref="F15:F16"/>
    <mergeCell ref="G15:G16"/>
    <mergeCell ref="H15:H16"/>
    <mergeCell ref="B48:C48"/>
    <mergeCell ref="K15:K16"/>
    <mergeCell ref="L15:L16"/>
    <mergeCell ref="M15:N15"/>
    <mergeCell ref="O15:P15"/>
    <mergeCell ref="B23:C23"/>
    <mergeCell ref="B28:C28"/>
    <mergeCell ref="B33:C33"/>
    <mergeCell ref="B38:C38"/>
    <mergeCell ref="B43:C43"/>
    <mergeCell ref="B108:C108"/>
    <mergeCell ref="B53:C53"/>
    <mergeCell ref="B58:C58"/>
    <mergeCell ref="B63:C63"/>
    <mergeCell ref="B68:C68"/>
    <mergeCell ref="B73:C73"/>
    <mergeCell ref="B78:C78"/>
    <mergeCell ref="B83:C83"/>
    <mergeCell ref="B88:C88"/>
    <mergeCell ref="B93:C93"/>
    <mergeCell ref="B98:C98"/>
    <mergeCell ref="B103:C103"/>
    <mergeCell ref="B168:E168"/>
    <mergeCell ref="B113:C113"/>
    <mergeCell ref="B118:C118"/>
    <mergeCell ref="B123:C123"/>
    <mergeCell ref="B128:C128"/>
    <mergeCell ref="B133:C133"/>
    <mergeCell ref="B138:C138"/>
    <mergeCell ref="B143:C143"/>
    <mergeCell ref="B148:C148"/>
    <mergeCell ref="B153:C153"/>
    <mergeCell ref="B158:C158"/>
    <mergeCell ref="B163:C163"/>
  </mergeCells>
  <pageMargins left="0.7" right="0.7" top="0.75" bottom="0.75" header="0.3" footer="0.3"/>
  <pageSetup scale="31" fitToHeight="0" orientation="portrait" horizontalDpi="1200" verticalDpi="1200"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8971D"/>
    <pageSetUpPr fitToPage="1"/>
  </sheetPr>
  <dimension ref="A1:L198"/>
  <sheetViews>
    <sheetView workbookViewId="0">
      <selection activeCell="C26" sqref="C26"/>
    </sheetView>
  </sheetViews>
  <sheetFormatPr defaultColWidth="9.1796875" defaultRowHeight="14.5" x14ac:dyDescent="0.35"/>
  <cols>
    <col min="2" max="2" width="15.54296875" customWidth="1"/>
    <col min="3" max="3" width="77" style="4" customWidth="1"/>
    <col min="4" max="4" width="18.54296875" style="4" customWidth="1"/>
    <col min="5" max="5" width="25.453125" style="4" customWidth="1"/>
    <col min="6" max="6" width="18.54296875" style="4" customWidth="1"/>
    <col min="7" max="7" width="27.54296875" style="13" customWidth="1"/>
    <col min="8" max="8" width="25.1796875" style="13" customWidth="1"/>
    <col min="9" max="9" width="21" style="13" customWidth="1"/>
    <col min="10" max="10" width="25" style="13" customWidth="1"/>
    <col min="11" max="11" width="21" style="13" customWidth="1"/>
    <col min="12" max="12" width="16" customWidth="1"/>
  </cols>
  <sheetData>
    <row r="1" spans="1:12" ht="26" x14ac:dyDescent="0.6">
      <c r="A1" s="3" t="s">
        <v>777</v>
      </c>
      <c r="D1" s="48"/>
      <c r="E1" s="49"/>
      <c r="F1" s="49"/>
      <c r="G1" s="50"/>
      <c r="H1" s="50"/>
    </row>
    <row r="2" spans="1:12" ht="21" x14ac:dyDescent="0.5">
      <c r="A2" s="2" t="s">
        <v>775</v>
      </c>
      <c r="D2" s="54"/>
      <c r="E2" s="49"/>
      <c r="F2" s="49"/>
      <c r="G2" s="50"/>
      <c r="H2" s="50"/>
    </row>
    <row r="3" spans="1:12" ht="25" customHeight="1" x14ac:dyDescent="0.5">
      <c r="A3" s="5" t="s">
        <v>706</v>
      </c>
      <c r="B3" s="5"/>
      <c r="C3" s="7"/>
      <c r="D3" s="54"/>
      <c r="E3" s="51"/>
      <c r="F3" s="51"/>
      <c r="G3" s="52"/>
      <c r="H3" s="52"/>
      <c r="I3" s="14"/>
      <c r="J3" s="14"/>
    </row>
    <row r="4" spans="1:12" ht="25" customHeight="1" x14ac:dyDescent="0.5">
      <c r="A4" s="235" t="str">
        <f>Results!A4</f>
        <v>Final Adjustments</v>
      </c>
      <c r="B4" s="5"/>
      <c r="C4" s="7"/>
      <c r="D4" s="54"/>
      <c r="E4" s="51"/>
      <c r="F4" s="51"/>
      <c r="G4" s="52"/>
      <c r="H4" s="52"/>
      <c r="I4" s="14"/>
      <c r="J4" s="14"/>
    </row>
    <row r="5" spans="1:12" x14ac:dyDescent="0.35">
      <c r="D5" s="54"/>
      <c r="E5" s="49"/>
      <c r="F5" s="49"/>
      <c r="G5" s="50"/>
      <c r="H5" s="50"/>
      <c r="K5" s="588"/>
      <c r="L5" s="588"/>
    </row>
    <row r="6" spans="1:12" ht="15" customHeight="1" x14ac:dyDescent="0.35">
      <c r="A6" s="1" t="s">
        <v>776</v>
      </c>
      <c r="C6" s="414" t="str">
        <f>Results!$C$6</f>
        <v>WellPower</v>
      </c>
      <c r="D6" s="55"/>
      <c r="E6" s="53"/>
      <c r="F6" s="53"/>
      <c r="G6" s="50"/>
      <c r="H6" s="50"/>
      <c r="K6" s="588"/>
      <c r="L6" s="588"/>
    </row>
    <row r="7" spans="1:12" x14ac:dyDescent="0.35">
      <c r="A7" s="1" t="s">
        <v>0</v>
      </c>
      <c r="C7" s="35">
        <f>Results!$C$7</f>
        <v>45473</v>
      </c>
      <c r="D7" s="35"/>
      <c r="E7" s="35"/>
      <c r="F7" s="35"/>
      <c r="K7" s="588"/>
      <c r="L7" s="588"/>
    </row>
    <row r="8" spans="1:12" x14ac:dyDescent="0.35">
      <c r="A8" s="1"/>
      <c r="C8" s="35"/>
      <c r="D8" s="23">
        <v>1</v>
      </c>
      <c r="E8" s="35"/>
      <c r="F8" s="23">
        <v>3</v>
      </c>
      <c r="H8" s="197"/>
      <c r="I8" s="167">
        <v>6</v>
      </c>
      <c r="J8" s="197"/>
      <c r="K8" s="167">
        <v>8</v>
      </c>
      <c r="L8" s="81"/>
    </row>
    <row r="9" spans="1:12" x14ac:dyDescent="0.35">
      <c r="A9" s="19">
        <v>1</v>
      </c>
      <c r="C9" s="46" t="s">
        <v>700</v>
      </c>
      <c r="D9" s="26">
        <f>'Adjusted Schedule 1'!F96</f>
        <v>97430173.330182582</v>
      </c>
      <c r="E9" s="46" t="s">
        <v>703</v>
      </c>
      <c r="F9" s="31">
        <f>F198</f>
        <v>406327.73000000016</v>
      </c>
      <c r="H9" s="420" t="s">
        <v>865</v>
      </c>
      <c r="I9" s="26">
        <f>'Adjusted Schedule 1'!F96</f>
        <v>97430173.330182582</v>
      </c>
      <c r="J9" s="420" t="s">
        <v>868</v>
      </c>
      <c r="K9" s="172">
        <f>'Schedule 4 Adjustments'!S8</f>
        <v>217443</v>
      </c>
      <c r="L9" s="25"/>
    </row>
    <row r="10" spans="1:12" x14ac:dyDescent="0.35">
      <c r="A10" s="19">
        <v>2</v>
      </c>
      <c r="C10" s="46" t="s">
        <v>701</v>
      </c>
      <c r="D10" s="114">
        <f>'Schedule 4 Adjustments'!F9</f>
        <v>0</v>
      </c>
      <c r="E10" s="46" t="s">
        <v>704</v>
      </c>
      <c r="F10" s="31">
        <f>J198</f>
        <v>199367.74</v>
      </c>
      <c r="H10" s="420" t="s">
        <v>866</v>
      </c>
      <c r="I10" s="172">
        <f>'Schedule 4 Adjustments'!O9</f>
        <v>0</v>
      </c>
      <c r="J10" s="592"/>
      <c r="K10" s="592"/>
      <c r="L10" s="45"/>
    </row>
    <row r="11" spans="1:12" x14ac:dyDescent="0.35">
      <c r="A11" s="19">
        <v>3</v>
      </c>
      <c r="C11" s="42" t="s">
        <v>702</v>
      </c>
      <c r="D11" s="18">
        <f>D9-D10</f>
        <v>97430173.330182582</v>
      </c>
      <c r="E11" s="42" t="s">
        <v>705</v>
      </c>
      <c r="F11" s="9">
        <f>SUM(F9:F10)</f>
        <v>605695.4700000002</v>
      </c>
      <c r="H11" s="421" t="s">
        <v>867</v>
      </c>
      <c r="I11" s="177">
        <f>I9-I10</f>
        <v>97430173.330182582</v>
      </c>
      <c r="J11" s="592"/>
      <c r="K11" s="592"/>
      <c r="L11" s="45"/>
    </row>
    <row r="12" spans="1:12" x14ac:dyDescent="0.35">
      <c r="A12" s="1"/>
      <c r="H12" s="198"/>
      <c r="I12" s="198"/>
      <c r="J12" s="592"/>
      <c r="K12" s="593"/>
      <c r="L12" s="45"/>
    </row>
    <row r="13" spans="1:12" ht="18.5" x14ac:dyDescent="0.45">
      <c r="A13" s="19">
        <v>4</v>
      </c>
      <c r="E13" s="44" t="s">
        <v>707</v>
      </c>
      <c r="F13" s="43">
        <f>D11/F11</f>
        <v>160.85669805353265</v>
      </c>
      <c r="H13" s="198"/>
      <c r="I13" s="198"/>
      <c r="J13" s="422" t="s">
        <v>869</v>
      </c>
      <c r="K13" s="423">
        <f>I11/K9</f>
        <v>448.07224573880319</v>
      </c>
      <c r="L13" s="45"/>
    </row>
    <row r="14" spans="1:12" x14ac:dyDescent="0.35">
      <c r="A14" s="1"/>
      <c r="B14" s="415"/>
      <c r="C14" s="35"/>
      <c r="D14" s="35"/>
      <c r="E14" s="35"/>
      <c r="F14" s="35"/>
      <c r="I14" s="135"/>
    </row>
    <row r="15" spans="1:12" x14ac:dyDescent="0.35">
      <c r="D15" s="23">
        <v>1</v>
      </c>
      <c r="E15" s="23">
        <v>2</v>
      </c>
      <c r="F15" s="23">
        <v>3</v>
      </c>
      <c r="G15" s="23">
        <v>4</v>
      </c>
      <c r="H15" s="23">
        <v>5</v>
      </c>
      <c r="I15" s="23">
        <v>6</v>
      </c>
      <c r="J15" s="23">
        <v>7</v>
      </c>
      <c r="K15" s="23">
        <v>8</v>
      </c>
    </row>
    <row r="16" spans="1:12" x14ac:dyDescent="0.35">
      <c r="A16" s="1"/>
      <c r="C16" s="35"/>
      <c r="D16" s="589" t="s">
        <v>191</v>
      </c>
      <c r="E16" s="590"/>
      <c r="F16" s="590"/>
      <c r="G16" s="591"/>
      <c r="H16" s="589" t="s">
        <v>192</v>
      </c>
      <c r="I16" s="590"/>
      <c r="J16" s="590"/>
      <c r="K16" s="591"/>
    </row>
    <row r="17" spans="1:11" ht="43.5" x14ac:dyDescent="0.35">
      <c r="B17" s="200" t="s">
        <v>40</v>
      </c>
      <c r="C17" s="200" t="s">
        <v>11</v>
      </c>
      <c r="D17" s="200" t="s">
        <v>709</v>
      </c>
      <c r="E17" s="231" t="s">
        <v>708</v>
      </c>
      <c r="F17" s="370" t="s">
        <v>711</v>
      </c>
      <c r="G17" s="232" t="s">
        <v>710</v>
      </c>
      <c r="H17" s="232" t="s">
        <v>712</v>
      </c>
      <c r="I17" s="231" t="s">
        <v>484</v>
      </c>
      <c r="J17" s="16" t="s">
        <v>713</v>
      </c>
      <c r="K17" s="15" t="s">
        <v>714</v>
      </c>
    </row>
    <row r="18" spans="1:11" s="22" customFormat="1" x14ac:dyDescent="0.35">
      <c r="A18" s="19">
        <v>5</v>
      </c>
      <c r="B18" s="417" t="s">
        <v>790</v>
      </c>
      <c r="C18" s="20" t="s">
        <v>791</v>
      </c>
      <c r="D18" s="113">
        <f>'Schedule 4 Adjustments'!F17</f>
        <v>0</v>
      </c>
      <c r="E18" s="403">
        <v>0</v>
      </c>
      <c r="F18" s="139">
        <f>D18*E18</f>
        <v>0</v>
      </c>
      <c r="G18" s="140">
        <f t="shared" ref="G18:G82" si="0">E18*$F$13</f>
        <v>0</v>
      </c>
      <c r="H18" s="141">
        <f>'Schedule 4 Adjustments'!N17</f>
        <v>0</v>
      </c>
      <c r="I18" s="403">
        <v>0</v>
      </c>
      <c r="J18" s="47">
        <f>H18*I18</f>
        <v>0</v>
      </c>
      <c r="K18" s="21">
        <f t="shared" ref="K18" si="1">I18*$F$13</f>
        <v>0</v>
      </c>
    </row>
    <row r="19" spans="1:11" s="22" customFormat="1" x14ac:dyDescent="0.35">
      <c r="A19" s="19">
        <v>6</v>
      </c>
      <c r="B19" s="19">
        <v>80305</v>
      </c>
      <c r="C19" s="20" t="s">
        <v>111</v>
      </c>
      <c r="D19" s="113">
        <f>'Schedule 4 Adjustments'!F18</f>
        <v>0</v>
      </c>
      <c r="E19" s="403">
        <v>0</v>
      </c>
      <c r="F19" s="139">
        <f>D19*E19</f>
        <v>0</v>
      </c>
      <c r="G19" s="140">
        <f t="shared" si="0"/>
        <v>0</v>
      </c>
      <c r="H19" s="141">
        <f>'Schedule 4 Adjustments'!N18</f>
        <v>0</v>
      </c>
      <c r="I19" s="403">
        <v>0</v>
      </c>
      <c r="J19" s="47">
        <f>H19*I19</f>
        <v>0</v>
      </c>
      <c r="K19" s="21">
        <f t="shared" ref="K19:K82" si="2">I19*$F$13</f>
        <v>0</v>
      </c>
    </row>
    <row r="20" spans="1:11" s="22" customFormat="1" x14ac:dyDescent="0.35">
      <c r="A20" s="19">
        <v>7</v>
      </c>
      <c r="B20" s="19">
        <v>80306</v>
      </c>
      <c r="C20" s="20" t="s">
        <v>41</v>
      </c>
      <c r="D20" s="113">
        <f>'Schedule 4 Adjustments'!F19</f>
        <v>0</v>
      </c>
      <c r="E20" s="403">
        <v>0</v>
      </c>
      <c r="F20" s="139">
        <f>D20*E20</f>
        <v>0</v>
      </c>
      <c r="G20" s="140">
        <f t="shared" si="0"/>
        <v>0</v>
      </c>
      <c r="H20" s="141">
        <f>'Schedule 4 Adjustments'!N19</f>
        <v>0</v>
      </c>
      <c r="I20" s="403">
        <v>0</v>
      </c>
      <c r="J20" s="47">
        <f t="shared" ref="J20:J83" si="3">H20*I20</f>
        <v>0</v>
      </c>
      <c r="K20" s="21">
        <f t="shared" si="2"/>
        <v>0</v>
      </c>
    </row>
    <row r="21" spans="1:11" s="22" customFormat="1" x14ac:dyDescent="0.35">
      <c r="A21" s="19">
        <v>8</v>
      </c>
      <c r="B21" s="19">
        <v>82075</v>
      </c>
      <c r="C21" s="20" t="s">
        <v>112</v>
      </c>
      <c r="D21" s="113">
        <f>'Schedule 4 Adjustments'!F20</f>
        <v>0</v>
      </c>
      <c r="E21" s="403">
        <v>0</v>
      </c>
      <c r="F21" s="139">
        <f t="shared" ref="F21:F84" si="4">D21*E21</f>
        <v>0</v>
      </c>
      <c r="G21" s="140">
        <f t="shared" si="0"/>
        <v>0</v>
      </c>
      <c r="H21" s="141">
        <f>'Schedule 4 Adjustments'!N20</f>
        <v>0</v>
      </c>
      <c r="I21" s="403">
        <v>0</v>
      </c>
      <c r="J21" s="47">
        <f t="shared" si="3"/>
        <v>0</v>
      </c>
      <c r="K21" s="21">
        <f t="shared" si="2"/>
        <v>0</v>
      </c>
    </row>
    <row r="22" spans="1:11" s="22" customFormat="1" x14ac:dyDescent="0.35">
      <c r="A22" s="19">
        <v>9</v>
      </c>
      <c r="B22" s="19">
        <v>90785</v>
      </c>
      <c r="C22" s="20" t="s">
        <v>319</v>
      </c>
      <c r="D22" s="113">
        <f>'Schedule 4 Adjustments'!F21</f>
        <v>1061</v>
      </c>
      <c r="E22" s="403">
        <v>0.44</v>
      </c>
      <c r="F22" s="47">
        <f t="shared" si="4"/>
        <v>466.84</v>
      </c>
      <c r="G22" s="21">
        <f t="shared" si="0"/>
        <v>70.776947143554366</v>
      </c>
      <c r="H22" s="141">
        <f>'Schedule 4 Adjustments'!N21</f>
        <v>34</v>
      </c>
      <c r="I22" s="403">
        <v>0.39</v>
      </c>
      <c r="J22" s="47">
        <f t="shared" si="3"/>
        <v>13.26</v>
      </c>
      <c r="K22" s="21">
        <f t="shared" si="2"/>
        <v>62.734112240877735</v>
      </c>
    </row>
    <row r="23" spans="1:11" s="22" customFormat="1" x14ac:dyDescent="0.35">
      <c r="A23" s="19">
        <v>10</v>
      </c>
      <c r="B23" s="19">
        <v>90791</v>
      </c>
      <c r="C23" s="20" t="s">
        <v>320</v>
      </c>
      <c r="D23" s="113">
        <f>'Schedule 4 Adjustments'!F22</f>
        <v>1935</v>
      </c>
      <c r="E23" s="403">
        <v>5.17</v>
      </c>
      <c r="F23" s="47">
        <f t="shared" si="4"/>
        <v>10003.950000000001</v>
      </c>
      <c r="G23" s="21">
        <f t="shared" si="0"/>
        <v>831.62912893676378</v>
      </c>
      <c r="H23" s="141">
        <f>'Schedule 4 Adjustments'!N22</f>
        <v>783</v>
      </c>
      <c r="I23" s="403">
        <v>4.43</v>
      </c>
      <c r="J23" s="47">
        <f t="shared" si="3"/>
        <v>3468.6899999999996</v>
      </c>
      <c r="K23" s="21">
        <f t="shared" si="2"/>
        <v>712.59517237714965</v>
      </c>
    </row>
    <row r="24" spans="1:11" s="22" customFormat="1" x14ac:dyDescent="0.35">
      <c r="A24" s="19">
        <v>11</v>
      </c>
      <c r="B24" s="19">
        <v>90792</v>
      </c>
      <c r="C24" s="20" t="s">
        <v>321</v>
      </c>
      <c r="D24" s="113">
        <f>'Schedule 4 Adjustments'!F23</f>
        <v>92</v>
      </c>
      <c r="E24" s="403">
        <v>5.82</v>
      </c>
      <c r="F24" s="47">
        <f t="shared" si="4"/>
        <v>535.44000000000005</v>
      </c>
      <c r="G24" s="21">
        <f t="shared" si="0"/>
        <v>936.18598267156005</v>
      </c>
      <c r="H24" s="141">
        <f>'Schedule 4 Adjustments'!N23</f>
        <v>45</v>
      </c>
      <c r="I24" s="403">
        <v>5.08</v>
      </c>
      <c r="J24" s="47">
        <f t="shared" si="3"/>
        <v>228.6</v>
      </c>
      <c r="K24" s="21">
        <f t="shared" si="2"/>
        <v>817.15202611194593</v>
      </c>
    </row>
    <row r="25" spans="1:11" s="22" customFormat="1" x14ac:dyDescent="0.35">
      <c r="A25" s="19">
        <v>12</v>
      </c>
      <c r="B25" s="19">
        <v>90832</v>
      </c>
      <c r="C25" s="20" t="s">
        <v>325</v>
      </c>
      <c r="D25" s="113">
        <f>'Schedule 4 Adjustments'!F24</f>
        <v>6459</v>
      </c>
      <c r="E25" s="403">
        <v>2.35</v>
      </c>
      <c r="F25" s="47">
        <f t="shared" si="4"/>
        <v>15178.650000000001</v>
      </c>
      <c r="G25" s="21">
        <f t="shared" si="0"/>
        <v>378.01324042580177</v>
      </c>
      <c r="H25" s="141">
        <f>'Schedule 4 Adjustments'!N24</f>
        <v>627</v>
      </c>
      <c r="I25" s="403">
        <v>2.0499999999999998</v>
      </c>
      <c r="J25" s="47">
        <f t="shared" si="3"/>
        <v>1285.3499999999999</v>
      </c>
      <c r="K25" s="21">
        <f t="shared" si="2"/>
        <v>329.7562310097419</v>
      </c>
    </row>
    <row r="26" spans="1:11" s="22" customFormat="1" x14ac:dyDescent="0.35">
      <c r="A26" s="19">
        <v>13</v>
      </c>
      <c r="B26" s="19">
        <v>90833</v>
      </c>
      <c r="C26" s="20" t="s">
        <v>322</v>
      </c>
      <c r="D26" s="113">
        <f>'Schedule 4 Adjustments'!F25</f>
        <v>0</v>
      </c>
      <c r="E26" s="403">
        <v>2.16</v>
      </c>
      <c r="F26" s="47">
        <f t="shared" si="4"/>
        <v>0</v>
      </c>
      <c r="G26" s="21">
        <f t="shared" si="0"/>
        <v>347.45046779563057</v>
      </c>
      <c r="H26" s="141">
        <f>'Schedule 4 Adjustments'!N25</f>
        <v>0</v>
      </c>
      <c r="I26" s="403">
        <v>1.92</v>
      </c>
      <c r="J26" s="47">
        <f t="shared" si="3"/>
        <v>0</v>
      </c>
      <c r="K26" s="21">
        <f t="shared" si="2"/>
        <v>308.84486026278267</v>
      </c>
    </row>
    <row r="27" spans="1:11" s="22" customFormat="1" x14ac:dyDescent="0.35">
      <c r="A27" s="19">
        <v>14</v>
      </c>
      <c r="B27" s="19">
        <v>90834</v>
      </c>
      <c r="C27" s="20" t="s">
        <v>323</v>
      </c>
      <c r="D27" s="113">
        <f>'Schedule 4 Adjustments'!F26</f>
        <v>7036</v>
      </c>
      <c r="E27" s="403">
        <v>3.1</v>
      </c>
      <c r="F27" s="47">
        <f t="shared" si="4"/>
        <v>21811.600000000002</v>
      </c>
      <c r="G27" s="21">
        <f t="shared" si="0"/>
        <v>498.65576396595122</v>
      </c>
      <c r="H27" s="141">
        <f>'Schedule 4 Adjustments'!N26</f>
        <v>2166</v>
      </c>
      <c r="I27" s="403">
        <v>2.71</v>
      </c>
      <c r="J27" s="47">
        <f t="shared" si="3"/>
        <v>5869.86</v>
      </c>
      <c r="K27" s="21">
        <f t="shared" si="2"/>
        <v>435.9216517250735</v>
      </c>
    </row>
    <row r="28" spans="1:11" s="22" customFormat="1" x14ac:dyDescent="0.35">
      <c r="A28" s="19">
        <v>15</v>
      </c>
      <c r="B28" s="19">
        <v>90836</v>
      </c>
      <c r="C28" s="20" t="s">
        <v>326</v>
      </c>
      <c r="D28" s="113">
        <f>'Schedule 4 Adjustments'!F27</f>
        <v>0</v>
      </c>
      <c r="E28" s="403">
        <v>2.73</v>
      </c>
      <c r="F28" s="47">
        <f t="shared" si="4"/>
        <v>0</v>
      </c>
      <c r="G28" s="21">
        <f t="shared" si="0"/>
        <v>439.13878568614416</v>
      </c>
      <c r="H28" s="141">
        <f>'Schedule 4 Adjustments'!N27</f>
        <v>0</v>
      </c>
      <c r="I28" s="403">
        <v>2.4300000000000002</v>
      </c>
      <c r="J28" s="47">
        <f t="shared" si="3"/>
        <v>0</v>
      </c>
      <c r="K28" s="21">
        <f t="shared" si="2"/>
        <v>390.8817762700844</v>
      </c>
    </row>
    <row r="29" spans="1:11" s="22" customFormat="1" x14ac:dyDescent="0.35">
      <c r="A29" s="19">
        <v>16</v>
      </c>
      <c r="B29" s="19">
        <v>90837</v>
      </c>
      <c r="C29" s="20" t="s">
        <v>324</v>
      </c>
      <c r="D29" s="113">
        <f>'Schedule 4 Adjustments'!F28</f>
        <v>25857</v>
      </c>
      <c r="E29" s="403">
        <v>4.57</v>
      </c>
      <c r="F29" s="47">
        <f t="shared" si="4"/>
        <v>118166.49</v>
      </c>
      <c r="G29" s="21">
        <f t="shared" si="0"/>
        <v>735.11511010464426</v>
      </c>
      <c r="H29" s="141">
        <f>'Schedule 4 Adjustments'!N28</f>
        <v>11475</v>
      </c>
      <c r="I29" s="403">
        <v>4</v>
      </c>
      <c r="J29" s="47">
        <f t="shared" si="3"/>
        <v>45900</v>
      </c>
      <c r="K29" s="21">
        <f t="shared" si="2"/>
        <v>643.42679221413061</v>
      </c>
    </row>
    <row r="30" spans="1:11" s="22" customFormat="1" x14ac:dyDescent="0.35">
      <c r="A30" s="19">
        <v>17</v>
      </c>
      <c r="B30" s="19">
        <v>90838</v>
      </c>
      <c r="C30" s="20" t="s">
        <v>327</v>
      </c>
      <c r="D30" s="113">
        <f>'Schedule 4 Adjustments'!F29</f>
        <v>0</v>
      </c>
      <c r="E30" s="403">
        <v>3.62</v>
      </c>
      <c r="F30" s="47">
        <f t="shared" si="4"/>
        <v>0</v>
      </c>
      <c r="G30" s="21">
        <f t="shared" si="0"/>
        <v>582.30124695378822</v>
      </c>
      <c r="H30" s="141">
        <f>'Schedule 4 Adjustments'!N29</f>
        <v>0</v>
      </c>
      <c r="I30" s="403">
        <v>3.22</v>
      </c>
      <c r="J30" s="47">
        <f t="shared" si="3"/>
        <v>0</v>
      </c>
      <c r="K30" s="21">
        <f t="shared" si="2"/>
        <v>517.95856773237517</v>
      </c>
    </row>
    <row r="31" spans="1:11" s="22" customFormat="1" x14ac:dyDescent="0.35">
      <c r="A31" s="19">
        <v>18</v>
      </c>
      <c r="B31" s="19">
        <v>90839</v>
      </c>
      <c r="C31" s="20" t="s">
        <v>329</v>
      </c>
      <c r="D31" s="113">
        <f>'Schedule 4 Adjustments'!F30</f>
        <v>17</v>
      </c>
      <c r="E31" s="403">
        <v>4.4000000000000004</v>
      </c>
      <c r="F31" s="47">
        <f t="shared" si="4"/>
        <v>74.800000000000011</v>
      </c>
      <c r="G31" s="21">
        <f t="shared" si="0"/>
        <v>707.76947143554378</v>
      </c>
      <c r="H31" s="141">
        <f>'Schedule 4 Adjustments'!N30</f>
        <v>8</v>
      </c>
      <c r="I31" s="403">
        <v>3.87</v>
      </c>
      <c r="J31" s="47">
        <f t="shared" si="3"/>
        <v>30.96</v>
      </c>
      <c r="K31" s="21">
        <f t="shared" si="2"/>
        <v>622.51542146717134</v>
      </c>
    </row>
    <row r="32" spans="1:11" s="22" customFormat="1" x14ac:dyDescent="0.35">
      <c r="A32" s="19">
        <v>19</v>
      </c>
      <c r="B32" s="19">
        <v>90840</v>
      </c>
      <c r="C32" s="20" t="s">
        <v>328</v>
      </c>
      <c r="D32" s="113">
        <f>'Schedule 4 Adjustments'!F31</f>
        <v>27</v>
      </c>
      <c r="E32" s="403">
        <v>2.1800000000000002</v>
      </c>
      <c r="F32" s="47">
        <f t="shared" si="4"/>
        <v>58.860000000000007</v>
      </c>
      <c r="G32" s="21">
        <f t="shared" si="0"/>
        <v>350.66760175670123</v>
      </c>
      <c r="H32" s="141">
        <f>'Schedule 4 Adjustments'!N31</f>
        <v>0</v>
      </c>
      <c r="I32" s="403">
        <v>1.94</v>
      </c>
      <c r="J32" s="47">
        <f t="shared" si="3"/>
        <v>0</v>
      </c>
      <c r="K32" s="21">
        <f t="shared" si="2"/>
        <v>312.06199422385333</v>
      </c>
    </row>
    <row r="33" spans="1:11" s="22" customFormat="1" x14ac:dyDescent="0.35">
      <c r="A33" s="19">
        <v>20</v>
      </c>
      <c r="B33" s="19">
        <v>90846</v>
      </c>
      <c r="C33" s="20" t="s">
        <v>113</v>
      </c>
      <c r="D33" s="113">
        <f>'Schedule 4 Adjustments'!F32</f>
        <v>2207</v>
      </c>
      <c r="E33" s="403">
        <v>2.93</v>
      </c>
      <c r="F33" s="47">
        <f t="shared" si="4"/>
        <v>6466.51</v>
      </c>
      <c r="G33" s="21">
        <f t="shared" si="0"/>
        <v>471.31012529685069</v>
      </c>
      <c r="H33" s="141">
        <f>'Schedule 4 Adjustments'!N32</f>
        <v>338</v>
      </c>
      <c r="I33" s="403">
        <v>2.92</v>
      </c>
      <c r="J33" s="47">
        <f t="shared" si="3"/>
        <v>986.95999999999992</v>
      </c>
      <c r="K33" s="21">
        <f t="shared" si="2"/>
        <v>469.70155831631536</v>
      </c>
    </row>
    <row r="34" spans="1:11" s="22" customFormat="1" x14ac:dyDescent="0.35">
      <c r="A34" s="19">
        <v>21</v>
      </c>
      <c r="B34" s="19">
        <v>90847</v>
      </c>
      <c r="C34" s="20" t="s">
        <v>114</v>
      </c>
      <c r="D34" s="113">
        <f>'Schedule 4 Adjustments'!F33</f>
        <v>1181</v>
      </c>
      <c r="E34" s="403">
        <v>3.07</v>
      </c>
      <c r="F34" s="47">
        <f t="shared" si="4"/>
        <v>3625.6699999999996</v>
      </c>
      <c r="G34" s="21">
        <f t="shared" si="0"/>
        <v>493.83006302434524</v>
      </c>
      <c r="H34" s="141">
        <f>'Schedule 4 Adjustments'!N33</f>
        <v>2528</v>
      </c>
      <c r="I34" s="403">
        <v>3.05</v>
      </c>
      <c r="J34" s="47">
        <f t="shared" si="3"/>
        <v>7710.4</v>
      </c>
      <c r="K34" s="21">
        <f t="shared" si="2"/>
        <v>490.61292906327458</v>
      </c>
    </row>
    <row r="35" spans="1:11" s="22" customFormat="1" x14ac:dyDescent="0.35">
      <c r="A35" s="19">
        <v>22</v>
      </c>
      <c r="B35" s="19">
        <v>90849</v>
      </c>
      <c r="C35" s="20" t="s">
        <v>115</v>
      </c>
      <c r="D35" s="113">
        <f>'Schedule 4 Adjustments'!F34</f>
        <v>5</v>
      </c>
      <c r="E35" s="403">
        <v>1.1299999999999999</v>
      </c>
      <c r="F35" s="47">
        <f t="shared" si="4"/>
        <v>5.6499999999999995</v>
      </c>
      <c r="G35" s="21">
        <f t="shared" si="0"/>
        <v>181.76806880049187</v>
      </c>
      <c r="H35" s="141">
        <f>'Schedule 4 Adjustments'!N34</f>
        <v>38</v>
      </c>
      <c r="I35" s="403">
        <v>0.88</v>
      </c>
      <c r="J35" s="47">
        <f t="shared" si="3"/>
        <v>33.44</v>
      </c>
      <c r="K35" s="21">
        <f t="shared" si="2"/>
        <v>141.55389428710873</v>
      </c>
    </row>
    <row r="36" spans="1:11" s="22" customFormat="1" x14ac:dyDescent="0.35">
      <c r="A36" s="19">
        <v>23</v>
      </c>
      <c r="B36" s="19">
        <v>90853</v>
      </c>
      <c r="C36" s="20" t="s">
        <v>116</v>
      </c>
      <c r="D36" s="113">
        <f>'Schedule 4 Adjustments'!F35</f>
        <v>1943</v>
      </c>
      <c r="E36" s="403">
        <v>0.83</v>
      </c>
      <c r="F36" s="47">
        <f t="shared" si="4"/>
        <v>1612.6899999999998</v>
      </c>
      <c r="G36" s="21">
        <f t="shared" si="0"/>
        <v>133.51105938443209</v>
      </c>
      <c r="H36" s="141">
        <f>'Schedule 4 Adjustments'!N35</f>
        <v>750</v>
      </c>
      <c r="I36" s="403">
        <v>0.72</v>
      </c>
      <c r="J36" s="47">
        <f t="shared" si="3"/>
        <v>540</v>
      </c>
      <c r="K36" s="21">
        <f t="shared" si="2"/>
        <v>115.81682259854351</v>
      </c>
    </row>
    <row r="37" spans="1:11" s="22" customFormat="1" x14ac:dyDescent="0.35">
      <c r="A37" s="19">
        <v>24</v>
      </c>
      <c r="B37" s="19">
        <v>90870</v>
      </c>
      <c r="C37" s="20" t="s">
        <v>117</v>
      </c>
      <c r="D37" s="113">
        <f>'Schedule 4 Adjustments'!F36</f>
        <v>0</v>
      </c>
      <c r="E37" s="403">
        <v>5.18</v>
      </c>
      <c r="F37" s="47">
        <f t="shared" si="4"/>
        <v>0</v>
      </c>
      <c r="G37" s="21">
        <f t="shared" si="0"/>
        <v>833.23769591729911</v>
      </c>
      <c r="H37" s="141">
        <f>'Schedule 4 Adjustments'!N36</f>
        <v>0</v>
      </c>
      <c r="I37" s="403">
        <v>3.12</v>
      </c>
      <c r="J37" s="47">
        <f t="shared" si="3"/>
        <v>0</v>
      </c>
      <c r="K37" s="21">
        <f t="shared" si="2"/>
        <v>501.87289792702188</v>
      </c>
    </row>
    <row r="38" spans="1:11" s="22" customFormat="1" x14ac:dyDescent="0.35">
      <c r="A38" s="19">
        <v>25</v>
      </c>
      <c r="B38" s="19">
        <v>90875</v>
      </c>
      <c r="C38" s="20" t="s">
        <v>152</v>
      </c>
      <c r="D38" s="113">
        <f>'Schedule 4 Adjustments'!F37</f>
        <v>0</v>
      </c>
      <c r="E38" s="403">
        <v>1.75</v>
      </c>
      <c r="F38" s="47">
        <f t="shared" si="4"/>
        <v>0</v>
      </c>
      <c r="G38" s="21">
        <f t="shared" si="0"/>
        <v>281.49922159368214</v>
      </c>
      <c r="H38" s="141">
        <f>'Schedule 4 Adjustments'!N37</f>
        <v>0</v>
      </c>
      <c r="I38" s="403">
        <v>1.74</v>
      </c>
      <c r="J38" s="47">
        <f t="shared" si="3"/>
        <v>0</v>
      </c>
      <c r="K38" s="21">
        <f t="shared" si="2"/>
        <v>279.89065461314681</v>
      </c>
    </row>
    <row r="39" spans="1:11" s="22" customFormat="1" x14ac:dyDescent="0.35">
      <c r="A39" s="19">
        <v>26</v>
      </c>
      <c r="B39" s="19">
        <v>90876</v>
      </c>
      <c r="C39" s="20" t="s">
        <v>153</v>
      </c>
      <c r="D39" s="113">
        <f>'Schedule 4 Adjustments'!F38</f>
        <v>0</v>
      </c>
      <c r="E39" s="403">
        <v>3.08</v>
      </c>
      <c r="F39" s="47">
        <f t="shared" si="4"/>
        <v>0</v>
      </c>
      <c r="G39" s="21">
        <f t="shared" si="0"/>
        <v>495.43863000488057</v>
      </c>
      <c r="H39" s="141">
        <f>'Schedule 4 Adjustments'!N38</f>
        <v>0</v>
      </c>
      <c r="I39" s="403">
        <v>2.76</v>
      </c>
      <c r="J39" s="47">
        <f t="shared" si="3"/>
        <v>0</v>
      </c>
      <c r="K39" s="21">
        <f t="shared" si="2"/>
        <v>443.96448662775009</v>
      </c>
    </row>
    <row r="40" spans="1:11" s="22" customFormat="1" x14ac:dyDescent="0.35">
      <c r="A40" s="19">
        <v>27</v>
      </c>
      <c r="B40" s="19">
        <v>90887</v>
      </c>
      <c r="C40" s="20" t="s">
        <v>330</v>
      </c>
      <c r="D40" s="113">
        <f>'Schedule 4 Adjustments'!F39</f>
        <v>0</v>
      </c>
      <c r="E40" s="403">
        <v>2.56</v>
      </c>
      <c r="F40" s="47">
        <f t="shared" si="4"/>
        <v>0</v>
      </c>
      <c r="G40" s="21">
        <f t="shared" si="0"/>
        <v>411.79314701704362</v>
      </c>
      <c r="H40" s="141">
        <f>'Schedule 4 Adjustments'!N39</f>
        <v>0</v>
      </c>
      <c r="I40" s="403">
        <v>2.14</v>
      </c>
      <c r="J40" s="47">
        <f t="shared" si="3"/>
        <v>0</v>
      </c>
      <c r="K40" s="21">
        <f t="shared" si="2"/>
        <v>344.23333383455991</v>
      </c>
    </row>
    <row r="41" spans="1:11" s="22" customFormat="1" x14ac:dyDescent="0.35">
      <c r="A41" s="19">
        <v>28</v>
      </c>
      <c r="B41" s="19">
        <v>96116</v>
      </c>
      <c r="C41" s="20" t="s">
        <v>341</v>
      </c>
      <c r="D41" s="113">
        <f>'Schedule 4 Adjustments'!F40</f>
        <v>1</v>
      </c>
      <c r="E41" s="403">
        <v>2.76</v>
      </c>
      <c r="F41" s="47">
        <f t="shared" si="4"/>
        <v>2.76</v>
      </c>
      <c r="G41" s="21">
        <f t="shared" si="0"/>
        <v>443.96448662775009</v>
      </c>
      <c r="H41" s="141">
        <f>'Schedule 4 Adjustments'!N40</f>
        <v>19</v>
      </c>
      <c r="I41" s="403">
        <v>2.37</v>
      </c>
      <c r="J41" s="47">
        <f t="shared" si="3"/>
        <v>45.03</v>
      </c>
      <c r="K41" s="21">
        <f t="shared" si="2"/>
        <v>381.23037438687243</v>
      </c>
    </row>
    <row r="42" spans="1:11" s="22" customFormat="1" x14ac:dyDescent="0.35">
      <c r="A42" s="19">
        <v>29</v>
      </c>
      <c r="B42" s="19">
        <v>96121</v>
      </c>
      <c r="C42" s="20" t="s">
        <v>340</v>
      </c>
      <c r="D42" s="113">
        <f>'Schedule 4 Adjustments'!F41</f>
        <v>0</v>
      </c>
      <c r="E42" s="403">
        <v>2.25</v>
      </c>
      <c r="F42" s="47">
        <f t="shared" si="4"/>
        <v>0</v>
      </c>
      <c r="G42" s="21">
        <f t="shared" si="0"/>
        <v>361.92757062044848</v>
      </c>
      <c r="H42" s="141">
        <f>'Schedule 4 Adjustments'!N41</f>
        <v>0</v>
      </c>
      <c r="I42" s="403">
        <v>1.97</v>
      </c>
      <c r="J42" s="47">
        <f t="shared" si="3"/>
        <v>0</v>
      </c>
      <c r="K42" s="21">
        <f t="shared" si="2"/>
        <v>316.88769516545932</v>
      </c>
    </row>
    <row r="43" spans="1:11" s="22" customFormat="1" x14ac:dyDescent="0.35">
      <c r="A43" s="19">
        <v>30</v>
      </c>
      <c r="B43" s="19">
        <v>96130</v>
      </c>
      <c r="C43" s="20" t="s">
        <v>338</v>
      </c>
      <c r="D43" s="113">
        <f>'Schedule 4 Adjustments'!F42</f>
        <v>45</v>
      </c>
      <c r="E43" s="403">
        <v>3.6</v>
      </c>
      <c r="F43" s="47">
        <f t="shared" si="4"/>
        <v>162</v>
      </c>
      <c r="G43" s="21">
        <f t="shared" si="0"/>
        <v>579.08411299271756</v>
      </c>
      <c r="H43" s="141">
        <f>'Schedule 4 Adjustments'!N42</f>
        <v>19</v>
      </c>
      <c r="I43" s="403">
        <v>3.25</v>
      </c>
      <c r="J43" s="47">
        <f t="shared" si="3"/>
        <v>61.75</v>
      </c>
      <c r="K43" s="21">
        <f t="shared" si="2"/>
        <v>522.78426867398116</v>
      </c>
    </row>
    <row r="44" spans="1:11" s="22" customFormat="1" x14ac:dyDescent="0.35">
      <c r="A44" s="19">
        <v>31</v>
      </c>
      <c r="B44" s="19">
        <v>96131</v>
      </c>
      <c r="C44" s="20" t="s">
        <v>339</v>
      </c>
      <c r="D44" s="113">
        <f>'Schedule 4 Adjustments'!F43</f>
        <v>0</v>
      </c>
      <c r="E44" s="403">
        <v>2.57</v>
      </c>
      <c r="F44" s="47">
        <f t="shared" si="4"/>
        <v>0</v>
      </c>
      <c r="G44" s="21">
        <f t="shared" si="0"/>
        <v>413.4017139975789</v>
      </c>
      <c r="H44" s="141">
        <f>'Schedule 4 Adjustments'!N43</f>
        <v>0</v>
      </c>
      <c r="I44" s="403">
        <v>2.25</v>
      </c>
      <c r="J44" s="47">
        <f t="shared" si="3"/>
        <v>0</v>
      </c>
      <c r="K44" s="21">
        <f t="shared" si="2"/>
        <v>361.92757062044848</v>
      </c>
    </row>
    <row r="45" spans="1:11" s="22" customFormat="1" x14ac:dyDescent="0.35">
      <c r="A45" s="19">
        <v>32</v>
      </c>
      <c r="B45" s="19">
        <v>96132</v>
      </c>
      <c r="C45" s="20" t="s">
        <v>332</v>
      </c>
      <c r="D45" s="113">
        <f>'Schedule 4 Adjustments'!F44</f>
        <v>0</v>
      </c>
      <c r="E45" s="403">
        <v>3.85</v>
      </c>
      <c r="F45" s="47">
        <f t="shared" si="4"/>
        <v>0</v>
      </c>
      <c r="G45" s="21">
        <f t="shared" si="0"/>
        <v>619.29828750610068</v>
      </c>
      <c r="H45" s="141">
        <f>'Schedule 4 Adjustments'!N44</f>
        <v>56</v>
      </c>
      <c r="I45" s="403">
        <v>3.14</v>
      </c>
      <c r="J45" s="47">
        <f t="shared" si="3"/>
        <v>175.84</v>
      </c>
      <c r="K45" s="21">
        <f t="shared" si="2"/>
        <v>505.09003188809254</v>
      </c>
    </row>
    <row r="46" spans="1:11" s="22" customFormat="1" x14ac:dyDescent="0.35">
      <c r="A46" s="19">
        <v>33</v>
      </c>
      <c r="B46" s="19">
        <v>96133</v>
      </c>
      <c r="C46" s="20" t="s">
        <v>333</v>
      </c>
      <c r="D46" s="113">
        <f>'Schedule 4 Adjustments'!F45</f>
        <v>0</v>
      </c>
      <c r="E46" s="403">
        <v>2.92</v>
      </c>
      <c r="F46" s="47">
        <f t="shared" si="4"/>
        <v>0</v>
      </c>
      <c r="G46" s="21">
        <f t="shared" si="0"/>
        <v>469.70155831631536</v>
      </c>
      <c r="H46" s="141">
        <f>'Schedule 4 Adjustments'!N45</f>
        <v>0</v>
      </c>
      <c r="I46" s="403">
        <v>2.2599999999999998</v>
      </c>
      <c r="J46" s="47">
        <f t="shared" si="3"/>
        <v>0</v>
      </c>
      <c r="K46" s="21">
        <f t="shared" si="2"/>
        <v>363.53613760098375</v>
      </c>
    </row>
    <row r="47" spans="1:11" s="22" customFormat="1" x14ac:dyDescent="0.35">
      <c r="A47" s="19">
        <v>34</v>
      </c>
      <c r="B47" s="19">
        <v>96136</v>
      </c>
      <c r="C47" s="20" t="s">
        <v>334</v>
      </c>
      <c r="D47" s="113">
        <f>'Schedule 4 Adjustments'!F46</f>
        <v>0</v>
      </c>
      <c r="E47" s="403">
        <v>1.25</v>
      </c>
      <c r="F47" s="47">
        <f t="shared" si="4"/>
        <v>0</v>
      </c>
      <c r="G47" s="21">
        <f t="shared" si="0"/>
        <v>201.07087256691582</v>
      </c>
      <c r="H47" s="141">
        <f>'Schedule 4 Adjustments'!N46</f>
        <v>74</v>
      </c>
      <c r="I47" s="403">
        <v>0.69</v>
      </c>
      <c r="J47" s="47">
        <f t="shared" si="3"/>
        <v>51.059999999999995</v>
      </c>
      <c r="K47" s="21">
        <f t="shared" si="2"/>
        <v>110.99112165693752</v>
      </c>
    </row>
    <row r="48" spans="1:11" s="22" customFormat="1" x14ac:dyDescent="0.35">
      <c r="A48" s="19">
        <v>35</v>
      </c>
      <c r="B48" s="19">
        <v>96137</v>
      </c>
      <c r="C48" s="20" t="s">
        <v>335</v>
      </c>
      <c r="D48" s="113">
        <f>'Schedule 4 Adjustments'!F47</f>
        <v>0</v>
      </c>
      <c r="E48" s="403">
        <v>1.1299999999999999</v>
      </c>
      <c r="F48" s="47">
        <f t="shared" si="4"/>
        <v>0</v>
      </c>
      <c r="G48" s="21">
        <f t="shared" si="0"/>
        <v>181.76806880049187</v>
      </c>
      <c r="H48" s="141">
        <f>'Schedule 4 Adjustments'!N47</f>
        <v>0</v>
      </c>
      <c r="I48" s="403">
        <v>0.53</v>
      </c>
      <c r="J48" s="47">
        <f t="shared" si="3"/>
        <v>0</v>
      </c>
      <c r="K48" s="21">
        <f t="shared" si="2"/>
        <v>85.254049968372314</v>
      </c>
    </row>
    <row r="49" spans="1:11" s="22" customFormat="1" x14ac:dyDescent="0.35">
      <c r="A49" s="19">
        <v>36</v>
      </c>
      <c r="B49" s="19">
        <v>96138</v>
      </c>
      <c r="C49" s="20" t="s">
        <v>336</v>
      </c>
      <c r="D49" s="113">
        <f>'Schedule 4 Adjustments'!F48</f>
        <v>0</v>
      </c>
      <c r="E49" s="403">
        <v>1.03</v>
      </c>
      <c r="F49" s="47">
        <f t="shared" si="4"/>
        <v>0</v>
      </c>
      <c r="G49" s="21">
        <f t="shared" si="0"/>
        <v>165.68239899513864</v>
      </c>
      <c r="H49" s="141">
        <f>'Schedule 4 Adjustments'!N48</f>
        <v>55</v>
      </c>
      <c r="I49" s="403">
        <v>0.56999999999999995</v>
      </c>
      <c r="J49" s="47">
        <f t="shared" si="3"/>
        <v>31.349999999999998</v>
      </c>
      <c r="K49" s="21">
        <f t="shared" si="2"/>
        <v>91.688317890513602</v>
      </c>
    </row>
    <row r="50" spans="1:11" s="22" customFormat="1" x14ac:dyDescent="0.35">
      <c r="A50" s="19">
        <v>37</v>
      </c>
      <c r="B50" s="19">
        <v>96139</v>
      </c>
      <c r="C50" s="20" t="s">
        <v>337</v>
      </c>
      <c r="D50" s="113">
        <f>'Schedule 4 Adjustments'!F49</f>
        <v>0</v>
      </c>
      <c r="E50" s="403">
        <v>1.06</v>
      </c>
      <c r="F50" s="47">
        <f t="shared" si="4"/>
        <v>0</v>
      </c>
      <c r="G50" s="21">
        <f t="shared" si="0"/>
        <v>170.50809993674463</v>
      </c>
      <c r="H50" s="141">
        <f>'Schedule 4 Adjustments'!N49</f>
        <v>0</v>
      </c>
      <c r="I50" s="403">
        <v>0.5</v>
      </c>
      <c r="J50" s="47">
        <f t="shared" si="3"/>
        <v>0</v>
      </c>
      <c r="K50" s="21">
        <f t="shared" si="2"/>
        <v>80.428349026766327</v>
      </c>
    </row>
    <row r="51" spans="1:11" s="22" customFormat="1" x14ac:dyDescent="0.35">
      <c r="A51" s="19">
        <v>38</v>
      </c>
      <c r="B51" s="19">
        <v>96146</v>
      </c>
      <c r="C51" s="20" t="s">
        <v>331</v>
      </c>
      <c r="D51" s="113">
        <f>'Schedule 4 Adjustments'!F50</f>
        <v>0</v>
      </c>
      <c r="E51" s="403">
        <v>7.0000000000000007E-2</v>
      </c>
      <c r="F51" s="47">
        <f t="shared" si="4"/>
        <v>0</v>
      </c>
      <c r="G51" s="21">
        <f t="shared" si="0"/>
        <v>11.259968863747288</v>
      </c>
      <c r="H51" s="141">
        <f>'Schedule 4 Adjustments'!N50</f>
        <v>0</v>
      </c>
      <c r="I51" s="403">
        <v>7.0000000000000007E-2</v>
      </c>
      <c r="J51" s="47">
        <f t="shared" si="3"/>
        <v>0</v>
      </c>
      <c r="K51" s="21">
        <f t="shared" si="2"/>
        <v>11.259968863747288</v>
      </c>
    </row>
    <row r="52" spans="1:11" s="22" customFormat="1" x14ac:dyDescent="0.35">
      <c r="A52" s="19">
        <v>39</v>
      </c>
      <c r="B52" s="19">
        <v>96372</v>
      </c>
      <c r="C52" s="20" t="s">
        <v>118</v>
      </c>
      <c r="D52" s="113">
        <f>'Schedule 4 Adjustments'!F51</f>
        <v>81</v>
      </c>
      <c r="E52" s="403">
        <v>0.43</v>
      </c>
      <c r="F52" s="47">
        <f t="shared" si="4"/>
        <v>34.83</v>
      </c>
      <c r="G52" s="21">
        <f t="shared" si="0"/>
        <v>69.168380163019037</v>
      </c>
      <c r="H52" s="141">
        <f>'Schedule 4 Adjustments'!N51</f>
        <v>4550</v>
      </c>
      <c r="I52" s="403">
        <v>0.43</v>
      </c>
      <c r="J52" s="47">
        <f t="shared" si="3"/>
        <v>1956.5</v>
      </c>
      <c r="K52" s="21">
        <f t="shared" si="2"/>
        <v>69.168380163019037</v>
      </c>
    </row>
    <row r="53" spans="1:11" s="22" customFormat="1" x14ac:dyDescent="0.35">
      <c r="A53" s="19">
        <v>40</v>
      </c>
      <c r="B53" s="19">
        <v>97535</v>
      </c>
      <c r="C53" s="20" t="s">
        <v>119</v>
      </c>
      <c r="D53" s="113">
        <f>'Schedule 4 Adjustments'!F52</f>
        <v>0</v>
      </c>
      <c r="E53" s="403">
        <v>0.98</v>
      </c>
      <c r="F53" s="47">
        <f t="shared" si="4"/>
        <v>0</v>
      </c>
      <c r="G53" s="21">
        <f t="shared" si="0"/>
        <v>157.639564092462</v>
      </c>
      <c r="H53" s="141">
        <f>'Schedule 4 Adjustments'!N52</f>
        <v>0</v>
      </c>
      <c r="I53" s="403">
        <v>0.98</v>
      </c>
      <c r="J53" s="47">
        <f t="shared" si="3"/>
        <v>0</v>
      </c>
      <c r="K53" s="21">
        <f t="shared" si="2"/>
        <v>157.639564092462</v>
      </c>
    </row>
    <row r="54" spans="1:11" s="22" customFormat="1" x14ac:dyDescent="0.35">
      <c r="A54" s="19">
        <v>41</v>
      </c>
      <c r="B54" s="19">
        <v>97537</v>
      </c>
      <c r="C54" s="20" t="s">
        <v>120</v>
      </c>
      <c r="D54" s="113">
        <f>'Schedule 4 Adjustments'!F53</f>
        <v>252</v>
      </c>
      <c r="E54" s="403">
        <v>0.95</v>
      </c>
      <c r="F54" s="47">
        <f t="shared" si="4"/>
        <v>239.39999999999998</v>
      </c>
      <c r="G54" s="21">
        <f t="shared" si="0"/>
        <v>152.81386315085601</v>
      </c>
      <c r="H54" s="141">
        <f>'Schedule 4 Adjustments'!N53</f>
        <v>4</v>
      </c>
      <c r="I54" s="403">
        <v>0.95</v>
      </c>
      <c r="J54" s="47">
        <f t="shared" si="3"/>
        <v>3.8</v>
      </c>
      <c r="K54" s="21">
        <f t="shared" si="2"/>
        <v>152.81386315085601</v>
      </c>
    </row>
    <row r="55" spans="1:11" s="22" customFormat="1" x14ac:dyDescent="0.35">
      <c r="A55" s="19">
        <v>42</v>
      </c>
      <c r="B55" s="19">
        <v>98966</v>
      </c>
      <c r="C55" s="20" t="s">
        <v>342</v>
      </c>
      <c r="D55" s="113">
        <f>'Schedule 4 Adjustments'!F54</f>
        <v>0</v>
      </c>
      <c r="E55" s="403">
        <v>0.39</v>
      </c>
      <c r="F55" s="47">
        <f t="shared" si="4"/>
        <v>0</v>
      </c>
      <c r="G55" s="21">
        <f t="shared" si="0"/>
        <v>62.734112240877735</v>
      </c>
      <c r="H55" s="141">
        <f>'Schedule 4 Adjustments'!N54</f>
        <v>0</v>
      </c>
      <c r="I55" s="403">
        <v>0.34</v>
      </c>
      <c r="J55" s="47">
        <f t="shared" si="3"/>
        <v>0</v>
      </c>
      <c r="K55" s="21">
        <f t="shared" si="2"/>
        <v>54.691277338201104</v>
      </c>
    </row>
    <row r="56" spans="1:11" s="22" customFormat="1" x14ac:dyDescent="0.35">
      <c r="A56" s="19">
        <v>43</v>
      </c>
      <c r="B56" s="19">
        <v>98967</v>
      </c>
      <c r="C56" s="20" t="s">
        <v>343</v>
      </c>
      <c r="D56" s="113">
        <f>'Schedule 4 Adjustments'!F55</f>
        <v>0</v>
      </c>
      <c r="E56" s="403">
        <v>0.72</v>
      </c>
      <c r="F56" s="47">
        <f t="shared" si="4"/>
        <v>0</v>
      </c>
      <c r="G56" s="21">
        <f t="shared" si="0"/>
        <v>115.81682259854351</v>
      </c>
      <c r="H56" s="141">
        <f>'Schedule 4 Adjustments'!N55</f>
        <v>0</v>
      </c>
      <c r="I56" s="403">
        <v>0.66</v>
      </c>
      <c r="J56" s="47">
        <f t="shared" si="3"/>
        <v>0</v>
      </c>
      <c r="K56" s="21">
        <f t="shared" si="2"/>
        <v>106.16542071533155</v>
      </c>
    </row>
    <row r="57" spans="1:11" s="22" customFormat="1" x14ac:dyDescent="0.35">
      <c r="A57" s="19">
        <v>44</v>
      </c>
      <c r="B57" s="19">
        <v>98968</v>
      </c>
      <c r="C57" s="20" t="s">
        <v>344</v>
      </c>
      <c r="D57" s="113">
        <f>'Schedule 4 Adjustments'!F56</f>
        <v>0</v>
      </c>
      <c r="E57" s="403">
        <v>0.99</v>
      </c>
      <c r="F57" s="47">
        <f t="shared" si="4"/>
        <v>0</v>
      </c>
      <c r="G57" s="21">
        <f t="shared" si="0"/>
        <v>159.24813107299732</v>
      </c>
      <c r="H57" s="141">
        <f>'Schedule 4 Adjustments'!N56</f>
        <v>0</v>
      </c>
      <c r="I57" s="403">
        <v>0.92</v>
      </c>
      <c r="J57" s="47">
        <f t="shared" si="3"/>
        <v>0</v>
      </c>
      <c r="K57" s="21">
        <f t="shared" si="2"/>
        <v>147.98816220925005</v>
      </c>
    </row>
    <row r="58" spans="1:11" s="22" customFormat="1" x14ac:dyDescent="0.35">
      <c r="A58" s="19">
        <v>45</v>
      </c>
      <c r="B58" s="19">
        <v>99202</v>
      </c>
      <c r="C58" s="20" t="s">
        <v>154</v>
      </c>
      <c r="D58" s="113">
        <f>'Schedule 4 Adjustments'!F57</f>
        <v>5</v>
      </c>
      <c r="E58" s="403">
        <v>2.17</v>
      </c>
      <c r="F58" s="47">
        <f t="shared" si="4"/>
        <v>10.85</v>
      </c>
      <c r="G58" s="21">
        <f t="shared" si="0"/>
        <v>349.05903477616584</v>
      </c>
      <c r="H58" s="141">
        <f>'Schedule 4 Adjustments'!N57</f>
        <v>7</v>
      </c>
      <c r="I58" s="403">
        <v>1.41</v>
      </c>
      <c r="J58" s="47">
        <f t="shared" si="3"/>
        <v>9.8699999999999992</v>
      </c>
      <c r="K58" s="21">
        <f t="shared" si="2"/>
        <v>226.80794425548103</v>
      </c>
    </row>
    <row r="59" spans="1:11" s="22" customFormat="1" x14ac:dyDescent="0.35">
      <c r="A59" s="19">
        <v>46</v>
      </c>
      <c r="B59" s="19">
        <v>99203</v>
      </c>
      <c r="C59" s="20" t="s">
        <v>154</v>
      </c>
      <c r="D59" s="113">
        <f>'Schedule 4 Adjustments'!F58</f>
        <v>33</v>
      </c>
      <c r="E59" s="403">
        <v>3.35</v>
      </c>
      <c r="F59" s="47">
        <f t="shared" si="4"/>
        <v>110.55</v>
      </c>
      <c r="G59" s="21">
        <f t="shared" si="0"/>
        <v>538.86993847933445</v>
      </c>
      <c r="H59" s="141">
        <f>'Schedule 4 Adjustments'!N58</f>
        <v>63</v>
      </c>
      <c r="I59" s="403">
        <v>2.44</v>
      </c>
      <c r="J59" s="47">
        <f t="shared" si="3"/>
        <v>153.72</v>
      </c>
      <c r="K59" s="21">
        <f t="shared" si="2"/>
        <v>392.49034325061967</v>
      </c>
    </row>
    <row r="60" spans="1:11" s="22" customFormat="1" x14ac:dyDescent="0.35">
      <c r="A60" s="19">
        <v>47</v>
      </c>
      <c r="B60" s="19">
        <v>99204</v>
      </c>
      <c r="C60" s="20" t="s">
        <v>154</v>
      </c>
      <c r="D60" s="113">
        <f>'Schedule 4 Adjustments'!F59</f>
        <v>331</v>
      </c>
      <c r="E60" s="403">
        <v>5.0199999999999996</v>
      </c>
      <c r="F60" s="47">
        <f t="shared" si="4"/>
        <v>1661.62</v>
      </c>
      <c r="G60" s="21">
        <f t="shared" si="0"/>
        <v>807.50062422873384</v>
      </c>
      <c r="H60" s="141">
        <f>'Schedule 4 Adjustments'!N59</f>
        <v>410</v>
      </c>
      <c r="I60" s="403">
        <v>3.97</v>
      </c>
      <c r="J60" s="47">
        <f t="shared" si="3"/>
        <v>1627.7</v>
      </c>
      <c r="K60" s="21">
        <f t="shared" si="2"/>
        <v>638.60109127252463</v>
      </c>
    </row>
    <row r="61" spans="1:11" s="22" customFormat="1" x14ac:dyDescent="0.35">
      <c r="A61" s="19">
        <v>48</v>
      </c>
      <c r="B61" s="19">
        <v>99205</v>
      </c>
      <c r="C61" s="20" t="s">
        <v>154</v>
      </c>
      <c r="D61" s="113">
        <f>'Schedule 4 Adjustments'!F60</f>
        <v>489</v>
      </c>
      <c r="E61" s="403">
        <v>6.62</v>
      </c>
      <c r="F61" s="47">
        <f t="shared" si="4"/>
        <v>3237.18</v>
      </c>
      <c r="G61" s="21">
        <f t="shared" si="0"/>
        <v>1064.8713411143863</v>
      </c>
      <c r="H61" s="141">
        <f>'Schedule 4 Adjustments'!N60</f>
        <v>546</v>
      </c>
      <c r="I61" s="403">
        <v>5.4</v>
      </c>
      <c r="J61" s="47">
        <f t="shared" si="3"/>
        <v>2948.4</v>
      </c>
      <c r="K61" s="21">
        <f t="shared" si="2"/>
        <v>868.62616948907635</v>
      </c>
    </row>
    <row r="62" spans="1:11" s="22" customFormat="1" ht="43.5" x14ac:dyDescent="0.35">
      <c r="A62" s="19">
        <v>49</v>
      </c>
      <c r="B62" s="19">
        <v>99211</v>
      </c>
      <c r="C62" s="20" t="s">
        <v>345</v>
      </c>
      <c r="D62" s="113">
        <f>'Schedule 4 Adjustments'!F61</f>
        <v>0</v>
      </c>
      <c r="E62" s="403">
        <v>0.7</v>
      </c>
      <c r="F62" s="47">
        <f t="shared" si="4"/>
        <v>0</v>
      </c>
      <c r="G62" s="21">
        <f t="shared" si="0"/>
        <v>112.59968863747285</v>
      </c>
      <c r="H62" s="141">
        <f>'Schedule 4 Adjustments'!N61</f>
        <v>1745</v>
      </c>
      <c r="I62" s="403">
        <v>0.26</v>
      </c>
      <c r="J62" s="47">
        <f t="shared" si="3"/>
        <v>453.7</v>
      </c>
      <c r="K62" s="21">
        <f t="shared" si="2"/>
        <v>41.822741493918492</v>
      </c>
    </row>
    <row r="63" spans="1:11" s="22" customFormat="1" x14ac:dyDescent="0.35">
      <c r="A63" s="19">
        <v>50</v>
      </c>
      <c r="B63" s="19">
        <v>99212</v>
      </c>
      <c r="C63" s="20" t="s">
        <v>155</v>
      </c>
      <c r="D63" s="113">
        <f>'Schedule 4 Adjustments'!F62</f>
        <v>52</v>
      </c>
      <c r="E63" s="403">
        <v>1.7</v>
      </c>
      <c r="F63" s="47">
        <f t="shared" si="4"/>
        <v>88.399999999999991</v>
      </c>
      <c r="G63" s="21">
        <f t="shared" si="0"/>
        <v>273.45638669100549</v>
      </c>
      <c r="H63" s="141">
        <f>'Schedule 4 Adjustments'!N62</f>
        <v>23</v>
      </c>
      <c r="I63" s="403">
        <v>1.05</v>
      </c>
      <c r="J63" s="47">
        <f t="shared" si="3"/>
        <v>24.150000000000002</v>
      </c>
      <c r="K63" s="21">
        <f t="shared" si="2"/>
        <v>168.8995329562093</v>
      </c>
    </row>
    <row r="64" spans="1:11" s="22" customFormat="1" x14ac:dyDescent="0.35">
      <c r="A64" s="19">
        <v>51</v>
      </c>
      <c r="B64" s="19">
        <v>99213</v>
      </c>
      <c r="C64" s="20" t="s">
        <v>155</v>
      </c>
      <c r="D64" s="113">
        <f>'Schedule 4 Adjustments'!F63</f>
        <v>1628</v>
      </c>
      <c r="E64" s="403">
        <v>2.73</v>
      </c>
      <c r="F64" s="47">
        <f t="shared" si="4"/>
        <v>4444.4399999999996</v>
      </c>
      <c r="G64" s="21">
        <f t="shared" si="0"/>
        <v>439.13878568614416</v>
      </c>
      <c r="H64" s="141">
        <f>'Schedule 4 Adjustments'!N63</f>
        <v>615</v>
      </c>
      <c r="I64" s="403">
        <v>1.96</v>
      </c>
      <c r="J64" s="47">
        <f t="shared" si="3"/>
        <v>1205.4000000000001</v>
      </c>
      <c r="K64" s="21">
        <f t="shared" si="2"/>
        <v>315.27912818492399</v>
      </c>
    </row>
    <row r="65" spans="1:11" s="22" customFormat="1" x14ac:dyDescent="0.35">
      <c r="A65" s="19">
        <v>52</v>
      </c>
      <c r="B65" s="19">
        <v>99214</v>
      </c>
      <c r="C65" s="20" t="s">
        <v>155</v>
      </c>
      <c r="D65" s="113">
        <f>'Schedule 4 Adjustments'!F64</f>
        <v>16151</v>
      </c>
      <c r="E65" s="403">
        <v>3.85</v>
      </c>
      <c r="F65" s="47">
        <f t="shared" si="4"/>
        <v>62181.35</v>
      </c>
      <c r="G65" s="21">
        <f t="shared" si="0"/>
        <v>619.29828750610068</v>
      </c>
      <c r="H65" s="141">
        <f>'Schedule 4 Adjustments'!N64</f>
        <v>6560</v>
      </c>
      <c r="I65" s="403">
        <v>2.89</v>
      </c>
      <c r="J65" s="47">
        <f t="shared" si="3"/>
        <v>18958.400000000001</v>
      </c>
      <c r="K65" s="21">
        <f t="shared" si="2"/>
        <v>464.87585737470937</v>
      </c>
    </row>
    <row r="66" spans="1:11" s="22" customFormat="1" x14ac:dyDescent="0.35">
      <c r="A66" s="19">
        <v>53</v>
      </c>
      <c r="B66" s="19">
        <v>99215</v>
      </c>
      <c r="C66" s="20" t="s">
        <v>155</v>
      </c>
      <c r="D66" s="113">
        <f>'Schedule 4 Adjustments'!F65</f>
        <v>1664</v>
      </c>
      <c r="E66" s="403">
        <v>5.42</v>
      </c>
      <c r="F66" s="47">
        <f t="shared" si="4"/>
        <v>9018.8799999999992</v>
      </c>
      <c r="G66" s="21">
        <f t="shared" si="0"/>
        <v>871.843303450147</v>
      </c>
      <c r="H66" s="141">
        <f>'Schedule 4 Adjustments'!N65</f>
        <v>1469</v>
      </c>
      <c r="I66" s="403">
        <v>4.29</v>
      </c>
      <c r="J66" s="47">
        <f t="shared" si="3"/>
        <v>6302.01</v>
      </c>
      <c r="K66" s="21">
        <f t="shared" si="2"/>
        <v>690.07523464965504</v>
      </c>
    </row>
    <row r="67" spans="1:11" s="22" customFormat="1" x14ac:dyDescent="0.35">
      <c r="A67" s="19">
        <v>54</v>
      </c>
      <c r="B67" s="19">
        <v>99221</v>
      </c>
      <c r="C67" s="20" t="s">
        <v>121</v>
      </c>
      <c r="D67" s="113">
        <f>'Schedule 4 Adjustments'!F66</f>
        <v>0</v>
      </c>
      <c r="E67" s="403">
        <v>2.46</v>
      </c>
      <c r="F67" s="47">
        <f t="shared" si="4"/>
        <v>0</v>
      </c>
      <c r="G67" s="21">
        <f t="shared" si="0"/>
        <v>395.70747721169033</v>
      </c>
      <c r="H67" s="141">
        <f>'Schedule 4 Adjustments'!N66</f>
        <v>0</v>
      </c>
      <c r="I67" s="403">
        <v>2.46</v>
      </c>
      <c r="J67" s="47">
        <f t="shared" si="3"/>
        <v>0</v>
      </c>
      <c r="K67" s="21">
        <f t="shared" si="2"/>
        <v>395.70747721169033</v>
      </c>
    </row>
    <row r="68" spans="1:11" s="22" customFormat="1" x14ac:dyDescent="0.35">
      <c r="A68" s="19">
        <v>55</v>
      </c>
      <c r="B68" s="19">
        <v>99222</v>
      </c>
      <c r="C68" s="20" t="s">
        <v>122</v>
      </c>
      <c r="D68" s="113">
        <f>'Schedule 4 Adjustments'!F67</f>
        <v>0</v>
      </c>
      <c r="E68" s="403">
        <v>3.88</v>
      </c>
      <c r="F68" s="47">
        <f t="shared" si="4"/>
        <v>0</v>
      </c>
      <c r="G68" s="21">
        <f t="shared" si="0"/>
        <v>624.12398844770667</v>
      </c>
      <c r="H68" s="141">
        <f>'Schedule 4 Adjustments'!N67</f>
        <v>0</v>
      </c>
      <c r="I68" s="403">
        <v>3.88</v>
      </c>
      <c r="J68" s="47">
        <f t="shared" si="3"/>
        <v>0</v>
      </c>
      <c r="K68" s="21">
        <f t="shared" si="2"/>
        <v>624.12398844770667</v>
      </c>
    </row>
    <row r="69" spans="1:11" s="22" customFormat="1" x14ac:dyDescent="0.35">
      <c r="A69" s="19">
        <v>56</v>
      </c>
      <c r="B69" s="19">
        <v>99223</v>
      </c>
      <c r="C69" s="20" t="s">
        <v>123</v>
      </c>
      <c r="D69" s="113">
        <f>'Schedule 4 Adjustments'!F68</f>
        <v>0</v>
      </c>
      <c r="E69" s="403">
        <v>5.14</v>
      </c>
      <c r="F69" s="47">
        <f t="shared" si="4"/>
        <v>0</v>
      </c>
      <c r="G69" s="21">
        <f t="shared" si="0"/>
        <v>826.80342799515779</v>
      </c>
      <c r="H69" s="141">
        <f>'Schedule 4 Adjustments'!N68</f>
        <v>0</v>
      </c>
      <c r="I69" s="403">
        <v>5.14</v>
      </c>
      <c r="J69" s="47">
        <f t="shared" si="3"/>
        <v>0</v>
      </c>
      <c r="K69" s="21">
        <f t="shared" si="2"/>
        <v>826.80342799515779</v>
      </c>
    </row>
    <row r="70" spans="1:11" s="22" customFormat="1" x14ac:dyDescent="0.35">
      <c r="A70" s="19">
        <v>57</v>
      </c>
      <c r="B70" s="19">
        <v>99231</v>
      </c>
      <c r="C70" s="20" t="s">
        <v>124</v>
      </c>
      <c r="D70" s="113">
        <f>'Schedule 4 Adjustments'!F69</f>
        <v>0</v>
      </c>
      <c r="E70" s="403">
        <v>1.47</v>
      </c>
      <c r="F70" s="47">
        <f t="shared" si="4"/>
        <v>0</v>
      </c>
      <c r="G70" s="21">
        <f t="shared" si="0"/>
        <v>236.45934613869301</v>
      </c>
      <c r="H70" s="141">
        <f>'Schedule 4 Adjustments'!N69</f>
        <v>0</v>
      </c>
      <c r="I70" s="403">
        <v>1.47</v>
      </c>
      <c r="J70" s="47">
        <f t="shared" si="3"/>
        <v>0</v>
      </c>
      <c r="K70" s="21">
        <f t="shared" si="2"/>
        <v>236.45934613869301</v>
      </c>
    </row>
    <row r="71" spans="1:11" s="22" customFormat="1" x14ac:dyDescent="0.35">
      <c r="A71" s="19">
        <v>58</v>
      </c>
      <c r="B71" s="19">
        <v>99232</v>
      </c>
      <c r="C71" s="20" t="s">
        <v>125</v>
      </c>
      <c r="D71" s="113">
        <f>'Schedule 4 Adjustments'!F70</f>
        <v>0</v>
      </c>
      <c r="E71" s="403">
        <v>2.34</v>
      </c>
      <c r="F71" s="47">
        <f t="shared" si="4"/>
        <v>0</v>
      </c>
      <c r="G71" s="21">
        <f t="shared" si="0"/>
        <v>376.40467344526638</v>
      </c>
      <c r="H71" s="141">
        <f>'Schedule 4 Adjustments'!N70</f>
        <v>0</v>
      </c>
      <c r="I71" s="403">
        <v>2.34</v>
      </c>
      <c r="J71" s="47">
        <f t="shared" si="3"/>
        <v>0</v>
      </c>
      <c r="K71" s="21">
        <f t="shared" si="2"/>
        <v>376.40467344526638</v>
      </c>
    </row>
    <row r="72" spans="1:11" s="22" customFormat="1" x14ac:dyDescent="0.35">
      <c r="A72" s="19">
        <v>59</v>
      </c>
      <c r="B72" s="19">
        <v>99233</v>
      </c>
      <c r="C72" s="20" t="s">
        <v>126</v>
      </c>
      <c r="D72" s="113">
        <f>'Schedule 4 Adjustments'!F71</f>
        <v>0</v>
      </c>
      <c r="E72" s="403">
        <v>3.52</v>
      </c>
      <c r="F72" s="47">
        <f t="shared" si="4"/>
        <v>0</v>
      </c>
      <c r="G72" s="21">
        <f t="shared" si="0"/>
        <v>566.21557714843493</v>
      </c>
      <c r="H72" s="141">
        <f>'Schedule 4 Adjustments'!N71</f>
        <v>0</v>
      </c>
      <c r="I72" s="403">
        <v>3.52</v>
      </c>
      <c r="J72" s="47">
        <f t="shared" si="3"/>
        <v>0</v>
      </c>
      <c r="K72" s="21">
        <f t="shared" si="2"/>
        <v>566.21557714843493</v>
      </c>
    </row>
    <row r="73" spans="1:11" s="22" customFormat="1" ht="29" x14ac:dyDescent="0.35">
      <c r="A73" s="19">
        <v>60</v>
      </c>
      <c r="B73" s="19">
        <v>99234</v>
      </c>
      <c r="C73" s="20" t="s">
        <v>360</v>
      </c>
      <c r="D73" s="113">
        <f>'Schedule 4 Adjustments'!F72</f>
        <v>0</v>
      </c>
      <c r="E73" s="403">
        <v>2.9</v>
      </c>
      <c r="F73" s="47">
        <f t="shared" si="4"/>
        <v>0</v>
      </c>
      <c r="G73" s="21">
        <f t="shared" si="0"/>
        <v>466.4844243552447</v>
      </c>
      <c r="H73" s="141">
        <f>'Schedule 4 Adjustments'!N72</f>
        <v>0</v>
      </c>
      <c r="I73" s="403">
        <v>2.9</v>
      </c>
      <c r="J73" s="47">
        <f t="shared" si="3"/>
        <v>0</v>
      </c>
      <c r="K73" s="21">
        <f t="shared" si="2"/>
        <v>466.4844243552447</v>
      </c>
    </row>
    <row r="74" spans="1:11" s="22" customFormat="1" ht="29" x14ac:dyDescent="0.35">
      <c r="A74" s="19">
        <v>61</v>
      </c>
      <c r="B74" s="19">
        <v>99235</v>
      </c>
      <c r="C74" s="20" t="s">
        <v>361</v>
      </c>
      <c r="D74" s="113">
        <f>'Schedule 4 Adjustments'!F73</f>
        <v>0</v>
      </c>
      <c r="E74" s="403">
        <v>4.7300000000000004</v>
      </c>
      <c r="F74" s="47">
        <f t="shared" si="4"/>
        <v>0</v>
      </c>
      <c r="G74" s="21">
        <f t="shared" si="0"/>
        <v>760.85218179320952</v>
      </c>
      <c r="H74" s="141">
        <f>'Schedule 4 Adjustments'!N73</f>
        <v>0</v>
      </c>
      <c r="I74" s="403">
        <v>4.7300000000000004</v>
      </c>
      <c r="J74" s="47">
        <f t="shared" si="3"/>
        <v>0</v>
      </c>
      <c r="K74" s="21">
        <f t="shared" si="2"/>
        <v>760.85218179320952</v>
      </c>
    </row>
    <row r="75" spans="1:11" s="22" customFormat="1" ht="29" x14ac:dyDescent="0.35">
      <c r="A75" s="19">
        <v>62</v>
      </c>
      <c r="B75" s="19">
        <v>99236</v>
      </c>
      <c r="C75" s="20" t="s">
        <v>362</v>
      </c>
      <c r="D75" s="113">
        <f>'Schedule 4 Adjustments'!F74</f>
        <v>0</v>
      </c>
      <c r="E75" s="403">
        <v>6.18</v>
      </c>
      <c r="F75" s="47">
        <f t="shared" si="4"/>
        <v>0</v>
      </c>
      <c r="G75" s="21">
        <f t="shared" si="0"/>
        <v>994.09439397083179</v>
      </c>
      <c r="H75" s="141">
        <f>'Schedule 4 Adjustments'!N74</f>
        <v>0</v>
      </c>
      <c r="I75" s="403">
        <v>6.18</v>
      </c>
      <c r="J75" s="47">
        <f t="shared" si="3"/>
        <v>0</v>
      </c>
      <c r="K75" s="21">
        <f t="shared" si="2"/>
        <v>994.09439397083179</v>
      </c>
    </row>
    <row r="76" spans="1:11" s="22" customFormat="1" x14ac:dyDescent="0.35">
      <c r="A76" s="19">
        <v>63</v>
      </c>
      <c r="B76" s="19">
        <v>99238</v>
      </c>
      <c r="C76" s="20" t="s">
        <v>346</v>
      </c>
      <c r="D76" s="113">
        <f>'Schedule 4 Adjustments'!F75</f>
        <v>0</v>
      </c>
      <c r="E76" s="403">
        <v>2.41</v>
      </c>
      <c r="F76" s="47">
        <f t="shared" si="4"/>
        <v>0</v>
      </c>
      <c r="G76" s="21">
        <f t="shared" si="0"/>
        <v>387.66464230901374</v>
      </c>
      <c r="H76" s="141">
        <f>'Schedule 4 Adjustments'!N75</f>
        <v>0</v>
      </c>
      <c r="I76" s="403">
        <v>2.41</v>
      </c>
      <c r="J76" s="47">
        <f t="shared" si="3"/>
        <v>0</v>
      </c>
      <c r="K76" s="21">
        <f t="shared" si="2"/>
        <v>387.66464230901374</v>
      </c>
    </row>
    <row r="77" spans="1:11" s="22" customFormat="1" x14ac:dyDescent="0.35">
      <c r="A77" s="19">
        <v>64</v>
      </c>
      <c r="B77" s="19">
        <v>99239</v>
      </c>
      <c r="C77" s="20" t="s">
        <v>127</v>
      </c>
      <c r="D77" s="113">
        <f>'Schedule 4 Adjustments'!F76</f>
        <v>0</v>
      </c>
      <c r="E77" s="403">
        <v>3.4</v>
      </c>
      <c r="F77" s="47">
        <f t="shared" si="4"/>
        <v>0</v>
      </c>
      <c r="G77" s="21">
        <f t="shared" si="0"/>
        <v>546.91277338201098</v>
      </c>
      <c r="H77" s="141">
        <f>'Schedule 4 Adjustments'!N76</f>
        <v>0</v>
      </c>
      <c r="I77" s="403">
        <v>3.4</v>
      </c>
      <c r="J77" s="47">
        <f t="shared" si="3"/>
        <v>0</v>
      </c>
      <c r="K77" s="21">
        <f t="shared" si="2"/>
        <v>546.91277338201098</v>
      </c>
    </row>
    <row r="78" spans="1:11" s="22" customFormat="1" x14ac:dyDescent="0.35">
      <c r="A78" s="19">
        <v>65</v>
      </c>
      <c r="B78" s="19">
        <v>99242</v>
      </c>
      <c r="C78" s="20" t="s">
        <v>347</v>
      </c>
      <c r="D78" s="113">
        <f>'Schedule 4 Adjustments'!F77</f>
        <v>0</v>
      </c>
      <c r="E78" s="403">
        <v>2.25</v>
      </c>
      <c r="F78" s="139">
        <f t="shared" si="4"/>
        <v>0</v>
      </c>
      <c r="G78" s="140">
        <f t="shared" si="0"/>
        <v>361.92757062044848</v>
      </c>
      <c r="H78" s="141">
        <f>'Schedule 4 Adjustments'!N77</f>
        <v>0</v>
      </c>
      <c r="I78" s="403">
        <v>1.66</v>
      </c>
      <c r="J78" s="47">
        <f t="shared" si="3"/>
        <v>0</v>
      </c>
      <c r="K78" s="21">
        <f t="shared" si="2"/>
        <v>267.02211876886417</v>
      </c>
    </row>
    <row r="79" spans="1:11" s="22" customFormat="1" x14ac:dyDescent="0.35">
      <c r="A79" s="19">
        <v>66</v>
      </c>
      <c r="B79" s="19">
        <v>99243</v>
      </c>
      <c r="C79" s="20" t="s">
        <v>348</v>
      </c>
      <c r="D79" s="113">
        <f>'Schedule 4 Adjustments'!F78</f>
        <v>0</v>
      </c>
      <c r="E79" s="403">
        <v>3.37</v>
      </c>
      <c r="F79" s="47">
        <f t="shared" si="4"/>
        <v>0</v>
      </c>
      <c r="G79" s="21">
        <f t="shared" si="0"/>
        <v>542.08707244040511</v>
      </c>
      <c r="H79" s="141">
        <f>'Schedule 4 Adjustments'!N78</f>
        <v>0</v>
      </c>
      <c r="I79" s="403">
        <v>2.62</v>
      </c>
      <c r="J79" s="47">
        <f t="shared" si="3"/>
        <v>0</v>
      </c>
      <c r="K79" s="21">
        <f t="shared" si="2"/>
        <v>421.4445489002556</v>
      </c>
    </row>
    <row r="80" spans="1:11" s="22" customFormat="1" x14ac:dyDescent="0.35">
      <c r="A80" s="19">
        <v>67</v>
      </c>
      <c r="B80" s="19">
        <v>99244</v>
      </c>
      <c r="C80" s="20" t="s">
        <v>349</v>
      </c>
      <c r="D80" s="113">
        <f>'Schedule 4 Adjustments'!F79</f>
        <v>0</v>
      </c>
      <c r="E80" s="403">
        <v>4.8099999999999996</v>
      </c>
      <c r="F80" s="47">
        <f t="shared" si="4"/>
        <v>0</v>
      </c>
      <c r="G80" s="21">
        <f t="shared" si="0"/>
        <v>773.72071763749204</v>
      </c>
      <c r="H80" s="141">
        <f>'Schedule 4 Adjustments'!N79</f>
        <v>0</v>
      </c>
      <c r="I80" s="403">
        <v>3.99</v>
      </c>
      <c r="J80" s="47">
        <f t="shared" si="3"/>
        <v>0</v>
      </c>
      <c r="K80" s="21">
        <f t="shared" si="2"/>
        <v>641.81822523359529</v>
      </c>
    </row>
    <row r="81" spans="1:11" s="22" customFormat="1" x14ac:dyDescent="0.35">
      <c r="A81" s="19">
        <v>68</v>
      </c>
      <c r="B81" s="19">
        <v>99245</v>
      </c>
      <c r="C81" s="20" t="s">
        <v>350</v>
      </c>
      <c r="D81" s="113">
        <f>'Schedule 4 Adjustments'!F80</f>
        <v>0</v>
      </c>
      <c r="E81" s="403">
        <v>6.28</v>
      </c>
      <c r="F81" s="47">
        <f t="shared" si="4"/>
        <v>0</v>
      </c>
      <c r="G81" s="21">
        <f t="shared" si="0"/>
        <v>1010.1800637761851</v>
      </c>
      <c r="H81" s="141">
        <f>'Schedule 4 Adjustments'!N80</f>
        <v>0</v>
      </c>
      <c r="I81" s="403">
        <v>5.36</v>
      </c>
      <c r="J81" s="47">
        <f t="shared" si="3"/>
        <v>0</v>
      </c>
      <c r="K81" s="21">
        <f t="shared" si="2"/>
        <v>862.19190156693503</v>
      </c>
    </row>
    <row r="82" spans="1:11" s="22" customFormat="1" x14ac:dyDescent="0.35">
      <c r="A82" s="19">
        <v>69</v>
      </c>
      <c r="B82" s="19">
        <v>99252</v>
      </c>
      <c r="C82" s="20" t="s">
        <v>351</v>
      </c>
      <c r="D82" s="113">
        <f>'Schedule 4 Adjustments'!F81</f>
        <v>0</v>
      </c>
      <c r="E82" s="403">
        <v>2.11</v>
      </c>
      <c r="F82" s="47">
        <f t="shared" si="4"/>
        <v>0</v>
      </c>
      <c r="G82" s="21">
        <f t="shared" si="0"/>
        <v>339.40763289295387</v>
      </c>
      <c r="H82" s="141">
        <f>'Schedule 4 Adjustments'!N81</f>
        <v>0</v>
      </c>
      <c r="I82" s="403">
        <v>2.11</v>
      </c>
      <c r="J82" s="47">
        <f t="shared" si="3"/>
        <v>0</v>
      </c>
      <c r="K82" s="21">
        <f t="shared" si="2"/>
        <v>339.40763289295387</v>
      </c>
    </row>
    <row r="83" spans="1:11" s="22" customFormat="1" x14ac:dyDescent="0.35">
      <c r="A83" s="19">
        <v>70</v>
      </c>
      <c r="B83" s="19">
        <v>99253</v>
      </c>
      <c r="C83" s="20" t="s">
        <v>352</v>
      </c>
      <c r="D83" s="113">
        <f>'Schedule 4 Adjustments'!F82</f>
        <v>0</v>
      </c>
      <c r="E83" s="403">
        <v>2.96</v>
      </c>
      <c r="F83" s="47">
        <f t="shared" si="4"/>
        <v>0</v>
      </c>
      <c r="G83" s="21">
        <f t="shared" ref="G83:G146" si="5">E83*$F$13</f>
        <v>476.13582623845667</v>
      </c>
      <c r="H83" s="141">
        <f>'Schedule 4 Adjustments'!N82</f>
        <v>0</v>
      </c>
      <c r="I83" s="403">
        <v>2.96</v>
      </c>
      <c r="J83" s="47">
        <f t="shared" si="3"/>
        <v>0</v>
      </c>
      <c r="K83" s="21">
        <f t="shared" ref="K83:K146" si="6">I83*$F$13</f>
        <v>476.13582623845667</v>
      </c>
    </row>
    <row r="84" spans="1:11" s="22" customFormat="1" x14ac:dyDescent="0.35">
      <c r="A84" s="19">
        <v>71</v>
      </c>
      <c r="B84" s="19">
        <v>99254</v>
      </c>
      <c r="C84" s="20" t="s">
        <v>353</v>
      </c>
      <c r="D84" s="113">
        <f>'Schedule 4 Adjustments'!F83</f>
        <v>0</v>
      </c>
      <c r="E84" s="403">
        <v>4.1100000000000003</v>
      </c>
      <c r="F84" s="47">
        <f t="shared" si="4"/>
        <v>0</v>
      </c>
      <c r="G84" s="21">
        <f t="shared" si="5"/>
        <v>661.12102900001923</v>
      </c>
      <c r="H84" s="141">
        <f>'Schedule 4 Adjustments'!N83</f>
        <v>0</v>
      </c>
      <c r="I84" s="403">
        <v>4.1100000000000003</v>
      </c>
      <c r="J84" s="47">
        <f t="shared" ref="J84:J147" si="7">H84*I84</f>
        <v>0</v>
      </c>
      <c r="K84" s="21">
        <f t="shared" si="6"/>
        <v>661.12102900001923</v>
      </c>
    </row>
    <row r="85" spans="1:11" s="22" customFormat="1" x14ac:dyDescent="0.35">
      <c r="A85" s="19">
        <v>72</v>
      </c>
      <c r="B85" s="19">
        <v>99255</v>
      </c>
      <c r="C85" s="20" t="s">
        <v>354</v>
      </c>
      <c r="D85" s="113">
        <f>'Schedule 4 Adjustments'!F84</f>
        <v>0</v>
      </c>
      <c r="E85" s="403">
        <v>5.53</v>
      </c>
      <c r="F85" s="47">
        <f t="shared" ref="F85:F148" si="8">D85*E85</f>
        <v>0</v>
      </c>
      <c r="G85" s="21">
        <f t="shared" si="5"/>
        <v>889.53754023603562</v>
      </c>
      <c r="H85" s="141">
        <f>'Schedule 4 Adjustments'!N84</f>
        <v>0</v>
      </c>
      <c r="I85" s="403">
        <v>5.53</v>
      </c>
      <c r="J85" s="47">
        <f t="shared" si="7"/>
        <v>0</v>
      </c>
      <c r="K85" s="21">
        <f t="shared" si="6"/>
        <v>889.53754023603562</v>
      </c>
    </row>
    <row r="86" spans="1:11" s="22" customFormat="1" x14ac:dyDescent="0.35">
      <c r="A86" s="19">
        <v>73</v>
      </c>
      <c r="B86" s="19">
        <v>99281</v>
      </c>
      <c r="C86" s="20" t="s">
        <v>355</v>
      </c>
      <c r="D86" s="113">
        <f>'Schedule 4 Adjustments'!F85</f>
        <v>0</v>
      </c>
      <c r="E86" s="403">
        <v>0.34</v>
      </c>
      <c r="F86" s="47">
        <f t="shared" si="8"/>
        <v>0</v>
      </c>
      <c r="G86" s="21">
        <f t="shared" si="5"/>
        <v>54.691277338201104</v>
      </c>
      <c r="H86" s="141">
        <f>'Schedule 4 Adjustments'!N85</f>
        <v>0</v>
      </c>
      <c r="I86" s="403">
        <v>0.34</v>
      </c>
      <c r="J86" s="47">
        <f t="shared" si="7"/>
        <v>0</v>
      </c>
      <c r="K86" s="21">
        <f t="shared" si="6"/>
        <v>54.691277338201104</v>
      </c>
    </row>
    <row r="87" spans="1:11" s="22" customFormat="1" x14ac:dyDescent="0.35">
      <c r="A87" s="19">
        <v>74</v>
      </c>
      <c r="B87" s="19">
        <v>99282</v>
      </c>
      <c r="C87" s="20" t="s">
        <v>356</v>
      </c>
      <c r="D87" s="113">
        <f>'Schedule 4 Adjustments'!F86</f>
        <v>0</v>
      </c>
      <c r="E87" s="403">
        <v>1.24</v>
      </c>
      <c r="F87" s="47">
        <f t="shared" si="8"/>
        <v>0</v>
      </c>
      <c r="G87" s="21">
        <f t="shared" si="5"/>
        <v>199.4623055863805</v>
      </c>
      <c r="H87" s="141">
        <f>'Schedule 4 Adjustments'!N86</f>
        <v>0</v>
      </c>
      <c r="I87" s="403">
        <v>1.24</v>
      </c>
      <c r="J87" s="47">
        <f t="shared" si="7"/>
        <v>0</v>
      </c>
      <c r="K87" s="21">
        <f t="shared" si="6"/>
        <v>199.4623055863805</v>
      </c>
    </row>
    <row r="88" spans="1:11" s="22" customFormat="1" x14ac:dyDescent="0.35">
      <c r="A88" s="19">
        <v>75</v>
      </c>
      <c r="B88" s="19">
        <v>99283</v>
      </c>
      <c r="C88" s="20" t="s">
        <v>357</v>
      </c>
      <c r="D88" s="113">
        <f>'Schedule 4 Adjustments'!F87</f>
        <v>0</v>
      </c>
      <c r="E88" s="403">
        <v>2.11</v>
      </c>
      <c r="F88" s="47">
        <f t="shared" si="8"/>
        <v>0</v>
      </c>
      <c r="G88" s="21">
        <f t="shared" si="5"/>
        <v>339.40763289295387</v>
      </c>
      <c r="H88" s="141">
        <f>'Schedule 4 Adjustments'!N87</f>
        <v>0</v>
      </c>
      <c r="I88" s="403">
        <v>2.11</v>
      </c>
      <c r="J88" s="47">
        <f t="shared" si="7"/>
        <v>0</v>
      </c>
      <c r="K88" s="21">
        <f t="shared" si="6"/>
        <v>339.40763289295387</v>
      </c>
    </row>
    <row r="89" spans="1:11" s="22" customFormat="1" x14ac:dyDescent="0.35">
      <c r="A89" s="19">
        <v>76</v>
      </c>
      <c r="B89" s="19">
        <v>99284</v>
      </c>
      <c r="C89" s="20" t="s">
        <v>358</v>
      </c>
      <c r="D89" s="113">
        <f>'Schedule 4 Adjustments'!F88</f>
        <v>0</v>
      </c>
      <c r="E89" s="403">
        <v>3.59</v>
      </c>
      <c r="F89" s="47">
        <f t="shared" si="8"/>
        <v>0</v>
      </c>
      <c r="G89" s="21">
        <f t="shared" si="5"/>
        <v>577.47554601218224</v>
      </c>
      <c r="H89" s="141">
        <f>'Schedule 4 Adjustments'!N88</f>
        <v>0</v>
      </c>
      <c r="I89" s="403">
        <v>3.59</v>
      </c>
      <c r="J89" s="47">
        <f t="shared" si="7"/>
        <v>0</v>
      </c>
      <c r="K89" s="21">
        <f t="shared" si="6"/>
        <v>577.47554601218224</v>
      </c>
    </row>
    <row r="90" spans="1:11" s="22" customFormat="1" x14ac:dyDescent="0.35">
      <c r="A90" s="19">
        <v>77</v>
      </c>
      <c r="B90" s="19">
        <v>99285</v>
      </c>
      <c r="C90" s="20" t="s">
        <v>359</v>
      </c>
      <c r="D90" s="113">
        <f>'Schedule 4 Adjustments'!F89</f>
        <v>0</v>
      </c>
      <c r="E90" s="403">
        <v>5.2</v>
      </c>
      <c r="F90" s="47">
        <f t="shared" si="8"/>
        <v>0</v>
      </c>
      <c r="G90" s="21">
        <f t="shared" si="5"/>
        <v>836.45482987836988</v>
      </c>
      <c r="H90" s="141">
        <f>'Schedule 4 Adjustments'!N89</f>
        <v>0</v>
      </c>
      <c r="I90" s="403">
        <v>5.2</v>
      </c>
      <c r="J90" s="47">
        <f t="shared" si="7"/>
        <v>0</v>
      </c>
      <c r="K90" s="21">
        <f t="shared" si="6"/>
        <v>836.45482987836988</v>
      </c>
    </row>
    <row r="91" spans="1:11" s="22" customFormat="1" x14ac:dyDescent="0.35">
      <c r="A91" s="19">
        <v>78</v>
      </c>
      <c r="B91" s="19">
        <v>99304</v>
      </c>
      <c r="C91" s="20" t="s">
        <v>363</v>
      </c>
      <c r="D91" s="113">
        <f>'Schedule 4 Adjustments'!F90</f>
        <v>5</v>
      </c>
      <c r="E91" s="403">
        <v>2.39</v>
      </c>
      <c r="F91" s="47">
        <f t="shared" si="8"/>
        <v>11.950000000000001</v>
      </c>
      <c r="G91" s="21">
        <f t="shared" si="5"/>
        <v>384.44750834794309</v>
      </c>
      <c r="H91" s="141">
        <f>'Schedule 4 Adjustments'!N90</f>
        <v>0</v>
      </c>
      <c r="I91" s="403">
        <v>2.39</v>
      </c>
      <c r="J91" s="47">
        <f t="shared" si="7"/>
        <v>0</v>
      </c>
      <c r="K91" s="21">
        <f t="shared" si="6"/>
        <v>384.44750834794309</v>
      </c>
    </row>
    <row r="92" spans="1:11" s="22" customFormat="1" x14ac:dyDescent="0.35">
      <c r="A92" s="19">
        <v>79</v>
      </c>
      <c r="B92" s="19">
        <v>99305</v>
      </c>
      <c r="C92" s="20" t="s">
        <v>364</v>
      </c>
      <c r="D92" s="113">
        <f>'Schedule 4 Adjustments'!F91</f>
        <v>9</v>
      </c>
      <c r="E92" s="403">
        <v>3.97</v>
      </c>
      <c r="F92" s="47">
        <f t="shared" si="8"/>
        <v>35.730000000000004</v>
      </c>
      <c r="G92" s="21">
        <f t="shared" si="5"/>
        <v>638.60109127252463</v>
      </c>
      <c r="H92" s="141">
        <f>'Schedule 4 Adjustments'!N91</f>
        <v>0</v>
      </c>
      <c r="I92" s="403">
        <v>3.97</v>
      </c>
      <c r="J92" s="47">
        <f t="shared" si="7"/>
        <v>0</v>
      </c>
      <c r="K92" s="21">
        <f t="shared" si="6"/>
        <v>638.60109127252463</v>
      </c>
    </row>
    <row r="93" spans="1:11" s="22" customFormat="1" x14ac:dyDescent="0.35">
      <c r="A93" s="19">
        <v>80</v>
      </c>
      <c r="B93" s="19">
        <v>99306</v>
      </c>
      <c r="C93" s="20" t="s">
        <v>365</v>
      </c>
      <c r="D93" s="113">
        <f>'Schedule 4 Adjustments'!F92</f>
        <v>30</v>
      </c>
      <c r="E93" s="403">
        <v>5.42</v>
      </c>
      <c r="F93" s="47">
        <f t="shared" si="8"/>
        <v>162.6</v>
      </c>
      <c r="G93" s="21">
        <f t="shared" si="5"/>
        <v>871.843303450147</v>
      </c>
      <c r="H93" s="141">
        <f>'Schedule 4 Adjustments'!N92</f>
        <v>0</v>
      </c>
      <c r="I93" s="403">
        <v>5.42</v>
      </c>
      <c r="J93" s="47">
        <f t="shared" si="7"/>
        <v>0</v>
      </c>
      <c r="K93" s="21">
        <f t="shared" si="6"/>
        <v>871.843303450147</v>
      </c>
    </row>
    <row r="94" spans="1:11" s="22" customFormat="1" x14ac:dyDescent="0.35">
      <c r="A94" s="19">
        <v>81</v>
      </c>
      <c r="B94" s="19">
        <v>99307</v>
      </c>
      <c r="C94" s="20" t="s">
        <v>366</v>
      </c>
      <c r="D94" s="113">
        <f>'Schedule 4 Adjustments'!F93</f>
        <v>12</v>
      </c>
      <c r="E94" s="403">
        <v>1.2</v>
      </c>
      <c r="F94" s="47">
        <f t="shared" si="8"/>
        <v>14.399999999999999</v>
      </c>
      <c r="G94" s="21">
        <f t="shared" si="5"/>
        <v>193.02803766423918</v>
      </c>
      <c r="H94" s="141">
        <f>'Schedule 4 Adjustments'!N93</f>
        <v>0</v>
      </c>
      <c r="I94" s="403">
        <v>1.2</v>
      </c>
      <c r="J94" s="47">
        <f t="shared" si="7"/>
        <v>0</v>
      </c>
      <c r="K94" s="21">
        <f t="shared" si="6"/>
        <v>193.02803766423918</v>
      </c>
    </row>
    <row r="95" spans="1:11" s="22" customFormat="1" x14ac:dyDescent="0.35">
      <c r="A95" s="19">
        <v>82</v>
      </c>
      <c r="B95" s="19">
        <v>99308</v>
      </c>
      <c r="C95" s="20" t="s">
        <v>367</v>
      </c>
      <c r="D95" s="113">
        <f>'Schedule 4 Adjustments'!F94</f>
        <v>83</v>
      </c>
      <c r="E95" s="403">
        <v>2.2200000000000002</v>
      </c>
      <c r="F95" s="47">
        <f t="shared" si="8"/>
        <v>184.26000000000002</v>
      </c>
      <c r="G95" s="21">
        <f t="shared" si="5"/>
        <v>357.10186967884255</v>
      </c>
      <c r="H95" s="141">
        <f>'Schedule 4 Adjustments'!N94</f>
        <v>0</v>
      </c>
      <c r="I95" s="403">
        <v>2.2200000000000002</v>
      </c>
      <c r="J95" s="47">
        <f t="shared" si="7"/>
        <v>0</v>
      </c>
      <c r="K95" s="21">
        <f t="shared" si="6"/>
        <v>357.10186967884255</v>
      </c>
    </row>
    <row r="96" spans="1:11" s="22" customFormat="1" x14ac:dyDescent="0.35">
      <c r="A96" s="19">
        <v>83</v>
      </c>
      <c r="B96" s="19">
        <v>99309</v>
      </c>
      <c r="C96" s="20" t="s">
        <v>368</v>
      </c>
      <c r="D96" s="113">
        <f>'Schedule 4 Adjustments'!F95</f>
        <v>678</v>
      </c>
      <c r="E96" s="403">
        <v>3.21</v>
      </c>
      <c r="F96" s="47">
        <f t="shared" si="8"/>
        <v>2176.38</v>
      </c>
      <c r="G96" s="21">
        <f t="shared" si="5"/>
        <v>516.35000075183984</v>
      </c>
      <c r="H96" s="141">
        <f>'Schedule 4 Adjustments'!N95</f>
        <v>0</v>
      </c>
      <c r="I96" s="403">
        <v>3.21</v>
      </c>
      <c r="J96" s="47">
        <f t="shared" si="7"/>
        <v>0</v>
      </c>
      <c r="K96" s="21">
        <f t="shared" si="6"/>
        <v>516.35000075183984</v>
      </c>
    </row>
    <row r="97" spans="1:11" s="22" customFormat="1" x14ac:dyDescent="0.35">
      <c r="A97" s="19">
        <v>84</v>
      </c>
      <c r="B97" s="19">
        <v>99310</v>
      </c>
      <c r="C97" s="20" t="s">
        <v>369</v>
      </c>
      <c r="D97" s="113">
        <f>'Schedule 4 Adjustments'!F96</f>
        <v>260</v>
      </c>
      <c r="E97" s="403">
        <v>4.58</v>
      </c>
      <c r="F97" s="47">
        <f t="shared" si="8"/>
        <v>1190.8</v>
      </c>
      <c r="G97" s="21">
        <f t="shared" si="5"/>
        <v>736.72367708517959</v>
      </c>
      <c r="H97" s="141">
        <f>'Schedule 4 Adjustments'!N96</f>
        <v>0</v>
      </c>
      <c r="I97" s="403">
        <v>4.58</v>
      </c>
      <c r="J97" s="47">
        <f t="shared" si="7"/>
        <v>0</v>
      </c>
      <c r="K97" s="21">
        <f t="shared" si="6"/>
        <v>736.72367708517959</v>
      </c>
    </row>
    <row r="98" spans="1:11" s="22" customFormat="1" x14ac:dyDescent="0.35">
      <c r="A98" s="19">
        <v>85</v>
      </c>
      <c r="B98" s="19">
        <v>99315</v>
      </c>
      <c r="C98" s="20" t="s">
        <v>370</v>
      </c>
      <c r="D98" s="113">
        <f>'Schedule 4 Adjustments'!F97</f>
        <v>0</v>
      </c>
      <c r="E98" s="403">
        <v>2.4300000000000002</v>
      </c>
      <c r="F98" s="47">
        <f t="shared" si="8"/>
        <v>0</v>
      </c>
      <c r="G98" s="21">
        <f t="shared" si="5"/>
        <v>390.8817762700844</v>
      </c>
      <c r="H98" s="141">
        <f>'Schedule 4 Adjustments'!N97</f>
        <v>0</v>
      </c>
      <c r="I98" s="403">
        <v>2.4300000000000002</v>
      </c>
      <c r="J98" s="47">
        <f t="shared" si="7"/>
        <v>0</v>
      </c>
      <c r="K98" s="21">
        <f t="shared" si="6"/>
        <v>390.8817762700844</v>
      </c>
    </row>
    <row r="99" spans="1:11" s="22" customFormat="1" x14ac:dyDescent="0.35">
      <c r="A99" s="19">
        <v>86</v>
      </c>
      <c r="B99" s="19">
        <v>99316</v>
      </c>
      <c r="C99" s="20" t="s">
        <v>128</v>
      </c>
      <c r="D99" s="113">
        <f>'Schedule 4 Adjustments'!F98</f>
        <v>0</v>
      </c>
      <c r="E99" s="403">
        <v>3.9</v>
      </c>
      <c r="F99" s="47">
        <f t="shared" si="8"/>
        <v>0</v>
      </c>
      <c r="G99" s="21">
        <f t="shared" si="5"/>
        <v>627.34112240877732</v>
      </c>
      <c r="H99" s="141">
        <f>'Schedule 4 Adjustments'!N98</f>
        <v>0</v>
      </c>
      <c r="I99" s="403">
        <v>3.9</v>
      </c>
      <c r="J99" s="47">
        <f t="shared" si="7"/>
        <v>0</v>
      </c>
      <c r="K99" s="21">
        <f t="shared" si="6"/>
        <v>627.34112240877732</v>
      </c>
    </row>
    <row r="100" spans="1:11" s="22" customFormat="1" x14ac:dyDescent="0.35">
      <c r="A100" s="19">
        <v>87</v>
      </c>
      <c r="B100" s="19">
        <v>99341</v>
      </c>
      <c r="C100" s="20" t="s">
        <v>371</v>
      </c>
      <c r="D100" s="113">
        <f>'Schedule 4 Adjustments'!F99</f>
        <v>0</v>
      </c>
      <c r="E100" s="403">
        <v>1.47</v>
      </c>
      <c r="F100" s="47">
        <f t="shared" si="8"/>
        <v>0</v>
      </c>
      <c r="G100" s="21">
        <f t="shared" si="5"/>
        <v>236.45934613869301</v>
      </c>
      <c r="H100" s="141">
        <f>'Schedule 4 Adjustments'!N99</f>
        <v>0</v>
      </c>
      <c r="I100" s="403">
        <v>1.47</v>
      </c>
      <c r="J100" s="47">
        <f t="shared" si="7"/>
        <v>0</v>
      </c>
      <c r="K100" s="21">
        <f t="shared" si="6"/>
        <v>236.45934613869301</v>
      </c>
    </row>
    <row r="101" spans="1:11" s="22" customFormat="1" x14ac:dyDescent="0.35">
      <c r="A101" s="19">
        <v>88</v>
      </c>
      <c r="B101" s="19">
        <v>99342</v>
      </c>
      <c r="C101" s="20" t="s">
        <v>372</v>
      </c>
      <c r="D101" s="113">
        <f>'Schedule 4 Adjustments'!F100</f>
        <v>0</v>
      </c>
      <c r="E101" s="403">
        <v>2.33</v>
      </c>
      <c r="F101" s="47">
        <f t="shared" si="8"/>
        <v>0</v>
      </c>
      <c r="G101" s="21">
        <f t="shared" si="5"/>
        <v>374.79610646473111</v>
      </c>
      <c r="H101" s="141">
        <f>'Schedule 4 Adjustments'!N100</f>
        <v>0</v>
      </c>
      <c r="I101" s="403">
        <v>2.33</v>
      </c>
      <c r="J101" s="47">
        <f t="shared" si="7"/>
        <v>0</v>
      </c>
      <c r="K101" s="21">
        <f t="shared" si="6"/>
        <v>374.79610646473111</v>
      </c>
    </row>
    <row r="102" spans="1:11" s="22" customFormat="1" x14ac:dyDescent="0.35">
      <c r="A102" s="19">
        <v>89</v>
      </c>
      <c r="B102" s="19">
        <v>99344</v>
      </c>
      <c r="C102" s="20" t="s">
        <v>373</v>
      </c>
      <c r="D102" s="113">
        <f>'Schedule 4 Adjustments'!F101</f>
        <v>0</v>
      </c>
      <c r="E102" s="403">
        <v>4.2300000000000004</v>
      </c>
      <c r="F102" s="47">
        <f t="shared" si="8"/>
        <v>0</v>
      </c>
      <c r="G102" s="21">
        <f t="shared" si="5"/>
        <v>680.42383276644318</v>
      </c>
      <c r="H102" s="141">
        <f>'Schedule 4 Adjustments'!N101</f>
        <v>0</v>
      </c>
      <c r="I102" s="403">
        <v>4.2300000000000004</v>
      </c>
      <c r="J102" s="47">
        <f t="shared" si="7"/>
        <v>0</v>
      </c>
      <c r="K102" s="21">
        <f t="shared" si="6"/>
        <v>680.42383276644318</v>
      </c>
    </row>
    <row r="103" spans="1:11" s="22" customFormat="1" x14ac:dyDescent="0.35">
      <c r="A103" s="19">
        <v>90</v>
      </c>
      <c r="B103" s="19">
        <v>99345</v>
      </c>
      <c r="C103" s="20" t="s">
        <v>374</v>
      </c>
      <c r="D103" s="113">
        <f>'Schedule 4 Adjustments'!F102</f>
        <v>0</v>
      </c>
      <c r="E103" s="403">
        <v>6.01</v>
      </c>
      <c r="F103" s="47">
        <f t="shared" si="8"/>
        <v>0</v>
      </c>
      <c r="G103" s="21">
        <f t="shared" si="5"/>
        <v>966.74875530173119</v>
      </c>
      <c r="H103" s="141">
        <f>'Schedule 4 Adjustments'!N102</f>
        <v>0</v>
      </c>
      <c r="I103" s="403">
        <v>6.01</v>
      </c>
      <c r="J103" s="47">
        <f t="shared" si="7"/>
        <v>0</v>
      </c>
      <c r="K103" s="21">
        <f t="shared" si="6"/>
        <v>966.74875530173119</v>
      </c>
    </row>
    <row r="104" spans="1:11" s="22" customFormat="1" x14ac:dyDescent="0.35">
      <c r="A104" s="19">
        <v>91</v>
      </c>
      <c r="B104" s="19">
        <v>99347</v>
      </c>
      <c r="C104" s="20" t="s">
        <v>375</v>
      </c>
      <c r="D104" s="113">
        <f>'Schedule 4 Adjustments'!F103</f>
        <v>0</v>
      </c>
      <c r="E104" s="403">
        <v>1.35</v>
      </c>
      <c r="F104" s="47">
        <f t="shared" si="8"/>
        <v>0</v>
      </c>
      <c r="G104" s="21">
        <f t="shared" si="5"/>
        <v>217.15654237226909</v>
      </c>
      <c r="H104" s="141">
        <f>'Schedule 4 Adjustments'!N103</f>
        <v>0</v>
      </c>
      <c r="I104" s="403">
        <v>1.35</v>
      </c>
      <c r="J104" s="47">
        <f t="shared" si="7"/>
        <v>0</v>
      </c>
      <c r="K104" s="21">
        <f t="shared" si="6"/>
        <v>217.15654237226909</v>
      </c>
    </row>
    <row r="105" spans="1:11" s="22" customFormat="1" x14ac:dyDescent="0.35">
      <c r="A105" s="19">
        <v>92</v>
      </c>
      <c r="B105" s="19">
        <v>99348</v>
      </c>
      <c r="C105" s="20" t="s">
        <v>376</v>
      </c>
      <c r="D105" s="113">
        <f>'Schedule 4 Adjustments'!F104</f>
        <v>0</v>
      </c>
      <c r="E105" s="403">
        <v>2.2799999999999998</v>
      </c>
      <c r="F105" s="47">
        <f t="shared" si="8"/>
        <v>0</v>
      </c>
      <c r="G105" s="21">
        <f t="shared" si="5"/>
        <v>366.75327156205441</v>
      </c>
      <c r="H105" s="141">
        <f>'Schedule 4 Adjustments'!N104</f>
        <v>0</v>
      </c>
      <c r="I105" s="403">
        <v>2.2799999999999998</v>
      </c>
      <c r="J105" s="47">
        <f t="shared" si="7"/>
        <v>0</v>
      </c>
      <c r="K105" s="21">
        <f t="shared" si="6"/>
        <v>366.75327156205441</v>
      </c>
    </row>
    <row r="106" spans="1:11" s="22" customFormat="1" x14ac:dyDescent="0.35">
      <c r="A106" s="19">
        <v>93</v>
      </c>
      <c r="B106" s="19">
        <v>99349</v>
      </c>
      <c r="C106" s="20" t="s">
        <v>377</v>
      </c>
      <c r="D106" s="113">
        <f>'Schedule 4 Adjustments'!F105</f>
        <v>0</v>
      </c>
      <c r="E106" s="403">
        <v>3.79</v>
      </c>
      <c r="F106" s="47">
        <f t="shared" si="8"/>
        <v>0</v>
      </c>
      <c r="G106" s="21">
        <f t="shared" si="5"/>
        <v>609.64688562288882</v>
      </c>
      <c r="H106" s="141">
        <f>'Schedule 4 Adjustments'!N105</f>
        <v>0</v>
      </c>
      <c r="I106" s="403">
        <v>3.79</v>
      </c>
      <c r="J106" s="47">
        <f t="shared" si="7"/>
        <v>0</v>
      </c>
      <c r="K106" s="21">
        <f t="shared" si="6"/>
        <v>609.64688562288882</v>
      </c>
    </row>
    <row r="107" spans="1:11" s="22" customFormat="1" x14ac:dyDescent="0.35">
      <c r="A107" s="19">
        <v>94</v>
      </c>
      <c r="B107" s="19">
        <v>99350</v>
      </c>
      <c r="C107" s="20" t="s">
        <v>378</v>
      </c>
      <c r="D107" s="113">
        <f>'Schedule 4 Adjustments'!F106</f>
        <v>0</v>
      </c>
      <c r="E107" s="403">
        <v>5.52</v>
      </c>
      <c r="F107" s="47">
        <f t="shared" si="8"/>
        <v>0</v>
      </c>
      <c r="G107" s="21">
        <f t="shared" si="5"/>
        <v>887.92897325550018</v>
      </c>
      <c r="H107" s="141">
        <f>'Schedule 4 Adjustments'!N106</f>
        <v>0</v>
      </c>
      <c r="I107" s="403">
        <v>5.52</v>
      </c>
      <c r="J107" s="47">
        <f t="shared" si="7"/>
        <v>0</v>
      </c>
      <c r="K107" s="21">
        <f t="shared" si="6"/>
        <v>887.92897325550018</v>
      </c>
    </row>
    <row r="108" spans="1:11" s="22" customFormat="1" x14ac:dyDescent="0.35">
      <c r="A108" s="19">
        <v>95</v>
      </c>
      <c r="B108" s="19">
        <v>99366</v>
      </c>
      <c r="C108" s="20" t="s">
        <v>379</v>
      </c>
      <c r="D108" s="113">
        <f>'Schedule 4 Adjustments'!F107</f>
        <v>0</v>
      </c>
      <c r="E108" s="403">
        <v>1.22</v>
      </c>
      <c r="F108" s="47">
        <f t="shared" si="8"/>
        <v>0</v>
      </c>
      <c r="G108" s="21">
        <f t="shared" si="5"/>
        <v>196.24517162530984</v>
      </c>
      <c r="H108" s="141">
        <f>'Schedule 4 Adjustments'!N107</f>
        <v>0</v>
      </c>
      <c r="I108" s="403">
        <v>1.19</v>
      </c>
      <c r="J108" s="47">
        <f t="shared" si="7"/>
        <v>0</v>
      </c>
      <c r="K108" s="21">
        <f t="shared" si="6"/>
        <v>191.41947068370385</v>
      </c>
    </row>
    <row r="109" spans="1:11" s="22" customFormat="1" x14ac:dyDescent="0.35">
      <c r="A109" s="19">
        <v>96</v>
      </c>
      <c r="B109" s="19">
        <v>99367</v>
      </c>
      <c r="C109" s="20" t="s">
        <v>380</v>
      </c>
      <c r="D109" s="113">
        <f>'Schedule 4 Adjustments'!F108</f>
        <v>0</v>
      </c>
      <c r="E109" s="403">
        <v>1.6</v>
      </c>
      <c r="F109" s="47">
        <f t="shared" si="8"/>
        <v>0</v>
      </c>
      <c r="G109" s="21">
        <f t="shared" si="5"/>
        <v>257.37071688565226</v>
      </c>
      <c r="H109" s="141">
        <f>'Schedule 4 Adjustments'!N108</f>
        <v>0</v>
      </c>
      <c r="I109" s="403">
        <v>1.6</v>
      </c>
      <c r="J109" s="47">
        <f t="shared" si="7"/>
        <v>0</v>
      </c>
      <c r="K109" s="21">
        <f t="shared" si="6"/>
        <v>257.37071688565226</v>
      </c>
    </row>
    <row r="110" spans="1:11" s="22" customFormat="1" x14ac:dyDescent="0.35">
      <c r="A110" s="19">
        <v>97</v>
      </c>
      <c r="B110" s="19">
        <v>99368</v>
      </c>
      <c r="C110" s="20" t="s">
        <v>381</v>
      </c>
      <c r="D110" s="113">
        <f>'Schedule 4 Adjustments'!F109</f>
        <v>0</v>
      </c>
      <c r="E110" s="403">
        <v>1.04</v>
      </c>
      <c r="F110" s="47">
        <f t="shared" si="8"/>
        <v>0</v>
      </c>
      <c r="G110" s="21">
        <f t="shared" si="5"/>
        <v>167.29096597567397</v>
      </c>
      <c r="H110" s="141">
        <f>'Schedule 4 Adjustments'!N109</f>
        <v>0</v>
      </c>
      <c r="I110" s="403">
        <v>1.04</v>
      </c>
      <c r="J110" s="47">
        <f t="shared" si="7"/>
        <v>0</v>
      </c>
      <c r="K110" s="21">
        <f t="shared" si="6"/>
        <v>167.29096597567397</v>
      </c>
    </row>
    <row r="111" spans="1:11" s="22" customFormat="1" x14ac:dyDescent="0.35">
      <c r="A111" s="19">
        <v>98</v>
      </c>
      <c r="B111" s="19">
        <v>99441</v>
      </c>
      <c r="C111" s="20" t="s">
        <v>382</v>
      </c>
      <c r="D111" s="113">
        <f>'Schedule 4 Adjustments'!F110</f>
        <v>0</v>
      </c>
      <c r="E111" s="403">
        <v>1.69</v>
      </c>
      <c r="F111" s="47">
        <f t="shared" si="8"/>
        <v>0</v>
      </c>
      <c r="G111" s="21">
        <f t="shared" si="5"/>
        <v>271.84781971047016</v>
      </c>
      <c r="H111" s="141">
        <f>'Schedule 4 Adjustments'!N110</f>
        <v>0</v>
      </c>
      <c r="I111" s="403">
        <v>1.04</v>
      </c>
      <c r="J111" s="47">
        <f t="shared" si="7"/>
        <v>0</v>
      </c>
      <c r="K111" s="21">
        <f t="shared" si="6"/>
        <v>167.29096597567397</v>
      </c>
    </row>
    <row r="112" spans="1:11" s="22" customFormat="1" x14ac:dyDescent="0.35">
      <c r="A112" s="19">
        <v>99</v>
      </c>
      <c r="B112" s="19">
        <v>99442</v>
      </c>
      <c r="C112" s="20" t="s">
        <v>383</v>
      </c>
      <c r="D112" s="113">
        <f>'Schedule 4 Adjustments'!F111</f>
        <v>0</v>
      </c>
      <c r="E112" s="403">
        <v>2.72</v>
      </c>
      <c r="F112" s="47">
        <f t="shared" si="8"/>
        <v>0</v>
      </c>
      <c r="G112" s="21">
        <f t="shared" si="5"/>
        <v>437.53021870560883</v>
      </c>
      <c r="H112" s="141">
        <f>'Schedule 4 Adjustments'!N111</f>
        <v>0</v>
      </c>
      <c r="I112" s="403">
        <v>1.95</v>
      </c>
      <c r="J112" s="47">
        <f t="shared" si="7"/>
        <v>0</v>
      </c>
      <c r="K112" s="21">
        <f t="shared" si="6"/>
        <v>313.67056120438866</v>
      </c>
    </row>
    <row r="113" spans="1:11" s="22" customFormat="1" x14ac:dyDescent="0.35">
      <c r="A113" s="19">
        <v>100</v>
      </c>
      <c r="B113" s="19">
        <v>99443</v>
      </c>
      <c r="C113" s="20" t="s">
        <v>384</v>
      </c>
      <c r="D113" s="113">
        <f>'Schedule 4 Adjustments'!F112</f>
        <v>0</v>
      </c>
      <c r="E113" s="403">
        <v>3.85</v>
      </c>
      <c r="F113" s="47">
        <f t="shared" si="8"/>
        <v>0</v>
      </c>
      <c r="G113" s="21">
        <f t="shared" si="5"/>
        <v>619.29828750610068</v>
      </c>
      <c r="H113" s="141">
        <f>'Schedule 4 Adjustments'!N112</f>
        <v>0</v>
      </c>
      <c r="I113" s="403">
        <v>2.89</v>
      </c>
      <c r="J113" s="47">
        <f t="shared" si="7"/>
        <v>0</v>
      </c>
      <c r="K113" s="21">
        <f t="shared" si="6"/>
        <v>464.87585737470937</v>
      </c>
    </row>
    <row r="114" spans="1:11" s="22" customFormat="1" ht="34.5" customHeight="1" x14ac:dyDescent="0.35">
      <c r="A114" s="19">
        <v>101</v>
      </c>
      <c r="B114" s="19" t="s">
        <v>42</v>
      </c>
      <c r="C114" s="20" t="s">
        <v>385</v>
      </c>
      <c r="D114" s="113">
        <f>'Schedule 4 Adjustments'!F113</f>
        <v>0</v>
      </c>
      <c r="E114" s="403">
        <v>1.27</v>
      </c>
      <c r="F114" s="47">
        <f t="shared" si="8"/>
        <v>0</v>
      </c>
      <c r="G114" s="21">
        <f t="shared" si="5"/>
        <v>204.28800652798648</v>
      </c>
      <c r="H114" s="141">
        <f>'Schedule 4 Adjustments'!N113</f>
        <v>0</v>
      </c>
      <c r="I114" s="403">
        <v>1.1100000000000001</v>
      </c>
      <c r="J114" s="47">
        <f t="shared" si="7"/>
        <v>0</v>
      </c>
      <c r="K114" s="21">
        <f t="shared" si="6"/>
        <v>178.55093483942127</v>
      </c>
    </row>
    <row r="115" spans="1:11" s="22" customFormat="1" ht="29" x14ac:dyDescent="0.35">
      <c r="A115" s="19">
        <v>102</v>
      </c>
      <c r="B115" s="19" t="s">
        <v>43</v>
      </c>
      <c r="C115" s="20" t="s">
        <v>386</v>
      </c>
      <c r="D115" s="113">
        <f>'Schedule 4 Adjustments'!F114</f>
        <v>0</v>
      </c>
      <c r="E115" s="403">
        <v>0.75</v>
      </c>
      <c r="F115" s="47">
        <f t="shared" si="8"/>
        <v>0</v>
      </c>
      <c r="G115" s="21">
        <f t="shared" si="5"/>
        <v>120.64252354014948</v>
      </c>
      <c r="H115" s="141">
        <f>'Schedule 4 Adjustments'!N114</f>
        <v>0</v>
      </c>
      <c r="I115" s="403">
        <v>0.37</v>
      </c>
      <c r="J115" s="47">
        <f t="shared" si="7"/>
        <v>0</v>
      </c>
      <c r="K115" s="21">
        <f t="shared" si="6"/>
        <v>59.516978279807084</v>
      </c>
    </row>
    <row r="116" spans="1:11" s="22" customFormat="1" x14ac:dyDescent="0.35">
      <c r="A116" s="19">
        <v>103</v>
      </c>
      <c r="B116" s="19" t="s">
        <v>44</v>
      </c>
      <c r="C116" s="20" t="s">
        <v>129</v>
      </c>
      <c r="D116" s="113">
        <f>'Schedule 4 Adjustments'!F115</f>
        <v>14</v>
      </c>
      <c r="E116" s="403">
        <v>5.17</v>
      </c>
      <c r="F116" s="47">
        <f t="shared" si="8"/>
        <v>72.38</v>
      </c>
      <c r="G116" s="21">
        <f t="shared" si="5"/>
        <v>831.62912893676378</v>
      </c>
      <c r="H116" s="141">
        <f>'Schedule 4 Adjustments'!N115</f>
        <v>12</v>
      </c>
      <c r="I116" s="403">
        <v>4.43</v>
      </c>
      <c r="J116" s="47">
        <f t="shared" si="7"/>
        <v>53.16</v>
      </c>
      <c r="K116" s="21">
        <f t="shared" si="6"/>
        <v>712.59517237714965</v>
      </c>
    </row>
    <row r="117" spans="1:11" s="22" customFormat="1" x14ac:dyDescent="0.35">
      <c r="A117" s="19">
        <v>104</v>
      </c>
      <c r="B117" s="19" t="s">
        <v>45</v>
      </c>
      <c r="C117" s="20" t="s">
        <v>387</v>
      </c>
      <c r="D117" s="113">
        <f>'Schedule 4 Adjustments'!F116</f>
        <v>3417</v>
      </c>
      <c r="E117" s="403">
        <v>0.72</v>
      </c>
      <c r="F117" s="47">
        <f t="shared" si="8"/>
        <v>2460.2399999999998</v>
      </c>
      <c r="G117" s="21">
        <f t="shared" si="5"/>
        <v>115.81682259854351</v>
      </c>
      <c r="H117" s="141">
        <f>'Schedule 4 Adjustments'!N116</f>
        <v>4749</v>
      </c>
      <c r="I117" s="403">
        <v>0.66</v>
      </c>
      <c r="J117" s="47">
        <f t="shared" si="7"/>
        <v>3134.34</v>
      </c>
      <c r="K117" s="21">
        <f t="shared" si="6"/>
        <v>106.16542071533155</v>
      </c>
    </row>
    <row r="118" spans="1:11" s="22" customFormat="1" ht="29" x14ac:dyDescent="0.35">
      <c r="A118" s="19">
        <v>105</v>
      </c>
      <c r="B118" s="19" t="s">
        <v>19</v>
      </c>
      <c r="C118" s="20" t="s">
        <v>39</v>
      </c>
      <c r="D118" s="113">
        <f>'Schedule 4 Adjustments'!F117</f>
        <v>0</v>
      </c>
      <c r="E118" s="403">
        <v>0</v>
      </c>
      <c r="F118" s="47">
        <f t="shared" si="8"/>
        <v>0</v>
      </c>
      <c r="G118" s="21">
        <f t="shared" si="5"/>
        <v>0</v>
      </c>
      <c r="H118" s="141">
        <f>'Schedule 4 Adjustments'!N117</f>
        <v>0</v>
      </c>
      <c r="I118" s="403">
        <v>0</v>
      </c>
      <c r="J118" s="47">
        <f t="shared" si="7"/>
        <v>0</v>
      </c>
      <c r="K118" s="21">
        <f t="shared" si="6"/>
        <v>0</v>
      </c>
    </row>
    <row r="119" spans="1:11" s="22" customFormat="1" x14ac:dyDescent="0.35">
      <c r="A119" s="19">
        <v>106</v>
      </c>
      <c r="B119" s="19" t="s">
        <v>46</v>
      </c>
      <c r="C119" s="20" t="s">
        <v>130</v>
      </c>
      <c r="D119" s="113">
        <f>'Schedule 4 Adjustments'!F118</f>
        <v>7732</v>
      </c>
      <c r="E119" s="403">
        <v>1.18</v>
      </c>
      <c r="F119" s="47">
        <f t="shared" si="8"/>
        <v>9123.76</v>
      </c>
      <c r="G119" s="21">
        <f t="shared" si="5"/>
        <v>189.81090370316852</v>
      </c>
      <c r="H119" s="141">
        <f>'Schedule 4 Adjustments'!N118</f>
        <v>1508</v>
      </c>
      <c r="I119" s="403">
        <v>1.03</v>
      </c>
      <c r="J119" s="47">
        <f t="shared" si="7"/>
        <v>1553.24</v>
      </c>
      <c r="K119" s="21">
        <f t="shared" si="6"/>
        <v>165.68239899513864</v>
      </c>
    </row>
    <row r="120" spans="1:11" s="22" customFormat="1" x14ac:dyDescent="0.35">
      <c r="A120" s="19">
        <v>107</v>
      </c>
      <c r="B120" s="19" t="s">
        <v>47</v>
      </c>
      <c r="C120" s="20" t="s">
        <v>131</v>
      </c>
      <c r="D120" s="113">
        <f>'Schedule 4 Adjustments'!F119</f>
        <v>0</v>
      </c>
      <c r="E120" s="403">
        <v>0.83</v>
      </c>
      <c r="F120" s="47">
        <f t="shared" si="8"/>
        <v>0</v>
      </c>
      <c r="G120" s="21">
        <f t="shared" si="5"/>
        <v>133.51105938443209</v>
      </c>
      <c r="H120" s="141">
        <f>'Schedule 4 Adjustments'!N119</f>
        <v>0</v>
      </c>
      <c r="I120" s="403">
        <v>0.72</v>
      </c>
      <c r="J120" s="47">
        <f t="shared" si="7"/>
        <v>0</v>
      </c>
      <c r="K120" s="21">
        <f t="shared" si="6"/>
        <v>115.81682259854351</v>
      </c>
    </row>
    <row r="121" spans="1:11" s="22" customFormat="1" x14ac:dyDescent="0.35">
      <c r="A121" s="19">
        <v>108</v>
      </c>
      <c r="B121" s="19" t="s">
        <v>48</v>
      </c>
      <c r="C121" s="20" t="s">
        <v>132</v>
      </c>
      <c r="D121" s="113">
        <f>'Schedule 4 Adjustments'!F120</f>
        <v>0</v>
      </c>
      <c r="E121" s="403">
        <v>0.64</v>
      </c>
      <c r="F121" s="47">
        <f t="shared" si="8"/>
        <v>0</v>
      </c>
      <c r="G121" s="21">
        <f t="shared" si="5"/>
        <v>102.94828675426091</v>
      </c>
      <c r="H121" s="141">
        <f>'Schedule 4 Adjustments'!N120</f>
        <v>0</v>
      </c>
      <c r="I121" s="403">
        <v>0.6</v>
      </c>
      <c r="J121" s="47">
        <f t="shared" si="7"/>
        <v>0</v>
      </c>
      <c r="K121" s="21">
        <f t="shared" si="6"/>
        <v>96.514018832119589</v>
      </c>
    </row>
    <row r="122" spans="1:11" s="22" customFormat="1" x14ac:dyDescent="0.35">
      <c r="A122" s="19">
        <v>109</v>
      </c>
      <c r="B122" s="19" t="s">
        <v>21</v>
      </c>
      <c r="C122" s="20" t="s">
        <v>24</v>
      </c>
      <c r="D122" s="113">
        <f>'Schedule 4 Adjustments'!F121</f>
        <v>0</v>
      </c>
      <c r="E122" s="403">
        <v>0</v>
      </c>
      <c r="F122" s="47">
        <f t="shared" si="8"/>
        <v>0</v>
      </c>
      <c r="G122" s="21">
        <f t="shared" si="5"/>
        <v>0</v>
      </c>
      <c r="H122" s="141">
        <f>'Schedule 4 Adjustments'!N121</f>
        <v>0</v>
      </c>
      <c r="I122" s="403">
        <v>0</v>
      </c>
      <c r="J122" s="47">
        <f t="shared" si="7"/>
        <v>0</v>
      </c>
      <c r="K122" s="21">
        <f t="shared" si="6"/>
        <v>0</v>
      </c>
    </row>
    <row r="123" spans="1:11" s="22" customFormat="1" ht="29" x14ac:dyDescent="0.35">
      <c r="A123" s="19">
        <v>110</v>
      </c>
      <c r="B123" s="19" t="s">
        <v>49</v>
      </c>
      <c r="C123" s="20" t="s">
        <v>388</v>
      </c>
      <c r="D123" s="113">
        <f>'Schedule 4 Adjustments'!F122</f>
        <v>0</v>
      </c>
      <c r="E123" s="403">
        <v>0</v>
      </c>
      <c r="F123" s="47">
        <f t="shared" si="8"/>
        <v>0</v>
      </c>
      <c r="G123" s="21">
        <f t="shared" si="5"/>
        <v>0</v>
      </c>
      <c r="H123" s="141">
        <f>'Schedule 4 Adjustments'!N122</f>
        <v>0</v>
      </c>
      <c r="I123" s="403">
        <v>0</v>
      </c>
      <c r="J123" s="47">
        <f t="shared" si="7"/>
        <v>0</v>
      </c>
      <c r="K123" s="21">
        <f t="shared" si="6"/>
        <v>0</v>
      </c>
    </row>
    <row r="124" spans="1:11" s="22" customFormat="1" ht="29" x14ac:dyDescent="0.35">
      <c r="A124" s="19">
        <v>111</v>
      </c>
      <c r="B124" s="19" t="s">
        <v>33</v>
      </c>
      <c r="C124" s="20" t="s">
        <v>389</v>
      </c>
      <c r="D124" s="113">
        <f>'Schedule 4 Adjustments'!F123</f>
        <v>0</v>
      </c>
      <c r="E124" s="403">
        <v>0</v>
      </c>
      <c r="F124" s="47">
        <f t="shared" si="8"/>
        <v>0</v>
      </c>
      <c r="G124" s="21">
        <f t="shared" si="5"/>
        <v>0</v>
      </c>
      <c r="H124" s="141">
        <f>'Schedule 4 Adjustments'!N123</f>
        <v>0</v>
      </c>
      <c r="I124" s="403">
        <v>0</v>
      </c>
      <c r="J124" s="47">
        <f t="shared" si="7"/>
        <v>0</v>
      </c>
      <c r="K124" s="21">
        <f t="shared" si="6"/>
        <v>0</v>
      </c>
    </row>
    <row r="125" spans="1:11" s="22" customFormat="1" x14ac:dyDescent="0.35">
      <c r="A125" s="19">
        <v>112</v>
      </c>
      <c r="B125" s="19" t="s">
        <v>50</v>
      </c>
      <c r="C125" s="20" t="s">
        <v>390</v>
      </c>
      <c r="D125" s="113">
        <f>'Schedule 4 Adjustments'!F124</f>
        <v>0</v>
      </c>
      <c r="E125" s="403">
        <v>2.64</v>
      </c>
      <c r="F125" s="47">
        <f t="shared" si="8"/>
        <v>0</v>
      </c>
      <c r="G125" s="21">
        <f t="shared" si="5"/>
        <v>424.6616828613262</v>
      </c>
      <c r="H125" s="141">
        <f>'Schedule 4 Adjustments'!N124</f>
        <v>0</v>
      </c>
      <c r="I125" s="403">
        <v>2.64</v>
      </c>
      <c r="J125" s="47">
        <f t="shared" si="7"/>
        <v>0</v>
      </c>
      <c r="K125" s="21">
        <f t="shared" si="6"/>
        <v>424.6616828613262</v>
      </c>
    </row>
    <row r="126" spans="1:11" s="22" customFormat="1" x14ac:dyDescent="0.35">
      <c r="A126" s="19">
        <v>113</v>
      </c>
      <c r="B126" s="19" t="s">
        <v>51</v>
      </c>
      <c r="C126" s="20" t="s">
        <v>133</v>
      </c>
      <c r="D126" s="113">
        <f>'Schedule 4 Adjustments'!F125</f>
        <v>0</v>
      </c>
      <c r="E126" s="403">
        <v>0</v>
      </c>
      <c r="F126" s="47">
        <f t="shared" si="8"/>
        <v>0</v>
      </c>
      <c r="G126" s="21">
        <f t="shared" si="5"/>
        <v>0</v>
      </c>
      <c r="H126" s="141">
        <f>'Schedule 4 Adjustments'!N125</f>
        <v>0</v>
      </c>
      <c r="I126" s="403">
        <v>0</v>
      </c>
      <c r="J126" s="47">
        <f t="shared" si="7"/>
        <v>0</v>
      </c>
      <c r="K126" s="21">
        <f t="shared" si="6"/>
        <v>0</v>
      </c>
    </row>
    <row r="127" spans="1:11" s="22" customFormat="1" x14ac:dyDescent="0.35">
      <c r="A127" s="19">
        <v>114</v>
      </c>
      <c r="B127" s="19" t="s">
        <v>52</v>
      </c>
      <c r="C127" s="20" t="s">
        <v>134</v>
      </c>
      <c r="D127" s="113">
        <f>'Schedule 4 Adjustments'!F126</f>
        <v>0</v>
      </c>
      <c r="E127" s="403">
        <v>0</v>
      </c>
      <c r="F127" s="47">
        <f t="shared" si="8"/>
        <v>0</v>
      </c>
      <c r="G127" s="21">
        <f t="shared" si="5"/>
        <v>0</v>
      </c>
      <c r="H127" s="141">
        <f>'Schedule 4 Adjustments'!N126</f>
        <v>6660</v>
      </c>
      <c r="I127" s="403">
        <v>0</v>
      </c>
      <c r="J127" s="47">
        <f t="shared" si="7"/>
        <v>0</v>
      </c>
      <c r="K127" s="21">
        <f t="shared" si="6"/>
        <v>0</v>
      </c>
    </row>
    <row r="128" spans="1:11" s="22" customFormat="1" x14ac:dyDescent="0.35">
      <c r="A128" s="19">
        <v>115</v>
      </c>
      <c r="B128" s="19" t="s">
        <v>53</v>
      </c>
      <c r="C128" s="20" t="s">
        <v>135</v>
      </c>
      <c r="D128" s="113">
        <f>'Schedule 4 Adjustments'!F127</f>
        <v>0</v>
      </c>
      <c r="E128" s="403">
        <v>0</v>
      </c>
      <c r="F128" s="47">
        <f t="shared" si="8"/>
        <v>0</v>
      </c>
      <c r="G128" s="21">
        <f t="shared" si="5"/>
        <v>0</v>
      </c>
      <c r="H128" s="141">
        <f>'Schedule 4 Adjustments'!N127</f>
        <v>26432</v>
      </c>
      <c r="I128" s="403">
        <v>0</v>
      </c>
      <c r="J128" s="47">
        <f t="shared" si="7"/>
        <v>0</v>
      </c>
      <c r="K128" s="21">
        <f t="shared" si="6"/>
        <v>0</v>
      </c>
    </row>
    <row r="129" spans="1:11" s="22" customFormat="1" ht="29" x14ac:dyDescent="0.35">
      <c r="A129" s="19">
        <v>116</v>
      </c>
      <c r="B129" s="19" t="s">
        <v>54</v>
      </c>
      <c r="C129" s="20" t="s">
        <v>391</v>
      </c>
      <c r="D129" s="113">
        <f>'Schedule 4 Adjustments'!F128</f>
        <v>0</v>
      </c>
      <c r="E129" s="403">
        <v>1.02</v>
      </c>
      <c r="F129" s="47">
        <f t="shared" si="8"/>
        <v>0</v>
      </c>
      <c r="G129" s="21">
        <f t="shared" si="5"/>
        <v>164.07383201460331</v>
      </c>
      <c r="H129" s="141">
        <f>'Schedule 4 Adjustments'!N128</f>
        <v>0</v>
      </c>
      <c r="I129" s="403">
        <v>0.94</v>
      </c>
      <c r="J129" s="47">
        <f t="shared" si="7"/>
        <v>0</v>
      </c>
      <c r="K129" s="21">
        <f t="shared" si="6"/>
        <v>151.20529617032068</v>
      </c>
    </row>
    <row r="130" spans="1:11" s="22" customFormat="1" x14ac:dyDescent="0.35">
      <c r="A130" s="19">
        <v>117</v>
      </c>
      <c r="B130" s="19" t="s">
        <v>22</v>
      </c>
      <c r="C130" s="20" t="s">
        <v>25</v>
      </c>
      <c r="D130" s="113">
        <f>'Schedule 4 Adjustments'!F129</f>
        <v>0</v>
      </c>
      <c r="E130" s="403">
        <v>0</v>
      </c>
      <c r="F130" s="47">
        <f t="shared" si="8"/>
        <v>0</v>
      </c>
      <c r="G130" s="21">
        <f t="shared" si="5"/>
        <v>0</v>
      </c>
      <c r="H130" s="141">
        <f>'Schedule 4 Adjustments'!N129</f>
        <v>0</v>
      </c>
      <c r="I130" s="403">
        <v>0</v>
      </c>
      <c r="J130" s="47">
        <f t="shared" si="7"/>
        <v>0</v>
      </c>
      <c r="K130" s="21">
        <f t="shared" si="6"/>
        <v>0</v>
      </c>
    </row>
    <row r="131" spans="1:11" s="22" customFormat="1" x14ac:dyDescent="0.35">
      <c r="A131" s="19">
        <v>118</v>
      </c>
      <c r="B131" s="19" t="s">
        <v>55</v>
      </c>
      <c r="C131" s="20" t="s">
        <v>392</v>
      </c>
      <c r="D131" s="113">
        <f>'Schedule 4 Adjustments'!F130</f>
        <v>0</v>
      </c>
      <c r="E131" s="403">
        <v>0.12</v>
      </c>
      <c r="F131" s="47">
        <f t="shared" si="8"/>
        <v>0</v>
      </c>
      <c r="G131" s="21">
        <f t="shared" si="5"/>
        <v>19.302803766423917</v>
      </c>
      <c r="H131" s="141">
        <f>'Schedule 4 Adjustments'!N130</f>
        <v>86038</v>
      </c>
      <c r="I131" s="403">
        <v>0.09</v>
      </c>
      <c r="J131" s="47">
        <f t="shared" si="7"/>
        <v>7743.42</v>
      </c>
      <c r="K131" s="21">
        <f t="shared" si="6"/>
        <v>14.477102824817939</v>
      </c>
    </row>
    <row r="132" spans="1:11" s="22" customFormat="1" x14ac:dyDescent="0.35">
      <c r="A132" s="19">
        <v>119</v>
      </c>
      <c r="B132" s="19" t="s">
        <v>56</v>
      </c>
      <c r="C132" s="20" t="s">
        <v>393</v>
      </c>
      <c r="D132" s="113">
        <f>'Schedule 4 Adjustments'!F131</f>
        <v>12477</v>
      </c>
      <c r="E132" s="403">
        <v>0.59</v>
      </c>
      <c r="F132" s="47">
        <f t="shared" si="8"/>
        <v>7361.4299999999994</v>
      </c>
      <c r="G132" s="21">
        <f t="shared" si="5"/>
        <v>94.90545185158426</v>
      </c>
      <c r="H132" s="141">
        <f>'Schedule 4 Adjustments'!N131</f>
        <v>845</v>
      </c>
      <c r="I132" s="403">
        <v>0.55000000000000004</v>
      </c>
      <c r="J132" s="47">
        <f t="shared" si="7"/>
        <v>464.75000000000006</v>
      </c>
      <c r="K132" s="21">
        <f t="shared" si="6"/>
        <v>88.471183929442972</v>
      </c>
    </row>
    <row r="133" spans="1:11" s="22" customFormat="1" ht="29" x14ac:dyDescent="0.35">
      <c r="A133" s="19">
        <v>120</v>
      </c>
      <c r="B133" s="19" t="s">
        <v>57</v>
      </c>
      <c r="C133" s="20" t="s">
        <v>136</v>
      </c>
      <c r="D133" s="113">
        <f>'Schedule 4 Adjustments'!F132</f>
        <v>0</v>
      </c>
      <c r="E133" s="403">
        <v>0.75</v>
      </c>
      <c r="F133" s="47">
        <f t="shared" si="8"/>
        <v>0</v>
      </c>
      <c r="G133" s="21">
        <f t="shared" si="5"/>
        <v>120.64252354014948</v>
      </c>
      <c r="H133" s="141">
        <f>'Schedule 4 Adjustments'!N132</f>
        <v>0</v>
      </c>
      <c r="I133" s="403">
        <v>0.37</v>
      </c>
      <c r="J133" s="47">
        <f t="shared" si="7"/>
        <v>0</v>
      </c>
      <c r="K133" s="21">
        <f t="shared" si="6"/>
        <v>59.516978279807084</v>
      </c>
    </row>
    <row r="134" spans="1:11" s="22" customFormat="1" ht="29" x14ac:dyDescent="0.35">
      <c r="A134" s="19">
        <v>121</v>
      </c>
      <c r="B134" s="19" t="s">
        <v>58</v>
      </c>
      <c r="C134" s="20" t="s">
        <v>137</v>
      </c>
      <c r="D134" s="113">
        <f>'Schedule 4 Adjustments'!F133</f>
        <v>2056</v>
      </c>
      <c r="E134" s="403">
        <v>0.75</v>
      </c>
      <c r="F134" s="47">
        <f t="shared" si="8"/>
        <v>1542</v>
      </c>
      <c r="G134" s="21">
        <f t="shared" si="5"/>
        <v>120.64252354014948</v>
      </c>
      <c r="H134" s="141">
        <f>'Schedule 4 Adjustments'!N133</f>
        <v>901</v>
      </c>
      <c r="I134" s="403">
        <v>0.37</v>
      </c>
      <c r="J134" s="47">
        <f t="shared" si="7"/>
        <v>333.37</v>
      </c>
      <c r="K134" s="21">
        <f t="shared" si="6"/>
        <v>59.516978279807084</v>
      </c>
    </row>
    <row r="135" spans="1:11" s="22" customFormat="1" ht="43.5" x14ac:dyDescent="0.35">
      <c r="A135" s="19">
        <v>122</v>
      </c>
      <c r="B135" s="19" t="s">
        <v>15</v>
      </c>
      <c r="C135" s="20" t="s">
        <v>18</v>
      </c>
      <c r="D135" s="113">
        <f>'Schedule 4 Adjustments'!F134</f>
        <v>0</v>
      </c>
      <c r="E135" s="403">
        <v>0</v>
      </c>
      <c r="F135" s="47">
        <f t="shared" si="8"/>
        <v>0</v>
      </c>
      <c r="G135" s="21">
        <f t="shared" si="5"/>
        <v>0</v>
      </c>
      <c r="H135" s="141">
        <f>'Schedule 4 Adjustments'!N134</f>
        <v>0</v>
      </c>
      <c r="I135" s="403">
        <v>0</v>
      </c>
      <c r="J135" s="47">
        <f t="shared" si="7"/>
        <v>0</v>
      </c>
      <c r="K135" s="21">
        <f t="shared" si="6"/>
        <v>0</v>
      </c>
    </row>
    <row r="136" spans="1:11" s="22" customFormat="1" ht="29" x14ac:dyDescent="0.35">
      <c r="A136" s="19">
        <v>123</v>
      </c>
      <c r="B136" s="19" t="s">
        <v>16</v>
      </c>
      <c r="C136" s="20" t="s">
        <v>138</v>
      </c>
      <c r="D136" s="113">
        <f>'Schedule 4 Adjustments'!F135</f>
        <v>0</v>
      </c>
      <c r="E136" s="403">
        <v>0</v>
      </c>
      <c r="F136" s="47">
        <f t="shared" si="8"/>
        <v>0</v>
      </c>
      <c r="G136" s="21">
        <f t="shared" si="5"/>
        <v>0</v>
      </c>
      <c r="H136" s="141">
        <f>'Schedule 4 Adjustments'!N135</f>
        <v>0</v>
      </c>
      <c r="I136" s="403">
        <v>0</v>
      </c>
      <c r="J136" s="47">
        <f t="shared" si="7"/>
        <v>0</v>
      </c>
      <c r="K136" s="21">
        <f t="shared" si="6"/>
        <v>0</v>
      </c>
    </row>
    <row r="137" spans="1:11" s="22" customFormat="1" ht="29" x14ac:dyDescent="0.35">
      <c r="A137" s="19">
        <v>124</v>
      </c>
      <c r="B137" s="19" t="s">
        <v>17</v>
      </c>
      <c r="C137" s="20" t="s">
        <v>139</v>
      </c>
      <c r="D137" s="113">
        <f>'Schedule 4 Adjustments'!F136</f>
        <v>0</v>
      </c>
      <c r="E137" s="403">
        <v>0</v>
      </c>
      <c r="F137" s="47">
        <f t="shared" si="8"/>
        <v>0</v>
      </c>
      <c r="G137" s="21">
        <f t="shared" si="5"/>
        <v>0</v>
      </c>
      <c r="H137" s="141">
        <f>'Schedule 4 Adjustments'!N136</f>
        <v>0</v>
      </c>
      <c r="I137" s="403">
        <v>0</v>
      </c>
      <c r="J137" s="47">
        <f t="shared" si="7"/>
        <v>0</v>
      </c>
      <c r="K137" s="21">
        <f t="shared" si="6"/>
        <v>0</v>
      </c>
    </row>
    <row r="138" spans="1:11" s="22" customFormat="1" x14ac:dyDescent="0.35">
      <c r="A138" s="19">
        <v>125</v>
      </c>
      <c r="B138" s="19" t="s">
        <v>23</v>
      </c>
      <c r="C138" s="20" t="s">
        <v>140</v>
      </c>
      <c r="D138" s="113">
        <f>'Schedule 4 Adjustments'!F137</f>
        <v>0</v>
      </c>
      <c r="E138" s="403">
        <v>0</v>
      </c>
      <c r="F138" s="47">
        <f t="shared" si="8"/>
        <v>0</v>
      </c>
      <c r="G138" s="21">
        <f t="shared" si="5"/>
        <v>0</v>
      </c>
      <c r="H138" s="141">
        <f>'Schedule 4 Adjustments'!N137</f>
        <v>0</v>
      </c>
      <c r="I138" s="403">
        <v>0</v>
      </c>
      <c r="J138" s="47">
        <f t="shared" si="7"/>
        <v>0</v>
      </c>
      <c r="K138" s="21">
        <f t="shared" si="6"/>
        <v>0</v>
      </c>
    </row>
    <row r="139" spans="1:11" s="22" customFormat="1" x14ac:dyDescent="0.35">
      <c r="A139" s="19">
        <v>126</v>
      </c>
      <c r="B139" s="19" t="s">
        <v>59</v>
      </c>
      <c r="C139" s="20" t="s">
        <v>395</v>
      </c>
      <c r="D139" s="113">
        <f>'Schedule 4 Adjustments'!F138</f>
        <v>159</v>
      </c>
      <c r="E139" s="403">
        <v>3.27</v>
      </c>
      <c r="F139" s="47">
        <f t="shared" si="8"/>
        <v>519.92999999999995</v>
      </c>
      <c r="G139" s="21">
        <f t="shared" si="5"/>
        <v>526.00140263505182</v>
      </c>
      <c r="H139" s="141">
        <f>'Schedule 4 Adjustments'!N138</f>
        <v>160</v>
      </c>
      <c r="I139" s="403">
        <v>2.17</v>
      </c>
      <c r="J139" s="47">
        <f t="shared" si="7"/>
        <v>347.2</v>
      </c>
      <c r="K139" s="21">
        <f t="shared" si="6"/>
        <v>349.05903477616584</v>
      </c>
    </row>
    <row r="140" spans="1:11" s="22" customFormat="1" x14ac:dyDescent="0.35">
      <c r="A140" s="19">
        <v>127</v>
      </c>
      <c r="B140" s="19" t="s">
        <v>60</v>
      </c>
      <c r="C140" s="20" t="s">
        <v>394</v>
      </c>
      <c r="D140" s="113">
        <f>'Schedule 4 Adjustments'!F139</f>
        <v>4048</v>
      </c>
      <c r="E140" s="403">
        <v>1.1499999999999999</v>
      </c>
      <c r="F140" s="47">
        <f t="shared" si="8"/>
        <v>4655.2</v>
      </c>
      <c r="G140" s="21">
        <f t="shared" si="5"/>
        <v>184.98520276156253</v>
      </c>
      <c r="H140" s="141">
        <f>'Schedule 4 Adjustments'!N139</f>
        <v>1866</v>
      </c>
      <c r="I140" s="403">
        <v>0.7</v>
      </c>
      <c r="J140" s="47">
        <f t="shared" si="7"/>
        <v>1306.1999999999998</v>
      </c>
      <c r="K140" s="21">
        <f t="shared" si="6"/>
        <v>112.59968863747285</v>
      </c>
    </row>
    <row r="141" spans="1:11" s="22" customFormat="1" x14ac:dyDescent="0.35">
      <c r="A141" s="19">
        <v>128</v>
      </c>
      <c r="B141" s="19" t="s">
        <v>61</v>
      </c>
      <c r="C141" s="20" t="s">
        <v>141</v>
      </c>
      <c r="D141" s="113">
        <f>'Schedule 4 Adjustments'!F140</f>
        <v>0</v>
      </c>
      <c r="E141" s="403">
        <v>0.44</v>
      </c>
      <c r="F141" s="47">
        <f t="shared" si="8"/>
        <v>0</v>
      </c>
      <c r="G141" s="21">
        <f t="shared" si="5"/>
        <v>70.776947143554366</v>
      </c>
      <c r="H141" s="141">
        <f>'Schedule 4 Adjustments'!N140</f>
        <v>13</v>
      </c>
      <c r="I141" s="403">
        <v>0.44</v>
      </c>
      <c r="J141" s="47">
        <f t="shared" si="7"/>
        <v>5.72</v>
      </c>
      <c r="K141" s="21">
        <f t="shared" si="6"/>
        <v>70.776947143554366</v>
      </c>
    </row>
    <row r="142" spans="1:11" s="22" customFormat="1" x14ac:dyDescent="0.35">
      <c r="A142" s="19">
        <v>129</v>
      </c>
      <c r="B142" s="19" t="s">
        <v>62</v>
      </c>
      <c r="C142" s="20" t="s">
        <v>396</v>
      </c>
      <c r="D142" s="113">
        <f>'Schedule 4 Adjustments'!F141</f>
        <v>0</v>
      </c>
      <c r="E142" s="403">
        <v>0.92</v>
      </c>
      <c r="F142" s="47">
        <f t="shared" si="8"/>
        <v>0</v>
      </c>
      <c r="G142" s="21">
        <f t="shared" si="5"/>
        <v>147.98816220925005</v>
      </c>
      <c r="H142" s="141">
        <f>'Schedule 4 Adjustments'!N141</f>
        <v>2569</v>
      </c>
      <c r="I142" s="403">
        <v>0.92</v>
      </c>
      <c r="J142" s="47">
        <f t="shared" si="7"/>
        <v>2363.48</v>
      </c>
      <c r="K142" s="21">
        <f t="shared" si="6"/>
        <v>147.98816220925005</v>
      </c>
    </row>
    <row r="143" spans="1:11" s="22" customFormat="1" x14ac:dyDescent="0.35">
      <c r="A143" s="19">
        <v>130</v>
      </c>
      <c r="B143" s="19" t="s">
        <v>63</v>
      </c>
      <c r="C143" s="20" t="s">
        <v>397</v>
      </c>
      <c r="D143" s="113">
        <f>'Schedule 4 Adjustments'!F142</f>
        <v>0</v>
      </c>
      <c r="E143" s="403">
        <v>5.28</v>
      </c>
      <c r="F143" s="47">
        <f t="shared" si="8"/>
        <v>0</v>
      </c>
      <c r="G143" s="21">
        <f t="shared" si="5"/>
        <v>849.3233657226524</v>
      </c>
      <c r="H143" s="141">
        <f>'Schedule 4 Adjustments'!N142</f>
        <v>0</v>
      </c>
      <c r="I143" s="403">
        <v>5.28</v>
      </c>
      <c r="J143" s="47">
        <f t="shared" si="7"/>
        <v>0</v>
      </c>
      <c r="K143" s="21">
        <f t="shared" si="6"/>
        <v>849.3233657226524</v>
      </c>
    </row>
    <row r="144" spans="1:11" s="22" customFormat="1" x14ac:dyDescent="0.35">
      <c r="A144" s="19">
        <v>131</v>
      </c>
      <c r="B144" s="19" t="s">
        <v>64</v>
      </c>
      <c r="C144" s="20" t="s">
        <v>399</v>
      </c>
      <c r="D144" s="113">
        <f>'Schedule 4 Adjustments'!F143</f>
        <v>52052</v>
      </c>
      <c r="E144" s="403">
        <v>0.44</v>
      </c>
      <c r="F144" s="47">
        <f t="shared" si="8"/>
        <v>22902.880000000001</v>
      </c>
      <c r="G144" s="21">
        <f t="shared" si="5"/>
        <v>70.776947143554366</v>
      </c>
      <c r="H144" s="141">
        <f>'Schedule 4 Adjustments'!N143</f>
        <v>21049</v>
      </c>
      <c r="I144" s="403">
        <v>0.44</v>
      </c>
      <c r="J144" s="47">
        <f t="shared" si="7"/>
        <v>9261.56</v>
      </c>
      <c r="K144" s="21">
        <f t="shared" si="6"/>
        <v>70.776947143554366</v>
      </c>
    </row>
    <row r="145" spans="1:11" s="22" customFormat="1" x14ac:dyDescent="0.35">
      <c r="A145" s="19">
        <v>132</v>
      </c>
      <c r="B145" s="19" t="s">
        <v>65</v>
      </c>
      <c r="C145" s="20" t="s">
        <v>398</v>
      </c>
      <c r="D145" s="113">
        <f>'Schedule 4 Adjustments'!F144</f>
        <v>27</v>
      </c>
      <c r="E145" s="403">
        <v>5.28</v>
      </c>
      <c r="F145" s="47">
        <f t="shared" si="8"/>
        <v>142.56</v>
      </c>
      <c r="G145" s="21">
        <f t="shared" si="5"/>
        <v>849.3233657226524</v>
      </c>
      <c r="H145" s="141">
        <f>'Schedule 4 Adjustments'!N144</f>
        <v>2</v>
      </c>
      <c r="I145" s="403">
        <v>5.28</v>
      </c>
      <c r="J145" s="47">
        <f t="shared" si="7"/>
        <v>10.56</v>
      </c>
      <c r="K145" s="21">
        <f t="shared" si="6"/>
        <v>849.3233657226524</v>
      </c>
    </row>
    <row r="146" spans="1:11" s="22" customFormat="1" x14ac:dyDescent="0.35">
      <c r="A146" s="19">
        <v>133</v>
      </c>
      <c r="B146" s="19" t="s">
        <v>66</v>
      </c>
      <c r="C146" s="20" t="s">
        <v>142</v>
      </c>
      <c r="D146" s="113">
        <f>'Schedule 4 Adjustments'!F145</f>
        <v>8970</v>
      </c>
      <c r="E146" s="403">
        <v>0.54</v>
      </c>
      <c r="F146" s="47">
        <f t="shared" si="8"/>
        <v>4843.8</v>
      </c>
      <c r="G146" s="21">
        <f t="shared" si="5"/>
        <v>86.862616948907643</v>
      </c>
      <c r="H146" s="141">
        <f>'Schedule 4 Adjustments'!N145</f>
        <v>2770</v>
      </c>
      <c r="I146" s="403">
        <v>0.54</v>
      </c>
      <c r="J146" s="47">
        <f t="shared" si="7"/>
        <v>1495.8000000000002</v>
      </c>
      <c r="K146" s="21">
        <f t="shared" si="6"/>
        <v>86.862616948907643</v>
      </c>
    </row>
    <row r="147" spans="1:11" s="22" customFormat="1" x14ac:dyDescent="0.35">
      <c r="A147" s="19">
        <v>134</v>
      </c>
      <c r="B147" s="19" t="s">
        <v>67</v>
      </c>
      <c r="C147" s="20" t="s">
        <v>400</v>
      </c>
      <c r="D147" s="113">
        <f>'Schedule 4 Adjustments'!F146</f>
        <v>7</v>
      </c>
      <c r="E147" s="403">
        <v>1.29</v>
      </c>
      <c r="F147" s="47">
        <f t="shared" si="8"/>
        <v>9.0300000000000011</v>
      </c>
      <c r="G147" s="21">
        <f t="shared" ref="G147:G197" si="9">E147*$F$13</f>
        <v>207.50514048905714</v>
      </c>
      <c r="H147" s="141">
        <f>'Schedule 4 Adjustments'!N146</f>
        <v>6</v>
      </c>
      <c r="I147" s="403">
        <v>1.1299999999999999</v>
      </c>
      <c r="J147" s="47">
        <f t="shared" si="7"/>
        <v>6.7799999999999994</v>
      </c>
      <c r="K147" s="21">
        <f t="shared" ref="K147:K197" si="10">I147*$F$13</f>
        <v>181.76806880049187</v>
      </c>
    </row>
    <row r="148" spans="1:11" s="22" customFormat="1" x14ac:dyDescent="0.35">
      <c r="A148" s="19">
        <v>135</v>
      </c>
      <c r="B148" s="19" t="s">
        <v>68</v>
      </c>
      <c r="C148" s="20" t="s">
        <v>401</v>
      </c>
      <c r="D148" s="113">
        <f>'Schedule 4 Adjustments'!F147</f>
        <v>1</v>
      </c>
      <c r="E148" s="403">
        <v>5.28</v>
      </c>
      <c r="F148" s="47">
        <f t="shared" si="8"/>
        <v>5.28</v>
      </c>
      <c r="G148" s="21">
        <f t="shared" si="9"/>
        <v>849.3233657226524</v>
      </c>
      <c r="H148" s="141">
        <f>'Schedule 4 Adjustments'!N147</f>
        <v>0</v>
      </c>
      <c r="I148" s="403">
        <v>5.28</v>
      </c>
      <c r="J148" s="47">
        <f t="shared" ref="J148:J197" si="11">H148*I148</f>
        <v>0</v>
      </c>
      <c r="K148" s="21">
        <f t="shared" si="10"/>
        <v>849.3233657226524</v>
      </c>
    </row>
    <row r="149" spans="1:11" s="22" customFormat="1" x14ac:dyDescent="0.35">
      <c r="A149" s="19">
        <v>136</v>
      </c>
      <c r="B149" s="19" t="s">
        <v>69</v>
      </c>
      <c r="C149" s="20" t="s">
        <v>402</v>
      </c>
      <c r="D149" s="113">
        <f>'Schedule 4 Adjustments'!F148</f>
        <v>0</v>
      </c>
      <c r="E149" s="403">
        <v>0.14000000000000001</v>
      </c>
      <c r="F149" s="47">
        <f t="shared" ref="F149:F197" si="12">D149*E149</f>
        <v>0</v>
      </c>
      <c r="G149" s="21">
        <f t="shared" si="9"/>
        <v>22.519937727494575</v>
      </c>
      <c r="H149" s="141">
        <f>'Schedule 4 Adjustments'!N148</f>
        <v>0</v>
      </c>
      <c r="I149" s="403">
        <v>0.12</v>
      </c>
      <c r="J149" s="47">
        <f t="shared" si="11"/>
        <v>0</v>
      </c>
      <c r="K149" s="21">
        <f t="shared" si="10"/>
        <v>19.302803766423917</v>
      </c>
    </row>
    <row r="150" spans="1:11" s="22" customFormat="1" x14ac:dyDescent="0.35">
      <c r="A150" s="19">
        <v>137</v>
      </c>
      <c r="B150" s="19" t="s">
        <v>70</v>
      </c>
      <c r="C150" s="20" t="s">
        <v>403</v>
      </c>
      <c r="D150" s="113">
        <f>'Schedule 4 Adjustments'!F149</f>
        <v>0</v>
      </c>
      <c r="E150" s="403">
        <v>3.08</v>
      </c>
      <c r="F150" s="47">
        <f t="shared" si="12"/>
        <v>0</v>
      </c>
      <c r="G150" s="21">
        <f t="shared" si="9"/>
        <v>495.43863000488057</v>
      </c>
      <c r="H150" s="141">
        <f>'Schedule 4 Adjustments'!N149</f>
        <v>0</v>
      </c>
      <c r="I150" s="403">
        <v>2.6399999999999997</v>
      </c>
      <c r="J150" s="47">
        <f t="shared" si="11"/>
        <v>0</v>
      </c>
      <c r="K150" s="21">
        <f t="shared" si="10"/>
        <v>424.66168286132614</v>
      </c>
    </row>
    <row r="151" spans="1:11" s="22" customFormat="1" x14ac:dyDescent="0.35">
      <c r="A151" s="19">
        <v>138</v>
      </c>
      <c r="B151" s="19" t="s">
        <v>71</v>
      </c>
      <c r="C151" s="20" t="s">
        <v>404</v>
      </c>
      <c r="D151" s="113">
        <f>'Schedule 4 Adjustments'!F150</f>
        <v>0</v>
      </c>
      <c r="E151" s="403">
        <v>5.28</v>
      </c>
      <c r="F151" s="47">
        <f t="shared" si="12"/>
        <v>0</v>
      </c>
      <c r="G151" s="21">
        <f t="shared" si="9"/>
        <v>849.3233657226524</v>
      </c>
      <c r="H151" s="141">
        <f>'Schedule 4 Adjustments'!N150</f>
        <v>0</v>
      </c>
      <c r="I151" s="403">
        <v>5.28</v>
      </c>
      <c r="J151" s="47">
        <f t="shared" si="11"/>
        <v>0</v>
      </c>
      <c r="K151" s="21">
        <f t="shared" si="10"/>
        <v>849.3233657226524</v>
      </c>
    </row>
    <row r="152" spans="1:11" s="22" customFormat="1" x14ac:dyDescent="0.35">
      <c r="A152" s="19">
        <v>139</v>
      </c>
      <c r="B152" s="19" t="s">
        <v>792</v>
      </c>
      <c r="C152" s="20" t="s">
        <v>793</v>
      </c>
      <c r="D152" s="113">
        <f>'Schedule 4 Adjustments'!F152</f>
        <v>0</v>
      </c>
      <c r="E152" s="403">
        <v>0.12</v>
      </c>
      <c r="F152" s="47">
        <f t="shared" ref="F152" si="13">D152*E152</f>
        <v>0</v>
      </c>
      <c r="G152" s="21">
        <f t="shared" ref="G152" si="14">E152*$F$13</f>
        <v>19.302803766423917</v>
      </c>
      <c r="H152" s="141">
        <f>'Schedule 4 Adjustments'!N151</f>
        <v>71160</v>
      </c>
      <c r="I152" s="403">
        <v>0.09</v>
      </c>
      <c r="J152" s="47">
        <f t="shared" ref="J152" si="15">H152*I152</f>
        <v>6404.4</v>
      </c>
      <c r="K152" s="21">
        <f t="shared" ref="K152" si="16">I152*$F$13</f>
        <v>14.477102824817939</v>
      </c>
    </row>
    <row r="153" spans="1:11" s="22" customFormat="1" x14ac:dyDescent="0.35">
      <c r="A153" s="19">
        <v>140</v>
      </c>
      <c r="B153" s="19" t="s">
        <v>72</v>
      </c>
      <c r="C153" s="20" t="s">
        <v>405</v>
      </c>
      <c r="D153" s="113">
        <f>'Schedule 4 Adjustments'!F152</f>
        <v>0</v>
      </c>
      <c r="E153" s="403">
        <v>1.02</v>
      </c>
      <c r="F153" s="47">
        <f t="shared" si="12"/>
        <v>0</v>
      </c>
      <c r="G153" s="21">
        <f t="shared" si="9"/>
        <v>164.07383201460331</v>
      </c>
      <c r="H153" s="141">
        <f>'Schedule 4 Adjustments'!N152</f>
        <v>0</v>
      </c>
      <c r="I153" s="403">
        <v>0.94</v>
      </c>
      <c r="J153" s="47">
        <f t="shared" si="11"/>
        <v>0</v>
      </c>
      <c r="K153" s="21">
        <f t="shared" si="10"/>
        <v>151.20529617032068</v>
      </c>
    </row>
    <row r="154" spans="1:11" s="22" customFormat="1" x14ac:dyDescent="0.35">
      <c r="A154" s="19">
        <v>141</v>
      </c>
      <c r="B154" s="19" t="s">
        <v>20</v>
      </c>
      <c r="C154" s="20" t="s">
        <v>406</v>
      </c>
      <c r="D154" s="113">
        <f>'Schedule 4 Adjustments'!F153</f>
        <v>0</v>
      </c>
      <c r="E154" s="403">
        <v>0</v>
      </c>
      <c r="F154" s="47">
        <f t="shared" si="12"/>
        <v>0</v>
      </c>
      <c r="G154" s="21">
        <f t="shared" si="9"/>
        <v>0</v>
      </c>
      <c r="H154" s="141">
        <f>'Schedule 4 Adjustments'!N153</f>
        <v>0</v>
      </c>
      <c r="I154" s="403">
        <v>0</v>
      </c>
      <c r="J154" s="47">
        <f t="shared" si="11"/>
        <v>0</v>
      </c>
      <c r="K154" s="21">
        <f t="shared" si="10"/>
        <v>0</v>
      </c>
    </row>
    <row r="155" spans="1:11" s="22" customFormat="1" x14ac:dyDescent="0.35">
      <c r="A155" s="19">
        <v>142</v>
      </c>
      <c r="B155" s="19" t="s">
        <v>73</v>
      </c>
      <c r="C155" s="20" t="s">
        <v>143</v>
      </c>
      <c r="D155" s="113">
        <f>'Schedule 4 Adjustments'!F154</f>
        <v>0</v>
      </c>
      <c r="E155" s="403">
        <v>5.17</v>
      </c>
      <c r="F155" s="47">
        <f t="shared" si="12"/>
        <v>0</v>
      </c>
      <c r="G155" s="21">
        <f t="shared" si="9"/>
        <v>831.62912893676378</v>
      </c>
      <c r="H155" s="141">
        <f>'Schedule 4 Adjustments'!N154</f>
        <v>0</v>
      </c>
      <c r="I155" s="403">
        <v>4.43</v>
      </c>
      <c r="J155" s="47">
        <f t="shared" si="11"/>
        <v>0</v>
      </c>
      <c r="K155" s="21">
        <f t="shared" si="10"/>
        <v>712.59517237714965</v>
      </c>
    </row>
    <row r="156" spans="1:11" s="22" customFormat="1" x14ac:dyDescent="0.35">
      <c r="A156" s="19">
        <v>143</v>
      </c>
      <c r="B156" s="19" t="s">
        <v>74</v>
      </c>
      <c r="C156" s="20" t="s">
        <v>144</v>
      </c>
      <c r="D156" s="113">
        <f>'Schedule 4 Adjustments'!F155</f>
        <v>0</v>
      </c>
      <c r="E156" s="403">
        <v>1.7</v>
      </c>
      <c r="F156" s="47">
        <f t="shared" si="12"/>
        <v>0</v>
      </c>
      <c r="G156" s="21">
        <f t="shared" si="9"/>
        <v>273.45638669100549</v>
      </c>
      <c r="H156" s="141">
        <f>'Schedule 4 Adjustments'!N155</f>
        <v>0</v>
      </c>
      <c r="I156" s="403">
        <v>1.05</v>
      </c>
      <c r="J156" s="47">
        <f t="shared" si="11"/>
        <v>0</v>
      </c>
      <c r="K156" s="21">
        <f t="shared" si="10"/>
        <v>168.8995329562093</v>
      </c>
    </row>
    <row r="157" spans="1:11" s="22" customFormat="1" x14ac:dyDescent="0.35">
      <c r="A157" s="19">
        <v>144</v>
      </c>
      <c r="B157" s="19" t="s">
        <v>26</v>
      </c>
      <c r="C157" s="20" t="s">
        <v>143</v>
      </c>
      <c r="D157" s="113">
        <f>'Schedule 4 Adjustments'!F156</f>
        <v>0</v>
      </c>
      <c r="E157" s="403">
        <v>0</v>
      </c>
      <c r="F157" s="47">
        <f t="shared" si="12"/>
        <v>0</v>
      </c>
      <c r="G157" s="21">
        <f t="shared" si="9"/>
        <v>0</v>
      </c>
      <c r="H157" s="141">
        <f>'Schedule 4 Adjustments'!N156</f>
        <v>0</v>
      </c>
      <c r="I157" s="403">
        <v>0</v>
      </c>
      <c r="J157" s="47">
        <f t="shared" si="11"/>
        <v>0</v>
      </c>
      <c r="K157" s="21">
        <f t="shared" si="10"/>
        <v>0</v>
      </c>
    </row>
    <row r="158" spans="1:11" s="22" customFormat="1" x14ac:dyDescent="0.35">
      <c r="A158" s="19">
        <v>145</v>
      </c>
      <c r="B158" s="19" t="s">
        <v>75</v>
      </c>
      <c r="C158" s="20" t="s">
        <v>145</v>
      </c>
      <c r="D158" s="113">
        <f>'Schedule 4 Adjustments'!F157</f>
        <v>0</v>
      </c>
      <c r="E158" s="403">
        <v>1.35</v>
      </c>
      <c r="F158" s="47">
        <f t="shared" si="12"/>
        <v>0</v>
      </c>
      <c r="G158" s="21">
        <f t="shared" si="9"/>
        <v>217.15654237226909</v>
      </c>
      <c r="H158" s="141">
        <f>'Schedule 4 Adjustments'!N157</f>
        <v>0</v>
      </c>
      <c r="I158" s="403">
        <v>1.35</v>
      </c>
      <c r="J158" s="47">
        <f t="shared" si="11"/>
        <v>0</v>
      </c>
      <c r="K158" s="21">
        <f t="shared" si="10"/>
        <v>217.15654237226909</v>
      </c>
    </row>
    <row r="159" spans="1:11" s="22" customFormat="1" x14ac:dyDescent="0.35">
      <c r="A159" s="19">
        <v>146</v>
      </c>
      <c r="B159" s="19" t="s">
        <v>76</v>
      </c>
      <c r="C159" s="20" t="s">
        <v>146</v>
      </c>
      <c r="D159" s="113">
        <f>'Schedule 4 Adjustments'!F158</f>
        <v>0</v>
      </c>
      <c r="E159" s="403">
        <v>2.56</v>
      </c>
      <c r="F159" s="47">
        <f t="shared" si="12"/>
        <v>0</v>
      </c>
      <c r="G159" s="21">
        <f t="shared" si="9"/>
        <v>411.79314701704362</v>
      </c>
      <c r="H159" s="141">
        <f>'Schedule 4 Adjustments'!N158</f>
        <v>0</v>
      </c>
      <c r="I159" s="403">
        <v>2.14</v>
      </c>
      <c r="J159" s="47">
        <f t="shared" si="11"/>
        <v>0</v>
      </c>
      <c r="K159" s="21">
        <f t="shared" si="10"/>
        <v>344.23333383455991</v>
      </c>
    </row>
    <row r="160" spans="1:11" s="22" customFormat="1" x14ac:dyDescent="0.35">
      <c r="A160" s="19">
        <v>147</v>
      </c>
      <c r="B160" s="19" t="s">
        <v>77</v>
      </c>
      <c r="C160" s="20" t="s">
        <v>407</v>
      </c>
      <c r="D160" s="113">
        <f>'Schedule 4 Adjustments'!F159</f>
        <v>0</v>
      </c>
      <c r="E160" s="403">
        <v>1.6</v>
      </c>
      <c r="F160" s="47">
        <f t="shared" si="12"/>
        <v>0</v>
      </c>
      <c r="G160" s="21">
        <f t="shared" si="9"/>
        <v>257.37071688565226</v>
      </c>
      <c r="H160" s="141">
        <f>'Schedule 4 Adjustments'!N159</f>
        <v>0</v>
      </c>
      <c r="I160" s="403">
        <v>1.6</v>
      </c>
      <c r="J160" s="47">
        <f t="shared" si="11"/>
        <v>0</v>
      </c>
      <c r="K160" s="21">
        <f t="shared" si="10"/>
        <v>257.37071688565226</v>
      </c>
    </row>
    <row r="161" spans="1:11" s="22" customFormat="1" x14ac:dyDescent="0.35">
      <c r="A161" s="19">
        <v>148</v>
      </c>
      <c r="B161" s="19" t="s">
        <v>78</v>
      </c>
      <c r="C161" s="20" t="s">
        <v>408</v>
      </c>
      <c r="D161" s="113">
        <f>'Schedule 4 Adjustments'!F160</f>
        <v>0</v>
      </c>
      <c r="E161" s="403">
        <v>2.64</v>
      </c>
      <c r="F161" s="47">
        <f t="shared" si="12"/>
        <v>0</v>
      </c>
      <c r="G161" s="21">
        <f t="shared" si="9"/>
        <v>424.6616828613262</v>
      </c>
      <c r="H161" s="141">
        <f>'Schedule 4 Adjustments'!N160</f>
        <v>0</v>
      </c>
      <c r="I161" s="403">
        <v>2.64</v>
      </c>
      <c r="J161" s="47">
        <f t="shared" si="11"/>
        <v>0</v>
      </c>
      <c r="K161" s="21">
        <f t="shared" si="10"/>
        <v>424.6616828613262</v>
      </c>
    </row>
    <row r="162" spans="1:11" s="22" customFormat="1" x14ac:dyDescent="0.35">
      <c r="A162" s="19">
        <v>149</v>
      </c>
      <c r="B162" s="19" t="s">
        <v>79</v>
      </c>
      <c r="C162" s="20" t="s">
        <v>409</v>
      </c>
      <c r="D162" s="113">
        <f>'Schedule 4 Adjustments'!F161</f>
        <v>12600</v>
      </c>
      <c r="E162" s="403">
        <v>1.24</v>
      </c>
      <c r="F162" s="47">
        <f t="shared" si="12"/>
        <v>15624</v>
      </c>
      <c r="G162" s="21">
        <f t="shared" si="9"/>
        <v>199.4623055863805</v>
      </c>
      <c r="H162" s="141">
        <f>'Schedule 4 Adjustments'!N161</f>
        <v>13729</v>
      </c>
      <c r="I162" s="403">
        <v>1.24</v>
      </c>
      <c r="J162" s="47">
        <f t="shared" si="11"/>
        <v>17023.96</v>
      </c>
      <c r="K162" s="21">
        <f t="shared" si="10"/>
        <v>199.4623055863805</v>
      </c>
    </row>
    <row r="163" spans="1:11" s="22" customFormat="1" x14ac:dyDescent="0.35">
      <c r="A163" s="19">
        <v>150</v>
      </c>
      <c r="B163" s="19" t="s">
        <v>80</v>
      </c>
      <c r="C163" s="20" t="s">
        <v>410</v>
      </c>
      <c r="D163" s="113">
        <f>'Schedule 4 Adjustments'!F162</f>
        <v>0</v>
      </c>
      <c r="E163" s="403">
        <v>0.83</v>
      </c>
      <c r="F163" s="47">
        <f t="shared" si="12"/>
        <v>0</v>
      </c>
      <c r="G163" s="21">
        <f t="shared" si="9"/>
        <v>133.51105938443209</v>
      </c>
      <c r="H163" s="141">
        <f>'Schedule 4 Adjustments'!N162</f>
        <v>9786</v>
      </c>
      <c r="I163" s="403">
        <v>0.72</v>
      </c>
      <c r="J163" s="47">
        <f t="shared" si="11"/>
        <v>7045.92</v>
      </c>
      <c r="K163" s="21">
        <f t="shared" si="10"/>
        <v>115.81682259854351</v>
      </c>
    </row>
    <row r="164" spans="1:11" s="22" customFormat="1" x14ac:dyDescent="0.35">
      <c r="A164" s="19">
        <v>151</v>
      </c>
      <c r="B164" s="19" t="s">
        <v>81</v>
      </c>
      <c r="C164" s="20" t="s">
        <v>411</v>
      </c>
      <c r="D164" s="113">
        <f>'Schedule 4 Adjustments'!F163</f>
        <v>7756</v>
      </c>
      <c r="E164" s="403">
        <v>0.92</v>
      </c>
      <c r="F164" s="47">
        <f t="shared" si="12"/>
        <v>7135.52</v>
      </c>
      <c r="G164" s="21">
        <f t="shared" si="9"/>
        <v>147.98816220925005</v>
      </c>
      <c r="H164" s="141">
        <f>'Schedule 4 Adjustments'!N163</f>
        <v>2157</v>
      </c>
      <c r="I164" s="403">
        <v>0.92</v>
      </c>
      <c r="J164" s="47">
        <f t="shared" si="11"/>
        <v>1984.44</v>
      </c>
      <c r="K164" s="21">
        <f t="shared" si="10"/>
        <v>147.98816220925005</v>
      </c>
    </row>
    <row r="165" spans="1:11" s="22" customFormat="1" x14ac:dyDescent="0.35">
      <c r="A165" s="19">
        <v>152</v>
      </c>
      <c r="B165" s="19" t="s">
        <v>82</v>
      </c>
      <c r="C165" s="20" t="s">
        <v>412</v>
      </c>
      <c r="D165" s="113">
        <f>'Schedule 4 Adjustments'!F164</f>
        <v>0</v>
      </c>
      <c r="E165" s="403">
        <v>0.14000000000000001</v>
      </c>
      <c r="F165" s="47">
        <f t="shared" si="12"/>
        <v>0</v>
      </c>
      <c r="G165" s="21">
        <f t="shared" si="9"/>
        <v>22.519937727494575</v>
      </c>
      <c r="H165" s="141">
        <f>'Schedule 4 Adjustments'!N164</f>
        <v>0</v>
      </c>
      <c r="I165" s="403">
        <v>0.12</v>
      </c>
      <c r="J165" s="47">
        <f t="shared" si="11"/>
        <v>0</v>
      </c>
      <c r="K165" s="21">
        <f t="shared" si="10"/>
        <v>19.302803766423917</v>
      </c>
    </row>
    <row r="166" spans="1:11" s="22" customFormat="1" x14ac:dyDescent="0.35">
      <c r="A166" s="19">
        <v>153</v>
      </c>
      <c r="B166" s="19" t="s">
        <v>83</v>
      </c>
      <c r="C166" s="20" t="s">
        <v>417</v>
      </c>
      <c r="D166" s="113">
        <f>'Schedule 4 Adjustments'!F165</f>
        <v>0</v>
      </c>
      <c r="E166" s="403">
        <v>3.3600000000000003</v>
      </c>
      <c r="F166" s="47">
        <f t="shared" si="12"/>
        <v>0</v>
      </c>
      <c r="G166" s="21">
        <f t="shared" si="9"/>
        <v>540.47850545986978</v>
      </c>
      <c r="H166" s="141">
        <f>'Schedule 4 Adjustments'!N165</f>
        <v>0</v>
      </c>
      <c r="I166" s="403">
        <v>2.88</v>
      </c>
      <c r="J166" s="47">
        <f t="shared" si="11"/>
        <v>0</v>
      </c>
      <c r="K166" s="21">
        <f t="shared" si="10"/>
        <v>463.26729039417404</v>
      </c>
    </row>
    <row r="167" spans="1:11" s="22" customFormat="1" x14ac:dyDescent="0.35">
      <c r="A167" s="19">
        <v>154</v>
      </c>
      <c r="B167" s="19" t="s">
        <v>84</v>
      </c>
      <c r="C167" s="20" t="s">
        <v>415</v>
      </c>
      <c r="D167" s="113">
        <f>'Schedule 4 Adjustments'!F166</f>
        <v>14604</v>
      </c>
      <c r="E167" s="403">
        <v>0.44</v>
      </c>
      <c r="F167" s="47">
        <f t="shared" si="12"/>
        <v>6425.76</v>
      </c>
      <c r="G167" s="21">
        <f t="shared" si="9"/>
        <v>70.776947143554366</v>
      </c>
      <c r="H167" s="141">
        <f>'Schedule 4 Adjustments'!N166</f>
        <v>36394</v>
      </c>
      <c r="I167" s="403">
        <v>0.44</v>
      </c>
      <c r="J167" s="47">
        <f t="shared" si="11"/>
        <v>16013.36</v>
      </c>
      <c r="K167" s="21">
        <f t="shared" si="10"/>
        <v>70.776947143554366</v>
      </c>
    </row>
    <row r="168" spans="1:11" s="22" customFormat="1" x14ac:dyDescent="0.35">
      <c r="A168" s="19">
        <v>155</v>
      </c>
      <c r="B168" s="19" t="s">
        <v>85</v>
      </c>
      <c r="C168" s="20" t="s">
        <v>416</v>
      </c>
      <c r="D168" s="113">
        <f>'Schedule 4 Adjustments'!F167</f>
        <v>11</v>
      </c>
      <c r="E168" s="403">
        <v>5.28</v>
      </c>
      <c r="F168" s="47">
        <f t="shared" si="12"/>
        <v>58.080000000000005</v>
      </c>
      <c r="G168" s="21">
        <f t="shared" si="9"/>
        <v>849.3233657226524</v>
      </c>
      <c r="H168" s="141">
        <f>'Schedule 4 Adjustments'!N167</f>
        <v>50</v>
      </c>
      <c r="I168" s="403">
        <v>5.28</v>
      </c>
      <c r="J168" s="47">
        <f t="shared" si="11"/>
        <v>264</v>
      </c>
      <c r="K168" s="21">
        <f t="shared" si="10"/>
        <v>849.3233657226524</v>
      </c>
    </row>
    <row r="169" spans="1:11" s="22" customFormat="1" x14ac:dyDescent="0.35">
      <c r="A169" s="19">
        <v>156</v>
      </c>
      <c r="B169" s="19" t="s">
        <v>86</v>
      </c>
      <c r="C169" s="20" t="s">
        <v>414</v>
      </c>
      <c r="D169" s="113">
        <f>'Schedule 4 Adjustments'!F168</f>
        <v>33</v>
      </c>
      <c r="E169" s="403">
        <v>0.44</v>
      </c>
      <c r="F169" s="47">
        <f t="shared" si="12"/>
        <v>14.52</v>
      </c>
      <c r="G169" s="21">
        <f t="shared" si="9"/>
        <v>70.776947143554366</v>
      </c>
      <c r="H169" s="141">
        <f>'Schedule 4 Adjustments'!N168</f>
        <v>0</v>
      </c>
      <c r="I169" s="403">
        <v>0.44</v>
      </c>
      <c r="J169" s="47">
        <f t="shared" si="11"/>
        <v>0</v>
      </c>
      <c r="K169" s="21">
        <f t="shared" si="10"/>
        <v>70.776947143554366</v>
      </c>
    </row>
    <row r="170" spans="1:11" s="22" customFormat="1" x14ac:dyDescent="0.35">
      <c r="A170" s="19">
        <v>157</v>
      </c>
      <c r="B170" s="19" t="s">
        <v>87</v>
      </c>
      <c r="C170" s="20" t="s">
        <v>413</v>
      </c>
      <c r="D170" s="113">
        <f>'Schedule 4 Adjustments'!F169</f>
        <v>0</v>
      </c>
      <c r="E170" s="403">
        <v>5.28</v>
      </c>
      <c r="F170" s="47">
        <f t="shared" si="12"/>
        <v>0</v>
      </c>
      <c r="G170" s="21">
        <f t="shared" si="9"/>
        <v>849.3233657226524</v>
      </c>
      <c r="H170" s="141">
        <f>'Schedule 4 Adjustments'!N169</f>
        <v>0</v>
      </c>
      <c r="I170" s="403">
        <v>5.28</v>
      </c>
      <c r="J170" s="47">
        <f t="shared" si="11"/>
        <v>0</v>
      </c>
      <c r="K170" s="21">
        <f t="shared" si="10"/>
        <v>849.3233657226524</v>
      </c>
    </row>
    <row r="171" spans="1:11" s="22" customFormat="1" x14ac:dyDescent="0.35">
      <c r="A171" s="19">
        <v>158</v>
      </c>
      <c r="B171" s="19" t="s">
        <v>88</v>
      </c>
      <c r="C171" s="20" t="s">
        <v>418</v>
      </c>
      <c r="D171" s="113">
        <f>'Schedule 4 Adjustments'!F170</f>
        <v>13899</v>
      </c>
      <c r="E171" s="403">
        <v>0.14000000000000001</v>
      </c>
      <c r="F171" s="47">
        <f t="shared" si="12"/>
        <v>1945.8600000000001</v>
      </c>
      <c r="G171" s="21">
        <f t="shared" si="9"/>
        <v>22.519937727494575</v>
      </c>
      <c r="H171" s="141">
        <f>'Schedule 4 Adjustments'!N170</f>
        <v>1764</v>
      </c>
      <c r="I171" s="403">
        <v>0.12</v>
      </c>
      <c r="J171" s="47">
        <f t="shared" si="11"/>
        <v>211.67999999999998</v>
      </c>
      <c r="K171" s="21">
        <f t="shared" si="10"/>
        <v>19.302803766423917</v>
      </c>
    </row>
    <row r="172" spans="1:11" s="22" customFormat="1" x14ac:dyDescent="0.35">
      <c r="A172" s="19">
        <v>159</v>
      </c>
      <c r="B172" s="19" t="s">
        <v>89</v>
      </c>
      <c r="C172" s="20" t="s">
        <v>419</v>
      </c>
      <c r="D172" s="113">
        <f>'Schedule 4 Adjustments'!F171</f>
        <v>0</v>
      </c>
      <c r="E172" s="403">
        <v>3.3600000000000003</v>
      </c>
      <c r="F172" s="47">
        <f t="shared" si="12"/>
        <v>0</v>
      </c>
      <c r="G172" s="21">
        <f t="shared" si="9"/>
        <v>540.47850545986978</v>
      </c>
      <c r="H172" s="141">
        <f>'Schedule 4 Adjustments'!N171</f>
        <v>0</v>
      </c>
      <c r="I172" s="403">
        <v>2.88</v>
      </c>
      <c r="J172" s="47">
        <f t="shared" si="11"/>
        <v>0</v>
      </c>
      <c r="K172" s="21">
        <f t="shared" si="10"/>
        <v>463.26729039417404</v>
      </c>
    </row>
    <row r="173" spans="1:11" s="22" customFormat="1" x14ac:dyDescent="0.35">
      <c r="A173" s="19">
        <v>160</v>
      </c>
      <c r="B173" s="19" t="s">
        <v>90</v>
      </c>
      <c r="C173" s="20" t="s">
        <v>420</v>
      </c>
      <c r="D173" s="113">
        <f>'Schedule 4 Adjustments'!F172</f>
        <v>926</v>
      </c>
      <c r="E173" s="403">
        <v>0.14000000000000001</v>
      </c>
      <c r="F173" s="47">
        <f t="shared" si="12"/>
        <v>129.64000000000001</v>
      </c>
      <c r="G173" s="21">
        <f t="shared" si="9"/>
        <v>22.519937727494575</v>
      </c>
      <c r="H173" s="141">
        <f>'Schedule 4 Adjustments'!N172</f>
        <v>66</v>
      </c>
      <c r="I173" s="403">
        <v>0.12</v>
      </c>
      <c r="J173" s="47">
        <f t="shared" si="11"/>
        <v>7.92</v>
      </c>
      <c r="K173" s="21">
        <f t="shared" si="10"/>
        <v>19.302803766423917</v>
      </c>
    </row>
    <row r="174" spans="1:11" s="22" customFormat="1" x14ac:dyDescent="0.35">
      <c r="A174" s="19">
        <v>161</v>
      </c>
      <c r="B174" s="19" t="s">
        <v>91</v>
      </c>
      <c r="C174" s="20" t="s">
        <v>421</v>
      </c>
      <c r="D174" s="113">
        <f>'Schedule 4 Adjustments'!F173</f>
        <v>0</v>
      </c>
      <c r="E174" s="403">
        <v>3.3600000000000003</v>
      </c>
      <c r="F174" s="47">
        <f t="shared" si="12"/>
        <v>0</v>
      </c>
      <c r="G174" s="21">
        <f t="shared" si="9"/>
        <v>540.47850545986978</v>
      </c>
      <c r="H174" s="141">
        <f>'Schedule 4 Adjustments'!N173</f>
        <v>0</v>
      </c>
      <c r="I174" s="403">
        <v>2.88</v>
      </c>
      <c r="J174" s="47">
        <f t="shared" si="11"/>
        <v>0</v>
      </c>
      <c r="K174" s="21">
        <f t="shared" si="10"/>
        <v>463.26729039417404</v>
      </c>
    </row>
    <row r="175" spans="1:11" s="22" customFormat="1" x14ac:dyDescent="0.35">
      <c r="A175" s="19">
        <v>162</v>
      </c>
      <c r="B175" s="19" t="s">
        <v>92</v>
      </c>
      <c r="C175" s="20" t="s">
        <v>422</v>
      </c>
      <c r="D175" s="113">
        <f>'Schedule 4 Adjustments'!F174</f>
        <v>870</v>
      </c>
      <c r="E175" s="403">
        <v>0.14000000000000001</v>
      </c>
      <c r="F175" s="47">
        <f t="shared" si="12"/>
        <v>121.80000000000001</v>
      </c>
      <c r="G175" s="21">
        <f t="shared" si="9"/>
        <v>22.519937727494575</v>
      </c>
      <c r="H175" s="141">
        <f>'Schedule 4 Adjustments'!N174</f>
        <v>332</v>
      </c>
      <c r="I175" s="403">
        <v>0.12</v>
      </c>
      <c r="J175" s="47">
        <f t="shared" si="11"/>
        <v>39.839999999999996</v>
      </c>
      <c r="K175" s="21">
        <f t="shared" si="10"/>
        <v>19.302803766423917</v>
      </c>
    </row>
    <row r="176" spans="1:11" s="22" customFormat="1" x14ac:dyDescent="0.35">
      <c r="A176" s="19">
        <v>163</v>
      </c>
      <c r="B176" s="19" t="s">
        <v>93</v>
      </c>
      <c r="C176" s="20" t="s">
        <v>423</v>
      </c>
      <c r="D176" s="113">
        <f>'Schedule 4 Adjustments'!F175</f>
        <v>0</v>
      </c>
      <c r="E176" s="403">
        <v>0.14000000000000001</v>
      </c>
      <c r="F176" s="47">
        <f t="shared" si="12"/>
        <v>0</v>
      </c>
      <c r="G176" s="21">
        <f t="shared" si="9"/>
        <v>22.519937727494575</v>
      </c>
      <c r="H176" s="141">
        <f>'Schedule 4 Adjustments'!N175</f>
        <v>0</v>
      </c>
      <c r="I176" s="403">
        <v>0.12</v>
      </c>
      <c r="J176" s="47">
        <f t="shared" si="11"/>
        <v>0</v>
      </c>
      <c r="K176" s="21">
        <f t="shared" si="10"/>
        <v>19.302803766423917</v>
      </c>
    </row>
    <row r="177" spans="1:11" s="22" customFormat="1" x14ac:dyDescent="0.35">
      <c r="A177" s="19">
        <v>164</v>
      </c>
      <c r="B177" s="19" t="s">
        <v>94</v>
      </c>
      <c r="C177" s="20" t="s">
        <v>424</v>
      </c>
      <c r="D177" s="113">
        <f>'Schedule 4 Adjustments'!F176</f>
        <v>0</v>
      </c>
      <c r="E177" s="403">
        <v>3.3600000000000003</v>
      </c>
      <c r="F177" s="47">
        <f t="shared" si="12"/>
        <v>0</v>
      </c>
      <c r="G177" s="21">
        <f t="shared" si="9"/>
        <v>540.47850545986978</v>
      </c>
      <c r="H177" s="141">
        <f>'Schedule 4 Adjustments'!N176</f>
        <v>0</v>
      </c>
      <c r="I177" s="403">
        <v>2.88</v>
      </c>
      <c r="J177" s="47">
        <f t="shared" si="11"/>
        <v>0</v>
      </c>
      <c r="K177" s="21">
        <f t="shared" si="10"/>
        <v>463.26729039417404</v>
      </c>
    </row>
    <row r="178" spans="1:11" s="22" customFormat="1" x14ac:dyDescent="0.35">
      <c r="A178" s="19">
        <v>165</v>
      </c>
      <c r="B178" s="19" t="s">
        <v>95</v>
      </c>
      <c r="C178" s="20" t="s">
        <v>425</v>
      </c>
      <c r="D178" s="113">
        <f>'Schedule 4 Adjustments'!F177</f>
        <v>592</v>
      </c>
      <c r="E178" s="403">
        <v>0.14000000000000001</v>
      </c>
      <c r="F178" s="47">
        <f t="shared" si="12"/>
        <v>82.88000000000001</v>
      </c>
      <c r="G178" s="21">
        <f t="shared" si="9"/>
        <v>22.519937727494575</v>
      </c>
      <c r="H178" s="141">
        <f>'Schedule 4 Adjustments'!N177</f>
        <v>1482</v>
      </c>
      <c r="I178" s="403">
        <v>0.12</v>
      </c>
      <c r="J178" s="47">
        <f t="shared" si="11"/>
        <v>177.84</v>
      </c>
      <c r="K178" s="21">
        <f t="shared" si="10"/>
        <v>19.302803766423917</v>
      </c>
    </row>
    <row r="179" spans="1:11" s="22" customFormat="1" x14ac:dyDescent="0.35">
      <c r="A179" s="19">
        <v>166</v>
      </c>
      <c r="B179" s="19" t="s">
        <v>96</v>
      </c>
      <c r="C179" s="20" t="s">
        <v>426</v>
      </c>
      <c r="D179" s="113">
        <f>'Schedule 4 Adjustments'!F178</f>
        <v>0</v>
      </c>
      <c r="E179" s="403">
        <v>1.29</v>
      </c>
      <c r="F179" s="47">
        <f t="shared" si="12"/>
        <v>0</v>
      </c>
      <c r="G179" s="21">
        <f t="shared" si="9"/>
        <v>207.50514048905714</v>
      </c>
      <c r="H179" s="141">
        <f>'Schedule 4 Adjustments'!N178</f>
        <v>0</v>
      </c>
      <c r="I179" s="403">
        <v>1.1299999999999999</v>
      </c>
      <c r="J179" s="47">
        <f t="shared" si="11"/>
        <v>0</v>
      </c>
      <c r="K179" s="21">
        <f t="shared" si="10"/>
        <v>181.76806880049187</v>
      </c>
    </row>
    <row r="180" spans="1:11" s="22" customFormat="1" x14ac:dyDescent="0.35">
      <c r="A180" s="19">
        <v>167</v>
      </c>
      <c r="B180" s="19" t="s">
        <v>35</v>
      </c>
      <c r="C180" s="20" t="s">
        <v>37</v>
      </c>
      <c r="D180" s="113">
        <f>'Schedule 4 Adjustments'!F179</f>
        <v>0</v>
      </c>
      <c r="E180" s="403">
        <v>0</v>
      </c>
      <c r="F180" s="47">
        <f t="shared" si="12"/>
        <v>0</v>
      </c>
      <c r="G180" s="21">
        <f t="shared" si="9"/>
        <v>0</v>
      </c>
      <c r="H180" s="141">
        <f>'Schedule 4 Adjustments'!N179</f>
        <v>0</v>
      </c>
      <c r="I180" s="403">
        <v>0</v>
      </c>
      <c r="J180" s="47">
        <f t="shared" si="11"/>
        <v>0</v>
      </c>
      <c r="K180" s="21">
        <f t="shared" si="10"/>
        <v>0</v>
      </c>
    </row>
    <row r="181" spans="1:11" s="22" customFormat="1" x14ac:dyDescent="0.35">
      <c r="A181" s="19">
        <v>168</v>
      </c>
      <c r="B181" s="19" t="s">
        <v>97</v>
      </c>
      <c r="C181" s="20" t="s">
        <v>427</v>
      </c>
      <c r="D181" s="113">
        <f>'Schedule 4 Adjustments'!F180</f>
        <v>0</v>
      </c>
      <c r="E181" s="403">
        <v>0</v>
      </c>
      <c r="F181" s="47">
        <f t="shared" si="12"/>
        <v>0</v>
      </c>
      <c r="G181" s="21">
        <f t="shared" si="9"/>
        <v>0</v>
      </c>
      <c r="H181" s="141">
        <f>'Schedule 4 Adjustments'!N180</f>
        <v>3094</v>
      </c>
      <c r="I181" s="403">
        <v>0</v>
      </c>
      <c r="J181" s="47">
        <f t="shared" si="11"/>
        <v>0</v>
      </c>
      <c r="K181" s="21">
        <f t="shared" si="10"/>
        <v>0</v>
      </c>
    </row>
    <row r="182" spans="1:11" s="22" customFormat="1" x14ac:dyDescent="0.35">
      <c r="A182" s="19">
        <v>169</v>
      </c>
      <c r="B182" s="19" t="s">
        <v>98</v>
      </c>
      <c r="C182" s="20" t="s">
        <v>428</v>
      </c>
      <c r="D182" s="113">
        <f>'Schedule 4 Adjustments'!F181</f>
        <v>0</v>
      </c>
      <c r="E182" s="403">
        <v>0.22</v>
      </c>
      <c r="F182" s="47">
        <f t="shared" si="12"/>
        <v>0</v>
      </c>
      <c r="G182" s="21">
        <f t="shared" si="9"/>
        <v>35.388473571777183</v>
      </c>
      <c r="H182" s="141">
        <f>'Schedule 4 Adjustments'!N181</f>
        <v>0</v>
      </c>
      <c r="I182" s="403">
        <v>0.22</v>
      </c>
      <c r="J182" s="47">
        <f t="shared" si="11"/>
        <v>0</v>
      </c>
      <c r="K182" s="21">
        <f t="shared" si="10"/>
        <v>35.388473571777183</v>
      </c>
    </row>
    <row r="183" spans="1:11" s="22" customFormat="1" x14ac:dyDescent="0.35">
      <c r="A183" s="19">
        <v>170</v>
      </c>
      <c r="B183" s="19" t="s">
        <v>99</v>
      </c>
      <c r="C183" s="20" t="s">
        <v>429</v>
      </c>
      <c r="D183" s="113">
        <f>'Schedule 4 Adjustments'!F182</f>
        <v>0</v>
      </c>
      <c r="E183" s="403">
        <v>4.4000000000000004</v>
      </c>
      <c r="F183" s="47">
        <f t="shared" si="12"/>
        <v>0</v>
      </c>
      <c r="G183" s="21">
        <f t="shared" si="9"/>
        <v>707.76947143554378</v>
      </c>
      <c r="H183" s="141">
        <f>'Schedule 4 Adjustments'!N182</f>
        <v>0</v>
      </c>
      <c r="I183" s="403">
        <v>4.4000000000000004</v>
      </c>
      <c r="J183" s="47">
        <f t="shared" si="11"/>
        <v>0</v>
      </c>
      <c r="K183" s="21">
        <f t="shared" si="10"/>
        <v>707.76947143554378</v>
      </c>
    </row>
    <row r="184" spans="1:11" s="22" customFormat="1" x14ac:dyDescent="0.35">
      <c r="A184" s="19">
        <v>171</v>
      </c>
      <c r="B184" s="19" t="s">
        <v>100</v>
      </c>
      <c r="C184" s="20" t="s">
        <v>147</v>
      </c>
      <c r="D184" s="113">
        <f>'Schedule 4 Adjustments'!F183</f>
        <v>0</v>
      </c>
      <c r="E184" s="403">
        <v>1.02</v>
      </c>
      <c r="F184" s="47">
        <f t="shared" si="12"/>
        <v>0</v>
      </c>
      <c r="G184" s="21">
        <f t="shared" si="9"/>
        <v>164.07383201460331</v>
      </c>
      <c r="H184" s="141">
        <f>'Schedule 4 Adjustments'!N183</f>
        <v>0</v>
      </c>
      <c r="I184" s="403">
        <v>0.94</v>
      </c>
      <c r="J184" s="47">
        <f t="shared" si="11"/>
        <v>0</v>
      </c>
      <c r="K184" s="21">
        <f t="shared" si="10"/>
        <v>151.20529617032068</v>
      </c>
    </row>
    <row r="185" spans="1:11" s="22" customFormat="1" x14ac:dyDescent="0.35">
      <c r="A185" s="19">
        <v>172</v>
      </c>
      <c r="B185" s="19" t="s">
        <v>101</v>
      </c>
      <c r="C185" s="20" t="s">
        <v>148</v>
      </c>
      <c r="D185" s="113">
        <f>'Schedule 4 Adjustments'!F184</f>
        <v>0</v>
      </c>
      <c r="E185" s="403">
        <v>0.75</v>
      </c>
      <c r="F185" s="47">
        <f t="shared" si="12"/>
        <v>0</v>
      </c>
      <c r="G185" s="21">
        <f t="shared" si="9"/>
        <v>120.64252354014948</v>
      </c>
      <c r="H185" s="141">
        <f>'Schedule 4 Adjustments'!N184</f>
        <v>0</v>
      </c>
      <c r="I185" s="403">
        <v>0.37</v>
      </c>
      <c r="J185" s="47">
        <f t="shared" si="11"/>
        <v>0</v>
      </c>
      <c r="K185" s="21">
        <f t="shared" si="10"/>
        <v>59.516978279807084</v>
      </c>
    </row>
    <row r="186" spans="1:11" s="22" customFormat="1" x14ac:dyDescent="0.35">
      <c r="A186" s="19">
        <v>173</v>
      </c>
      <c r="B186" s="19" t="s">
        <v>102</v>
      </c>
      <c r="C186" s="20" t="s">
        <v>430</v>
      </c>
      <c r="D186" s="113">
        <f>'Schedule 4 Adjustments'!F185</f>
        <v>0</v>
      </c>
      <c r="E186" s="403">
        <v>0.75</v>
      </c>
      <c r="F186" s="47">
        <f t="shared" si="12"/>
        <v>0</v>
      </c>
      <c r="G186" s="21">
        <f t="shared" si="9"/>
        <v>120.64252354014948</v>
      </c>
      <c r="H186" s="141">
        <f>'Schedule 4 Adjustments'!N185</f>
        <v>0</v>
      </c>
      <c r="I186" s="403">
        <v>0.37</v>
      </c>
      <c r="J186" s="47">
        <f t="shared" si="11"/>
        <v>0</v>
      </c>
      <c r="K186" s="21">
        <f t="shared" si="10"/>
        <v>59.516978279807084</v>
      </c>
    </row>
    <row r="187" spans="1:11" s="22" customFormat="1" x14ac:dyDescent="0.35">
      <c r="A187" s="19">
        <v>174</v>
      </c>
      <c r="B187" s="19" t="s">
        <v>103</v>
      </c>
      <c r="C187" s="20" t="s">
        <v>431</v>
      </c>
      <c r="D187" s="113">
        <f>'Schedule 4 Adjustments'!F186</f>
        <v>0</v>
      </c>
      <c r="E187" s="403">
        <v>3.96</v>
      </c>
      <c r="F187" s="47">
        <f t="shared" si="12"/>
        <v>0</v>
      </c>
      <c r="G187" s="21">
        <f t="shared" si="9"/>
        <v>636.9925242919893</v>
      </c>
      <c r="H187" s="141">
        <f>'Schedule 4 Adjustments'!N186</f>
        <v>0</v>
      </c>
      <c r="I187" s="403">
        <v>3.96</v>
      </c>
      <c r="J187" s="47">
        <f t="shared" si="11"/>
        <v>0</v>
      </c>
      <c r="K187" s="21">
        <f t="shared" si="10"/>
        <v>636.9925242919893</v>
      </c>
    </row>
    <row r="188" spans="1:11" s="22" customFormat="1" x14ac:dyDescent="0.35">
      <c r="A188" s="19">
        <v>175</v>
      </c>
      <c r="B188" s="19" t="s">
        <v>104</v>
      </c>
      <c r="C188" s="20" t="s">
        <v>432</v>
      </c>
      <c r="D188" s="113">
        <f>'Schedule 4 Adjustments'!F187</f>
        <v>0</v>
      </c>
      <c r="E188" s="403">
        <v>3.59</v>
      </c>
      <c r="F188" s="47">
        <f t="shared" si="12"/>
        <v>0</v>
      </c>
      <c r="G188" s="21">
        <f t="shared" si="9"/>
        <v>577.47554601218224</v>
      </c>
      <c r="H188" s="141">
        <f>'Schedule 4 Adjustments'!N187</f>
        <v>0</v>
      </c>
      <c r="I188" s="403">
        <v>3.59</v>
      </c>
      <c r="J188" s="47">
        <f t="shared" si="11"/>
        <v>0</v>
      </c>
      <c r="K188" s="21">
        <f t="shared" si="10"/>
        <v>577.47554601218224</v>
      </c>
    </row>
    <row r="189" spans="1:11" s="22" customFormat="1" x14ac:dyDescent="0.35">
      <c r="A189" s="19">
        <v>176</v>
      </c>
      <c r="B189" s="19" t="s">
        <v>36</v>
      </c>
      <c r="C189" s="20" t="s">
        <v>38</v>
      </c>
      <c r="D189" s="113">
        <f>'Schedule 4 Adjustments'!F188</f>
        <v>0</v>
      </c>
      <c r="E189" s="403">
        <v>0</v>
      </c>
      <c r="F189" s="47">
        <f t="shared" si="12"/>
        <v>0</v>
      </c>
      <c r="G189" s="21">
        <f t="shared" si="9"/>
        <v>0</v>
      </c>
      <c r="H189" s="141">
        <f>'Schedule 4 Adjustments'!N188</f>
        <v>0</v>
      </c>
      <c r="I189" s="403">
        <v>0</v>
      </c>
      <c r="J189" s="47">
        <f t="shared" si="11"/>
        <v>0</v>
      </c>
      <c r="K189" s="21">
        <f t="shared" si="10"/>
        <v>0</v>
      </c>
    </row>
    <row r="190" spans="1:11" s="22" customFormat="1" x14ac:dyDescent="0.35">
      <c r="A190" s="19">
        <v>177</v>
      </c>
      <c r="B190" s="19" t="s">
        <v>105</v>
      </c>
      <c r="C190" s="20" t="s">
        <v>433</v>
      </c>
      <c r="D190" s="113">
        <f>'Schedule 4 Adjustments'!F189</f>
        <v>0</v>
      </c>
      <c r="E190" s="403">
        <v>0.28999999999999998</v>
      </c>
      <c r="F190" s="47">
        <f t="shared" si="12"/>
        <v>0</v>
      </c>
      <c r="G190" s="21">
        <f t="shared" si="9"/>
        <v>46.648442435524466</v>
      </c>
      <c r="H190" s="141">
        <f>'Schedule 4 Adjustments'!N189</f>
        <v>0</v>
      </c>
      <c r="I190" s="403">
        <v>0.28999999999999998</v>
      </c>
      <c r="J190" s="47">
        <f t="shared" si="11"/>
        <v>0</v>
      </c>
      <c r="K190" s="21">
        <f t="shared" si="10"/>
        <v>46.648442435524466</v>
      </c>
    </row>
    <row r="191" spans="1:11" s="22" customFormat="1" x14ac:dyDescent="0.35">
      <c r="A191" s="19">
        <v>178</v>
      </c>
      <c r="B191" s="19" t="s">
        <v>106</v>
      </c>
      <c r="C191" s="20" t="s">
        <v>149</v>
      </c>
      <c r="D191" s="113">
        <f>'Schedule 4 Adjustments'!F190</f>
        <v>0</v>
      </c>
      <c r="E191" s="403">
        <v>3.07</v>
      </c>
      <c r="F191" s="47">
        <f t="shared" si="12"/>
        <v>0</v>
      </c>
      <c r="G191" s="21">
        <f t="shared" si="9"/>
        <v>493.83006302434524</v>
      </c>
      <c r="H191" s="141">
        <f>'Schedule 4 Adjustments'!N190</f>
        <v>0</v>
      </c>
      <c r="I191" s="403">
        <v>3.05</v>
      </c>
      <c r="J191" s="47">
        <f t="shared" si="11"/>
        <v>0</v>
      </c>
      <c r="K191" s="21">
        <f t="shared" si="10"/>
        <v>490.61292906327458</v>
      </c>
    </row>
    <row r="192" spans="1:11" s="22" customFormat="1" ht="29" x14ac:dyDescent="0.35">
      <c r="A192" s="19">
        <v>179</v>
      </c>
      <c r="B192" s="19" t="s">
        <v>27</v>
      </c>
      <c r="C192" s="20" t="s">
        <v>30</v>
      </c>
      <c r="D192" s="113">
        <f>'Schedule 4 Adjustments'!F191</f>
        <v>0</v>
      </c>
      <c r="E192" s="403">
        <v>0</v>
      </c>
      <c r="F192" s="47">
        <f t="shared" si="12"/>
        <v>0</v>
      </c>
      <c r="G192" s="21">
        <f t="shared" si="9"/>
        <v>0</v>
      </c>
      <c r="H192" s="141">
        <f>'Schedule 4 Adjustments'!N191</f>
        <v>0</v>
      </c>
      <c r="I192" s="403">
        <v>0</v>
      </c>
      <c r="J192" s="47">
        <f t="shared" si="11"/>
        <v>0</v>
      </c>
      <c r="K192" s="21">
        <f t="shared" si="10"/>
        <v>0</v>
      </c>
    </row>
    <row r="193" spans="1:11" s="22" customFormat="1" x14ac:dyDescent="0.35">
      <c r="A193" s="19">
        <v>180</v>
      </c>
      <c r="B193" s="19" t="s">
        <v>107</v>
      </c>
      <c r="C193" s="20" t="s">
        <v>150</v>
      </c>
      <c r="D193" s="113">
        <f>'Schedule 4 Adjustments'!F192</f>
        <v>0</v>
      </c>
      <c r="E193" s="403">
        <v>0.59</v>
      </c>
      <c r="F193" s="47">
        <f t="shared" si="12"/>
        <v>0</v>
      </c>
      <c r="G193" s="21">
        <f t="shared" si="9"/>
        <v>94.90545185158426</v>
      </c>
      <c r="H193" s="141">
        <f>'Schedule 4 Adjustments'!N192</f>
        <v>0</v>
      </c>
      <c r="I193" s="403">
        <v>0.55000000000000004</v>
      </c>
      <c r="J193" s="47">
        <f t="shared" si="11"/>
        <v>0</v>
      </c>
      <c r="K193" s="21">
        <f t="shared" si="10"/>
        <v>88.471183929442972</v>
      </c>
    </row>
    <row r="194" spans="1:11" s="22" customFormat="1" x14ac:dyDescent="0.35">
      <c r="A194" s="19">
        <v>181</v>
      </c>
      <c r="B194" s="19" t="s">
        <v>28</v>
      </c>
      <c r="C194" s="20" t="s">
        <v>31</v>
      </c>
      <c r="D194" s="113">
        <f>'Schedule 4 Adjustments'!F193</f>
        <v>0</v>
      </c>
      <c r="E194" s="403">
        <v>0</v>
      </c>
      <c r="F194" s="47">
        <f t="shared" si="12"/>
        <v>0</v>
      </c>
      <c r="G194" s="21">
        <f t="shared" si="9"/>
        <v>0</v>
      </c>
      <c r="H194" s="141">
        <f>'Schedule 4 Adjustments'!N193</f>
        <v>0</v>
      </c>
      <c r="I194" s="403">
        <v>0</v>
      </c>
      <c r="J194" s="47">
        <f t="shared" si="11"/>
        <v>0</v>
      </c>
      <c r="K194" s="21">
        <f t="shared" si="10"/>
        <v>0</v>
      </c>
    </row>
    <row r="195" spans="1:11" s="22" customFormat="1" x14ac:dyDescent="0.35">
      <c r="A195" s="19">
        <v>182</v>
      </c>
      <c r="B195" s="19" t="s">
        <v>108</v>
      </c>
      <c r="C195" s="20" t="s">
        <v>434</v>
      </c>
      <c r="D195" s="113">
        <f>'Schedule 4 Adjustments'!F194</f>
        <v>0</v>
      </c>
      <c r="E195" s="403">
        <v>0.64</v>
      </c>
      <c r="F195" s="47">
        <f t="shared" si="12"/>
        <v>0</v>
      </c>
      <c r="G195" s="21">
        <f t="shared" si="9"/>
        <v>102.94828675426091</v>
      </c>
      <c r="H195" s="141">
        <f>'Schedule 4 Adjustments'!N194</f>
        <v>0</v>
      </c>
      <c r="I195" s="403">
        <v>0.6</v>
      </c>
      <c r="J195" s="47">
        <f t="shared" si="11"/>
        <v>0</v>
      </c>
      <c r="K195" s="21">
        <f t="shared" si="10"/>
        <v>96.514018832119589</v>
      </c>
    </row>
    <row r="196" spans="1:11" s="22" customFormat="1" x14ac:dyDescent="0.35">
      <c r="A196" s="19">
        <v>183</v>
      </c>
      <c r="B196" s="19" t="s">
        <v>109</v>
      </c>
      <c r="C196" s="20" t="s">
        <v>151</v>
      </c>
      <c r="D196" s="113">
        <f>'Schedule 4 Adjustments'!F195</f>
        <v>89501</v>
      </c>
      <c r="E196" s="403">
        <v>0.65000000000000013</v>
      </c>
      <c r="F196" s="47">
        <f t="shared" si="12"/>
        <v>58175.650000000009</v>
      </c>
      <c r="G196" s="21">
        <f t="shared" si="9"/>
        <v>104.55685373479625</v>
      </c>
      <c r="H196" s="141">
        <f>'Schedule 4 Adjustments'!N195</f>
        <v>36731</v>
      </c>
      <c r="I196" s="403">
        <v>0.59999999999999987</v>
      </c>
      <c r="J196" s="47">
        <f t="shared" si="11"/>
        <v>22038.599999999995</v>
      </c>
      <c r="K196" s="21">
        <f t="shared" si="10"/>
        <v>96.514018832119575</v>
      </c>
    </row>
    <row r="197" spans="1:11" s="22" customFormat="1" x14ac:dyDescent="0.35">
      <c r="A197" s="19">
        <v>184</v>
      </c>
      <c r="B197" s="19" t="s">
        <v>29</v>
      </c>
      <c r="C197" s="20" t="s">
        <v>32</v>
      </c>
      <c r="D197" s="113">
        <f>'Schedule 4 Adjustments'!F196</f>
        <v>0</v>
      </c>
      <c r="E197" s="403">
        <v>0</v>
      </c>
      <c r="F197" s="47">
        <f t="shared" si="12"/>
        <v>0</v>
      </c>
      <c r="G197" s="21">
        <f t="shared" si="9"/>
        <v>0</v>
      </c>
      <c r="H197" s="141">
        <f>'Schedule 4 Adjustments'!N196</f>
        <v>0</v>
      </c>
      <c r="I197" s="403">
        <v>0</v>
      </c>
      <c r="J197" s="47">
        <f t="shared" si="11"/>
        <v>0</v>
      </c>
      <c r="K197" s="21">
        <f t="shared" si="10"/>
        <v>0</v>
      </c>
    </row>
    <row r="198" spans="1:11" x14ac:dyDescent="0.35">
      <c r="A198" s="19">
        <v>185</v>
      </c>
      <c r="B198" s="416"/>
      <c r="D198" s="9">
        <f>SUM(D18:D197)</f>
        <v>301381</v>
      </c>
      <c r="E198" s="13"/>
      <c r="F198" s="9">
        <f>SUM(F19:F197)</f>
        <v>406327.73000000016</v>
      </c>
      <c r="H198" s="9">
        <f>SUM(H19:H197)</f>
        <v>367332</v>
      </c>
      <c r="J198" s="9">
        <f>SUM(J19:J197)</f>
        <v>199367.74</v>
      </c>
    </row>
  </sheetData>
  <sheetProtection sheet="1" objects="1" scenarios="1"/>
  <customSheetViews>
    <customSheetView guid="{17302493-42B1-4877-869E-E424A97AE78B}">
      <selection activeCell="D5" sqref="D5"/>
      <pageMargins left="0.7" right="0.7" top="0.75" bottom="0.75" header="0.3" footer="0.3"/>
      <pageSetup orientation="portrait" horizontalDpi="1200" verticalDpi="1200" r:id="rId1"/>
    </customSheetView>
    <customSheetView guid="{5C0BA3A5-859C-46C2-B685-44D9A90065E4}">
      <selection activeCell="D5" sqref="D5"/>
      <pageMargins left="0.7" right="0.7" top="0.75" bottom="0.75" header="0.3" footer="0.3"/>
      <pageSetup orientation="portrait" horizontalDpi="1200" verticalDpi="1200" r:id="rId2"/>
    </customSheetView>
  </customSheetViews>
  <mergeCells count="6">
    <mergeCell ref="K5:K7"/>
    <mergeCell ref="L5:L7"/>
    <mergeCell ref="D16:G16"/>
    <mergeCell ref="H16:K16"/>
    <mergeCell ref="J10:J12"/>
    <mergeCell ref="K10:K12"/>
  </mergeCells>
  <pageMargins left="0.7" right="0.7" top="0.75" bottom="0.75" header="0.3" footer="0.3"/>
  <pageSetup scale="30" fitToHeight="0" orientation="portrait" horizontalDpi="1200" verticalDpi="1200"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rgb="FFF8971D"/>
    <pageSetUpPr fitToPage="1"/>
  </sheetPr>
  <dimension ref="A1:M47"/>
  <sheetViews>
    <sheetView workbookViewId="0">
      <selection activeCell="C26" sqref="C26"/>
    </sheetView>
  </sheetViews>
  <sheetFormatPr defaultColWidth="9.1796875" defaultRowHeight="14.5" x14ac:dyDescent="0.35"/>
  <cols>
    <col min="2" max="2" width="16.54296875" customWidth="1"/>
    <col min="3" max="3" width="40.7265625" customWidth="1"/>
    <col min="4" max="4" width="26.7265625" style="99"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777</v>
      </c>
      <c r="G1" s="121"/>
    </row>
    <row r="2" spans="1:13" ht="21" x14ac:dyDescent="0.5">
      <c r="A2" s="2" t="s">
        <v>775</v>
      </c>
      <c r="H2" s="40"/>
      <c r="I2" s="40"/>
      <c r="J2" s="40"/>
      <c r="K2" s="40"/>
      <c r="L2" s="40"/>
      <c r="M2" s="40"/>
    </row>
    <row r="3" spans="1:13" ht="21" x14ac:dyDescent="0.5">
      <c r="A3" s="234" t="s">
        <v>906</v>
      </c>
      <c r="G3" s="122"/>
      <c r="H3" s="122"/>
      <c r="I3" s="122"/>
      <c r="J3" s="40"/>
      <c r="K3" s="40"/>
      <c r="L3" s="40"/>
      <c r="M3" s="40"/>
    </row>
    <row r="4" spans="1:13" ht="21" x14ac:dyDescent="0.5">
      <c r="A4" s="235" t="str">
        <f>Results!A4</f>
        <v>Final Adjustments</v>
      </c>
      <c r="G4" s="122"/>
      <c r="H4" s="122"/>
      <c r="I4" s="122"/>
      <c r="J4" s="40"/>
      <c r="K4" s="40"/>
      <c r="L4" s="40"/>
      <c r="M4" s="40"/>
    </row>
    <row r="5" spans="1:13" x14ac:dyDescent="0.35">
      <c r="G5" s="40"/>
      <c r="H5" s="40"/>
      <c r="I5" s="40"/>
      <c r="J5" s="40"/>
      <c r="K5" s="40"/>
      <c r="L5" s="40"/>
      <c r="M5" s="40"/>
    </row>
    <row r="6" spans="1:13" x14ac:dyDescent="0.35">
      <c r="A6" s="1" t="s">
        <v>776</v>
      </c>
      <c r="C6" s="414" t="str">
        <f>Results!$C$6</f>
        <v>WellPower</v>
      </c>
      <c r="G6" s="40"/>
      <c r="H6" s="40"/>
      <c r="I6" s="40"/>
      <c r="J6" s="40"/>
      <c r="K6" s="40"/>
      <c r="L6" s="40"/>
      <c r="M6" s="40"/>
    </row>
    <row r="7" spans="1:13" x14ac:dyDescent="0.35">
      <c r="A7" s="1" t="s">
        <v>0</v>
      </c>
      <c r="C7" s="35">
        <f>Results!$C$7</f>
        <v>45473</v>
      </c>
      <c r="G7" s="40"/>
      <c r="H7" s="40"/>
      <c r="I7" s="40"/>
      <c r="J7" s="40"/>
      <c r="K7" s="40"/>
      <c r="L7" s="40"/>
      <c r="M7" s="40"/>
    </row>
    <row r="8" spans="1:13" s="1" customFormat="1" x14ac:dyDescent="0.35">
      <c r="D8" s="99"/>
      <c r="G8" s="40"/>
      <c r="H8" s="40"/>
      <c r="I8" s="40"/>
      <c r="J8" s="40"/>
      <c r="K8" s="40"/>
      <c r="L8" s="40"/>
      <c r="M8" s="40"/>
    </row>
    <row r="9" spans="1:13" x14ac:dyDescent="0.35">
      <c r="D9" s="167">
        <v>1</v>
      </c>
      <c r="G9" s="40"/>
      <c r="H9" s="40"/>
      <c r="I9" s="40"/>
      <c r="J9" s="40"/>
      <c r="K9" s="40"/>
      <c r="L9" s="40"/>
      <c r="M9" s="40"/>
    </row>
    <row r="10" spans="1:13" s="6" customFormat="1" x14ac:dyDescent="0.35">
      <c r="A10" s="97"/>
      <c r="B10" s="544" t="s">
        <v>872</v>
      </c>
      <c r="C10" s="544"/>
      <c r="D10" s="251" t="s">
        <v>907</v>
      </c>
      <c r="G10" s="121"/>
      <c r="H10" s="121"/>
      <c r="I10" s="121"/>
      <c r="J10" s="121"/>
      <c r="K10" s="121"/>
      <c r="L10" s="121"/>
      <c r="M10" s="121"/>
    </row>
    <row r="11" spans="1:13" s="6" customFormat="1" x14ac:dyDescent="0.35">
      <c r="A11" s="97"/>
      <c r="B11" s="143"/>
      <c r="C11" s="144"/>
      <c r="D11" s="145"/>
      <c r="G11" s="121"/>
      <c r="H11" s="121"/>
      <c r="I11" s="121"/>
      <c r="J11" s="121"/>
      <c r="K11" s="121"/>
      <c r="L11" s="121"/>
      <c r="M11" s="121"/>
    </row>
    <row r="12" spans="1:13" s="22" customFormat="1" x14ac:dyDescent="0.35">
      <c r="A12" s="540" t="s">
        <v>874</v>
      </c>
      <c r="B12" s="541"/>
      <c r="C12" s="541"/>
      <c r="D12" s="542"/>
      <c r="G12" s="120"/>
      <c r="H12" s="120"/>
      <c r="I12" s="120"/>
      <c r="J12" s="120"/>
      <c r="K12" s="120"/>
      <c r="L12" s="120"/>
      <c r="M12" s="120"/>
    </row>
    <row r="13" spans="1:13" s="22" customFormat="1" x14ac:dyDescent="0.35">
      <c r="A13" s="146">
        <v>1</v>
      </c>
      <c r="B13" s="531" t="s">
        <v>875</v>
      </c>
      <c r="C13" s="533"/>
      <c r="D13" s="148">
        <f>'Schedule 5 Adjustments'!F12</f>
        <v>83094631</v>
      </c>
      <c r="G13" s="131"/>
    </row>
    <row r="14" spans="1:13" s="22" customFormat="1" x14ac:dyDescent="0.35">
      <c r="A14" s="146">
        <v>2</v>
      </c>
      <c r="B14" s="531" t="s">
        <v>876</v>
      </c>
      <c r="C14" s="533"/>
      <c r="D14" s="148">
        <f>'Schedule 5 Adjustments'!F13</f>
        <v>13066839</v>
      </c>
      <c r="G14" s="131"/>
    </row>
    <row r="15" spans="1:13" s="22" customFormat="1" x14ac:dyDescent="0.35">
      <c r="A15" s="146">
        <v>3</v>
      </c>
      <c r="B15" s="165" t="s">
        <v>877</v>
      </c>
      <c r="C15" s="159"/>
      <c r="D15" s="148">
        <f>'Schedule 5 Adjustments'!F14</f>
        <v>11161314</v>
      </c>
      <c r="G15" s="131"/>
    </row>
    <row r="16" spans="1:13" s="22" customFormat="1" x14ac:dyDescent="0.35">
      <c r="A16" s="146">
        <v>4</v>
      </c>
      <c r="B16" s="165" t="s">
        <v>878</v>
      </c>
      <c r="C16" s="159"/>
      <c r="D16" s="148">
        <f>'Schedule 5 Adjustments'!F15</f>
        <v>1452028</v>
      </c>
      <c r="G16" s="131"/>
    </row>
    <row r="17" spans="1:7" s="22" customFormat="1" x14ac:dyDescent="0.35">
      <c r="A17" s="146">
        <v>5</v>
      </c>
      <c r="B17" s="165" t="s">
        <v>879</v>
      </c>
      <c r="C17" s="159"/>
      <c r="D17" s="148">
        <f>'Schedule 5 Adjustments'!F16</f>
        <v>423209</v>
      </c>
      <c r="G17" s="131"/>
    </row>
    <row r="18" spans="1:7" s="22" customFormat="1" x14ac:dyDescent="0.35">
      <c r="A18" s="146">
        <v>6</v>
      </c>
      <c r="B18" s="165" t="s">
        <v>880</v>
      </c>
      <c r="C18" s="159"/>
      <c r="D18" s="148">
        <f>'Schedule 5 Adjustments'!F17</f>
        <v>3757005.29</v>
      </c>
      <c r="G18" s="131"/>
    </row>
    <row r="19" spans="1:7" s="22" customFormat="1" x14ac:dyDescent="0.35">
      <c r="A19" s="146">
        <v>7</v>
      </c>
      <c r="B19" s="531" t="s">
        <v>881</v>
      </c>
      <c r="C19" s="533"/>
      <c r="D19" s="148">
        <f>'Schedule 5 Adjustments'!F18</f>
        <v>0</v>
      </c>
      <c r="G19" s="131"/>
    </row>
    <row r="20" spans="1:7" s="22" customFormat="1" x14ac:dyDescent="0.35">
      <c r="A20" s="146">
        <v>8</v>
      </c>
      <c r="B20" s="537" t="s">
        <v>882</v>
      </c>
      <c r="C20" s="539"/>
      <c r="D20" s="151">
        <f>SUM(D13:D19)</f>
        <v>112955026.29000001</v>
      </c>
      <c r="G20" s="131"/>
    </row>
    <row r="21" spans="1:7" s="22" customFormat="1" x14ac:dyDescent="0.35">
      <c r="A21" s="152"/>
      <c r="B21" s="153"/>
      <c r="C21" s="153"/>
      <c r="D21" s="155"/>
      <c r="G21" s="131"/>
    </row>
    <row r="22" spans="1:7" s="22" customFormat="1" x14ac:dyDescent="0.35">
      <c r="A22" s="540" t="s">
        <v>883</v>
      </c>
      <c r="B22" s="541"/>
      <c r="C22" s="541"/>
      <c r="D22" s="542"/>
      <c r="E22" s="131"/>
      <c r="F22" s="131"/>
      <c r="G22" s="131"/>
    </row>
    <row r="23" spans="1:7" s="22" customFormat="1" x14ac:dyDescent="0.35">
      <c r="A23" s="146">
        <v>9</v>
      </c>
      <c r="B23" s="531" t="s">
        <v>884</v>
      </c>
      <c r="C23" s="533"/>
      <c r="D23" s="148">
        <f>'Schedule 5 Adjustments'!F22</f>
        <v>2035662.03</v>
      </c>
      <c r="E23" s="131"/>
      <c r="F23" s="131"/>
      <c r="G23" s="131"/>
    </row>
    <row r="24" spans="1:7" s="22" customFormat="1" x14ac:dyDescent="0.35">
      <c r="A24" s="146">
        <v>10</v>
      </c>
      <c r="B24" s="165" t="s">
        <v>885</v>
      </c>
      <c r="C24" s="159"/>
      <c r="D24" s="148">
        <f>'Schedule 5 Adjustments'!F23</f>
        <v>16108567</v>
      </c>
      <c r="E24" s="131"/>
      <c r="F24" s="131"/>
      <c r="G24" s="131"/>
    </row>
    <row r="25" spans="1:7" s="22" customFormat="1" x14ac:dyDescent="0.35">
      <c r="A25" s="146">
        <v>11</v>
      </c>
      <c r="B25" s="165" t="s">
        <v>886</v>
      </c>
      <c r="C25" s="159"/>
      <c r="D25" s="148">
        <f>'Schedule 5 Adjustments'!F24</f>
        <v>1924450.3299999998</v>
      </c>
      <c r="E25" s="131"/>
      <c r="F25" s="131"/>
      <c r="G25" s="131"/>
    </row>
    <row r="26" spans="1:7" s="22" customFormat="1" x14ac:dyDescent="0.35">
      <c r="A26" s="146">
        <v>12</v>
      </c>
      <c r="B26" s="165" t="s">
        <v>887</v>
      </c>
      <c r="C26" s="159"/>
      <c r="D26" s="148">
        <f>'Schedule 5 Adjustments'!F25</f>
        <v>7758369.8900000006</v>
      </c>
      <c r="E26" s="131"/>
      <c r="F26" s="131"/>
      <c r="G26" s="131"/>
    </row>
    <row r="27" spans="1:7" s="22" customFormat="1" x14ac:dyDescent="0.35">
      <c r="A27" s="146">
        <v>13</v>
      </c>
      <c r="B27" s="165" t="s">
        <v>888</v>
      </c>
      <c r="C27" s="159"/>
      <c r="D27" s="148">
        <f>'Schedule 5 Adjustments'!F26</f>
        <v>2769701.9000000004</v>
      </c>
      <c r="E27" s="131"/>
      <c r="F27" s="131"/>
      <c r="G27" s="131"/>
    </row>
    <row r="28" spans="1:7" s="22" customFormat="1" x14ac:dyDescent="0.35">
      <c r="A28" s="146">
        <v>14</v>
      </c>
      <c r="B28" s="537" t="s">
        <v>889</v>
      </c>
      <c r="C28" s="539"/>
      <c r="D28" s="151">
        <f>SUM(D23:D27)</f>
        <v>30596751.149999999</v>
      </c>
      <c r="E28" s="131"/>
      <c r="F28" s="131"/>
      <c r="G28" s="131"/>
    </row>
    <row r="29" spans="1:7" s="22" customFormat="1" x14ac:dyDescent="0.35">
      <c r="A29" s="152"/>
      <c r="B29" s="153"/>
      <c r="C29" s="153"/>
      <c r="D29" s="155"/>
      <c r="F29" s="131"/>
      <c r="G29" s="131"/>
    </row>
    <row r="30" spans="1:7" s="22" customFormat="1" x14ac:dyDescent="0.35">
      <c r="A30" s="540" t="s">
        <v>890</v>
      </c>
      <c r="B30" s="541"/>
      <c r="C30" s="541"/>
      <c r="D30" s="542"/>
      <c r="F30" s="131"/>
      <c r="G30" s="131"/>
    </row>
    <row r="31" spans="1:7" s="22" customFormat="1" x14ac:dyDescent="0.35">
      <c r="A31" s="146">
        <v>15</v>
      </c>
      <c r="B31" s="531" t="s">
        <v>891</v>
      </c>
      <c r="C31" s="533"/>
      <c r="D31" s="148">
        <f>'Schedule 5 Adjustments'!F30</f>
        <v>366006</v>
      </c>
      <c r="G31" s="131"/>
    </row>
    <row r="32" spans="1:7" s="22" customFormat="1" x14ac:dyDescent="0.35">
      <c r="A32" s="146">
        <v>16</v>
      </c>
      <c r="B32" s="165" t="s">
        <v>892</v>
      </c>
      <c r="C32" s="159"/>
      <c r="D32" s="148">
        <f>'Schedule 5 Adjustments'!F31</f>
        <v>0</v>
      </c>
      <c r="G32" s="131"/>
    </row>
    <row r="33" spans="1:7" s="22" customFormat="1" x14ac:dyDescent="0.35">
      <c r="A33" s="146">
        <v>17</v>
      </c>
      <c r="B33" s="165" t="s">
        <v>893</v>
      </c>
      <c r="C33" s="159"/>
      <c r="D33" s="148">
        <f>'Schedule 5 Adjustments'!F32</f>
        <v>0</v>
      </c>
      <c r="G33" s="131"/>
    </row>
    <row r="34" spans="1:7" s="22" customFormat="1" x14ac:dyDescent="0.35">
      <c r="A34" s="146">
        <v>18</v>
      </c>
      <c r="B34" s="165" t="s">
        <v>894</v>
      </c>
      <c r="C34" s="159"/>
      <c r="D34" s="148">
        <f>'Schedule 5 Adjustments'!F33</f>
        <v>0</v>
      </c>
      <c r="G34" s="131"/>
    </row>
    <row r="35" spans="1:7" s="22" customFormat="1" x14ac:dyDescent="0.35">
      <c r="A35" s="146">
        <v>19</v>
      </c>
      <c r="B35" s="165" t="s">
        <v>895</v>
      </c>
      <c r="C35" s="159"/>
      <c r="D35" s="148">
        <f>'Schedule 5 Adjustments'!F34</f>
        <v>0</v>
      </c>
      <c r="G35" s="131"/>
    </row>
    <row r="36" spans="1:7" s="22" customFormat="1" x14ac:dyDescent="0.35">
      <c r="A36" s="146">
        <v>20</v>
      </c>
      <c r="B36" s="537" t="s">
        <v>896</v>
      </c>
      <c r="C36" s="539"/>
      <c r="D36" s="151">
        <f>SUM(D31:D35)</f>
        <v>366006</v>
      </c>
      <c r="G36" s="131"/>
    </row>
    <row r="37" spans="1:7" s="22" customFormat="1" x14ac:dyDescent="0.35">
      <c r="A37" s="152"/>
      <c r="B37" s="153"/>
      <c r="C37" s="153"/>
      <c r="D37" s="155"/>
      <c r="G37" s="131"/>
    </row>
    <row r="38" spans="1:7" s="22" customFormat="1" x14ac:dyDescent="0.35">
      <c r="A38" s="540" t="s">
        <v>897</v>
      </c>
      <c r="B38" s="541"/>
      <c r="C38" s="541"/>
      <c r="D38" s="542"/>
      <c r="G38" s="131"/>
    </row>
    <row r="39" spans="1:7" s="22" customFormat="1" x14ac:dyDescent="0.35">
      <c r="A39" s="146">
        <v>21</v>
      </c>
      <c r="B39" s="531" t="s">
        <v>304</v>
      </c>
      <c r="C39" s="532"/>
      <c r="D39" s="148">
        <f>'Schedule 5 Adjustments'!F38</f>
        <v>2468841</v>
      </c>
      <c r="G39" s="131"/>
    </row>
    <row r="40" spans="1:7" s="22" customFormat="1" x14ac:dyDescent="0.35">
      <c r="A40" s="146">
        <v>22</v>
      </c>
      <c r="B40" s="531" t="s">
        <v>898</v>
      </c>
      <c r="C40" s="532"/>
      <c r="D40" s="148">
        <f>'Schedule 5 Adjustments'!F39</f>
        <v>0</v>
      </c>
      <c r="G40" s="131"/>
    </row>
    <row r="41" spans="1:7" s="22" customFormat="1" x14ac:dyDescent="0.35">
      <c r="A41" s="146">
        <v>23</v>
      </c>
      <c r="B41" s="531" t="s">
        <v>899</v>
      </c>
      <c r="C41" s="532"/>
      <c r="D41" s="148">
        <f>'Schedule 5 Adjustments'!F40</f>
        <v>2764595</v>
      </c>
      <c r="G41" s="131"/>
    </row>
    <row r="42" spans="1:7" s="22" customFormat="1" x14ac:dyDescent="0.35">
      <c r="A42" s="146">
        <v>24</v>
      </c>
      <c r="B42" s="537" t="s">
        <v>900</v>
      </c>
      <c r="C42" s="538"/>
      <c r="D42" s="151">
        <f>SUM(D39:D41)</f>
        <v>5233436</v>
      </c>
      <c r="G42" s="131"/>
    </row>
    <row r="43" spans="1:7" s="22" customFormat="1" x14ac:dyDescent="0.35">
      <c r="A43" s="152"/>
      <c r="B43" s="153"/>
      <c r="C43" s="153"/>
      <c r="D43" s="155"/>
      <c r="G43" s="131"/>
    </row>
    <row r="44" spans="1:7" s="63" customFormat="1" ht="15.5" x14ac:dyDescent="0.35">
      <c r="A44" s="146">
        <v>25</v>
      </c>
      <c r="B44" s="534" t="s">
        <v>901</v>
      </c>
      <c r="C44" s="536"/>
      <c r="D44" s="161">
        <f>SUM(D20,D28,D36,D42)</f>
        <v>149151219.44</v>
      </c>
      <c r="G44" s="132"/>
    </row>
    <row r="45" spans="1:7" s="22" customFormat="1" x14ac:dyDescent="0.35">
      <c r="A45" s="162"/>
      <c r="B45" s="162"/>
      <c r="C45" s="162"/>
      <c r="D45" s="162"/>
      <c r="G45" s="131"/>
    </row>
    <row r="46" spans="1:7" s="22" customFormat="1" x14ac:dyDescent="0.35">
      <c r="A46" s="146">
        <v>26</v>
      </c>
      <c r="B46" s="530" t="s">
        <v>902</v>
      </c>
      <c r="C46" s="530"/>
      <c r="D46" s="148">
        <f>'Schedule 5 Adjustments'!F45</f>
        <v>149151219</v>
      </c>
      <c r="G46" s="131"/>
    </row>
    <row r="47" spans="1:7" s="22" customFormat="1" ht="15.5" x14ac:dyDescent="0.35">
      <c r="A47" s="146">
        <v>27</v>
      </c>
      <c r="B47" s="530" t="s">
        <v>10</v>
      </c>
      <c r="C47" s="530"/>
      <c r="D47" s="161">
        <f>D44-D46</f>
        <v>0.43999999761581421</v>
      </c>
      <c r="E47" s="33" t="str">
        <f>IF(ABS(D47)&gt;1,"Error - This variance should be 0.","")</f>
        <v/>
      </c>
      <c r="G47" s="131"/>
    </row>
  </sheetData>
  <sheetProtection sheet="1" objects="1" scenarios="1"/>
  <customSheetViews>
    <customSheetView guid="{17302493-42B1-4877-869E-E424A97AE78B}">
      <selection activeCell="F12" sqref="F12"/>
      <pageMargins left="0.7" right="0.7" top="0.75" bottom="0.75" header="0.3" footer="0.3"/>
    </customSheetView>
    <customSheetView guid="{5C0BA3A5-859C-46C2-B685-44D9A90065E4}">
      <selection activeCell="F12" sqref="F12"/>
      <pageMargins left="0.7" right="0.7" top="0.75" bottom="0.75" header="0.3" footer="0.3"/>
    </customSheetView>
  </customSheetViews>
  <mergeCells count="20">
    <mergeCell ref="B36:C36"/>
    <mergeCell ref="B10:C10"/>
    <mergeCell ref="A12:D12"/>
    <mergeCell ref="B13:C13"/>
    <mergeCell ref="B14:C14"/>
    <mergeCell ref="B19:C19"/>
    <mergeCell ref="B20:C20"/>
    <mergeCell ref="A22:D22"/>
    <mergeCell ref="B23:C23"/>
    <mergeCell ref="B28:C28"/>
    <mergeCell ref="A30:D30"/>
    <mergeCell ref="B31:C31"/>
    <mergeCell ref="B46:C46"/>
    <mergeCell ref="B47:C47"/>
    <mergeCell ref="A38:D38"/>
    <mergeCell ref="B39:C39"/>
    <mergeCell ref="B40:C40"/>
    <mergeCell ref="B41:C41"/>
    <mergeCell ref="B42:C42"/>
    <mergeCell ref="B44:C44"/>
  </mergeCells>
  <pageMargins left="0.7" right="0.7" top="0.75" bottom="0.75" header="0.3" footer="0.3"/>
  <pageSetup scale="95" fitToHeight="0"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CC5CA"/>
  </sheetPr>
  <dimension ref="A1:S103"/>
  <sheetViews>
    <sheetView topLeftCell="D67" workbookViewId="0">
      <selection activeCell="I99" sqref="I99"/>
    </sheetView>
  </sheetViews>
  <sheetFormatPr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777</v>
      </c>
    </row>
    <row r="2" spans="1:19" ht="21" x14ac:dyDescent="0.5">
      <c r="A2" s="2" t="s">
        <v>775</v>
      </c>
      <c r="N2" s="40"/>
      <c r="O2" s="40"/>
      <c r="P2" s="40"/>
      <c r="Q2" s="40"/>
      <c r="R2" s="40"/>
      <c r="S2" s="40"/>
    </row>
    <row r="3" spans="1:19" ht="25" customHeight="1" x14ac:dyDescent="0.5">
      <c r="A3" s="5" t="s">
        <v>761</v>
      </c>
      <c r="M3" s="122"/>
      <c r="N3" s="122"/>
      <c r="O3" s="122"/>
      <c r="P3" s="40"/>
      <c r="Q3" s="40"/>
      <c r="R3" s="40"/>
      <c r="S3" s="40"/>
    </row>
    <row r="4" spans="1:19" x14ac:dyDescent="0.35">
      <c r="F4" s="36"/>
      <c r="M4" s="40"/>
      <c r="N4" s="40"/>
      <c r="O4" s="40"/>
      <c r="P4" s="40"/>
      <c r="Q4" s="40"/>
      <c r="R4" s="40"/>
      <c r="S4" s="40"/>
    </row>
    <row r="5" spans="1:19" x14ac:dyDescent="0.35">
      <c r="A5" s="1" t="s">
        <v>776</v>
      </c>
      <c r="C5" s="414" t="s">
        <v>926</v>
      </c>
      <c r="F5" s="48"/>
      <c r="M5" s="40"/>
      <c r="N5" s="40"/>
      <c r="O5" s="40"/>
      <c r="P5" s="40"/>
      <c r="Q5" s="40"/>
      <c r="R5" s="40"/>
      <c r="S5" s="40"/>
    </row>
    <row r="6" spans="1:19" x14ac:dyDescent="0.35">
      <c r="A6" s="1" t="s">
        <v>0</v>
      </c>
      <c r="C6" s="35">
        <v>45473</v>
      </c>
      <c r="F6" s="40"/>
      <c r="M6" s="40"/>
      <c r="N6" s="40"/>
      <c r="O6" s="40"/>
      <c r="P6" s="40"/>
      <c r="Q6" s="40"/>
      <c r="R6" s="40"/>
      <c r="S6" s="40"/>
    </row>
    <row r="7" spans="1:19" s="1" customFormat="1" x14ac:dyDescent="0.35">
      <c r="E7"/>
      <c r="F7"/>
      <c r="G7" s="48"/>
      <c r="H7"/>
      <c r="M7" s="40"/>
      <c r="N7" s="40"/>
      <c r="O7" s="40"/>
      <c r="P7" s="40"/>
      <c r="Q7" s="40"/>
      <c r="R7" s="40"/>
      <c r="S7" s="40"/>
    </row>
    <row r="8" spans="1:19" x14ac:dyDescent="0.35">
      <c r="D8" s="23">
        <v>1</v>
      </c>
      <c r="E8" s="23">
        <v>2</v>
      </c>
      <c r="F8" s="23">
        <v>3</v>
      </c>
      <c r="G8" s="23">
        <v>4</v>
      </c>
      <c r="H8" s="23">
        <v>5</v>
      </c>
      <c r="I8" s="23">
        <v>6</v>
      </c>
      <c r="J8" s="23">
        <v>7</v>
      </c>
      <c r="M8" s="40"/>
      <c r="N8" s="40"/>
      <c r="O8" s="40"/>
      <c r="P8" s="40"/>
      <c r="Q8" s="40"/>
      <c r="R8" s="40"/>
      <c r="S8" s="40"/>
    </row>
    <row r="9" spans="1:19" s="6" customFormat="1" ht="101.5" x14ac:dyDescent="0.35">
      <c r="A9" s="97"/>
      <c r="B9" s="544" t="s">
        <v>1</v>
      </c>
      <c r="C9" s="544"/>
      <c r="D9" s="142" t="s">
        <v>7</v>
      </c>
      <c r="E9" s="142" t="s">
        <v>6</v>
      </c>
      <c r="F9" s="142" t="s">
        <v>485</v>
      </c>
      <c r="G9" s="142" t="s">
        <v>779</v>
      </c>
      <c r="H9" s="142" t="s">
        <v>486</v>
      </c>
      <c r="I9" s="142" t="s">
        <v>9</v>
      </c>
      <c r="J9" s="142" t="s">
        <v>8</v>
      </c>
      <c r="M9" s="121"/>
      <c r="N9" s="121"/>
      <c r="O9" s="121"/>
      <c r="P9" s="121"/>
      <c r="Q9" s="121"/>
      <c r="R9" s="121"/>
      <c r="S9" s="121"/>
    </row>
    <row r="10" spans="1:19" s="6" customFormat="1" x14ac:dyDescent="0.35">
      <c r="A10" s="97"/>
      <c r="B10" s="143"/>
      <c r="C10" s="144"/>
      <c r="D10" s="145"/>
      <c r="E10" s="145"/>
      <c r="F10" s="145"/>
      <c r="G10" s="145"/>
      <c r="H10" s="145"/>
      <c r="I10" s="145"/>
      <c r="J10" s="145"/>
      <c r="M10" s="121"/>
      <c r="N10" s="121"/>
      <c r="O10" s="121"/>
      <c r="P10" s="121"/>
      <c r="Q10" s="121"/>
      <c r="R10" s="121"/>
      <c r="S10" s="121"/>
    </row>
    <row r="11" spans="1:19" s="22" customFormat="1" x14ac:dyDescent="0.35">
      <c r="A11" s="540" t="s">
        <v>280</v>
      </c>
      <c r="B11" s="541"/>
      <c r="C11" s="541"/>
      <c r="D11" s="541"/>
      <c r="E11" s="541"/>
      <c r="F11" s="541"/>
      <c r="G11" s="541"/>
      <c r="H11" s="541"/>
      <c r="I11" s="541"/>
      <c r="J11" s="542"/>
      <c r="M11" s="120"/>
      <c r="N11" s="120"/>
      <c r="O11" s="120"/>
      <c r="P11" s="120"/>
      <c r="Q11" s="120"/>
      <c r="R11" s="120"/>
      <c r="S11" s="120"/>
    </row>
    <row r="12" spans="1:19" s="22" customFormat="1" x14ac:dyDescent="0.35">
      <c r="A12" s="146">
        <v>1</v>
      </c>
      <c r="B12" s="531" t="s">
        <v>458</v>
      </c>
      <c r="C12" s="533"/>
      <c r="D12" s="147">
        <v>11.637499999999999</v>
      </c>
      <c r="E12" s="148">
        <v>0</v>
      </c>
      <c r="F12" s="148">
        <v>3429119.4541393481</v>
      </c>
      <c r="G12" s="148">
        <v>23677.013713466651</v>
      </c>
      <c r="H12" s="148">
        <v>31623.811143704348</v>
      </c>
      <c r="I12" s="148">
        <v>0</v>
      </c>
      <c r="J12" s="149">
        <f>SUM(E12:I12)</f>
        <v>3484420.2789965188</v>
      </c>
      <c r="M12" s="131"/>
    </row>
    <row r="13" spans="1:19" s="22" customFormat="1" x14ac:dyDescent="0.35">
      <c r="A13" s="146">
        <v>2</v>
      </c>
      <c r="B13" s="531" t="s">
        <v>291</v>
      </c>
      <c r="C13" s="533"/>
      <c r="D13" s="147">
        <v>250.90831250000008</v>
      </c>
      <c r="E13" s="148">
        <v>143685.39362843984</v>
      </c>
      <c r="F13" s="148">
        <v>20328637.951565336</v>
      </c>
      <c r="G13" s="148">
        <v>2846999.0507566989</v>
      </c>
      <c r="H13" s="148">
        <v>2305809.7371633584</v>
      </c>
      <c r="I13" s="148">
        <v>0</v>
      </c>
      <c r="J13" s="149">
        <f>SUM(E13:I13)</f>
        <v>25625132.133113835</v>
      </c>
      <c r="M13" s="131"/>
    </row>
    <row r="14" spans="1:19" s="22" customFormat="1" x14ac:dyDescent="0.35">
      <c r="A14" s="146">
        <v>3</v>
      </c>
      <c r="B14" s="531" t="s">
        <v>301</v>
      </c>
      <c r="C14" s="533"/>
      <c r="D14" s="147">
        <v>516.80743749999999</v>
      </c>
      <c r="E14" s="148">
        <v>1207455.0468203807</v>
      </c>
      <c r="F14" s="148">
        <v>21200477.157702178</v>
      </c>
      <c r="G14" s="148">
        <v>7532185.9308219142</v>
      </c>
      <c r="H14" s="148">
        <v>2154362.967304145</v>
      </c>
      <c r="I14" s="148">
        <v>0</v>
      </c>
      <c r="J14" s="149">
        <f>SUM(E14:I14)</f>
        <v>32094481.102648616</v>
      </c>
      <c r="M14" s="131"/>
    </row>
    <row r="15" spans="1:19" s="22" customFormat="1" x14ac:dyDescent="0.35">
      <c r="A15" s="146">
        <v>4</v>
      </c>
      <c r="B15" s="537" t="s">
        <v>290</v>
      </c>
      <c r="C15" s="539"/>
      <c r="D15" s="150">
        <f t="shared" ref="D15:I15" si="0">SUM(D12:D14)</f>
        <v>779.35325000000012</v>
      </c>
      <c r="E15" s="151">
        <f t="shared" si="0"/>
        <v>1351140.4404488206</v>
      </c>
      <c r="F15" s="151">
        <f t="shared" si="0"/>
        <v>44958234.563406862</v>
      </c>
      <c r="G15" s="151">
        <f t="shared" si="0"/>
        <v>10402861.995292079</v>
      </c>
      <c r="H15" s="151">
        <f t="shared" si="0"/>
        <v>4491796.5156112071</v>
      </c>
      <c r="I15" s="151">
        <f t="shared" si="0"/>
        <v>0</v>
      </c>
      <c r="J15" s="151">
        <f>SUM(E15:I15)</f>
        <v>61204033.514758967</v>
      </c>
      <c r="M15" s="131"/>
    </row>
    <row r="16" spans="1:19" s="22" customFormat="1" x14ac:dyDescent="0.35">
      <c r="A16" s="152"/>
      <c r="B16" s="153"/>
      <c r="C16" s="153"/>
      <c r="D16" s="154"/>
      <c r="E16" s="155"/>
      <c r="F16" s="155"/>
      <c r="G16" s="155"/>
      <c r="H16" s="155"/>
      <c r="I16" s="155"/>
      <c r="J16" s="155"/>
      <c r="M16" s="131"/>
    </row>
    <row r="17" spans="1:13" s="22" customFormat="1" x14ac:dyDescent="0.35">
      <c r="A17" s="540" t="s">
        <v>281</v>
      </c>
      <c r="B17" s="541"/>
      <c r="C17" s="541"/>
      <c r="D17" s="541"/>
      <c r="E17" s="541"/>
      <c r="F17" s="541"/>
      <c r="G17" s="541"/>
      <c r="H17" s="541"/>
      <c r="I17" s="541"/>
      <c r="J17" s="542"/>
      <c r="M17" s="131"/>
    </row>
    <row r="18" spans="1:13" s="22" customFormat="1" x14ac:dyDescent="0.35">
      <c r="A18" s="146">
        <v>5</v>
      </c>
      <c r="B18" s="531" t="s">
        <v>221</v>
      </c>
      <c r="C18" s="533"/>
      <c r="D18" s="147">
        <v>10</v>
      </c>
      <c r="E18" s="148">
        <v>1707777.5136831233</v>
      </c>
      <c r="F18" s="148">
        <v>1024712.4278722252</v>
      </c>
      <c r="G18" s="148">
        <v>76880.741342946538</v>
      </c>
      <c r="H18" s="148">
        <v>76722.607160895772</v>
      </c>
      <c r="I18" s="148">
        <v>10792.380722232876</v>
      </c>
      <c r="J18" s="149">
        <f>SUM(E18:I18)</f>
        <v>2896885.6707814233</v>
      </c>
      <c r="M18" s="131"/>
    </row>
    <row r="19" spans="1:13" s="22" customFormat="1" x14ac:dyDescent="0.35">
      <c r="A19" s="146">
        <v>6</v>
      </c>
      <c r="B19" s="531" t="s">
        <v>293</v>
      </c>
      <c r="C19" s="533"/>
      <c r="D19" s="147">
        <v>168.93912499999999</v>
      </c>
      <c r="E19" s="148">
        <v>11900787.272785835</v>
      </c>
      <c r="F19" s="148">
        <v>2226104.3421358541</v>
      </c>
      <c r="G19" s="148">
        <v>226184.72725745349</v>
      </c>
      <c r="H19" s="148">
        <v>269192.77429397346</v>
      </c>
      <c r="I19" s="148">
        <v>373366.6117822199</v>
      </c>
      <c r="J19" s="149">
        <f>SUM(E19:I19)</f>
        <v>14995635.728255335</v>
      </c>
      <c r="M19" s="131"/>
    </row>
    <row r="20" spans="1:13" s="22" customFormat="1" x14ac:dyDescent="0.35">
      <c r="A20" s="146">
        <v>7</v>
      </c>
      <c r="B20" s="537" t="s">
        <v>220</v>
      </c>
      <c r="C20" s="539"/>
      <c r="D20" s="150">
        <f t="shared" ref="D20:I20" si="1">SUM(D18:D19)</f>
        <v>178.93912499999999</v>
      </c>
      <c r="E20" s="151">
        <f t="shared" si="1"/>
        <v>13608564.786468958</v>
      </c>
      <c r="F20" s="151">
        <f t="shared" si="1"/>
        <v>3250816.7700080792</v>
      </c>
      <c r="G20" s="151">
        <f t="shared" si="1"/>
        <v>303065.46860040003</v>
      </c>
      <c r="H20" s="151">
        <f t="shared" si="1"/>
        <v>345915.38145486923</v>
      </c>
      <c r="I20" s="151">
        <f t="shared" si="1"/>
        <v>384158.99250445276</v>
      </c>
      <c r="J20" s="151">
        <f>SUM(E20:I20)</f>
        <v>17892521.399036758</v>
      </c>
      <c r="M20" s="131"/>
    </row>
    <row r="21" spans="1:13" s="22" customFormat="1" x14ac:dyDescent="0.35">
      <c r="A21" s="152"/>
      <c r="B21" s="153"/>
      <c r="C21" s="153"/>
      <c r="D21" s="154"/>
      <c r="E21" s="155"/>
      <c r="F21" s="155"/>
      <c r="G21" s="155"/>
      <c r="H21" s="155"/>
      <c r="I21" s="155"/>
      <c r="J21" s="155"/>
      <c r="M21" s="131"/>
    </row>
    <row r="22" spans="1:13" s="22" customFormat="1" x14ac:dyDescent="0.35">
      <c r="A22" s="540" t="s">
        <v>275</v>
      </c>
      <c r="B22" s="541"/>
      <c r="C22" s="541"/>
      <c r="D22" s="541"/>
      <c r="E22" s="541"/>
      <c r="F22" s="541"/>
      <c r="G22" s="541"/>
      <c r="H22" s="541"/>
      <c r="I22" s="541"/>
      <c r="J22" s="542"/>
      <c r="M22" s="131"/>
    </row>
    <row r="23" spans="1:13" s="22" customFormat="1" x14ac:dyDescent="0.35">
      <c r="A23" s="146">
        <v>8</v>
      </c>
      <c r="B23" s="531" t="s">
        <v>276</v>
      </c>
      <c r="C23" s="532"/>
      <c r="D23" s="533"/>
      <c r="E23" s="156">
        <f>'As-Filed Schedule 1A'!H27*-1</f>
        <v>-463874.84874999989</v>
      </c>
      <c r="F23" s="156">
        <f>'As-Filed Schedule 1A'!H28*-1</f>
        <v>0</v>
      </c>
      <c r="G23" s="156">
        <f>-'As-Filed Schedule 1A'!H29</f>
        <v>0</v>
      </c>
      <c r="H23" s="156">
        <f>-'As-Filed Schedule 1A'!H30</f>
        <v>0</v>
      </c>
      <c r="I23" s="156">
        <f>-SUM(E23:H23)</f>
        <v>463874.84874999989</v>
      </c>
      <c r="J23" s="149">
        <f>SUM(E23:I23)</f>
        <v>0</v>
      </c>
      <c r="M23" s="131"/>
    </row>
    <row r="24" spans="1:13" s="22" customFormat="1" x14ac:dyDescent="0.35">
      <c r="A24" s="146">
        <v>9</v>
      </c>
      <c r="B24" s="537" t="s">
        <v>222</v>
      </c>
      <c r="C24" s="538"/>
      <c r="D24" s="539"/>
      <c r="E24" s="151">
        <f>SUM(E23:E23)</f>
        <v>-463874.84874999989</v>
      </c>
      <c r="F24" s="151">
        <f>SUM(F23:F23)</f>
        <v>0</v>
      </c>
      <c r="G24" s="151">
        <f>SUM(G23:G23)</f>
        <v>0</v>
      </c>
      <c r="H24" s="151">
        <f>SUM(H23:H23)</f>
        <v>0</v>
      </c>
      <c r="I24" s="151">
        <f>SUM(I23:I23)</f>
        <v>463874.84874999989</v>
      </c>
      <c r="J24" s="151">
        <f>SUM(E24:I24)</f>
        <v>0</v>
      </c>
      <c r="M24" s="131"/>
    </row>
    <row r="25" spans="1:13" s="22" customFormat="1" x14ac:dyDescent="0.35">
      <c r="A25" s="152"/>
      <c r="B25" s="153"/>
      <c r="C25" s="153"/>
      <c r="D25" s="154"/>
      <c r="E25" s="155"/>
      <c r="F25" s="155"/>
      <c r="G25" s="155"/>
      <c r="H25" s="155"/>
      <c r="I25" s="155"/>
      <c r="J25" s="155"/>
      <c r="M25" s="131"/>
    </row>
    <row r="26" spans="1:13" s="22" customFormat="1" x14ac:dyDescent="0.35">
      <c r="A26" s="540" t="s">
        <v>235</v>
      </c>
      <c r="B26" s="541"/>
      <c r="C26" s="541"/>
      <c r="D26" s="541"/>
      <c r="E26" s="541"/>
      <c r="F26" s="541"/>
      <c r="G26" s="541"/>
      <c r="H26" s="541"/>
      <c r="I26" s="541"/>
      <c r="J26" s="542"/>
      <c r="M26" s="131"/>
    </row>
    <row r="27" spans="1:13" s="22" customFormat="1" x14ac:dyDescent="0.35">
      <c r="A27" s="146">
        <v>10</v>
      </c>
      <c r="B27" s="531" t="s">
        <v>224</v>
      </c>
      <c r="C27" s="532"/>
      <c r="D27" s="533"/>
      <c r="E27" s="148">
        <v>710837.75250000006</v>
      </c>
      <c r="F27" s="148">
        <v>85677.701537178247</v>
      </c>
      <c r="G27" s="148">
        <v>36792.01769589293</v>
      </c>
      <c r="H27" s="148">
        <v>7097.590766928819</v>
      </c>
      <c r="I27" s="148">
        <v>53.777500000000003</v>
      </c>
      <c r="J27" s="149">
        <f>SUM(E27:I27)</f>
        <v>840458.84000000008</v>
      </c>
      <c r="M27" s="131"/>
    </row>
    <row r="28" spans="1:13" s="22" customFormat="1" x14ac:dyDescent="0.35">
      <c r="A28" s="157">
        <v>11</v>
      </c>
      <c r="B28" s="165" t="s">
        <v>223</v>
      </c>
      <c r="C28" s="158"/>
      <c r="D28" s="159"/>
      <c r="E28" s="148">
        <v>4178225.1323319646</v>
      </c>
      <c r="F28" s="148">
        <v>12468734.484088419</v>
      </c>
      <c r="G28" s="148">
        <v>2800958.6727147489</v>
      </c>
      <c r="H28" s="148">
        <v>1256980.483364867</v>
      </c>
      <c r="I28" s="148">
        <v>86154.387500000012</v>
      </c>
      <c r="J28" s="149">
        <f>SUM(E28:I28)</f>
        <v>20791053.16</v>
      </c>
      <c r="K28" s="120"/>
      <c r="M28" s="131"/>
    </row>
    <row r="29" spans="1:13" s="22" customFormat="1" x14ac:dyDescent="0.35">
      <c r="A29" s="146">
        <v>12</v>
      </c>
      <c r="B29" s="531" t="s">
        <v>300</v>
      </c>
      <c r="C29" s="532"/>
      <c r="D29" s="533"/>
      <c r="E29" s="148">
        <v>121847.84</v>
      </c>
      <c r="F29" s="148"/>
      <c r="G29" s="148"/>
      <c r="H29" s="148"/>
      <c r="I29" s="148"/>
      <c r="J29" s="149">
        <f t="shared" ref="J29" si="2">SUM(E29:I29)</f>
        <v>121847.84</v>
      </c>
      <c r="M29" s="131"/>
    </row>
    <row r="30" spans="1:13" s="22" customFormat="1" x14ac:dyDescent="0.35">
      <c r="A30" s="146">
        <v>13</v>
      </c>
      <c r="B30" s="537" t="s">
        <v>225</v>
      </c>
      <c r="C30" s="538"/>
      <c r="D30" s="539"/>
      <c r="E30" s="151">
        <f>SUM(E27:E29)</f>
        <v>5010910.7248319648</v>
      </c>
      <c r="F30" s="151">
        <f>SUM(F27:F29)</f>
        <v>12554412.185625598</v>
      </c>
      <c r="G30" s="151">
        <f>SUM(G27:G29)</f>
        <v>2837750.690410642</v>
      </c>
      <c r="H30" s="151">
        <f>SUM(H27:H29)</f>
        <v>1264078.0741317959</v>
      </c>
      <c r="I30" s="151">
        <f>SUM(I27:I29)</f>
        <v>86208.165000000008</v>
      </c>
      <c r="J30" s="151">
        <f>SUM(E30:I30)</f>
        <v>21753359.839999996</v>
      </c>
      <c r="M30" s="131"/>
    </row>
    <row r="31" spans="1:13" s="22" customFormat="1" x14ac:dyDescent="0.35">
      <c r="A31" s="152"/>
      <c r="B31" s="153"/>
      <c r="C31" s="153"/>
      <c r="D31" s="154"/>
      <c r="E31" s="155"/>
      <c r="F31" s="155"/>
      <c r="G31" s="155"/>
      <c r="H31" s="155"/>
      <c r="I31" s="155"/>
      <c r="J31" s="155"/>
      <c r="M31" s="131"/>
    </row>
    <row r="32" spans="1:13" s="22" customFormat="1" x14ac:dyDescent="0.35">
      <c r="A32" s="146">
        <v>14</v>
      </c>
      <c r="B32" s="537" t="s">
        <v>228</v>
      </c>
      <c r="C32" s="538"/>
      <c r="D32" s="539"/>
      <c r="E32" s="151">
        <f>E30+E24+E20+E15</f>
        <v>19506741.102999743</v>
      </c>
      <c r="F32" s="151">
        <f>F30+F24+F20+F15</f>
        <v>60763463.51904054</v>
      </c>
      <c r="G32" s="151">
        <f>G30+G24+G20+G15</f>
        <v>13543678.15430312</v>
      </c>
      <c r="H32" s="151">
        <f>H30+H24+H20+H15</f>
        <v>6101789.9711978724</v>
      </c>
      <c r="I32" s="151">
        <f>I30+I24+I20+I15</f>
        <v>934242.00625445275</v>
      </c>
      <c r="J32" s="151">
        <f t="shared" ref="J32" si="3">SUM(E32:I32)</f>
        <v>100849914.75379573</v>
      </c>
      <c r="M32" s="131"/>
    </row>
    <row r="33" spans="1:13" s="22" customFormat="1" x14ac:dyDescent="0.35">
      <c r="A33" s="152"/>
      <c r="B33" s="153"/>
      <c r="C33" s="153"/>
      <c r="D33" s="154"/>
      <c r="E33" s="155"/>
      <c r="F33" s="155"/>
      <c r="G33" s="155"/>
      <c r="H33" s="155"/>
      <c r="I33" s="155"/>
      <c r="J33" s="155"/>
      <c r="M33" s="131"/>
    </row>
    <row r="34" spans="1:13" s="22" customFormat="1" x14ac:dyDescent="0.35">
      <c r="A34" s="540" t="s">
        <v>234</v>
      </c>
      <c r="B34" s="541"/>
      <c r="C34" s="541"/>
      <c r="D34" s="541"/>
      <c r="E34" s="541"/>
      <c r="F34" s="541"/>
      <c r="G34" s="541"/>
      <c r="H34" s="541"/>
      <c r="I34" s="541"/>
      <c r="J34" s="542"/>
      <c r="M34" s="131"/>
    </row>
    <row r="35" spans="1:13" s="22" customFormat="1" x14ac:dyDescent="0.35">
      <c r="A35" s="146">
        <v>15</v>
      </c>
      <c r="B35" s="531" t="s">
        <v>292</v>
      </c>
      <c r="C35" s="532"/>
      <c r="D35" s="533"/>
      <c r="E35" s="148">
        <v>42577.69</v>
      </c>
      <c r="F35" s="148">
        <v>885023.83000000007</v>
      </c>
      <c r="G35" s="148">
        <v>13656.12</v>
      </c>
      <c r="H35" s="148">
        <v>0</v>
      </c>
      <c r="I35" s="148">
        <v>0</v>
      </c>
      <c r="J35" s="149">
        <f>SUM(E35:I35)</f>
        <v>941257.64</v>
      </c>
      <c r="M35" s="131"/>
    </row>
    <row r="36" spans="1:13" s="22" customFormat="1" x14ac:dyDescent="0.35">
      <c r="A36" s="146">
        <v>16</v>
      </c>
      <c r="B36" s="531" t="s">
        <v>227</v>
      </c>
      <c r="C36" s="532"/>
      <c r="D36" s="533"/>
      <c r="E36" s="148"/>
      <c r="F36" s="148"/>
      <c r="G36" s="148"/>
      <c r="H36" s="148"/>
      <c r="I36" s="148"/>
      <c r="J36" s="149">
        <f>SUM(E36:I36)</f>
        <v>0</v>
      </c>
    </row>
    <row r="37" spans="1:13" s="22" customFormat="1" x14ac:dyDescent="0.35">
      <c r="A37" s="146">
        <v>17</v>
      </c>
      <c r="B37" s="165" t="s">
        <v>459</v>
      </c>
      <c r="C37" s="158"/>
      <c r="D37" s="159"/>
      <c r="E37" s="148"/>
      <c r="F37" s="148"/>
      <c r="G37" s="148"/>
      <c r="H37" s="148"/>
      <c r="I37" s="148"/>
      <c r="J37" s="149">
        <f>SUM(E37:I37)</f>
        <v>0</v>
      </c>
      <c r="K37" s="120"/>
    </row>
    <row r="38" spans="1:13" s="22" customFormat="1" x14ac:dyDescent="0.35">
      <c r="A38" s="146">
        <v>18</v>
      </c>
      <c r="B38" s="537" t="s">
        <v>226</v>
      </c>
      <c r="C38" s="538"/>
      <c r="D38" s="539"/>
      <c r="E38" s="151">
        <f>SUM(E35:E37)</f>
        <v>42577.69</v>
      </c>
      <c r="F38" s="151">
        <f t="shared" ref="F38:I38" si="4">SUM(F35:F37)</f>
        <v>885023.83000000007</v>
      </c>
      <c r="G38" s="151">
        <f t="shared" si="4"/>
        <v>13656.12</v>
      </c>
      <c r="H38" s="151">
        <f t="shared" si="4"/>
        <v>0</v>
      </c>
      <c r="I38" s="151">
        <f t="shared" si="4"/>
        <v>0</v>
      </c>
      <c r="J38" s="151">
        <f>SUM(E38:I38)</f>
        <v>941257.64</v>
      </c>
      <c r="M38" s="131"/>
    </row>
    <row r="39" spans="1:13" s="22" customFormat="1" x14ac:dyDescent="0.35">
      <c r="A39" s="152"/>
      <c r="B39" s="153"/>
      <c r="C39" s="153"/>
      <c r="D39" s="154"/>
      <c r="E39" s="155"/>
      <c r="F39" s="155"/>
      <c r="G39" s="155"/>
      <c r="H39" s="155"/>
      <c r="I39" s="155"/>
      <c r="J39" s="155"/>
      <c r="M39" s="131"/>
    </row>
    <row r="40" spans="1:13" s="22" customFormat="1" x14ac:dyDescent="0.35">
      <c r="A40" s="146">
        <v>19</v>
      </c>
      <c r="B40" s="537" t="s">
        <v>229</v>
      </c>
      <c r="C40" s="538"/>
      <c r="D40" s="539"/>
      <c r="E40" s="151">
        <f>E38+E32</f>
        <v>19549318.792999744</v>
      </c>
      <c r="F40" s="151">
        <f>F38+F32</f>
        <v>61648487.349040538</v>
      </c>
      <c r="G40" s="151">
        <f>G38+G32</f>
        <v>13557334.27430312</v>
      </c>
      <c r="H40" s="151">
        <f>H38+H32</f>
        <v>6101789.9711978724</v>
      </c>
      <c r="I40" s="151">
        <f>I38+I32</f>
        <v>934242.00625445275</v>
      </c>
      <c r="J40" s="151">
        <f>SUM(E40:I40)</f>
        <v>101791172.39379573</v>
      </c>
      <c r="M40" s="131"/>
    </row>
    <row r="41" spans="1:13" s="22" customFormat="1" x14ac:dyDescent="0.35">
      <c r="A41" s="152"/>
      <c r="B41" s="153"/>
      <c r="C41" s="153"/>
      <c r="D41" s="154"/>
      <c r="E41" s="155"/>
      <c r="F41" s="155"/>
      <c r="G41" s="155"/>
      <c r="H41" s="155"/>
      <c r="I41" s="155"/>
      <c r="J41" s="155"/>
      <c r="M41" s="131"/>
    </row>
    <row r="42" spans="1:13" s="22" customFormat="1" x14ac:dyDescent="0.35">
      <c r="A42" s="540" t="s">
        <v>487</v>
      </c>
      <c r="B42" s="541"/>
      <c r="C42" s="541"/>
      <c r="D42" s="541"/>
      <c r="E42" s="541"/>
      <c r="F42" s="541"/>
      <c r="G42" s="541"/>
      <c r="H42" s="541"/>
      <c r="I42" s="541"/>
      <c r="J42" s="542"/>
      <c r="M42" s="131"/>
    </row>
    <row r="43" spans="1:13" s="22" customFormat="1" x14ac:dyDescent="0.35">
      <c r="A43" s="146">
        <v>20</v>
      </c>
      <c r="B43" s="531" t="s">
        <v>283</v>
      </c>
      <c r="C43" s="532"/>
      <c r="D43" s="533"/>
      <c r="E43" s="148"/>
      <c r="F43" s="148"/>
      <c r="G43" s="148"/>
      <c r="H43" s="148"/>
      <c r="I43" s="148"/>
      <c r="J43" s="149">
        <f>SUM(E43:I43)</f>
        <v>0</v>
      </c>
      <c r="M43" s="131"/>
    </row>
    <row r="44" spans="1:13" s="22" customFormat="1" x14ac:dyDescent="0.35">
      <c r="A44" s="146">
        <v>21</v>
      </c>
      <c r="B44" s="531" t="s">
        <v>230</v>
      </c>
      <c r="C44" s="532"/>
      <c r="D44" s="533"/>
      <c r="E44" s="148">
        <v>7022.1350000000002</v>
      </c>
      <c r="F44" s="148">
        <v>921913.01090938051</v>
      </c>
      <c r="G44" s="148">
        <v>60152.414632719549</v>
      </c>
      <c r="H44" s="148">
        <v>20673.464457900071</v>
      </c>
      <c r="I44" s="148">
        <v>604.06500000000005</v>
      </c>
      <c r="J44" s="149">
        <f t="shared" ref="J44:J50" si="5">SUM(E44:I44)</f>
        <v>1010365.0900000001</v>
      </c>
      <c r="M44" s="131"/>
    </row>
    <row r="45" spans="1:13" s="22" customFormat="1" x14ac:dyDescent="0.35">
      <c r="A45" s="146">
        <v>22</v>
      </c>
      <c r="B45" s="531" t="s">
        <v>288</v>
      </c>
      <c r="C45" s="532"/>
      <c r="D45" s="533"/>
      <c r="E45" s="148">
        <v>4329.9400000000005</v>
      </c>
      <c r="F45" s="148">
        <v>924798.52114572993</v>
      </c>
      <c r="G45" s="148">
        <v>613105.81999999983</v>
      </c>
      <c r="H45" s="148">
        <v>153401.90885427003</v>
      </c>
      <c r="I45" s="148">
        <v>482.59</v>
      </c>
      <c r="J45" s="149">
        <f t="shared" si="5"/>
        <v>1696118.7799999998</v>
      </c>
      <c r="M45" s="131"/>
    </row>
    <row r="46" spans="1:13" s="22" customFormat="1" x14ac:dyDescent="0.35">
      <c r="A46" s="146">
        <v>23</v>
      </c>
      <c r="B46" s="531" t="s">
        <v>284</v>
      </c>
      <c r="C46" s="532"/>
      <c r="D46" s="533"/>
      <c r="E46" s="148"/>
      <c r="F46" s="148"/>
      <c r="G46" s="148"/>
      <c r="H46" s="148"/>
      <c r="I46" s="148"/>
      <c r="J46" s="149">
        <f t="shared" si="5"/>
        <v>0</v>
      </c>
      <c r="M46" s="131"/>
    </row>
    <row r="47" spans="1:13" s="22" customFormat="1" x14ac:dyDescent="0.35">
      <c r="A47" s="146">
        <v>24</v>
      </c>
      <c r="B47" s="531" t="s">
        <v>314</v>
      </c>
      <c r="C47" s="532"/>
      <c r="D47" s="533"/>
      <c r="E47" s="148"/>
      <c r="F47" s="148"/>
      <c r="G47" s="148"/>
      <c r="H47" s="148">
        <v>17644595.319999997</v>
      </c>
      <c r="I47" s="148"/>
      <c r="J47" s="149">
        <f t="shared" si="5"/>
        <v>17644595.319999997</v>
      </c>
      <c r="M47" s="131"/>
    </row>
    <row r="48" spans="1:13" s="22" customFormat="1" x14ac:dyDescent="0.35">
      <c r="A48" s="146">
        <v>25</v>
      </c>
      <c r="B48" s="531" t="s">
        <v>778</v>
      </c>
      <c r="C48" s="532"/>
      <c r="D48" s="533"/>
      <c r="E48" s="148"/>
      <c r="F48" s="148">
        <v>465748.76620427088</v>
      </c>
      <c r="G48" s="148"/>
      <c r="H48" s="148"/>
      <c r="I48" s="148"/>
      <c r="J48" s="149">
        <f>SUM(E48:I48)</f>
        <v>465748.76620427088</v>
      </c>
      <c r="M48" s="131"/>
    </row>
    <row r="49" spans="1:13" s="22" customFormat="1" x14ac:dyDescent="0.35">
      <c r="A49" s="146">
        <v>26</v>
      </c>
      <c r="B49" s="531" t="s">
        <v>452</v>
      </c>
      <c r="C49" s="532"/>
      <c r="D49" s="533"/>
      <c r="E49" s="148">
        <v>68349.674999999988</v>
      </c>
      <c r="F49" s="148">
        <v>1453080.7164899521</v>
      </c>
      <c r="G49" s="148">
        <v>672603.33450589748</v>
      </c>
      <c r="H49" s="148">
        <v>101772.46900415033</v>
      </c>
      <c r="I49" s="148">
        <v>460.64499999999998</v>
      </c>
      <c r="J49" s="149">
        <f t="shared" si="5"/>
        <v>2296266.8400000003</v>
      </c>
      <c r="M49" s="131"/>
    </row>
    <row r="50" spans="1:13" s="22" customFormat="1" x14ac:dyDescent="0.35">
      <c r="A50" s="146">
        <v>27</v>
      </c>
      <c r="B50" s="537" t="s">
        <v>238</v>
      </c>
      <c r="C50" s="538"/>
      <c r="D50" s="539"/>
      <c r="E50" s="151">
        <f>SUM(E43:E49)</f>
        <v>79701.749999999985</v>
      </c>
      <c r="F50" s="151">
        <f>SUM(F43:F49)</f>
        <v>3765541.0147493333</v>
      </c>
      <c r="G50" s="151">
        <f>SUM(G43:G49)</f>
        <v>1345861.5691386168</v>
      </c>
      <c r="H50" s="151">
        <f>SUM(H43:H49)</f>
        <v>17920443.162316319</v>
      </c>
      <c r="I50" s="151">
        <f>SUM(I43:I49)</f>
        <v>1547.3</v>
      </c>
      <c r="J50" s="151">
        <f t="shared" si="5"/>
        <v>23113094.796204269</v>
      </c>
      <c r="M50" s="131"/>
    </row>
    <row r="51" spans="1:13" s="22" customFormat="1" x14ac:dyDescent="0.35">
      <c r="A51" s="152"/>
      <c r="B51" s="543"/>
      <c r="C51" s="543"/>
      <c r="D51" s="543"/>
      <c r="E51" s="543"/>
      <c r="F51" s="543"/>
      <c r="G51" s="543"/>
      <c r="H51" s="155"/>
      <c r="I51" s="155"/>
      <c r="J51" s="155"/>
      <c r="M51" s="131"/>
    </row>
    <row r="52" spans="1:13" s="22" customFormat="1" x14ac:dyDescent="0.35">
      <c r="A52" s="540" t="s">
        <v>233</v>
      </c>
      <c r="B52" s="541"/>
      <c r="C52" s="541"/>
      <c r="D52" s="541"/>
      <c r="E52" s="541"/>
      <c r="F52" s="541"/>
      <c r="G52" s="541"/>
      <c r="H52" s="541"/>
      <c r="I52" s="541"/>
      <c r="J52" s="542"/>
      <c r="M52" s="131"/>
    </row>
    <row r="53" spans="1:13" s="22" customFormat="1" x14ac:dyDescent="0.35">
      <c r="A53" s="146">
        <v>28</v>
      </c>
      <c r="B53" s="531" t="s">
        <v>282</v>
      </c>
      <c r="C53" s="532"/>
      <c r="D53" s="533"/>
      <c r="E53" s="148">
        <v>5892127.4474999998</v>
      </c>
      <c r="F53" s="148">
        <v>287384.43515926396</v>
      </c>
      <c r="G53" s="148">
        <v>40922.04837831865</v>
      </c>
      <c r="H53" s="148">
        <v>26001.886462417438</v>
      </c>
      <c r="I53" s="148">
        <v>181.94249999999994</v>
      </c>
      <c r="J53" s="149">
        <f>SUM(E53:I53)</f>
        <v>6246617.7599999998</v>
      </c>
      <c r="M53" s="131"/>
    </row>
    <row r="54" spans="1:13" s="22" customFormat="1" x14ac:dyDescent="0.35">
      <c r="A54" s="146">
        <v>29</v>
      </c>
      <c r="B54" s="531" t="s">
        <v>294</v>
      </c>
      <c r="C54" s="532"/>
      <c r="D54" s="533"/>
      <c r="E54" s="148"/>
      <c r="F54" s="148"/>
      <c r="G54" s="148"/>
      <c r="H54" s="148"/>
      <c r="I54" s="148"/>
      <c r="J54" s="149">
        <f>SUM(E54:I54)</f>
        <v>0</v>
      </c>
      <c r="M54" s="131"/>
    </row>
    <row r="55" spans="1:13" s="22" customFormat="1" x14ac:dyDescent="0.35">
      <c r="A55" s="146">
        <v>30</v>
      </c>
      <c r="B55" s="531" t="s">
        <v>295</v>
      </c>
      <c r="C55" s="532"/>
      <c r="D55" s="533"/>
      <c r="E55" s="148">
        <v>659222.28500000003</v>
      </c>
      <c r="F55" s="148">
        <v>231297.80787581101</v>
      </c>
      <c r="G55" s="148">
        <v>55677.059822210496</v>
      </c>
      <c r="H55" s="148">
        <v>17639.972301978458</v>
      </c>
      <c r="I55" s="148">
        <v>1487.6849999999997</v>
      </c>
      <c r="J55" s="149">
        <f t="shared" ref="J55:J57" si="6">SUM(E55:I55)</f>
        <v>965324.81</v>
      </c>
      <c r="M55" s="131"/>
    </row>
    <row r="56" spans="1:13" s="22" customFormat="1" x14ac:dyDescent="0.35">
      <c r="A56" s="146">
        <v>31</v>
      </c>
      <c r="B56" s="531" t="s">
        <v>296</v>
      </c>
      <c r="C56" s="532"/>
      <c r="D56" s="533"/>
      <c r="E56" s="148"/>
      <c r="F56" s="148"/>
      <c r="G56" s="148"/>
      <c r="H56" s="148"/>
      <c r="I56" s="148"/>
      <c r="J56" s="149">
        <f t="shared" si="6"/>
        <v>0</v>
      </c>
      <c r="M56" s="131"/>
    </row>
    <row r="57" spans="1:13" s="22" customFormat="1" x14ac:dyDescent="0.35">
      <c r="A57" s="146">
        <v>32</v>
      </c>
      <c r="B57" s="537" t="s">
        <v>231</v>
      </c>
      <c r="C57" s="538"/>
      <c r="D57" s="539"/>
      <c r="E57" s="151">
        <f>SUM(E53:E56)</f>
        <v>6551349.7324999999</v>
      </c>
      <c r="F57" s="151">
        <f>SUM(F53:F56)</f>
        <v>518682.24303507496</v>
      </c>
      <c r="G57" s="151">
        <f>SUM(G53:G56)</f>
        <v>96599.108200529154</v>
      </c>
      <c r="H57" s="151">
        <f>SUM(H53:H56)</f>
        <v>43641.858764395896</v>
      </c>
      <c r="I57" s="151">
        <f>SUM(I53:I56)</f>
        <v>1669.6274999999996</v>
      </c>
      <c r="J57" s="151">
        <f t="shared" si="6"/>
        <v>7211942.5700000012</v>
      </c>
      <c r="M57" s="131"/>
    </row>
    <row r="58" spans="1:13" s="22" customFormat="1" x14ac:dyDescent="0.35">
      <c r="A58" s="152"/>
      <c r="B58" s="153"/>
      <c r="C58" s="153"/>
      <c r="D58" s="154"/>
      <c r="E58" s="155"/>
      <c r="F58" s="155"/>
      <c r="G58" s="155"/>
      <c r="H58" s="155"/>
      <c r="I58" s="155"/>
      <c r="J58" s="155"/>
      <c r="M58" s="131"/>
    </row>
    <row r="59" spans="1:13" s="22" customFormat="1" x14ac:dyDescent="0.35">
      <c r="A59" s="540" t="s">
        <v>232</v>
      </c>
      <c r="B59" s="541"/>
      <c r="C59" s="541"/>
      <c r="D59" s="541"/>
      <c r="E59" s="541"/>
      <c r="F59" s="541"/>
      <c r="G59" s="541"/>
      <c r="H59" s="541"/>
      <c r="I59" s="541"/>
      <c r="J59" s="542"/>
      <c r="M59" s="131"/>
    </row>
    <row r="60" spans="1:13" s="22" customFormat="1" x14ac:dyDescent="0.35">
      <c r="A60" s="146">
        <v>33</v>
      </c>
      <c r="B60" s="531" t="s">
        <v>297</v>
      </c>
      <c r="C60" s="532"/>
      <c r="D60" s="533"/>
      <c r="E60" s="148">
        <v>60147.9</v>
      </c>
      <c r="F60" s="148">
        <v>316544.36675907444</v>
      </c>
      <c r="G60" s="148">
        <v>234721.2</v>
      </c>
      <c r="H60" s="148">
        <v>2914.743240925588</v>
      </c>
      <c r="I60" s="148">
        <v>0</v>
      </c>
      <c r="J60" s="149">
        <f>SUM(E60:I60)</f>
        <v>614328.21000000008</v>
      </c>
      <c r="M60" s="131"/>
    </row>
    <row r="61" spans="1:13" s="22" customFormat="1" x14ac:dyDescent="0.35">
      <c r="A61" s="146">
        <v>34</v>
      </c>
      <c r="B61" s="531" t="s">
        <v>298</v>
      </c>
      <c r="C61" s="532"/>
      <c r="D61" s="533"/>
      <c r="E61" s="148">
        <v>1287682.6524999999</v>
      </c>
      <c r="F61" s="148">
        <v>1402110.4268432891</v>
      </c>
      <c r="G61" s="148">
        <v>1054169.2295526569</v>
      </c>
      <c r="H61" s="148">
        <v>167787.95360405406</v>
      </c>
      <c r="I61" s="148">
        <v>11861.227500000001</v>
      </c>
      <c r="J61" s="149">
        <f t="shared" ref="J61:J67" si="7">SUM(E61:I61)</f>
        <v>3923611.49</v>
      </c>
      <c r="M61" s="131"/>
    </row>
    <row r="62" spans="1:13" s="22" customFormat="1" x14ac:dyDescent="0.35">
      <c r="A62" s="146">
        <v>35</v>
      </c>
      <c r="B62" s="531" t="s">
        <v>302</v>
      </c>
      <c r="C62" s="532"/>
      <c r="D62" s="533"/>
      <c r="E62" s="148">
        <v>22519.14</v>
      </c>
      <c r="F62" s="148">
        <v>907948.72826395556</v>
      </c>
      <c r="G62" s="148">
        <v>111448.18386532011</v>
      </c>
      <c r="H62" s="148">
        <v>85124.70787072432</v>
      </c>
      <c r="I62" s="148">
        <v>616.96000000000015</v>
      </c>
      <c r="J62" s="149">
        <f t="shared" si="7"/>
        <v>1127657.72</v>
      </c>
      <c r="M62" s="131"/>
    </row>
    <row r="63" spans="1:13" s="22" customFormat="1" x14ac:dyDescent="0.35">
      <c r="A63" s="146">
        <v>36</v>
      </c>
      <c r="B63" s="531" t="s">
        <v>315</v>
      </c>
      <c r="C63" s="532"/>
      <c r="D63" s="533"/>
      <c r="E63" s="148">
        <v>83904.062499999971</v>
      </c>
      <c r="F63" s="148">
        <v>484652.3416388685</v>
      </c>
      <c r="G63" s="148">
        <v>447340.97015390452</v>
      </c>
      <c r="H63" s="148">
        <v>32538.748207227021</v>
      </c>
      <c r="I63" s="148">
        <v>1968.7075</v>
      </c>
      <c r="J63" s="149">
        <f t="shared" si="7"/>
        <v>1050404.8299999998</v>
      </c>
      <c r="M63" s="131"/>
    </row>
    <row r="64" spans="1:13" s="22" customFormat="1" x14ac:dyDescent="0.35">
      <c r="A64" s="146">
        <v>37</v>
      </c>
      <c r="B64" s="531" t="s">
        <v>316</v>
      </c>
      <c r="C64" s="532"/>
      <c r="D64" s="533"/>
      <c r="E64" s="148">
        <v>300814.84250000003</v>
      </c>
      <c r="F64" s="148">
        <v>1079534.2058546327</v>
      </c>
      <c r="G64" s="148">
        <v>1556842.6043410343</v>
      </c>
      <c r="H64" s="148">
        <v>85709.45980433299</v>
      </c>
      <c r="I64" s="148">
        <v>4067.8775000000001</v>
      </c>
      <c r="J64" s="149">
        <f t="shared" si="7"/>
        <v>3026968.9899999998</v>
      </c>
      <c r="M64" s="131"/>
    </row>
    <row r="65" spans="1:13" s="22" customFormat="1" x14ac:dyDescent="0.35">
      <c r="A65" s="146">
        <v>38</v>
      </c>
      <c r="B65" s="531" t="s">
        <v>317</v>
      </c>
      <c r="C65" s="532"/>
      <c r="D65" s="533"/>
      <c r="E65" s="148">
        <v>12941.3</v>
      </c>
      <c r="F65" s="148">
        <v>83592.200074026143</v>
      </c>
      <c r="G65" s="148">
        <v>71742.97544615333</v>
      </c>
      <c r="H65" s="148">
        <v>9172.9144798205198</v>
      </c>
      <c r="I65" s="148">
        <v>336.63000000000005</v>
      </c>
      <c r="J65" s="149">
        <f t="shared" si="7"/>
        <v>177786.02000000002</v>
      </c>
      <c r="M65" s="131"/>
    </row>
    <row r="66" spans="1:13" s="22" customFormat="1" x14ac:dyDescent="0.35">
      <c r="A66" s="146">
        <v>39</v>
      </c>
      <c r="B66" s="531" t="s">
        <v>299</v>
      </c>
      <c r="C66" s="532"/>
      <c r="D66" s="533"/>
      <c r="E66" s="148">
        <v>212113.14999999991</v>
      </c>
      <c r="F66" s="148">
        <v>1691658.3704661452</v>
      </c>
      <c r="G66" s="148">
        <v>933145.52365964372</v>
      </c>
      <c r="H66" s="148">
        <v>267298.64587421063</v>
      </c>
      <c r="I66" s="148">
        <v>3360.29</v>
      </c>
      <c r="J66" s="149">
        <f t="shared" ref="J66" si="8">SUM(E66:I66)</f>
        <v>3107575.9799999995</v>
      </c>
      <c r="M66" s="131"/>
    </row>
    <row r="67" spans="1:13" s="22" customFormat="1" x14ac:dyDescent="0.35">
      <c r="A67" s="146">
        <v>40</v>
      </c>
      <c r="B67" s="537" t="s">
        <v>237</v>
      </c>
      <c r="C67" s="538"/>
      <c r="D67" s="539"/>
      <c r="E67" s="151">
        <f>SUM(E60:E66)</f>
        <v>1980123.0474999996</v>
      </c>
      <c r="F67" s="151">
        <f>SUM(F60:F66)</f>
        <v>5966040.6398999915</v>
      </c>
      <c r="G67" s="151">
        <f>SUM(G60:G66)</f>
        <v>4409410.687018713</v>
      </c>
      <c r="H67" s="151">
        <f>SUM(H60:H66)</f>
        <v>650547.1730812951</v>
      </c>
      <c r="I67" s="151">
        <f>SUM(I60:I66)</f>
        <v>22211.692500000005</v>
      </c>
      <c r="J67" s="151">
        <f t="shared" si="7"/>
        <v>13028333.24</v>
      </c>
      <c r="M67" s="131"/>
    </row>
    <row r="68" spans="1:13" s="22" customFormat="1" x14ac:dyDescent="0.35">
      <c r="A68" s="152"/>
      <c r="B68" s="153"/>
      <c r="C68" s="153"/>
      <c r="D68" s="154"/>
      <c r="E68" s="155"/>
      <c r="F68" s="155"/>
      <c r="G68" s="155"/>
      <c r="H68" s="155"/>
      <c r="I68" s="155"/>
      <c r="J68" s="155"/>
      <c r="M68" s="131"/>
    </row>
    <row r="69" spans="1:13" s="22" customFormat="1" x14ac:dyDescent="0.35">
      <c r="A69" s="540" t="s">
        <v>236</v>
      </c>
      <c r="B69" s="541"/>
      <c r="C69" s="541"/>
      <c r="D69" s="541"/>
      <c r="E69" s="541"/>
      <c r="F69" s="541"/>
      <c r="G69" s="541"/>
      <c r="H69" s="541"/>
      <c r="I69" s="541"/>
      <c r="J69" s="542"/>
      <c r="M69" s="131"/>
    </row>
    <row r="70" spans="1:13" s="22" customFormat="1" x14ac:dyDescent="0.35">
      <c r="A70" s="146">
        <v>41</v>
      </c>
      <c r="B70" s="531" t="s">
        <v>239</v>
      </c>
      <c r="C70" s="532"/>
      <c r="D70" s="533"/>
      <c r="E70" s="148">
        <v>57465.157499999994</v>
      </c>
      <c r="F70" s="148">
        <v>5382.8271178613868</v>
      </c>
      <c r="G70" s="148">
        <v>435.77000000000004</v>
      </c>
      <c r="H70" s="148">
        <v>570.30288213861377</v>
      </c>
      <c r="I70" s="148">
        <v>7150.7924999999996</v>
      </c>
      <c r="J70" s="149">
        <f t="shared" ref="J70:J73" si="9">SUM(E70:I70)</f>
        <v>71004.849999999991</v>
      </c>
      <c r="M70" s="131"/>
    </row>
    <row r="71" spans="1:13" s="22" customFormat="1" x14ac:dyDescent="0.35">
      <c r="A71" s="146">
        <v>42</v>
      </c>
      <c r="B71" s="531" t="s">
        <v>289</v>
      </c>
      <c r="C71" s="532"/>
      <c r="D71" s="533"/>
      <c r="E71" s="148">
        <v>34951.850000000006</v>
      </c>
      <c r="F71" s="148">
        <v>38955.542489683474</v>
      </c>
      <c r="G71" s="148">
        <v>3141.798618130837</v>
      </c>
      <c r="H71" s="148">
        <v>6673.7388921856927</v>
      </c>
      <c r="I71" s="148">
        <v>1128.17</v>
      </c>
      <c r="J71" s="149">
        <f t="shared" si="9"/>
        <v>84851.1</v>
      </c>
      <c r="M71" s="131"/>
    </row>
    <row r="72" spans="1:13" s="22" customFormat="1" x14ac:dyDescent="0.35">
      <c r="A72" s="146">
        <v>43</v>
      </c>
      <c r="B72" s="531" t="s">
        <v>240</v>
      </c>
      <c r="C72" s="532"/>
      <c r="D72" s="533"/>
      <c r="E72" s="148">
        <v>389378.47249999992</v>
      </c>
      <c r="F72" s="148">
        <v>7515.1057268120894</v>
      </c>
      <c r="G72" s="148">
        <v>6391.3162837769723</v>
      </c>
      <c r="H72" s="148">
        <v>1047.8279894109392</v>
      </c>
      <c r="I72" s="148">
        <v>1065.5574999999999</v>
      </c>
      <c r="J72" s="149">
        <f t="shared" si="9"/>
        <v>405398.27999999991</v>
      </c>
      <c r="M72" s="131"/>
    </row>
    <row r="73" spans="1:13" s="22" customFormat="1" x14ac:dyDescent="0.35">
      <c r="A73" s="146">
        <v>44</v>
      </c>
      <c r="B73" s="531" t="s">
        <v>308</v>
      </c>
      <c r="C73" s="532"/>
      <c r="D73" s="533"/>
      <c r="E73" s="148"/>
      <c r="F73" s="148"/>
      <c r="G73" s="148"/>
      <c r="H73" s="148"/>
      <c r="I73" s="148">
        <v>115294.92</v>
      </c>
      <c r="J73" s="149">
        <f t="shared" si="9"/>
        <v>115294.92</v>
      </c>
      <c r="M73" s="131"/>
    </row>
    <row r="74" spans="1:13" s="22" customFormat="1" x14ac:dyDescent="0.35">
      <c r="A74" s="146">
        <v>45</v>
      </c>
      <c r="B74" s="531" t="s">
        <v>286</v>
      </c>
      <c r="C74" s="532"/>
      <c r="D74" s="533"/>
      <c r="E74" s="148"/>
      <c r="F74" s="148"/>
      <c r="G74" s="148"/>
      <c r="H74" s="148"/>
      <c r="I74" s="148">
        <v>374263.42000000004</v>
      </c>
      <c r="J74" s="149">
        <f>SUM(E74:I74)</f>
        <v>374263.42000000004</v>
      </c>
      <c r="M74" s="131"/>
    </row>
    <row r="75" spans="1:13" s="22" customFormat="1" x14ac:dyDescent="0.35">
      <c r="A75" s="146">
        <v>46</v>
      </c>
      <c r="B75" s="531" t="s">
        <v>287</v>
      </c>
      <c r="C75" s="532"/>
      <c r="D75" s="533"/>
      <c r="E75" s="148">
        <v>1306677.6600000001</v>
      </c>
      <c r="F75" s="148">
        <v>366281.22520351975</v>
      </c>
      <c r="G75" s="148">
        <v>183400.13205065968</v>
      </c>
      <c r="H75" s="148">
        <v>18619.73274582058</v>
      </c>
      <c r="I75" s="148">
        <v>6892.09</v>
      </c>
      <c r="J75" s="149">
        <f t="shared" ref="J75:J77" si="10">SUM(E75:I75)</f>
        <v>1881870.8400000003</v>
      </c>
      <c r="M75" s="131"/>
    </row>
    <row r="76" spans="1:13" s="22" customFormat="1" x14ac:dyDescent="0.35">
      <c r="A76" s="146">
        <v>47</v>
      </c>
      <c r="B76" s="531" t="s">
        <v>318</v>
      </c>
      <c r="C76" s="532"/>
      <c r="D76" s="533"/>
      <c r="E76" s="148">
        <v>263193.68</v>
      </c>
      <c r="F76" s="148">
        <v>321186.82821141835</v>
      </c>
      <c r="G76" s="148">
        <v>73152.125443139957</v>
      </c>
      <c r="H76" s="148">
        <v>38168.046345441733</v>
      </c>
      <c r="I76" s="148">
        <v>2692.32</v>
      </c>
      <c r="J76" s="149">
        <f t="shared" si="10"/>
        <v>698392.99999999988</v>
      </c>
      <c r="M76" s="131"/>
    </row>
    <row r="77" spans="1:13" s="22" customFormat="1" x14ac:dyDescent="0.35">
      <c r="A77" s="146">
        <v>48</v>
      </c>
      <c r="B77" s="531" t="s">
        <v>285</v>
      </c>
      <c r="C77" s="532"/>
      <c r="D77" s="533"/>
      <c r="E77" s="148">
        <v>1017036.2975</v>
      </c>
      <c r="F77" s="148">
        <v>453208.01921814267</v>
      </c>
      <c r="G77" s="148">
        <v>312621.65826379054</v>
      </c>
      <c r="H77" s="148">
        <v>115968.32251806671</v>
      </c>
      <c r="I77" s="148">
        <v>43833.662499999999</v>
      </c>
      <c r="J77" s="149">
        <f t="shared" si="10"/>
        <v>1942667.9600000002</v>
      </c>
      <c r="M77" s="131"/>
    </row>
    <row r="78" spans="1:13" s="22" customFormat="1" x14ac:dyDescent="0.35">
      <c r="A78" s="146">
        <v>49</v>
      </c>
      <c r="B78" s="537" t="s">
        <v>279</v>
      </c>
      <c r="C78" s="538"/>
      <c r="D78" s="539"/>
      <c r="E78" s="151">
        <f>SUM(E70:E77)</f>
        <v>3068703.1175000002</v>
      </c>
      <c r="F78" s="151">
        <f t="shared" ref="F78:I78" si="11">SUM(F70:F77)</f>
        <v>1192529.5479674377</v>
      </c>
      <c r="G78" s="151">
        <f t="shared" si="11"/>
        <v>579142.80065949797</v>
      </c>
      <c r="H78" s="151">
        <f t="shared" si="11"/>
        <v>181047.97137306427</v>
      </c>
      <c r="I78" s="151">
        <f t="shared" si="11"/>
        <v>552320.93250000011</v>
      </c>
      <c r="J78" s="151">
        <f t="shared" ref="J78" si="12">SUM(E78:I78)</f>
        <v>5573744.3700000001</v>
      </c>
      <c r="M78" s="131"/>
    </row>
    <row r="79" spans="1:13" s="22" customFormat="1" x14ac:dyDescent="0.35">
      <c r="A79" s="152"/>
      <c r="B79" s="153"/>
      <c r="C79" s="153"/>
      <c r="D79" s="154"/>
      <c r="E79" s="155"/>
      <c r="F79" s="155"/>
      <c r="G79" s="155"/>
      <c r="H79" s="155"/>
      <c r="I79" s="155"/>
      <c r="J79" s="155"/>
      <c r="M79" s="131"/>
    </row>
    <row r="80" spans="1:13" s="22" customFormat="1" x14ac:dyDescent="0.35">
      <c r="A80" s="540" t="s">
        <v>303</v>
      </c>
      <c r="B80" s="541"/>
      <c r="C80" s="541"/>
      <c r="D80" s="541"/>
      <c r="E80" s="541"/>
      <c r="F80" s="541"/>
      <c r="G80" s="541"/>
      <c r="H80" s="541"/>
      <c r="I80" s="541"/>
      <c r="J80" s="542"/>
      <c r="M80" s="131"/>
    </row>
    <row r="81" spans="1:13" s="22" customFormat="1" x14ac:dyDescent="0.35">
      <c r="A81" s="146">
        <v>50</v>
      </c>
      <c r="B81" s="531" t="s">
        <v>304</v>
      </c>
      <c r="C81" s="532"/>
      <c r="D81" s="533"/>
      <c r="E81" s="98"/>
      <c r="F81" s="98"/>
      <c r="G81" s="98"/>
      <c r="H81" s="98"/>
      <c r="I81" s="148">
        <v>117687.29000000002</v>
      </c>
      <c r="J81" s="149">
        <f>I81</f>
        <v>117687.29000000002</v>
      </c>
      <c r="M81" s="131"/>
    </row>
    <row r="82" spans="1:13" s="22" customFormat="1" x14ac:dyDescent="0.35">
      <c r="A82" s="146">
        <v>51</v>
      </c>
      <c r="B82" s="531" t="s">
        <v>309</v>
      </c>
      <c r="C82" s="532"/>
      <c r="D82" s="533"/>
      <c r="E82" s="98"/>
      <c r="F82" s="98"/>
      <c r="G82" s="98"/>
      <c r="H82" s="98"/>
      <c r="I82" s="148"/>
      <c r="J82" s="149">
        <f>I82</f>
        <v>0</v>
      </c>
      <c r="M82" s="131"/>
    </row>
    <row r="83" spans="1:13" s="22" customFormat="1" x14ac:dyDescent="0.35">
      <c r="A83" s="146">
        <v>52</v>
      </c>
      <c r="B83" s="531" t="s">
        <v>310</v>
      </c>
      <c r="C83" s="532"/>
      <c r="D83" s="533"/>
      <c r="E83" s="98"/>
      <c r="F83" s="98"/>
      <c r="G83" s="98"/>
      <c r="H83" s="98"/>
      <c r="I83" s="148">
        <v>366005.8</v>
      </c>
      <c r="J83" s="149">
        <f t="shared" ref="J83:J84" si="13">I83</f>
        <v>366005.8</v>
      </c>
      <c r="M83" s="131"/>
    </row>
    <row r="84" spans="1:13" s="22" customFormat="1" x14ac:dyDescent="0.35">
      <c r="A84" s="146">
        <v>53</v>
      </c>
      <c r="B84" s="531" t="s">
        <v>305</v>
      </c>
      <c r="C84" s="532"/>
      <c r="D84" s="533"/>
      <c r="E84" s="98"/>
      <c r="F84" s="98"/>
      <c r="G84" s="98"/>
      <c r="H84" s="98"/>
      <c r="I84" s="148">
        <v>184679.11</v>
      </c>
      <c r="J84" s="149">
        <f t="shared" si="13"/>
        <v>184679.11</v>
      </c>
      <c r="M84" s="131"/>
    </row>
    <row r="85" spans="1:13" s="22" customFormat="1" x14ac:dyDescent="0.35">
      <c r="A85" s="146">
        <v>54</v>
      </c>
      <c r="B85" s="537" t="s">
        <v>306</v>
      </c>
      <c r="C85" s="538"/>
      <c r="D85" s="539"/>
      <c r="E85" s="151">
        <v>0</v>
      </c>
      <c r="F85" s="151">
        <v>0</v>
      </c>
      <c r="G85" s="151">
        <v>0</v>
      </c>
      <c r="H85" s="151">
        <v>0</v>
      </c>
      <c r="I85" s="151">
        <f>SUM(I81:I84)</f>
        <v>668372.19999999995</v>
      </c>
      <c r="J85" s="151">
        <f>SUM(E85:I85)</f>
        <v>668372.19999999995</v>
      </c>
      <c r="M85" s="131"/>
    </row>
    <row r="86" spans="1:13" s="22" customFormat="1" x14ac:dyDescent="0.35">
      <c r="A86" s="152"/>
      <c r="B86" s="153"/>
      <c r="C86" s="153"/>
      <c r="D86" s="154"/>
      <c r="E86" s="155"/>
      <c r="F86" s="155"/>
      <c r="G86" s="155"/>
      <c r="H86" s="155"/>
      <c r="I86" s="155"/>
      <c r="J86" s="155"/>
      <c r="M86" s="131"/>
    </row>
    <row r="87" spans="1:13" s="22" customFormat="1" x14ac:dyDescent="0.35">
      <c r="A87" s="540" t="s">
        <v>273</v>
      </c>
      <c r="B87" s="541"/>
      <c r="C87" s="541"/>
      <c r="D87" s="541"/>
      <c r="E87" s="541"/>
      <c r="F87" s="541"/>
      <c r="G87" s="541"/>
      <c r="H87" s="541"/>
      <c r="I87" s="541"/>
      <c r="J87" s="542"/>
      <c r="M87" s="131"/>
    </row>
    <row r="88" spans="1:13" s="22" customFormat="1" x14ac:dyDescent="0.35">
      <c r="A88" s="146">
        <v>55</v>
      </c>
      <c r="B88" s="531" t="s">
        <v>274</v>
      </c>
      <c r="C88" s="532"/>
      <c r="D88" s="533"/>
      <c r="E88" s="156">
        <f>-'As-Filed Schedule 1C'!F27</f>
        <v>0</v>
      </c>
      <c r="F88" s="156">
        <f>-'As-Filed Schedule 1C'!F28</f>
        <v>0</v>
      </c>
      <c r="G88" s="156">
        <f>-'As-Filed Schedule 1C'!F29</f>
        <v>0</v>
      </c>
      <c r="H88" s="156">
        <f>-'As-Filed Schedule 1C'!F30</f>
        <v>0</v>
      </c>
      <c r="I88" s="156">
        <f>-SUM(E88:H88)</f>
        <v>0</v>
      </c>
      <c r="J88" s="149">
        <f>SUM(E88:I88)</f>
        <v>0</v>
      </c>
      <c r="M88" s="131"/>
    </row>
    <row r="89" spans="1:13" s="22" customFormat="1" x14ac:dyDescent="0.35">
      <c r="A89" s="146">
        <v>56</v>
      </c>
      <c r="B89" s="537" t="s">
        <v>270</v>
      </c>
      <c r="C89" s="538"/>
      <c r="D89" s="539"/>
      <c r="E89" s="151">
        <f>SUM(E88:E88)</f>
        <v>0</v>
      </c>
      <c r="F89" s="151">
        <f>SUM(F88:F88)</f>
        <v>0</v>
      </c>
      <c r="G89" s="151">
        <f>SUM(G88:G88)</f>
        <v>0</v>
      </c>
      <c r="H89" s="151">
        <f>SUM(H88:H88)</f>
        <v>0</v>
      </c>
      <c r="I89" s="151">
        <f>SUM(I88:I88)</f>
        <v>0</v>
      </c>
      <c r="J89" s="151">
        <f>SUM(E89:I89)</f>
        <v>0</v>
      </c>
      <c r="M89" s="131"/>
    </row>
    <row r="90" spans="1:13" s="22" customFormat="1" x14ac:dyDescent="0.35">
      <c r="A90" s="152"/>
      <c r="B90" s="153"/>
      <c r="C90" s="153"/>
      <c r="D90" s="154"/>
      <c r="E90" s="155"/>
      <c r="F90" s="155"/>
      <c r="G90" s="155"/>
      <c r="H90" s="155"/>
      <c r="I90" s="155"/>
      <c r="J90" s="155"/>
      <c r="M90" s="131"/>
    </row>
    <row r="91" spans="1:13" s="22" customFormat="1" x14ac:dyDescent="0.35">
      <c r="A91" s="146">
        <v>57</v>
      </c>
      <c r="B91" s="537" t="s">
        <v>241</v>
      </c>
      <c r="C91" s="538"/>
      <c r="D91" s="539"/>
      <c r="E91" s="151">
        <f>E78+E67+E57+E50+E40+E89+E85</f>
        <v>31229196.440499745</v>
      </c>
      <c r="F91" s="151">
        <f>F78+F67+F57+F50+F40+F89+F85</f>
        <v>73091280.794692367</v>
      </c>
      <c r="G91" s="151">
        <f>G78+G67+G57+G50+G40+G89+G85</f>
        <v>19988348.439320475</v>
      </c>
      <c r="H91" s="151">
        <f>H78+H67+H57+H50+H40+H89+H85</f>
        <v>24897470.136732947</v>
      </c>
      <c r="I91" s="151">
        <f>I78+I67+I57+I50+I40+I89+I85</f>
        <v>2180363.7587544527</v>
      </c>
      <c r="J91" s="151">
        <f>SUM(E91:I91)</f>
        <v>151386659.56999999</v>
      </c>
      <c r="M91" s="131"/>
    </row>
    <row r="92" spans="1:13" s="22" customFormat="1" x14ac:dyDescent="0.35">
      <c r="A92" s="152"/>
      <c r="B92" s="153"/>
      <c r="C92" s="153"/>
      <c r="D92" s="154"/>
      <c r="E92" s="155"/>
      <c r="F92" s="155"/>
      <c r="G92" s="155"/>
      <c r="H92" s="155"/>
      <c r="I92" s="155"/>
      <c r="J92" s="155"/>
      <c r="M92" s="131"/>
    </row>
    <row r="93" spans="1:13" s="22" customFormat="1" ht="15.5" x14ac:dyDescent="0.35">
      <c r="A93" s="160">
        <v>58</v>
      </c>
      <c r="B93" s="531" t="s">
        <v>2</v>
      </c>
      <c r="C93" s="532"/>
      <c r="D93" s="533"/>
      <c r="E93" s="149">
        <f>E91*-1</f>
        <v>-31229196.440499745</v>
      </c>
      <c r="F93" s="148">
        <v>23254901.215490203</v>
      </c>
      <c r="G93" s="148">
        <v>5716561.1168464525</v>
      </c>
      <c r="H93" s="148">
        <v>2186817.3681425955</v>
      </c>
      <c r="I93" s="148">
        <v>70916.740020495126</v>
      </c>
      <c r="J93" s="151">
        <f>SUM(E93:I93)</f>
        <v>1.1496013030409813E-9</v>
      </c>
      <c r="K93" s="33" t="str">
        <f>IF(ABS(J93)&gt;1,"Error - This row should sum to 0.","")</f>
        <v/>
      </c>
      <c r="M93" s="131"/>
    </row>
    <row r="94" spans="1:13" s="22" customFormat="1" x14ac:dyDescent="0.35">
      <c r="A94" s="152"/>
      <c r="B94" s="153"/>
      <c r="C94" s="153"/>
      <c r="D94" s="154"/>
      <c r="E94" s="155"/>
      <c r="F94" s="155"/>
      <c r="G94" s="155"/>
      <c r="H94" s="155"/>
      <c r="I94" s="155"/>
      <c r="J94" s="155"/>
      <c r="M94" s="131"/>
    </row>
    <row r="95" spans="1:13" s="63" customFormat="1" ht="15.5" x14ac:dyDescent="0.35">
      <c r="A95" s="146">
        <v>59</v>
      </c>
      <c r="B95" s="534" t="s">
        <v>242</v>
      </c>
      <c r="C95" s="535"/>
      <c r="D95" s="536"/>
      <c r="E95" s="161">
        <f>E93+E91</f>
        <v>0</v>
      </c>
      <c r="F95" s="161">
        <f t="shared" ref="F95:I95" si="14">F93+F91</f>
        <v>96346182.010182574</v>
      </c>
      <c r="G95" s="161">
        <f t="shared" si="14"/>
        <v>25704909.556166928</v>
      </c>
      <c r="H95" s="161">
        <f t="shared" si="14"/>
        <v>27084287.504875541</v>
      </c>
      <c r="I95" s="161">
        <f t="shared" si="14"/>
        <v>2251280.4987749476</v>
      </c>
      <c r="J95" s="161">
        <f>SUM(E95:I95)</f>
        <v>151386659.56999999</v>
      </c>
      <c r="M95" s="132"/>
    </row>
    <row r="96" spans="1:13" s="22" customFormat="1" x14ac:dyDescent="0.35">
      <c r="A96" s="162"/>
      <c r="B96" s="162"/>
      <c r="C96" s="162"/>
      <c r="D96" s="162"/>
      <c r="E96" s="162"/>
      <c r="F96" s="162"/>
      <c r="G96" s="162"/>
      <c r="H96" s="162"/>
      <c r="I96" s="162"/>
      <c r="J96" s="162"/>
      <c r="M96" s="131"/>
    </row>
    <row r="97" spans="1:13" s="22" customFormat="1" x14ac:dyDescent="0.35">
      <c r="A97" s="146">
        <v>60</v>
      </c>
      <c r="B97" s="530" t="s">
        <v>4</v>
      </c>
      <c r="C97" s="530"/>
      <c r="D97" s="162"/>
      <c r="E97" s="162"/>
      <c r="F97" s="141">
        <v>22718</v>
      </c>
      <c r="G97" s="162"/>
      <c r="H97" s="162"/>
      <c r="I97" s="162"/>
      <c r="J97" s="162"/>
      <c r="M97" s="131"/>
    </row>
    <row r="98" spans="1:13" s="22" customFormat="1" x14ac:dyDescent="0.35">
      <c r="A98" s="146">
        <v>61</v>
      </c>
      <c r="B98" s="530" t="s">
        <v>5</v>
      </c>
      <c r="C98" s="530"/>
      <c r="D98" s="162"/>
      <c r="E98" s="162"/>
      <c r="F98" s="149">
        <f>IFERROR(F95/F97,"")</f>
        <v>4240.9623210750315</v>
      </c>
      <c r="G98" s="162"/>
      <c r="H98" s="162"/>
      <c r="I98" s="162"/>
      <c r="J98" s="162"/>
      <c r="M98" s="131"/>
    </row>
    <row r="99" spans="1:13" s="22" customFormat="1" x14ac:dyDescent="0.35">
      <c r="A99" s="163"/>
      <c r="B99" s="162"/>
      <c r="C99" s="162"/>
      <c r="D99" s="162"/>
      <c r="E99" s="162"/>
      <c r="F99" s="162"/>
      <c r="G99" s="162"/>
      <c r="H99" s="162"/>
      <c r="I99" s="162"/>
      <c r="J99" s="162"/>
      <c r="M99" s="131"/>
    </row>
    <row r="100" spans="1:13" s="22" customFormat="1" x14ac:dyDescent="0.35">
      <c r="A100" s="146">
        <v>62</v>
      </c>
      <c r="B100" s="530" t="s">
        <v>307</v>
      </c>
      <c r="C100" s="530"/>
      <c r="D100" s="162"/>
      <c r="E100" s="162"/>
      <c r="F100" s="162"/>
      <c r="G100" s="162"/>
      <c r="H100" s="162"/>
      <c r="I100" s="162"/>
      <c r="J100" s="148">
        <v>151386660</v>
      </c>
      <c r="M100" s="131"/>
    </row>
    <row r="101" spans="1:13" s="22" customFormat="1" x14ac:dyDescent="0.35">
      <c r="A101" s="146">
        <v>63</v>
      </c>
      <c r="B101" s="530" t="s">
        <v>10</v>
      </c>
      <c r="C101" s="530"/>
      <c r="D101" s="162"/>
      <c r="E101" s="162"/>
      <c r="F101" s="162"/>
      <c r="G101" s="162"/>
      <c r="H101" s="162"/>
      <c r="I101" s="162"/>
      <c r="J101" s="149">
        <f>ROUND(J95-J100,0)</f>
        <v>0</v>
      </c>
      <c r="K101" s="33" t="str">
        <f>IF(ABS(J101)&gt;1,"Error - This variance should be 0.","")</f>
        <v/>
      </c>
      <c r="M101" s="131"/>
    </row>
    <row r="102" spans="1:13" x14ac:dyDescent="0.35">
      <c r="A102" s="99"/>
      <c r="B102" s="99"/>
      <c r="C102" s="99"/>
      <c r="D102" s="99"/>
      <c r="E102" s="99"/>
      <c r="F102" s="99"/>
      <c r="G102" s="99"/>
      <c r="H102" s="99"/>
      <c r="I102" s="99"/>
      <c r="J102" s="99"/>
    </row>
    <row r="103" spans="1:13" x14ac:dyDescent="0.35">
      <c r="A103" s="146">
        <v>64</v>
      </c>
      <c r="B103" s="530" t="s">
        <v>202</v>
      </c>
      <c r="C103" s="530"/>
      <c r="D103" s="99"/>
      <c r="E103" s="164">
        <f>IFERROR(E91/SUM(F91:I91),"")</f>
        <v>0.2599022618082602</v>
      </c>
      <c r="F103" s="99"/>
      <c r="G103" s="99"/>
      <c r="H103" s="99"/>
      <c r="I103" s="99"/>
      <c r="J103" s="99"/>
    </row>
  </sheetData>
  <sheetProtection sheet="1" objects="1" scenarios="1"/>
  <customSheetViews>
    <customSheetView guid="{17302493-42B1-4877-869E-E424A97AE78B}" topLeftCell="G70">
      <selection activeCell="J100" sqref="J100"/>
      <pageMargins left="0.7" right="0.7" top="0.75" bottom="0.75" header="0.3" footer="0.3"/>
      <pageSetup orientation="portrait" horizontalDpi="1200" verticalDpi="1200" r:id="rId1"/>
    </customSheetView>
    <customSheetView guid="{5C0BA3A5-859C-46C2-B685-44D9A90065E4}" topLeftCell="G70">
      <selection activeCell="J100" sqref="J100"/>
      <pageMargins left="0.7" right="0.7" top="0.75" bottom="0.75" header="0.3" footer="0.3"/>
      <pageSetup orientation="portrait" horizontalDpi="1200" verticalDpi="1200" r:id="rId2"/>
    </customSheetView>
  </customSheetViews>
  <mergeCells count="75">
    <mergeCell ref="B38:D38"/>
    <mergeCell ref="B40:D40"/>
    <mergeCell ref="B43:D43"/>
    <mergeCell ref="A69:J69"/>
    <mergeCell ref="B66:D66"/>
    <mergeCell ref="B67:D67"/>
    <mergeCell ref="B60:D60"/>
    <mergeCell ref="B61:D61"/>
    <mergeCell ref="B51:G51"/>
    <mergeCell ref="B47:D47"/>
    <mergeCell ref="B54:D54"/>
    <mergeCell ref="B62:D62"/>
    <mergeCell ref="B78:D78"/>
    <mergeCell ref="B75:D75"/>
    <mergeCell ref="B48:D48"/>
    <mergeCell ref="B49:D49"/>
    <mergeCell ref="B77:D77"/>
    <mergeCell ref="B76:D76"/>
    <mergeCell ref="A59:J59"/>
    <mergeCell ref="B74:D74"/>
    <mergeCell ref="B71:D71"/>
    <mergeCell ref="B72:D72"/>
    <mergeCell ref="B73:D73"/>
    <mergeCell ref="B70:D70"/>
    <mergeCell ref="B63:D63"/>
    <mergeCell ref="B64:D64"/>
    <mergeCell ref="A80:J80"/>
    <mergeCell ref="B85:D85"/>
    <mergeCell ref="B83:D83"/>
    <mergeCell ref="B84:D84"/>
    <mergeCell ref="B81:D81"/>
    <mergeCell ref="B82:D82"/>
    <mergeCell ref="B103:C103"/>
    <mergeCell ref="B91:D91"/>
    <mergeCell ref="B88:D88"/>
    <mergeCell ref="B89:D89"/>
    <mergeCell ref="A87:J87"/>
    <mergeCell ref="B12:C12"/>
    <mergeCell ref="B13:C13"/>
    <mergeCell ref="B14:C14"/>
    <mergeCell ref="B15:C15"/>
    <mergeCell ref="B18:C18"/>
    <mergeCell ref="A17:J17"/>
    <mergeCell ref="B19:C19"/>
    <mergeCell ref="B20:C20"/>
    <mergeCell ref="B55:D55"/>
    <mergeCell ref="B56:D56"/>
    <mergeCell ref="B57:D57"/>
    <mergeCell ref="B46:D46"/>
    <mergeCell ref="A52:J52"/>
    <mergeCell ref="B53:D53"/>
    <mergeCell ref="B32:D32"/>
    <mergeCell ref="B35:D35"/>
    <mergeCell ref="B23:D23"/>
    <mergeCell ref="B24:D24"/>
    <mergeCell ref="B27:D27"/>
    <mergeCell ref="B29:D29"/>
    <mergeCell ref="B30:D30"/>
    <mergeCell ref="B36:D36"/>
    <mergeCell ref="B9:C9"/>
    <mergeCell ref="B100:C100"/>
    <mergeCell ref="B101:C101"/>
    <mergeCell ref="B97:C97"/>
    <mergeCell ref="B98:C98"/>
    <mergeCell ref="A11:J11"/>
    <mergeCell ref="B50:D50"/>
    <mergeCell ref="A34:J34"/>
    <mergeCell ref="A22:J22"/>
    <mergeCell ref="A26:J26"/>
    <mergeCell ref="A42:J42"/>
    <mergeCell ref="B44:D44"/>
    <mergeCell ref="B45:D45"/>
    <mergeCell ref="B95:D95"/>
    <mergeCell ref="B93:D93"/>
    <mergeCell ref="B65:D65"/>
  </mergeCells>
  <pageMargins left="0.7" right="0.7" top="0.75" bottom="0.75" header="0.3" footer="0.3"/>
  <pageSetup orientation="portrait" horizontalDpi="1200" verticalDpi="1200" r:id="rId3"/>
  <ignoredErrors>
    <ignoredError sqref="J18:J19"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rgb="FF9CC5CA"/>
  </sheetPr>
  <dimension ref="A1:Y95"/>
  <sheetViews>
    <sheetView topLeftCell="E1" workbookViewId="0">
      <selection activeCell="B20" sqref="B20:G24"/>
    </sheetView>
  </sheetViews>
  <sheetFormatPr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777</v>
      </c>
    </row>
    <row r="2" spans="1:12" ht="21" x14ac:dyDescent="0.5">
      <c r="A2" s="2" t="s">
        <v>775</v>
      </c>
    </row>
    <row r="3" spans="1:12" ht="25" customHeight="1" x14ac:dyDescent="0.5">
      <c r="A3" s="546" t="s">
        <v>762</v>
      </c>
      <c r="B3" s="546"/>
      <c r="C3" s="546"/>
      <c r="D3" s="546"/>
      <c r="E3" s="546"/>
      <c r="F3" s="546"/>
      <c r="G3" s="546"/>
      <c r="H3" s="546"/>
      <c r="I3" s="546"/>
      <c r="J3" s="546"/>
    </row>
    <row r="4" spans="1:12" x14ac:dyDescent="0.35">
      <c r="H4" s="61"/>
      <c r="J4" s="122"/>
      <c r="K4" s="122"/>
      <c r="L4" s="122"/>
    </row>
    <row r="5" spans="1:12" x14ac:dyDescent="0.35">
      <c r="A5" s="1" t="s">
        <v>776</v>
      </c>
      <c r="C5" s="413" t="str">
        <f>'As-Filed Schedule 1'!C5</f>
        <v>WellPower</v>
      </c>
      <c r="H5" s="48"/>
      <c r="J5" s="40"/>
      <c r="K5" s="40"/>
      <c r="L5" s="40"/>
    </row>
    <row r="6" spans="1:12" x14ac:dyDescent="0.35">
      <c r="A6" s="1" t="s">
        <v>0</v>
      </c>
      <c r="C6" s="406">
        <f>'As-Filed Schedule 1'!C6</f>
        <v>45473</v>
      </c>
      <c r="D6" s="35"/>
      <c r="E6" s="35"/>
      <c r="F6" s="35"/>
      <c r="G6" s="35"/>
      <c r="H6" s="60"/>
      <c r="J6" s="40"/>
      <c r="K6" s="40"/>
      <c r="L6" s="40"/>
    </row>
    <row r="7" spans="1:12" x14ac:dyDescent="0.35">
      <c r="H7" s="48"/>
      <c r="J7" s="40"/>
      <c r="K7" s="40"/>
      <c r="L7" s="40"/>
    </row>
    <row r="8" spans="1:12" x14ac:dyDescent="0.35">
      <c r="A8" s="1" t="s">
        <v>264</v>
      </c>
      <c r="D8" s="114">
        <v>332850</v>
      </c>
      <c r="F8" s="78"/>
      <c r="G8" s="48"/>
      <c r="H8" s="48"/>
      <c r="J8" s="40"/>
      <c r="K8" s="40"/>
      <c r="L8" s="40"/>
    </row>
    <row r="9" spans="1:12" ht="6.75" customHeight="1" x14ac:dyDescent="0.35">
      <c r="H9" s="48"/>
      <c r="J9" s="40"/>
      <c r="K9" s="40"/>
      <c r="L9" s="40"/>
    </row>
    <row r="10" spans="1:12" x14ac:dyDescent="0.35">
      <c r="A10" s="1" t="s">
        <v>265</v>
      </c>
      <c r="D10" s="77" t="s">
        <v>266</v>
      </c>
      <c r="E10" s="78"/>
      <c r="F10" s="78"/>
      <c r="H10" s="48"/>
      <c r="J10" s="40"/>
      <c r="K10" s="40"/>
      <c r="L10" s="40"/>
    </row>
    <row r="11" spans="1:12" x14ac:dyDescent="0.35">
      <c r="A11" s="1"/>
      <c r="D11" s="78"/>
      <c r="E11" s="78"/>
      <c r="F11" s="78"/>
      <c r="H11" s="48"/>
      <c r="J11" s="123"/>
    </row>
    <row r="12" spans="1:12" x14ac:dyDescent="0.35">
      <c r="A12" s="1" t="s">
        <v>267</v>
      </c>
      <c r="D12" s="48"/>
      <c r="E12" s="48"/>
      <c r="F12" s="48"/>
      <c r="J12" s="123"/>
    </row>
    <row r="13" spans="1:12" ht="15" customHeight="1" x14ac:dyDescent="0.35">
      <c r="A13" s="547" t="s">
        <v>488</v>
      </c>
      <c r="B13" s="547"/>
      <c r="C13" s="547"/>
      <c r="D13" s="547"/>
      <c r="E13" s="547"/>
      <c r="F13" s="547"/>
      <c r="G13" s="547"/>
      <c r="H13" s="547"/>
      <c r="I13" s="79"/>
      <c r="J13" s="62"/>
    </row>
    <row r="14" spans="1:12" ht="15" customHeight="1" x14ac:dyDescent="0.35">
      <c r="A14" s="547"/>
      <c r="B14" s="547"/>
      <c r="C14" s="547"/>
      <c r="D14" s="547"/>
      <c r="E14" s="547"/>
      <c r="F14" s="547"/>
      <c r="G14" s="547"/>
      <c r="H14" s="547"/>
      <c r="I14" s="79"/>
      <c r="J14" s="62"/>
    </row>
    <row r="15" spans="1:12" ht="15" customHeight="1" x14ac:dyDescent="0.35">
      <c r="A15" s="547"/>
      <c r="B15" s="547"/>
      <c r="C15" s="547"/>
      <c r="D15" s="547"/>
      <c r="E15" s="547"/>
      <c r="F15" s="547"/>
      <c r="G15" s="547"/>
      <c r="H15" s="547"/>
      <c r="I15" s="79"/>
      <c r="J15" s="62"/>
    </row>
    <row r="16" spans="1:12" x14ac:dyDescent="0.35">
      <c r="A16" s="547"/>
      <c r="B16" s="547"/>
      <c r="C16" s="547"/>
      <c r="D16" s="547"/>
      <c r="E16" s="547"/>
      <c r="F16" s="547"/>
      <c r="G16" s="547"/>
      <c r="H16" s="547"/>
      <c r="I16" s="62"/>
    </row>
    <row r="17" spans="1:25" x14ac:dyDescent="0.35">
      <c r="A17" s="166"/>
      <c r="B17" s="166"/>
      <c r="C17" s="166"/>
      <c r="D17" s="166"/>
      <c r="E17" s="166"/>
      <c r="F17" s="166"/>
      <c r="G17" s="166"/>
      <c r="H17" s="166"/>
      <c r="I17" s="119"/>
    </row>
    <row r="18" spans="1:25" x14ac:dyDescent="0.35">
      <c r="A18" s="166"/>
      <c r="B18" s="548">
        <v>1</v>
      </c>
      <c r="C18" s="549"/>
      <c r="D18" s="167">
        <v>2</v>
      </c>
      <c r="E18" s="167">
        <v>3</v>
      </c>
      <c r="F18" s="167">
        <v>4</v>
      </c>
      <c r="G18" s="167">
        <v>5</v>
      </c>
      <c r="H18" s="167">
        <v>6</v>
      </c>
      <c r="I18" s="119"/>
    </row>
    <row r="19" spans="1:25" s="4" customFormat="1" ht="52.5" customHeight="1" x14ac:dyDescent="0.35">
      <c r="A19" s="168"/>
      <c r="B19" s="550" t="s">
        <v>181</v>
      </c>
      <c r="C19" s="550"/>
      <c r="D19" s="142" t="s">
        <v>268</v>
      </c>
      <c r="E19" s="142" t="s">
        <v>457</v>
      </c>
      <c r="F19" s="142" t="s">
        <v>453</v>
      </c>
      <c r="G19" s="142" t="s">
        <v>489</v>
      </c>
      <c r="H19" s="142" t="s">
        <v>490</v>
      </c>
      <c r="I19" s="36"/>
    </row>
    <row r="20" spans="1:25" x14ac:dyDescent="0.35">
      <c r="A20" s="169">
        <v>1</v>
      </c>
      <c r="B20" s="545" t="s">
        <v>927</v>
      </c>
      <c r="C20" s="545"/>
      <c r="D20" s="170">
        <v>2</v>
      </c>
      <c r="E20" s="171">
        <v>12</v>
      </c>
      <c r="F20" s="171">
        <v>0.875</v>
      </c>
      <c r="G20" s="172">
        <v>697240.74874999991</v>
      </c>
      <c r="H20" s="173">
        <f>IF(G20-$D$8&gt;0,G20-$D$8,0)</f>
        <v>364390.74874999991</v>
      </c>
      <c r="I20" s="36"/>
    </row>
    <row r="21" spans="1:25" x14ac:dyDescent="0.35">
      <c r="A21" s="169">
        <f>A20+1</f>
        <v>2</v>
      </c>
      <c r="B21" s="545" t="s">
        <v>928</v>
      </c>
      <c r="C21" s="545"/>
      <c r="D21" s="170">
        <v>2</v>
      </c>
      <c r="E21" s="171">
        <v>12</v>
      </c>
      <c r="F21" s="171">
        <v>1</v>
      </c>
      <c r="G21" s="172">
        <v>432334.1</v>
      </c>
      <c r="H21" s="173">
        <f>IF(G21-$D$8&gt;0,G21-$D$8,0)</f>
        <v>99484.099999999977</v>
      </c>
      <c r="I21" s="48"/>
    </row>
    <row r="22" spans="1:25" x14ac:dyDescent="0.35">
      <c r="A22" s="169">
        <f t="shared" ref="A22:A30" si="0">A21+1</f>
        <v>3</v>
      </c>
      <c r="B22" s="545" t="s">
        <v>929</v>
      </c>
      <c r="C22" s="545"/>
      <c r="D22" s="170">
        <v>3</v>
      </c>
      <c r="E22" s="171">
        <v>12</v>
      </c>
      <c r="F22" s="171">
        <v>0.5</v>
      </c>
      <c r="G22" s="172">
        <v>272278.90999999997</v>
      </c>
      <c r="H22" s="173">
        <f>IF(G22-$D$8&gt;0,G22-$D$8,0)</f>
        <v>0</v>
      </c>
      <c r="I22" s="48"/>
    </row>
    <row r="23" spans="1:25" x14ac:dyDescent="0.35">
      <c r="A23" s="169">
        <f t="shared" si="0"/>
        <v>4</v>
      </c>
      <c r="B23" s="545" t="s">
        <v>930</v>
      </c>
      <c r="C23" s="545"/>
      <c r="D23" s="170">
        <v>3</v>
      </c>
      <c r="E23" s="171">
        <v>12</v>
      </c>
      <c r="F23" s="171">
        <v>0.5</v>
      </c>
      <c r="G23" s="172">
        <v>214895.16999999998</v>
      </c>
      <c r="H23" s="173">
        <f>IF(G23-$D$8&gt;0,G23-$D$8,0)</f>
        <v>0</v>
      </c>
      <c r="I23" s="48"/>
    </row>
    <row r="24" spans="1:25" x14ac:dyDescent="0.35">
      <c r="A24" s="169">
        <f t="shared" si="0"/>
        <v>5</v>
      </c>
      <c r="B24" s="545" t="s">
        <v>930</v>
      </c>
      <c r="C24" s="545"/>
      <c r="D24" s="170">
        <v>3</v>
      </c>
      <c r="E24" s="171">
        <v>12</v>
      </c>
      <c r="F24" s="171">
        <v>0.5</v>
      </c>
      <c r="G24" s="172">
        <v>202527.77</v>
      </c>
      <c r="H24" s="173">
        <f>IF(G24-$D$8&gt;0,G24-$D$8,0)</f>
        <v>0</v>
      </c>
    </row>
    <row r="25" spans="1:25" x14ac:dyDescent="0.35">
      <c r="A25" s="174">
        <f t="shared" si="0"/>
        <v>6</v>
      </c>
      <c r="B25" s="99"/>
      <c r="C25" s="99"/>
      <c r="D25" s="99"/>
      <c r="E25" s="99"/>
      <c r="F25" s="99"/>
      <c r="G25" s="99"/>
      <c r="H25" s="175">
        <f>SUM(H20:H24)</f>
        <v>463874.84874999989</v>
      </c>
      <c r="I25" s="48"/>
    </row>
    <row r="26" spans="1:25" x14ac:dyDescent="0.35">
      <c r="A26" s="99"/>
      <c r="B26" s="99"/>
      <c r="C26" s="99"/>
      <c r="D26" s="99"/>
      <c r="E26" s="99"/>
      <c r="F26" s="99"/>
      <c r="G26" s="99"/>
      <c r="H26" s="99"/>
    </row>
    <row r="27" spans="1:25" x14ac:dyDescent="0.35">
      <c r="A27" s="174">
        <v>7</v>
      </c>
      <c r="B27" s="99"/>
      <c r="C27" s="99"/>
      <c r="D27" s="99"/>
      <c r="E27" s="99"/>
      <c r="F27" s="99"/>
      <c r="G27" s="176" t="s">
        <v>184</v>
      </c>
      <c r="H27" s="177">
        <f>SUMIF($D$20:$D$24,2,$H$20:$H$24)</f>
        <v>463874.84874999989</v>
      </c>
    </row>
    <row r="28" spans="1:25" x14ac:dyDescent="0.35">
      <c r="A28" s="174">
        <v>8</v>
      </c>
      <c r="B28" s="99"/>
      <c r="C28" s="99"/>
      <c r="D28" s="99"/>
      <c r="E28" s="99"/>
      <c r="F28" s="99"/>
      <c r="G28" s="176" t="s">
        <v>182</v>
      </c>
      <c r="H28" s="177">
        <f>SUMIF($D$20:$D$24,3,$H$20:$H$24)</f>
        <v>0</v>
      </c>
    </row>
    <row r="29" spans="1:25" x14ac:dyDescent="0.35">
      <c r="A29" s="174">
        <v>9</v>
      </c>
      <c r="B29" s="99"/>
      <c r="C29" s="99"/>
      <c r="D29" s="99"/>
      <c r="E29" s="99"/>
      <c r="F29" s="99"/>
      <c r="G29" s="176" t="s">
        <v>183</v>
      </c>
      <c r="H29" s="177">
        <f>SUMIF($D$20:$D$24,4,$H$20:$H$24)</f>
        <v>0</v>
      </c>
    </row>
    <row r="30" spans="1:25" x14ac:dyDescent="0.35">
      <c r="A30" s="174">
        <f t="shared" si="0"/>
        <v>10</v>
      </c>
      <c r="B30" s="99"/>
      <c r="C30" s="99"/>
      <c r="D30" s="99"/>
      <c r="E30" s="99"/>
      <c r="F30" s="99"/>
      <c r="G30" s="176" t="s">
        <v>185</v>
      </c>
      <c r="H30" s="177">
        <f>SUMIF($D$20:$D$24,5,$H$20:$H$24)</f>
        <v>0</v>
      </c>
    </row>
    <row r="31" spans="1:25" x14ac:dyDescent="0.35">
      <c r="A31" s="99"/>
      <c r="B31" s="99"/>
      <c r="C31" s="99"/>
      <c r="D31" s="99"/>
      <c r="E31" s="99"/>
      <c r="F31" s="99"/>
      <c r="G31" s="99"/>
      <c r="H31" s="178" t="str">
        <f>IF(SUM(H27:H30)&lt;&gt;H25,"error","")</f>
        <v/>
      </c>
    </row>
    <row r="32" spans="1:25" ht="15.65" customHeight="1" x14ac:dyDescent="0.35">
      <c r="A32" s="99"/>
      <c r="B32" s="179"/>
      <c r="C32" s="179"/>
      <c r="D32" s="179"/>
      <c r="E32" s="179"/>
      <c r="F32" s="179"/>
      <c r="G32" s="179"/>
      <c r="H32" s="180" t="s">
        <v>269</v>
      </c>
      <c r="I32" s="80"/>
      <c r="J32" s="80"/>
      <c r="K32" s="64"/>
      <c r="U32" s="65"/>
      <c r="V32" s="65"/>
      <c r="W32" s="65"/>
      <c r="X32" s="65"/>
      <c r="Y32" s="65"/>
    </row>
    <row r="33" spans="1:8" x14ac:dyDescent="0.35">
      <c r="A33" s="99"/>
      <c r="B33" s="99"/>
      <c r="C33" s="99"/>
      <c r="D33" s="99"/>
      <c r="E33" s="99"/>
      <c r="F33" s="99"/>
      <c r="G33" s="99"/>
      <c r="H33" s="99"/>
    </row>
    <row r="34" spans="1:8" x14ac:dyDescent="0.35">
      <c r="A34" s="99"/>
      <c r="B34" s="99"/>
      <c r="C34" s="99"/>
      <c r="D34" s="99"/>
      <c r="E34" s="99"/>
      <c r="F34" s="99"/>
      <c r="G34" s="99"/>
      <c r="H34" s="99"/>
    </row>
    <row r="35" spans="1:8" x14ac:dyDescent="0.35">
      <c r="A35" s="99"/>
      <c r="B35" s="99"/>
      <c r="C35" s="99"/>
      <c r="D35" s="99"/>
      <c r="E35" s="99"/>
      <c r="F35" s="99"/>
      <c r="G35" s="99"/>
      <c r="H35" s="99"/>
    </row>
    <row r="36" spans="1:8" x14ac:dyDescent="0.35">
      <c r="A36" s="99"/>
      <c r="B36" s="99"/>
      <c r="C36" s="99"/>
      <c r="D36" s="99"/>
      <c r="E36" s="99"/>
      <c r="F36" s="99"/>
      <c r="G36" s="99"/>
      <c r="H36" s="99"/>
    </row>
    <row r="37" spans="1:8" x14ac:dyDescent="0.35">
      <c r="A37" s="99"/>
      <c r="B37" s="99"/>
      <c r="C37" s="99"/>
      <c r="D37" s="99"/>
      <c r="E37" s="99"/>
      <c r="F37" s="99"/>
      <c r="G37" s="99"/>
      <c r="H37" s="99"/>
    </row>
    <row r="38" spans="1:8" x14ac:dyDescent="0.35">
      <c r="A38" s="99"/>
      <c r="B38" s="99"/>
      <c r="C38" s="99"/>
      <c r="D38" s="99"/>
      <c r="E38" s="99"/>
      <c r="F38" s="99"/>
      <c r="G38" s="99"/>
      <c r="H38" s="99"/>
    </row>
    <row r="39" spans="1:8" x14ac:dyDescent="0.35">
      <c r="A39" s="99"/>
      <c r="B39" s="99"/>
      <c r="C39" s="99"/>
      <c r="D39" s="99"/>
      <c r="E39" s="99"/>
      <c r="F39" s="99"/>
      <c r="G39" s="99"/>
      <c r="H39" s="99"/>
    </row>
    <row r="40" spans="1:8" x14ac:dyDescent="0.35">
      <c r="A40" s="99"/>
      <c r="B40" s="99"/>
      <c r="C40" s="99"/>
      <c r="D40" s="99"/>
      <c r="E40" s="99"/>
      <c r="F40" s="99"/>
      <c r="G40" s="99"/>
      <c r="H40" s="99"/>
    </row>
    <row r="41" spans="1:8" x14ac:dyDescent="0.35">
      <c r="A41" s="99"/>
      <c r="B41" s="99"/>
      <c r="C41" s="99"/>
      <c r="D41" s="99"/>
      <c r="E41" s="99"/>
      <c r="F41" s="99"/>
      <c r="G41" s="99"/>
      <c r="H41" s="99"/>
    </row>
    <row r="42" spans="1:8" x14ac:dyDescent="0.35">
      <c r="A42" s="99"/>
      <c r="B42" s="99"/>
      <c r="C42" s="99"/>
      <c r="D42" s="99"/>
      <c r="E42" s="99"/>
      <c r="F42" s="99"/>
      <c r="G42" s="99"/>
      <c r="H42" s="99"/>
    </row>
    <row r="43" spans="1:8" x14ac:dyDescent="0.35">
      <c r="A43" s="99"/>
      <c r="B43" s="99"/>
      <c r="C43" s="99"/>
      <c r="D43" s="99"/>
      <c r="E43" s="99"/>
      <c r="F43" s="99"/>
      <c r="G43" s="99"/>
      <c r="H43" s="99"/>
    </row>
    <row r="44" spans="1:8" x14ac:dyDescent="0.35">
      <c r="A44" s="99"/>
      <c r="B44" s="99"/>
      <c r="C44" s="99"/>
      <c r="D44" s="99"/>
      <c r="E44" s="99"/>
      <c r="F44" s="99"/>
      <c r="G44" s="99"/>
      <c r="H44" s="99"/>
    </row>
    <row r="45" spans="1:8" x14ac:dyDescent="0.35">
      <c r="A45" s="99"/>
      <c r="B45" s="99"/>
      <c r="C45" s="99"/>
      <c r="D45" s="99"/>
      <c r="E45" s="99"/>
      <c r="F45" s="99"/>
      <c r="G45" s="99"/>
      <c r="H45" s="99"/>
    </row>
    <row r="46" spans="1:8" x14ac:dyDescent="0.35">
      <c r="A46" s="99"/>
      <c r="B46" s="99"/>
      <c r="C46" s="99"/>
      <c r="D46" s="99"/>
      <c r="E46" s="99"/>
      <c r="F46" s="99"/>
      <c r="G46" s="99"/>
      <c r="H46" s="99"/>
    </row>
    <row r="47" spans="1:8" x14ac:dyDescent="0.35">
      <c r="A47" s="99"/>
      <c r="B47" s="99"/>
      <c r="C47" s="99"/>
      <c r="D47" s="99"/>
      <c r="E47" s="99"/>
      <c r="F47" s="99"/>
      <c r="G47" s="99"/>
      <c r="H47" s="99"/>
    </row>
    <row r="48" spans="1:8" x14ac:dyDescent="0.35">
      <c r="A48" s="99"/>
      <c r="B48" s="99"/>
      <c r="C48" s="99"/>
      <c r="D48" s="99"/>
      <c r="E48" s="99"/>
      <c r="F48" s="99"/>
      <c r="G48" s="99"/>
      <c r="H48" s="99"/>
    </row>
    <row r="49" spans="1:8" x14ac:dyDescent="0.35">
      <c r="A49" s="99"/>
      <c r="B49" s="99"/>
      <c r="C49" s="99"/>
      <c r="D49" s="99"/>
      <c r="E49" s="99"/>
      <c r="F49" s="99"/>
      <c r="G49" s="99"/>
      <c r="H49" s="99"/>
    </row>
    <row r="50" spans="1:8" x14ac:dyDescent="0.35">
      <c r="A50" s="99"/>
      <c r="B50" s="99"/>
      <c r="C50" s="99"/>
      <c r="D50" s="99"/>
      <c r="E50" s="99"/>
      <c r="F50" s="99"/>
      <c r="G50" s="99"/>
      <c r="H50" s="99"/>
    </row>
    <row r="51" spans="1:8" x14ac:dyDescent="0.35">
      <c r="A51" s="99"/>
      <c r="B51" s="99"/>
      <c r="C51" s="99"/>
      <c r="D51" s="99"/>
      <c r="E51" s="99"/>
      <c r="F51" s="99"/>
      <c r="G51" s="99"/>
      <c r="H51" s="99"/>
    </row>
    <row r="52" spans="1:8" x14ac:dyDescent="0.35">
      <c r="A52" s="99"/>
      <c r="B52" s="99"/>
      <c r="C52" s="99"/>
      <c r="D52" s="99"/>
      <c r="E52" s="99"/>
      <c r="F52" s="99"/>
      <c r="G52" s="99"/>
      <c r="H52" s="99"/>
    </row>
    <row r="53" spans="1:8" x14ac:dyDescent="0.35">
      <c r="A53" s="99"/>
      <c r="B53" s="99"/>
      <c r="C53" s="99"/>
      <c r="D53" s="99"/>
      <c r="E53" s="99"/>
      <c r="F53" s="99"/>
      <c r="G53" s="99"/>
      <c r="H53" s="99"/>
    </row>
    <row r="54" spans="1:8" x14ac:dyDescent="0.35">
      <c r="A54" s="99"/>
      <c r="B54" s="99"/>
      <c r="C54" s="99"/>
      <c r="D54" s="99"/>
      <c r="E54" s="99"/>
      <c r="F54" s="99"/>
      <c r="G54" s="99"/>
      <c r="H54" s="99"/>
    </row>
    <row r="55" spans="1:8" x14ac:dyDescent="0.35">
      <c r="A55" s="99"/>
      <c r="B55" s="99"/>
      <c r="C55" s="99"/>
      <c r="D55" s="99"/>
      <c r="E55" s="99"/>
      <c r="F55" s="99"/>
      <c r="G55" s="99"/>
      <c r="H55" s="99"/>
    </row>
    <row r="56" spans="1:8" x14ac:dyDescent="0.35">
      <c r="A56" s="99"/>
      <c r="B56" s="99"/>
      <c r="C56" s="99"/>
      <c r="D56" s="99"/>
      <c r="E56" s="99"/>
      <c r="F56" s="99"/>
      <c r="G56" s="99"/>
      <c r="H56" s="99"/>
    </row>
    <row r="57" spans="1:8" x14ac:dyDescent="0.35">
      <c r="A57" s="99"/>
      <c r="B57" s="99"/>
      <c r="C57" s="99"/>
      <c r="D57" s="99"/>
      <c r="E57" s="99"/>
      <c r="F57" s="99"/>
      <c r="G57" s="99"/>
      <c r="H57" s="99"/>
    </row>
    <row r="58" spans="1:8" x14ac:dyDescent="0.35">
      <c r="A58" s="99"/>
      <c r="B58" s="99"/>
      <c r="C58" s="99"/>
      <c r="D58" s="99"/>
      <c r="E58" s="99"/>
      <c r="F58" s="99"/>
      <c r="G58" s="99"/>
      <c r="H58" s="99"/>
    </row>
    <row r="59" spans="1:8" x14ac:dyDescent="0.35">
      <c r="A59" s="99"/>
      <c r="B59" s="99"/>
      <c r="C59" s="99"/>
      <c r="D59" s="99"/>
      <c r="E59" s="99"/>
      <c r="F59" s="99"/>
      <c r="G59" s="99"/>
      <c r="H59" s="99"/>
    </row>
    <row r="60" spans="1:8" x14ac:dyDescent="0.35">
      <c r="A60" s="99"/>
      <c r="B60" s="99"/>
      <c r="C60" s="99"/>
      <c r="D60" s="99"/>
      <c r="E60" s="99"/>
      <c r="F60" s="99"/>
      <c r="G60" s="99"/>
      <c r="H60" s="99"/>
    </row>
    <row r="61" spans="1:8" x14ac:dyDescent="0.35">
      <c r="A61" s="99"/>
      <c r="B61" s="99"/>
      <c r="C61" s="99"/>
      <c r="D61" s="99"/>
      <c r="E61" s="99"/>
      <c r="F61" s="99"/>
      <c r="G61" s="99"/>
      <c r="H61" s="99"/>
    </row>
    <row r="62" spans="1:8" x14ac:dyDescent="0.35">
      <c r="A62" s="99"/>
      <c r="B62" s="99"/>
      <c r="C62" s="99"/>
      <c r="D62" s="99"/>
      <c r="E62" s="99"/>
      <c r="F62" s="99"/>
      <c r="G62" s="99"/>
      <c r="H62" s="99"/>
    </row>
    <row r="63" spans="1:8" x14ac:dyDescent="0.35">
      <c r="A63" s="99"/>
      <c r="B63" s="99"/>
      <c r="C63" s="99"/>
      <c r="D63" s="99"/>
      <c r="E63" s="99"/>
      <c r="F63" s="99"/>
      <c r="G63" s="99"/>
      <c r="H63" s="99"/>
    </row>
    <row r="64" spans="1:8" x14ac:dyDescent="0.35">
      <c r="A64" s="99"/>
      <c r="B64" s="99"/>
      <c r="C64" s="99"/>
      <c r="D64" s="99"/>
      <c r="E64" s="99"/>
      <c r="F64" s="99"/>
      <c r="G64" s="99"/>
      <c r="H64" s="99"/>
    </row>
    <row r="65" spans="1:8" x14ac:dyDescent="0.35">
      <c r="A65" s="99"/>
      <c r="B65" s="99"/>
      <c r="C65" s="99"/>
      <c r="D65" s="99"/>
      <c r="E65" s="99"/>
      <c r="F65" s="99"/>
      <c r="G65" s="99"/>
      <c r="H65" s="99"/>
    </row>
    <row r="66" spans="1:8" x14ac:dyDescent="0.35">
      <c r="A66" s="99"/>
      <c r="B66" s="99"/>
      <c r="C66" s="99"/>
      <c r="D66" s="99"/>
      <c r="E66" s="99"/>
      <c r="F66" s="99"/>
      <c r="G66" s="99"/>
      <c r="H66" s="99"/>
    </row>
    <row r="67" spans="1:8" x14ac:dyDescent="0.35">
      <c r="A67" s="99"/>
      <c r="B67" s="99"/>
      <c r="C67" s="99"/>
      <c r="D67" s="99"/>
      <c r="E67" s="99"/>
      <c r="F67" s="99"/>
      <c r="G67" s="99"/>
      <c r="H67" s="99"/>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17302493-42B1-4877-869E-E424A97AE78B}" hiddenRows="1">
      <selection activeCell="C28" sqref="C28"/>
      <pageMargins left="0.7" right="0.7" top="0.75" bottom="0.75" header="0.3" footer="0.3"/>
      <pageSetup orientation="portrait" horizontalDpi="1200" verticalDpi="1200" r:id="rId1"/>
    </customSheetView>
    <customSheetView guid="{5C0BA3A5-859C-46C2-B685-44D9A90065E4}" hiddenRows="1">
      <selection activeCell="C28" sqref="C28"/>
      <pageMargins left="0.7" right="0.7" top="0.75" bottom="0.75" header="0.3" footer="0.3"/>
      <pageSetup orientation="portrait" horizontalDpi="1200" verticalDpi="1200" r:id="rId2"/>
    </customSheetView>
  </customSheetViews>
  <mergeCells count="9">
    <mergeCell ref="B22:C22"/>
    <mergeCell ref="B23:C23"/>
    <mergeCell ref="B24:C24"/>
    <mergeCell ref="B20:C20"/>
    <mergeCell ref="A3:J3"/>
    <mergeCell ref="B19:C19"/>
    <mergeCell ref="A13:H16"/>
    <mergeCell ref="B18:C18"/>
    <mergeCell ref="B21:C21"/>
  </mergeCells>
  <dataValidations count="1">
    <dataValidation type="list" allowBlank="1" showInputMessage="1" showErrorMessage="1" sqref="D20:D24" xr:uid="{00000000-0002-0000-1900-000000000000}">
      <formula1>$D$92:$D$95</formula1>
    </dataValidation>
  </dataValidations>
  <pageMargins left="0.7" right="0.7" top="0.75" bottom="0.75" header="0.3" footer="0.3"/>
  <pageSetup orientation="portrait" horizontalDpi="1200" verticalDpi="1200"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rgb="FF9CC5CA"/>
  </sheetPr>
  <dimension ref="A1:D44"/>
  <sheetViews>
    <sheetView topLeftCell="A4" workbookViewId="0">
      <selection activeCell="D35" sqref="D35"/>
    </sheetView>
  </sheetViews>
  <sheetFormatPr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777</v>
      </c>
      <c r="B1" s="3"/>
    </row>
    <row r="2" spans="1:4" ht="21" x14ac:dyDescent="0.5">
      <c r="A2" s="2" t="s">
        <v>775</v>
      </c>
      <c r="B2" s="2"/>
    </row>
    <row r="3" spans="1:4" ht="25" customHeight="1" x14ac:dyDescent="0.5">
      <c r="A3" s="5" t="s">
        <v>763</v>
      </c>
    </row>
    <row r="5" spans="1:4" x14ac:dyDescent="0.35">
      <c r="A5" s="1" t="s">
        <v>776</v>
      </c>
      <c r="C5" s="413" t="str">
        <f>'As-Filed Schedule 1'!C5</f>
        <v>WellPower</v>
      </c>
    </row>
    <row r="6" spans="1:4" x14ac:dyDescent="0.35">
      <c r="A6" s="1" t="s">
        <v>0</v>
      </c>
      <c r="C6" s="406">
        <f>'As-Filed Schedule 1'!C6</f>
        <v>45473</v>
      </c>
      <c r="D6" s="56"/>
    </row>
    <row r="8" spans="1:4" ht="15" customHeight="1" x14ac:dyDescent="0.35">
      <c r="A8" t="s">
        <v>249</v>
      </c>
    </row>
    <row r="9" spans="1:4" ht="15" customHeight="1" x14ac:dyDescent="0.35"/>
    <row r="10" spans="1:4" ht="15" customHeight="1" x14ac:dyDescent="0.35">
      <c r="A10" t="s">
        <v>244</v>
      </c>
      <c r="B10" s="594" t="s">
        <v>931</v>
      </c>
      <c r="C10" s="594"/>
      <c r="D10" s="594"/>
    </row>
    <row r="11" spans="1:4" ht="15" customHeight="1" x14ac:dyDescent="0.35">
      <c r="B11" s="594"/>
      <c r="C11" s="594"/>
      <c r="D11" s="594"/>
    </row>
    <row r="12" spans="1:4" x14ac:dyDescent="0.35">
      <c r="B12" s="594"/>
      <c r="C12" s="594"/>
      <c r="D12" s="594"/>
    </row>
    <row r="13" spans="1:4" x14ac:dyDescent="0.35">
      <c r="B13" s="594"/>
      <c r="C13" s="594"/>
      <c r="D13" s="594"/>
    </row>
    <row r="15" spans="1:4" ht="15" customHeight="1" x14ac:dyDescent="0.35">
      <c r="A15" t="s">
        <v>245</v>
      </c>
      <c r="B15" s="594"/>
      <c r="C15" s="594"/>
      <c r="D15" s="594"/>
    </row>
    <row r="16" spans="1:4" ht="15" customHeight="1" x14ac:dyDescent="0.35">
      <c r="B16" s="594"/>
      <c r="C16" s="594"/>
      <c r="D16" s="594"/>
    </row>
    <row r="17" spans="1:4" x14ac:dyDescent="0.35">
      <c r="B17" s="594"/>
      <c r="C17" s="594"/>
      <c r="D17" s="594"/>
    </row>
    <row r="18" spans="1:4" x14ac:dyDescent="0.35">
      <c r="B18" s="594"/>
      <c r="C18" s="594"/>
      <c r="D18" s="594"/>
    </row>
    <row r="20" spans="1:4" ht="15" customHeight="1" x14ac:dyDescent="0.35">
      <c r="A20" t="s">
        <v>246</v>
      </c>
      <c r="B20" s="594"/>
      <c r="C20" s="594"/>
      <c r="D20" s="594"/>
    </row>
    <row r="21" spans="1:4" ht="15" customHeight="1" x14ac:dyDescent="0.35">
      <c r="B21" s="594"/>
      <c r="C21" s="594"/>
      <c r="D21" s="594"/>
    </row>
    <row r="22" spans="1:4" x14ac:dyDescent="0.35">
      <c r="B22" s="594"/>
      <c r="C22" s="594"/>
      <c r="D22" s="594"/>
    </row>
    <row r="23" spans="1:4" x14ac:dyDescent="0.35">
      <c r="B23" s="594"/>
      <c r="C23" s="594"/>
      <c r="D23" s="594"/>
    </row>
    <row r="25" spans="1:4" ht="15" customHeight="1" x14ac:dyDescent="0.35">
      <c r="A25" t="s">
        <v>247</v>
      </c>
      <c r="B25" s="594"/>
      <c r="C25" s="594"/>
      <c r="D25" s="594"/>
    </row>
    <row r="26" spans="1:4" ht="15" customHeight="1" x14ac:dyDescent="0.35">
      <c r="B26" s="594"/>
      <c r="C26" s="594"/>
      <c r="D26" s="594"/>
    </row>
    <row r="27" spans="1:4" x14ac:dyDescent="0.35">
      <c r="B27" s="594"/>
      <c r="C27" s="594"/>
      <c r="D27" s="594"/>
    </row>
    <row r="28" spans="1:4" x14ac:dyDescent="0.35">
      <c r="B28" s="594"/>
      <c r="C28" s="594"/>
      <c r="D28" s="594"/>
    </row>
    <row r="30" spans="1:4" ht="15" customHeight="1" x14ac:dyDescent="0.35">
      <c r="A30" t="s">
        <v>248</v>
      </c>
      <c r="B30" s="594"/>
      <c r="C30" s="594"/>
      <c r="D30" s="594"/>
    </row>
    <row r="31" spans="1:4" ht="15" customHeight="1" x14ac:dyDescent="0.35">
      <c r="B31" s="594"/>
      <c r="C31" s="594"/>
      <c r="D31" s="594"/>
    </row>
    <row r="32" spans="1:4" x14ac:dyDescent="0.35">
      <c r="B32" s="594"/>
      <c r="C32" s="594"/>
      <c r="D32" s="594"/>
    </row>
    <row r="33" spans="1:4" x14ac:dyDescent="0.35">
      <c r="B33" s="594"/>
      <c r="C33" s="594"/>
      <c r="D33" s="594"/>
    </row>
    <row r="35" spans="1:4" x14ac:dyDescent="0.35">
      <c r="A35" t="s">
        <v>205</v>
      </c>
      <c r="D35" s="115" t="s">
        <v>177</v>
      </c>
    </row>
    <row r="37" spans="1:4" x14ac:dyDescent="0.35">
      <c r="A37" t="s">
        <v>206</v>
      </c>
    </row>
    <row r="38" spans="1:4" x14ac:dyDescent="0.35">
      <c r="A38" s="595"/>
      <c r="B38" s="595"/>
      <c r="C38" s="595"/>
      <c r="D38" s="595"/>
    </row>
    <row r="39" spans="1:4" x14ac:dyDescent="0.35">
      <c r="A39" s="595"/>
      <c r="B39" s="595"/>
      <c r="C39" s="595"/>
      <c r="D39" s="595"/>
    </row>
    <row r="40" spans="1:4" x14ac:dyDescent="0.35">
      <c r="A40" s="595"/>
      <c r="B40" s="595"/>
      <c r="C40" s="595"/>
      <c r="D40" s="595"/>
    </row>
    <row r="41" spans="1:4" x14ac:dyDescent="0.35">
      <c r="A41" s="595"/>
      <c r="B41" s="595"/>
      <c r="C41" s="595"/>
      <c r="D41" s="595"/>
    </row>
    <row r="42" spans="1:4" x14ac:dyDescent="0.35">
      <c r="A42" s="595"/>
      <c r="B42" s="595"/>
      <c r="C42" s="595"/>
      <c r="D42" s="595"/>
    </row>
    <row r="43" spans="1:4" x14ac:dyDescent="0.35">
      <c r="A43" s="595"/>
      <c r="B43" s="595"/>
      <c r="C43" s="595"/>
      <c r="D43" s="595"/>
    </row>
    <row r="44" spans="1:4" x14ac:dyDescent="0.35">
      <c r="A44" s="595"/>
      <c r="B44" s="595"/>
      <c r="C44" s="595"/>
      <c r="D44" s="595"/>
    </row>
  </sheetData>
  <sheetProtection sheet="1" objects="1" scenarios="1"/>
  <customSheetViews>
    <customSheetView guid="{17302493-42B1-4877-869E-E424A97AE78B}" topLeftCell="A4">
      <selection activeCell="B10" sqref="B10:D13"/>
      <pageMargins left="0.7" right="0.7" top="0.75" bottom="0.75" header="0.3" footer="0.3"/>
    </customSheetView>
    <customSheetView guid="{5C0BA3A5-859C-46C2-B685-44D9A90065E4}" topLeftCell="A4">
      <selection activeCell="B10" sqref="B10:D13"/>
      <pageMargins left="0.7" right="0.7" top="0.75" bottom="0.75" header="0.3" footer="0.3"/>
    </customSheetView>
  </customSheetViews>
  <mergeCells count="6">
    <mergeCell ref="B10:D13"/>
    <mergeCell ref="A38:D44"/>
    <mergeCell ref="B15:D18"/>
    <mergeCell ref="B20:D23"/>
    <mergeCell ref="B25:D28"/>
    <mergeCell ref="B30:D3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rgb="FF9CC5CA"/>
  </sheetPr>
  <dimension ref="A1:X99"/>
  <sheetViews>
    <sheetView workbookViewId="0">
      <selection activeCell="G15" sqref="G15:I16"/>
    </sheetView>
  </sheetViews>
  <sheetFormatPr defaultRowHeight="14.5" x14ac:dyDescent="0.35"/>
  <cols>
    <col min="1" max="1" width="6.54296875" customWidth="1"/>
    <col min="2" max="2" width="18.453125" customWidth="1"/>
    <col min="3" max="3" width="12"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777</v>
      </c>
      <c r="B1" s="3"/>
      <c r="C1" s="3"/>
    </row>
    <row r="2" spans="1:24" ht="21" x14ac:dyDescent="0.5">
      <c r="A2" s="2" t="s">
        <v>775</v>
      </c>
      <c r="B2" s="2"/>
      <c r="C2" s="2"/>
    </row>
    <row r="3" spans="1:24" ht="25" customHeight="1" x14ac:dyDescent="0.5">
      <c r="A3" s="5" t="s">
        <v>764</v>
      </c>
    </row>
    <row r="5" spans="1:24" x14ac:dyDescent="0.35">
      <c r="A5" s="1" t="s">
        <v>776</v>
      </c>
      <c r="C5" s="413" t="str">
        <f>'As-Filed Schedule 1'!C5</f>
        <v>WellPower</v>
      </c>
      <c r="D5" s="405"/>
    </row>
    <row r="6" spans="1:24" x14ac:dyDescent="0.35">
      <c r="A6" s="1" t="s">
        <v>0</v>
      </c>
      <c r="C6" s="406">
        <f>'As-Filed Schedule 1'!C6</f>
        <v>45473</v>
      </c>
      <c r="D6" s="406"/>
      <c r="E6" s="56"/>
      <c r="G6" s="40"/>
      <c r="K6" s="122"/>
      <c r="L6" s="122"/>
      <c r="M6" s="122"/>
    </row>
    <row r="7" spans="1:24" x14ac:dyDescent="0.35">
      <c r="G7" s="40"/>
      <c r="K7" s="40"/>
      <c r="L7" s="40"/>
      <c r="M7" s="40"/>
    </row>
    <row r="8" spans="1:24" x14ac:dyDescent="0.35">
      <c r="A8" s="1" t="s">
        <v>272</v>
      </c>
      <c r="G8" s="40"/>
      <c r="K8" s="40"/>
      <c r="L8" s="40"/>
      <c r="M8" s="40"/>
    </row>
    <row r="9" spans="1:24" ht="15" customHeight="1" x14ac:dyDescent="0.35">
      <c r="A9" s="554" t="s">
        <v>491</v>
      </c>
      <c r="B9" s="554"/>
      <c r="C9" s="554"/>
      <c r="D9" s="554"/>
      <c r="E9" s="554"/>
      <c r="F9" s="554"/>
      <c r="G9" s="554"/>
      <c r="H9" s="554"/>
      <c r="I9" s="554"/>
      <c r="J9" s="64"/>
      <c r="K9" s="40"/>
      <c r="L9" s="40"/>
      <c r="M9" s="40"/>
      <c r="T9" s="65"/>
      <c r="U9" s="65"/>
      <c r="V9" s="65"/>
      <c r="W9" s="65"/>
      <c r="X9" s="65"/>
    </row>
    <row r="10" spans="1:24" ht="15" customHeight="1" x14ac:dyDescent="0.35">
      <c r="A10" s="554"/>
      <c r="B10" s="554"/>
      <c r="C10" s="554"/>
      <c r="D10" s="554"/>
      <c r="E10" s="554"/>
      <c r="F10" s="554"/>
      <c r="G10" s="554"/>
      <c r="H10" s="554"/>
      <c r="I10" s="554"/>
      <c r="J10" s="64"/>
      <c r="K10" s="40"/>
      <c r="L10" s="40"/>
      <c r="M10" s="40"/>
      <c r="T10" s="65"/>
      <c r="U10" s="65"/>
      <c r="V10" s="65"/>
      <c r="W10" s="65"/>
      <c r="X10" s="65"/>
    </row>
    <row r="11" spans="1:24" x14ac:dyDescent="0.35">
      <c r="A11" s="554"/>
      <c r="B11" s="554"/>
      <c r="C11" s="554"/>
      <c r="D11" s="554"/>
      <c r="E11" s="554"/>
      <c r="F11" s="554"/>
      <c r="G11" s="554"/>
      <c r="H11" s="554"/>
      <c r="I11" s="554"/>
      <c r="J11" s="64"/>
      <c r="T11" s="65"/>
      <c r="U11" s="65"/>
      <c r="V11" s="65"/>
      <c r="W11" s="65"/>
      <c r="X11" s="65"/>
    </row>
    <row r="12" spans="1:24" x14ac:dyDescent="0.35">
      <c r="A12" s="181"/>
      <c r="B12" s="181"/>
      <c r="C12" s="181"/>
      <c r="D12" s="181"/>
      <c r="E12" s="181"/>
      <c r="F12" s="181"/>
      <c r="G12" s="181"/>
      <c r="H12" s="181"/>
      <c r="I12" s="181"/>
      <c r="J12" s="64"/>
      <c r="T12" s="65"/>
      <c r="U12" s="65"/>
      <c r="V12" s="65"/>
      <c r="W12" s="65"/>
      <c r="X12" s="65"/>
    </row>
    <row r="13" spans="1:24" ht="15" customHeight="1" x14ac:dyDescent="0.35">
      <c r="A13" s="182"/>
      <c r="B13" s="555">
        <v>1</v>
      </c>
      <c r="C13" s="555"/>
      <c r="D13" s="167">
        <v>2</v>
      </c>
      <c r="E13" s="167">
        <v>3</v>
      </c>
      <c r="F13" s="167">
        <v>4</v>
      </c>
      <c r="G13" s="167">
        <v>5</v>
      </c>
      <c r="H13" s="167">
        <v>6</v>
      </c>
      <c r="I13" s="167">
        <v>7</v>
      </c>
      <c r="J13" s="64"/>
      <c r="T13" s="65"/>
      <c r="U13" s="65"/>
      <c r="V13" s="65"/>
      <c r="W13" s="65"/>
      <c r="X13" s="65"/>
    </row>
    <row r="14" spans="1:24" s="4" customFormat="1" ht="61.5" customHeight="1" x14ac:dyDescent="0.35">
      <c r="A14" s="183"/>
      <c r="B14" s="550" t="s">
        <v>277</v>
      </c>
      <c r="C14" s="556"/>
      <c r="D14" s="142" t="s">
        <v>784</v>
      </c>
      <c r="E14" s="184" t="s">
        <v>263</v>
      </c>
      <c r="F14" s="142" t="s">
        <v>788</v>
      </c>
      <c r="G14" s="185" t="s">
        <v>268</v>
      </c>
      <c r="H14" s="184" t="s">
        <v>243</v>
      </c>
      <c r="I14" s="142" t="s">
        <v>278</v>
      </c>
      <c r="J14" s="66"/>
      <c r="T14" s="67"/>
      <c r="U14" s="67"/>
      <c r="V14" s="67"/>
      <c r="W14" s="67"/>
      <c r="X14" s="67"/>
    </row>
    <row r="15" spans="1:24" s="4" customFormat="1" x14ac:dyDescent="0.35">
      <c r="A15" s="174">
        <v>1</v>
      </c>
      <c r="B15" s="545"/>
      <c r="C15" s="545"/>
      <c r="D15" s="172"/>
      <c r="E15" s="172"/>
      <c r="F15" s="186">
        <f>IF(D15-E15&lt;0,0,D15-E15)</f>
        <v>0</v>
      </c>
      <c r="G15" s="442"/>
      <c r="H15" s="443"/>
      <c r="I15" s="441"/>
      <c r="J15" s="66"/>
      <c r="T15" s="67"/>
      <c r="U15" s="67"/>
      <c r="V15" s="67"/>
      <c r="W15" s="67"/>
      <c r="X15" s="67"/>
    </row>
    <row r="16" spans="1:24" s="4" customFormat="1" x14ac:dyDescent="0.35">
      <c r="A16" s="174">
        <f>A15+1</f>
        <v>2</v>
      </c>
      <c r="B16" s="596"/>
      <c r="C16" s="596"/>
      <c r="D16" s="172"/>
      <c r="E16" s="440"/>
      <c r="F16" s="186">
        <f t="shared" ref="F16:F24" si="0">IF(D16-E16&lt;0,0,D16-E16)</f>
        <v>0</v>
      </c>
      <c r="G16" s="442"/>
      <c r="H16" s="443"/>
      <c r="I16" s="441"/>
      <c r="J16" s="133"/>
      <c r="T16" s="67"/>
      <c r="U16" s="67"/>
      <c r="V16" s="67"/>
      <c r="W16" s="67"/>
      <c r="X16" s="67"/>
    </row>
    <row r="17" spans="1:24" s="4" customFormat="1" ht="15" customHeight="1" x14ac:dyDescent="0.35">
      <c r="A17" s="174">
        <f t="shared" ref="A17:A30" si="1">A16+1</f>
        <v>3</v>
      </c>
      <c r="B17" s="545"/>
      <c r="C17" s="545"/>
      <c r="D17" s="172"/>
      <c r="E17" s="172"/>
      <c r="F17" s="186">
        <f t="shared" si="0"/>
        <v>0</v>
      </c>
      <c r="G17" s="187"/>
      <c r="H17" s="170"/>
      <c r="I17" s="188"/>
      <c r="J17" s="66"/>
      <c r="T17" s="67"/>
      <c r="U17" s="67"/>
      <c r="V17" s="67"/>
      <c r="W17" s="67"/>
      <c r="X17" s="67"/>
    </row>
    <row r="18" spans="1:24" s="4" customFormat="1" ht="15" customHeight="1" x14ac:dyDescent="0.35">
      <c r="A18" s="174">
        <f t="shared" si="1"/>
        <v>4</v>
      </c>
      <c r="B18" s="545"/>
      <c r="C18" s="545"/>
      <c r="D18" s="172"/>
      <c r="E18" s="172"/>
      <c r="F18" s="186">
        <f t="shared" si="0"/>
        <v>0</v>
      </c>
      <c r="G18" s="187"/>
      <c r="H18" s="170"/>
      <c r="I18" s="188"/>
      <c r="J18" s="66"/>
      <c r="T18" s="67"/>
      <c r="U18" s="67"/>
      <c r="V18" s="67"/>
      <c r="W18" s="67"/>
      <c r="X18" s="67"/>
    </row>
    <row r="19" spans="1:24" s="4" customFormat="1" ht="15" customHeight="1" x14ac:dyDescent="0.35">
      <c r="A19" s="174">
        <f t="shared" si="1"/>
        <v>5</v>
      </c>
      <c r="B19" s="545"/>
      <c r="C19" s="545"/>
      <c r="D19" s="172"/>
      <c r="E19" s="172"/>
      <c r="F19" s="186">
        <f t="shared" si="0"/>
        <v>0</v>
      </c>
      <c r="G19" s="187"/>
      <c r="H19" s="170"/>
      <c r="I19" s="188"/>
      <c r="J19" s="66"/>
      <c r="T19" s="67"/>
      <c r="U19" s="67"/>
      <c r="V19" s="67"/>
      <c r="W19" s="67"/>
      <c r="X19" s="67"/>
    </row>
    <row r="20" spans="1:24" s="4" customFormat="1" ht="15" customHeight="1" x14ac:dyDescent="0.35">
      <c r="A20" s="174">
        <f t="shared" si="1"/>
        <v>6</v>
      </c>
      <c r="B20" s="545"/>
      <c r="C20" s="545"/>
      <c r="D20" s="172"/>
      <c r="E20" s="172"/>
      <c r="F20" s="186">
        <f t="shared" si="0"/>
        <v>0</v>
      </c>
      <c r="G20" s="187"/>
      <c r="H20" s="170"/>
      <c r="I20" s="188"/>
      <c r="J20" s="66"/>
      <c r="T20" s="67"/>
      <c r="U20" s="67"/>
      <c r="V20" s="67"/>
      <c r="W20" s="67"/>
      <c r="X20" s="67"/>
    </row>
    <row r="21" spans="1:24" s="4" customFormat="1" ht="15" customHeight="1" x14ac:dyDescent="0.35">
      <c r="A21" s="174">
        <f t="shared" si="1"/>
        <v>7</v>
      </c>
      <c r="B21" s="545"/>
      <c r="C21" s="545"/>
      <c r="D21" s="172"/>
      <c r="E21" s="172"/>
      <c r="F21" s="186">
        <f t="shared" si="0"/>
        <v>0</v>
      </c>
      <c r="G21" s="187"/>
      <c r="H21" s="170"/>
      <c r="I21" s="188"/>
      <c r="J21" s="66"/>
      <c r="T21" s="67"/>
      <c r="U21" s="67"/>
      <c r="V21" s="67"/>
      <c r="W21" s="67"/>
      <c r="X21" s="67"/>
    </row>
    <row r="22" spans="1:24" s="4" customFormat="1" ht="15" customHeight="1" x14ac:dyDescent="0.35">
      <c r="A22" s="174">
        <f t="shared" si="1"/>
        <v>8</v>
      </c>
      <c r="B22" s="545"/>
      <c r="C22" s="545"/>
      <c r="D22" s="172"/>
      <c r="E22" s="172"/>
      <c r="F22" s="186">
        <f t="shared" si="0"/>
        <v>0</v>
      </c>
      <c r="G22" s="187"/>
      <c r="H22" s="170"/>
      <c r="I22" s="188"/>
      <c r="J22" s="66"/>
      <c r="T22" s="67"/>
      <c r="U22" s="67"/>
      <c r="V22" s="67"/>
      <c r="W22" s="67"/>
      <c r="X22" s="67"/>
    </row>
    <row r="23" spans="1:24" s="4" customFormat="1" ht="15" customHeight="1" x14ac:dyDescent="0.35">
      <c r="A23" s="174">
        <f t="shared" si="1"/>
        <v>9</v>
      </c>
      <c r="B23" s="545"/>
      <c r="C23" s="545"/>
      <c r="D23" s="172"/>
      <c r="E23" s="172"/>
      <c r="F23" s="186">
        <f t="shared" si="0"/>
        <v>0</v>
      </c>
      <c r="G23" s="187"/>
      <c r="H23" s="170"/>
      <c r="I23" s="188"/>
      <c r="J23" s="66"/>
      <c r="T23" s="67"/>
      <c r="U23" s="67"/>
      <c r="V23" s="67"/>
      <c r="W23" s="67"/>
      <c r="X23" s="67"/>
    </row>
    <row r="24" spans="1:24" s="4" customFormat="1" ht="15" customHeight="1" x14ac:dyDescent="0.35">
      <c r="A24" s="174">
        <f t="shared" si="1"/>
        <v>10</v>
      </c>
      <c r="B24" s="545"/>
      <c r="C24" s="545"/>
      <c r="D24" s="172"/>
      <c r="E24" s="172"/>
      <c r="F24" s="186">
        <f t="shared" si="0"/>
        <v>0</v>
      </c>
      <c r="G24" s="187"/>
      <c r="H24" s="170"/>
      <c r="I24" s="188"/>
      <c r="J24" s="66"/>
      <c r="T24" s="67"/>
      <c r="U24" s="67"/>
      <c r="V24" s="67"/>
      <c r="W24" s="67"/>
      <c r="X24" s="67"/>
    </row>
    <row r="25" spans="1:24" s="4" customFormat="1" ht="15" customHeight="1" x14ac:dyDescent="0.35">
      <c r="A25" s="174">
        <f t="shared" si="1"/>
        <v>11</v>
      </c>
      <c r="B25" s="183"/>
      <c r="C25" s="183"/>
      <c r="D25" s="189"/>
      <c r="E25" s="183"/>
      <c r="F25" s="177">
        <f>SUM(F15:F24)</f>
        <v>0</v>
      </c>
      <c r="G25" s="183"/>
      <c r="H25" s="190"/>
      <c r="I25" s="183"/>
      <c r="J25" s="66"/>
      <c r="T25" s="67"/>
      <c r="U25" s="67"/>
      <c r="V25" s="67"/>
      <c r="W25" s="67"/>
      <c r="X25" s="67"/>
    </row>
    <row r="26" spans="1:24" s="4" customFormat="1" ht="15" customHeight="1" x14ac:dyDescent="0.35">
      <c r="A26" s="191"/>
      <c r="B26" s="183"/>
      <c r="C26" s="183"/>
      <c r="D26" s="189"/>
      <c r="E26" s="183"/>
      <c r="F26" s="183"/>
      <c r="G26" s="183"/>
      <c r="H26" s="190"/>
      <c r="I26" s="183"/>
      <c r="J26" s="66"/>
      <c r="T26" s="67"/>
      <c r="U26" s="67"/>
      <c r="V26" s="67"/>
      <c r="W26" s="67"/>
      <c r="X26" s="67"/>
    </row>
    <row r="27" spans="1:24" x14ac:dyDescent="0.35">
      <c r="A27" s="174">
        <v>12</v>
      </c>
      <c r="B27" s="99"/>
      <c r="C27" s="99"/>
      <c r="D27" s="99"/>
      <c r="E27" s="176" t="s">
        <v>184</v>
      </c>
      <c r="F27" s="177">
        <f>SUMIF($G$15:$G$24,2,$F$15:$F$24)</f>
        <v>0</v>
      </c>
      <c r="G27" s="183"/>
      <c r="H27" s="99"/>
      <c r="I27" s="99"/>
    </row>
    <row r="28" spans="1:24" x14ac:dyDescent="0.35">
      <c r="A28" s="174">
        <v>13</v>
      </c>
      <c r="B28" s="99"/>
      <c r="C28" s="99"/>
      <c r="D28" s="99"/>
      <c r="E28" s="176" t="s">
        <v>182</v>
      </c>
      <c r="F28" s="177">
        <f>SUMIF($G$15:$G$24,3,$F$15:$F$24)</f>
        <v>0</v>
      </c>
      <c r="G28" s="183"/>
      <c r="H28" s="99"/>
      <c r="I28" s="99"/>
    </row>
    <row r="29" spans="1:24" x14ac:dyDescent="0.35">
      <c r="A29" s="174">
        <f t="shared" si="1"/>
        <v>14</v>
      </c>
      <c r="B29" s="99"/>
      <c r="C29" s="99"/>
      <c r="D29" s="99"/>
      <c r="E29" s="176" t="s">
        <v>183</v>
      </c>
      <c r="F29" s="177">
        <f>SUMIF($G$15:$G$24,4,$F$15:$F$24)</f>
        <v>0</v>
      </c>
      <c r="G29" s="183"/>
      <c r="H29" s="99"/>
      <c r="I29" s="99"/>
    </row>
    <row r="30" spans="1:24" x14ac:dyDescent="0.35">
      <c r="A30" s="174">
        <f t="shared" si="1"/>
        <v>15</v>
      </c>
      <c r="B30" s="99"/>
      <c r="C30" s="99"/>
      <c r="D30" s="99"/>
      <c r="E30" s="176" t="s">
        <v>185</v>
      </c>
      <c r="F30" s="177">
        <f>SUMIF($G$15:$G$24,5,$F$15:$F$24)</f>
        <v>0</v>
      </c>
      <c r="G30" s="183"/>
      <c r="H30" s="99"/>
      <c r="I30" s="99"/>
    </row>
    <row r="31" spans="1:24" x14ac:dyDescent="0.35">
      <c r="A31" s="99"/>
      <c r="B31" s="99"/>
      <c r="C31" s="99"/>
      <c r="D31" s="99"/>
      <c r="E31" s="99"/>
      <c r="F31" s="178" t="str">
        <f>IF(SUM(F27:F30)&lt;&gt;F25,"error","")</f>
        <v/>
      </c>
      <c r="G31" s="183"/>
      <c r="H31" s="99"/>
      <c r="I31" s="99"/>
    </row>
    <row r="32" spans="1:24" ht="15.65" customHeight="1" x14ac:dyDescent="0.35">
      <c r="A32" s="99"/>
      <c r="B32" s="179"/>
      <c r="C32" s="179"/>
      <c r="D32" s="179"/>
      <c r="E32" s="179"/>
      <c r="F32" s="180" t="s">
        <v>271</v>
      </c>
      <c r="G32" s="180"/>
      <c r="H32" s="179"/>
      <c r="I32" s="179"/>
      <c r="J32" s="64"/>
      <c r="T32" s="65"/>
      <c r="U32" s="65"/>
      <c r="V32" s="65"/>
      <c r="W32" s="65"/>
      <c r="X32" s="65"/>
    </row>
    <row r="33" spans="1:24" x14ac:dyDescent="0.35">
      <c r="A33" s="192"/>
      <c r="B33" s="193"/>
      <c r="C33" s="193"/>
      <c r="D33" s="194"/>
      <c r="E33" s="193"/>
      <c r="F33" s="193"/>
      <c r="G33" s="193"/>
      <c r="H33" s="195"/>
      <c r="I33" s="193"/>
      <c r="J33" s="64"/>
      <c r="T33" s="65"/>
      <c r="U33" s="65"/>
      <c r="V33" s="65"/>
      <c r="W33" s="65"/>
      <c r="X33" s="65"/>
    </row>
    <row r="34" spans="1:24" ht="15.65" customHeight="1" x14ac:dyDescent="0.35">
      <c r="A34" s="553" t="s">
        <v>492</v>
      </c>
      <c r="B34" s="553"/>
      <c r="C34" s="553"/>
      <c r="D34" s="553"/>
      <c r="E34" s="553"/>
      <c r="F34" s="553"/>
      <c r="G34" s="553"/>
      <c r="H34" s="553"/>
      <c r="I34" s="553"/>
      <c r="J34" s="64"/>
      <c r="T34" s="65"/>
      <c r="U34" s="65"/>
      <c r="V34" s="65"/>
      <c r="W34" s="65"/>
      <c r="X34" s="65"/>
    </row>
    <row r="35" spans="1:24" x14ac:dyDescent="0.35">
      <c r="A35" s="553"/>
      <c r="B35" s="553"/>
      <c r="C35" s="553"/>
      <c r="D35" s="553"/>
      <c r="E35" s="553"/>
      <c r="F35" s="553"/>
      <c r="G35" s="553"/>
      <c r="H35" s="553"/>
      <c r="I35" s="553"/>
      <c r="J35" s="64"/>
      <c r="T35" s="65"/>
      <c r="U35" s="65"/>
      <c r="V35" s="65"/>
      <c r="W35" s="65"/>
      <c r="X35" s="65"/>
    </row>
    <row r="36" spans="1:24" x14ac:dyDescent="0.35">
      <c r="A36" s="553"/>
      <c r="B36" s="553"/>
      <c r="C36" s="553"/>
      <c r="D36" s="553"/>
      <c r="E36" s="553"/>
      <c r="F36" s="553"/>
      <c r="G36" s="553"/>
      <c r="H36" s="553"/>
      <c r="I36" s="553"/>
      <c r="J36" s="64"/>
      <c r="T36" s="65"/>
      <c r="U36" s="65"/>
      <c r="V36" s="65"/>
      <c r="W36" s="65"/>
      <c r="X36" s="65"/>
    </row>
    <row r="37" spans="1:24" x14ac:dyDescent="0.35">
      <c r="A37" s="553"/>
      <c r="B37" s="553"/>
      <c r="C37" s="553"/>
      <c r="D37" s="553"/>
      <c r="E37" s="553"/>
      <c r="F37" s="553"/>
      <c r="G37" s="553"/>
      <c r="H37" s="553"/>
      <c r="I37" s="553"/>
      <c r="J37" s="64"/>
      <c r="T37" s="65"/>
      <c r="U37" s="65"/>
      <c r="V37" s="65"/>
      <c r="W37" s="65"/>
      <c r="X37" s="65"/>
    </row>
    <row r="38" spans="1:24" x14ac:dyDescent="0.35">
      <c r="A38" s="553"/>
      <c r="B38" s="553"/>
      <c r="C38" s="553"/>
      <c r="D38" s="553"/>
      <c r="E38" s="553"/>
      <c r="F38" s="553"/>
      <c r="G38" s="553"/>
      <c r="H38" s="553"/>
      <c r="I38" s="553"/>
      <c r="J38" s="64"/>
      <c r="T38" s="65"/>
      <c r="U38" s="65"/>
      <c r="V38" s="65"/>
      <c r="W38" s="65"/>
      <c r="X38" s="65"/>
    </row>
    <row r="39" spans="1:24" x14ac:dyDescent="0.35">
      <c r="A39" s="553"/>
      <c r="B39" s="553"/>
      <c r="C39" s="553"/>
      <c r="D39" s="553"/>
      <c r="E39" s="553"/>
      <c r="F39" s="553"/>
      <c r="G39" s="553"/>
      <c r="H39" s="553"/>
      <c r="I39" s="553"/>
      <c r="J39" s="64"/>
      <c r="T39" s="65"/>
      <c r="U39" s="65"/>
      <c r="V39" s="65"/>
      <c r="W39" s="65"/>
      <c r="X39" s="65"/>
    </row>
    <row r="40" spans="1:24" ht="14.25" customHeight="1" x14ac:dyDescent="0.35">
      <c r="A40" s="99"/>
      <c r="B40" s="99"/>
      <c r="C40" s="99"/>
      <c r="D40" s="99"/>
      <c r="E40" s="99"/>
      <c r="F40" s="99"/>
      <c r="G40" s="99"/>
      <c r="H40" s="112"/>
      <c r="I40" s="99"/>
    </row>
    <row r="41" spans="1:24" x14ac:dyDescent="0.35">
      <c r="A41" s="99"/>
      <c r="B41" s="99"/>
      <c r="C41" s="99"/>
      <c r="D41" s="99"/>
      <c r="E41" s="99"/>
      <c r="F41" s="99"/>
      <c r="G41" s="99"/>
      <c r="H41" s="112"/>
      <c r="I41" s="99"/>
    </row>
    <row r="42" spans="1:24" x14ac:dyDescent="0.35">
      <c r="A42" s="99"/>
      <c r="B42" s="99"/>
      <c r="C42" s="99"/>
      <c r="D42" s="99"/>
      <c r="E42" s="99"/>
      <c r="F42" s="99"/>
      <c r="G42" s="99"/>
      <c r="H42" s="112"/>
      <c r="I42" s="99"/>
    </row>
    <row r="43" spans="1:24" x14ac:dyDescent="0.35">
      <c r="A43" s="99"/>
      <c r="B43" s="99"/>
      <c r="C43" s="99"/>
      <c r="D43" s="99"/>
      <c r="E43" s="99"/>
      <c r="F43" s="99"/>
      <c r="G43" s="99"/>
      <c r="H43" s="112"/>
      <c r="I43" s="99"/>
    </row>
    <row r="44" spans="1:24" x14ac:dyDescent="0.35">
      <c r="A44" s="99"/>
      <c r="B44" s="99"/>
      <c r="C44" s="99"/>
      <c r="D44" s="99"/>
      <c r="E44" s="99"/>
      <c r="F44" s="99"/>
      <c r="G44" s="99"/>
      <c r="H44" s="112"/>
      <c r="I44" s="99"/>
    </row>
    <row r="45" spans="1:24" x14ac:dyDescent="0.35">
      <c r="A45" s="99"/>
      <c r="B45" s="99"/>
      <c r="C45" s="99"/>
      <c r="D45" s="99"/>
      <c r="E45" s="99"/>
      <c r="F45" s="99"/>
      <c r="G45" s="99"/>
      <c r="H45" s="112"/>
      <c r="I45" s="99"/>
    </row>
    <row r="46" spans="1:24" x14ac:dyDescent="0.35">
      <c r="A46" s="99"/>
      <c r="B46" s="99"/>
      <c r="C46" s="99"/>
      <c r="D46" s="99"/>
      <c r="E46" s="99"/>
      <c r="F46" s="99"/>
      <c r="G46" s="99"/>
      <c r="H46" s="112"/>
      <c r="I46" s="99"/>
    </row>
    <row r="47" spans="1:24" x14ac:dyDescent="0.35">
      <c r="A47" s="99"/>
      <c r="B47" s="99"/>
      <c r="C47" s="99"/>
      <c r="D47" s="99"/>
      <c r="E47" s="99"/>
      <c r="F47" s="99"/>
      <c r="G47" s="99"/>
      <c r="H47" s="112"/>
      <c r="I47" s="99"/>
    </row>
    <row r="48" spans="1:24" x14ac:dyDescent="0.35">
      <c r="A48" s="99"/>
      <c r="B48" s="99"/>
      <c r="C48" s="99"/>
      <c r="D48" s="99"/>
      <c r="E48" s="99"/>
      <c r="F48" s="99"/>
      <c r="G48" s="99"/>
      <c r="H48" s="112"/>
      <c r="I48" s="99"/>
    </row>
    <row r="49" spans="1:9" x14ac:dyDescent="0.35">
      <c r="A49" s="99"/>
      <c r="B49" s="99"/>
      <c r="C49" s="99"/>
      <c r="D49" s="99"/>
      <c r="E49" s="99"/>
      <c r="F49" s="99"/>
      <c r="G49" s="99"/>
      <c r="H49" s="112"/>
      <c r="I49" s="99"/>
    </row>
    <row r="50" spans="1:9" x14ac:dyDescent="0.35">
      <c r="A50" s="99"/>
      <c r="B50" s="99"/>
      <c r="C50" s="99"/>
      <c r="D50" s="99"/>
      <c r="E50" s="99"/>
      <c r="F50" s="99"/>
      <c r="G50" s="99"/>
      <c r="H50" s="112"/>
      <c r="I50" s="99"/>
    </row>
    <row r="51" spans="1:9" x14ac:dyDescent="0.35">
      <c r="A51" s="99"/>
      <c r="B51" s="99"/>
      <c r="C51" s="99"/>
      <c r="D51" s="99"/>
      <c r="E51" s="99"/>
      <c r="F51" s="99"/>
      <c r="G51" s="99"/>
      <c r="H51" s="112"/>
      <c r="I51" s="99"/>
    </row>
    <row r="52" spans="1:9" x14ac:dyDescent="0.35">
      <c r="A52" s="99"/>
      <c r="B52" s="99"/>
      <c r="C52" s="99"/>
      <c r="D52" s="99"/>
      <c r="E52" s="99"/>
      <c r="F52" s="99"/>
      <c r="G52" s="99"/>
      <c r="H52" s="112"/>
      <c r="I52" s="99"/>
    </row>
    <row r="53" spans="1:9" x14ac:dyDescent="0.35">
      <c r="A53" s="99"/>
      <c r="B53" s="99"/>
      <c r="C53" s="99"/>
      <c r="D53" s="99"/>
      <c r="E53" s="99"/>
      <c r="F53" s="99"/>
      <c r="G53" s="99"/>
      <c r="H53" s="112"/>
      <c r="I53" s="99"/>
    </row>
    <row r="54" spans="1:9" x14ac:dyDescent="0.35">
      <c r="A54" s="99"/>
      <c r="B54" s="99"/>
      <c r="C54" s="99"/>
      <c r="D54" s="99"/>
      <c r="E54" s="99"/>
      <c r="F54" s="99"/>
      <c r="G54" s="99"/>
      <c r="H54" s="112"/>
      <c r="I54" s="99"/>
    </row>
    <row r="55" spans="1:9" x14ac:dyDescent="0.35">
      <c r="A55" s="99"/>
      <c r="B55" s="99"/>
      <c r="C55" s="99"/>
      <c r="D55" s="99"/>
      <c r="E55" s="99"/>
      <c r="F55" s="99"/>
      <c r="G55" s="99"/>
      <c r="H55" s="112"/>
      <c r="I55" s="99"/>
    </row>
    <row r="56" spans="1:9" x14ac:dyDescent="0.35">
      <c r="A56" s="99"/>
      <c r="B56" s="99"/>
      <c r="C56" s="99"/>
      <c r="D56" s="99"/>
      <c r="E56" s="99"/>
      <c r="F56" s="99"/>
      <c r="G56" s="99"/>
      <c r="H56" s="112"/>
      <c r="I56" s="99"/>
    </row>
    <row r="57" spans="1:9" x14ac:dyDescent="0.35">
      <c r="A57" s="99"/>
      <c r="B57" s="99"/>
      <c r="C57" s="99"/>
      <c r="D57" s="99"/>
      <c r="E57" s="99"/>
      <c r="F57" s="99"/>
      <c r="G57" s="99"/>
      <c r="H57" s="112"/>
      <c r="I57" s="99"/>
    </row>
    <row r="58" spans="1:9" x14ac:dyDescent="0.35">
      <c r="A58" s="99"/>
      <c r="B58" s="99"/>
      <c r="C58" s="99"/>
      <c r="D58" s="99"/>
      <c r="E58" s="99"/>
      <c r="F58" s="99"/>
      <c r="G58" s="99"/>
      <c r="H58" s="112"/>
      <c r="I58" s="99"/>
    </row>
    <row r="59" spans="1:9" x14ac:dyDescent="0.35">
      <c r="A59" s="99"/>
      <c r="B59" s="99"/>
      <c r="C59" s="99"/>
      <c r="D59" s="99"/>
      <c r="E59" s="99"/>
      <c r="F59" s="99"/>
      <c r="G59" s="99"/>
      <c r="H59" s="112"/>
      <c r="I59" s="99"/>
    </row>
    <row r="60" spans="1:9" x14ac:dyDescent="0.35">
      <c r="A60" s="99"/>
      <c r="B60" s="99"/>
      <c r="C60" s="99"/>
      <c r="D60" s="99"/>
      <c r="E60" s="99"/>
      <c r="F60" s="99"/>
      <c r="G60" s="99"/>
      <c r="H60" s="112"/>
      <c r="I60" s="99"/>
    </row>
    <row r="61" spans="1:9" x14ac:dyDescent="0.35">
      <c r="A61" s="99"/>
      <c r="B61" s="99"/>
      <c r="C61" s="99"/>
      <c r="D61" s="99"/>
      <c r="E61" s="99"/>
      <c r="F61" s="99"/>
      <c r="G61" s="99"/>
      <c r="H61" s="112"/>
      <c r="I61" s="99"/>
    </row>
    <row r="62" spans="1:9" x14ac:dyDescent="0.35">
      <c r="A62" s="99"/>
      <c r="B62" s="99"/>
      <c r="C62" s="99"/>
      <c r="D62" s="99"/>
      <c r="E62" s="99"/>
      <c r="F62" s="99"/>
      <c r="G62" s="99"/>
      <c r="H62" s="112"/>
      <c r="I62" s="99"/>
    </row>
    <row r="63" spans="1:9" x14ac:dyDescent="0.35">
      <c r="A63" s="99"/>
      <c r="B63" s="99"/>
      <c r="C63" s="99"/>
      <c r="D63" s="99"/>
      <c r="E63" s="99"/>
      <c r="F63" s="99"/>
      <c r="G63" s="99"/>
      <c r="H63" s="112"/>
      <c r="I63" s="99"/>
    </row>
    <row r="64" spans="1:9" x14ac:dyDescent="0.35">
      <c r="A64" s="99"/>
      <c r="B64" s="99"/>
      <c r="C64" s="99"/>
      <c r="D64" s="99"/>
      <c r="E64" s="99"/>
      <c r="F64" s="99"/>
      <c r="G64" s="99"/>
      <c r="H64" s="112"/>
      <c r="I64" s="99"/>
    </row>
    <row r="65" spans="1:9" x14ac:dyDescent="0.35">
      <c r="A65" s="99"/>
      <c r="B65" s="99"/>
      <c r="C65" s="99"/>
      <c r="D65" s="99"/>
      <c r="E65" s="99"/>
      <c r="F65" s="99"/>
      <c r="G65" s="99"/>
      <c r="H65" s="112"/>
      <c r="I65" s="99"/>
    </row>
    <row r="66" spans="1:9" x14ac:dyDescent="0.35">
      <c r="A66" s="99"/>
      <c r="B66" s="99"/>
      <c r="C66" s="99"/>
      <c r="D66" s="99"/>
      <c r="E66" s="99"/>
      <c r="F66" s="99"/>
      <c r="G66" s="99"/>
      <c r="H66" s="112"/>
      <c r="I66" s="99"/>
    </row>
    <row r="67" spans="1:9" x14ac:dyDescent="0.35">
      <c r="A67" s="99"/>
      <c r="B67" s="99"/>
      <c r="C67" s="99"/>
      <c r="D67" s="99"/>
      <c r="E67" s="99"/>
      <c r="F67" s="99"/>
      <c r="G67" s="99"/>
      <c r="H67" s="112"/>
      <c r="I67" s="99"/>
    </row>
    <row r="68" spans="1:9" x14ac:dyDescent="0.35">
      <c r="A68" s="99"/>
      <c r="B68" s="99"/>
      <c r="C68" s="99"/>
      <c r="D68" s="99"/>
      <c r="E68" s="99"/>
      <c r="F68" s="99"/>
      <c r="G68" s="99"/>
      <c r="H68" s="112"/>
      <c r="I68" s="99"/>
    </row>
    <row r="69" spans="1:9" x14ac:dyDescent="0.35">
      <c r="A69" s="99"/>
      <c r="B69" s="99"/>
      <c r="C69" s="99"/>
      <c r="D69" s="99"/>
      <c r="E69" s="99"/>
      <c r="F69" s="99"/>
      <c r="G69" s="99"/>
      <c r="H69" s="112"/>
      <c r="I69" s="99"/>
    </row>
    <row r="70" spans="1:9" x14ac:dyDescent="0.35">
      <c r="A70" s="99"/>
      <c r="B70" s="99"/>
      <c r="C70" s="99"/>
      <c r="D70" s="99"/>
      <c r="E70" s="99"/>
      <c r="F70" s="99"/>
      <c r="G70" s="99"/>
      <c r="H70" s="112"/>
      <c r="I70" s="99"/>
    </row>
    <row r="71" spans="1:9" x14ac:dyDescent="0.35">
      <c r="A71" s="99"/>
      <c r="B71" s="99"/>
      <c r="C71" s="99"/>
      <c r="D71" s="99"/>
      <c r="E71" s="99"/>
      <c r="F71" s="99"/>
      <c r="G71" s="99"/>
      <c r="H71" s="112"/>
      <c r="I71" s="99"/>
    </row>
    <row r="72" spans="1:9" x14ac:dyDescent="0.35">
      <c r="A72" s="99"/>
      <c r="B72" s="99"/>
      <c r="C72" s="99"/>
      <c r="D72" s="99"/>
      <c r="E72" s="99"/>
      <c r="F72" s="99"/>
      <c r="G72" s="99"/>
      <c r="H72" s="112"/>
      <c r="I72" s="99"/>
    </row>
    <row r="73" spans="1:9" x14ac:dyDescent="0.35">
      <c r="A73" s="99"/>
      <c r="B73" s="99"/>
      <c r="C73" s="99"/>
      <c r="D73" s="99"/>
      <c r="E73" s="99"/>
      <c r="F73" s="99"/>
      <c r="G73" s="99"/>
      <c r="H73" s="112"/>
      <c r="I73" s="99"/>
    </row>
    <row r="74" spans="1:9" x14ac:dyDescent="0.35">
      <c r="A74" s="99"/>
      <c r="B74" s="99"/>
      <c r="C74" s="99"/>
      <c r="D74" s="99"/>
      <c r="E74" s="99"/>
      <c r="F74" s="99"/>
      <c r="G74" s="99"/>
      <c r="H74" s="112"/>
      <c r="I74" s="99"/>
    </row>
    <row r="75" spans="1:9" x14ac:dyDescent="0.35">
      <c r="A75" s="99"/>
      <c r="B75" s="99"/>
      <c r="C75" s="99"/>
      <c r="D75" s="99"/>
      <c r="E75" s="99"/>
      <c r="F75" s="99"/>
      <c r="G75" s="99"/>
      <c r="H75" s="112"/>
      <c r="I75" s="99"/>
    </row>
    <row r="76" spans="1:9" x14ac:dyDescent="0.35">
      <c r="A76" s="99"/>
      <c r="B76" s="99"/>
      <c r="C76" s="99"/>
      <c r="D76" s="99"/>
      <c r="E76" s="99"/>
      <c r="F76" s="99"/>
      <c r="G76" s="99"/>
      <c r="H76" s="112"/>
      <c r="I76" s="99"/>
    </row>
    <row r="77" spans="1:9" x14ac:dyDescent="0.35">
      <c r="A77" s="99"/>
      <c r="B77" s="99"/>
      <c r="C77" s="99"/>
      <c r="D77" s="99"/>
      <c r="E77" s="99"/>
      <c r="F77" s="99"/>
      <c r="G77" s="99"/>
      <c r="H77" s="112"/>
      <c r="I77" s="99"/>
    </row>
    <row r="78" spans="1:9" x14ac:dyDescent="0.35">
      <c r="A78" s="99"/>
      <c r="B78" s="99"/>
      <c r="C78" s="99"/>
      <c r="D78" s="99"/>
      <c r="E78" s="99"/>
      <c r="F78" s="99"/>
      <c r="G78" s="99"/>
      <c r="H78" s="112"/>
      <c r="I78" s="99"/>
    </row>
    <row r="79" spans="1:9" x14ac:dyDescent="0.35">
      <c r="A79" s="99"/>
      <c r="B79" s="99"/>
      <c r="C79" s="99"/>
      <c r="D79" s="99"/>
      <c r="E79" s="99"/>
      <c r="F79" s="99"/>
      <c r="G79" s="99"/>
      <c r="H79" s="112"/>
      <c r="I79" s="99"/>
    </row>
    <row r="80" spans="1:9" x14ac:dyDescent="0.35">
      <c r="A80" s="99"/>
      <c r="B80" s="99"/>
      <c r="C80" s="99"/>
      <c r="D80" s="99"/>
      <c r="E80" s="99"/>
      <c r="F80" s="99"/>
      <c r="G80" s="99"/>
      <c r="H80" s="112"/>
      <c r="I80" s="99"/>
    </row>
    <row r="81" spans="1:9" x14ac:dyDescent="0.35">
      <c r="A81" s="99"/>
      <c r="B81" s="99"/>
      <c r="C81" s="99"/>
      <c r="D81" s="99"/>
      <c r="E81" s="99"/>
      <c r="F81" s="99"/>
      <c r="G81" s="99"/>
      <c r="H81" s="112"/>
      <c r="I81" s="99"/>
    </row>
    <row r="82" spans="1:9" x14ac:dyDescent="0.35">
      <c r="A82" s="99"/>
      <c r="B82" s="99"/>
      <c r="C82" s="99"/>
      <c r="D82" s="99"/>
      <c r="E82" s="99"/>
      <c r="F82" s="99"/>
      <c r="G82" s="99"/>
      <c r="H82" s="112"/>
      <c r="I82" s="99"/>
    </row>
    <row r="83" spans="1:9" x14ac:dyDescent="0.35">
      <c r="A83" s="99"/>
      <c r="B83" s="99"/>
      <c r="C83" s="99"/>
      <c r="D83" s="99"/>
      <c r="E83" s="99"/>
      <c r="F83" s="99"/>
      <c r="G83" s="99"/>
      <c r="H83" s="112"/>
      <c r="I83" s="99"/>
    </row>
    <row r="84" spans="1:9" x14ac:dyDescent="0.35">
      <c r="A84" s="99"/>
      <c r="B84" s="99"/>
      <c r="C84" s="99"/>
      <c r="D84" s="99"/>
      <c r="E84" s="99"/>
      <c r="F84" s="99"/>
      <c r="G84" s="99"/>
      <c r="H84" s="112"/>
      <c r="I84" s="99"/>
    </row>
    <row r="85" spans="1:9" x14ac:dyDescent="0.35">
      <c r="A85" s="99"/>
      <c r="B85" s="99"/>
      <c r="C85" s="99"/>
      <c r="D85" s="99"/>
      <c r="E85" s="99"/>
      <c r="F85" s="99"/>
      <c r="G85" s="99"/>
      <c r="H85" s="112"/>
      <c r="I85" s="99"/>
    </row>
    <row r="86" spans="1:9" x14ac:dyDescent="0.35">
      <c r="A86" s="99"/>
      <c r="B86" s="99"/>
      <c r="C86" s="99"/>
      <c r="D86" s="99"/>
      <c r="E86" s="99"/>
      <c r="F86" s="99"/>
      <c r="G86" s="99"/>
      <c r="H86" s="112"/>
      <c r="I86" s="99"/>
    </row>
    <row r="87" spans="1:9" x14ac:dyDescent="0.35">
      <c r="A87" s="99"/>
      <c r="B87" s="99"/>
      <c r="C87" s="99"/>
      <c r="D87" s="99"/>
      <c r="E87" s="99"/>
      <c r="F87" s="99"/>
      <c r="G87" s="99"/>
      <c r="H87" s="112"/>
      <c r="I87" s="99"/>
    </row>
    <row r="96" spans="1:9" hidden="1" x14ac:dyDescent="0.35">
      <c r="G96">
        <v>2</v>
      </c>
    </row>
    <row r="97" spans="7:7" hidden="1" x14ac:dyDescent="0.35">
      <c r="G97">
        <v>3</v>
      </c>
    </row>
    <row r="98" spans="7:7" hidden="1" x14ac:dyDescent="0.35">
      <c r="G98">
        <v>4</v>
      </c>
    </row>
    <row r="99" spans="7:7" hidden="1" x14ac:dyDescent="0.35">
      <c r="G99">
        <v>5</v>
      </c>
    </row>
  </sheetData>
  <sheetProtection sheet="1" objects="1" scenarios="1"/>
  <customSheetViews>
    <customSheetView guid="{17302493-42B1-4877-869E-E424A97AE78B}" hiddenRows="1">
      <selection activeCell="G15" sqref="G15:I16"/>
      <pageMargins left="0.7" right="0.7" top="0.75" bottom="0.75" header="0.3" footer="0.3"/>
      <pageSetup orientation="portrait" horizontalDpi="1200" verticalDpi="1200" r:id="rId1"/>
    </customSheetView>
    <customSheetView guid="{5C0BA3A5-859C-46C2-B685-44D9A90065E4}" hiddenRows="1">
      <selection activeCell="G15" sqref="G15:I16"/>
      <pageMargins left="0.7" right="0.7" top="0.75" bottom="0.75" header="0.3" footer="0.3"/>
      <pageSetup orientation="portrait" horizontalDpi="1200" verticalDpi="1200" r:id="rId2"/>
    </customSheetView>
  </customSheetViews>
  <mergeCells count="14">
    <mergeCell ref="A9:I11"/>
    <mergeCell ref="B20:C20"/>
    <mergeCell ref="B21:C21"/>
    <mergeCell ref="B13:C13"/>
    <mergeCell ref="B22:C22"/>
    <mergeCell ref="B23:C23"/>
    <mergeCell ref="B24:C24"/>
    <mergeCell ref="A34:I39"/>
    <mergeCell ref="B14:C14"/>
    <mergeCell ref="B17:C17"/>
    <mergeCell ref="B18:C18"/>
    <mergeCell ref="B19:C19"/>
    <mergeCell ref="B15:C15"/>
    <mergeCell ref="B16:C16"/>
  </mergeCells>
  <dataValidations count="1">
    <dataValidation type="list" allowBlank="1" showInputMessage="1" showErrorMessage="1" sqref="G15:G24" xr:uid="{00000000-0002-0000-1B00-000000000000}">
      <formula1>$G$96:$G$99</formula1>
    </dataValidation>
  </dataValidations>
  <pageMargins left="0.7" right="0.7" top="0.75" bottom="0.75" header="0.3" footer="0.3"/>
  <pageSetup orientation="portrait" horizontalDpi="1200" verticalDpi="1200"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9CC5CA"/>
  </sheetPr>
  <dimension ref="A1:K38"/>
  <sheetViews>
    <sheetView workbookViewId="0">
      <selection activeCell="E34" sqref="E34"/>
    </sheetView>
  </sheetViews>
  <sheetFormatPr defaultRowHeight="14.5" x14ac:dyDescent="0.35"/>
  <cols>
    <col min="1" max="1" width="4" customWidth="1"/>
    <col min="2" max="4" width="19.453125" customWidth="1"/>
    <col min="5" max="9" width="18.453125" customWidth="1"/>
    <col min="10" max="10" width="9.453125" customWidth="1"/>
    <col min="11" max="11" width="36.1796875" bestFit="1" customWidth="1"/>
  </cols>
  <sheetData>
    <row r="1" spans="1:11" ht="26" x14ac:dyDescent="0.6">
      <c r="A1" s="3" t="s">
        <v>777</v>
      </c>
    </row>
    <row r="2" spans="1:11" ht="21" x14ac:dyDescent="0.5">
      <c r="A2" s="2" t="s">
        <v>775</v>
      </c>
    </row>
    <row r="3" spans="1:11" ht="25" customHeight="1" x14ac:dyDescent="0.5">
      <c r="A3" s="546" t="s">
        <v>765</v>
      </c>
      <c r="B3" s="546"/>
      <c r="C3" s="546"/>
      <c r="D3" s="546"/>
      <c r="E3" s="546"/>
      <c r="F3" s="546"/>
      <c r="G3" s="546"/>
      <c r="H3" s="546"/>
      <c r="I3" s="546"/>
      <c r="J3" s="546"/>
    </row>
    <row r="5" spans="1:11" x14ac:dyDescent="0.35">
      <c r="A5" s="1" t="s">
        <v>776</v>
      </c>
      <c r="C5" s="413" t="str">
        <f>'As-Filed Schedule 1'!C5</f>
        <v>WellPower</v>
      </c>
    </row>
    <row r="6" spans="1:11" x14ac:dyDescent="0.35">
      <c r="A6" s="1" t="s">
        <v>0</v>
      </c>
      <c r="C6" s="406">
        <f>'As-Filed Schedule 1'!C6</f>
        <v>45473</v>
      </c>
      <c r="D6" s="35"/>
    </row>
    <row r="8" spans="1:11" x14ac:dyDescent="0.35">
      <c r="A8" s="1" t="s">
        <v>311</v>
      </c>
    </row>
    <row r="9" spans="1:11" x14ac:dyDescent="0.35">
      <c r="A9" s="1"/>
      <c r="B9" s="82"/>
      <c r="C9" s="82"/>
      <c r="D9" s="82"/>
    </row>
    <row r="10" spans="1:11" x14ac:dyDescent="0.35">
      <c r="A10" s="70"/>
      <c r="B10" s="560">
        <v>1</v>
      </c>
      <c r="C10" s="560"/>
      <c r="D10" s="23">
        <v>2</v>
      </c>
      <c r="E10" s="23">
        <v>3</v>
      </c>
      <c r="F10" s="23">
        <v>4</v>
      </c>
      <c r="G10" s="23">
        <v>5</v>
      </c>
      <c r="H10" s="23">
        <v>6</v>
      </c>
      <c r="I10" s="23">
        <v>7</v>
      </c>
    </row>
    <row r="11" spans="1:11" x14ac:dyDescent="0.35">
      <c r="B11" s="561" t="s">
        <v>178</v>
      </c>
      <c r="C11" s="561"/>
      <c r="D11" s="562" t="s">
        <v>180</v>
      </c>
      <c r="E11" s="563" t="s">
        <v>207</v>
      </c>
      <c r="F11" s="564"/>
      <c r="G11" s="563" t="s">
        <v>210</v>
      </c>
      <c r="H11" s="564"/>
      <c r="I11" s="561" t="s">
        <v>218</v>
      </c>
    </row>
    <row r="12" spans="1:11" ht="30" customHeight="1" x14ac:dyDescent="0.35">
      <c r="B12" s="561"/>
      <c r="C12" s="561"/>
      <c r="D12" s="562"/>
      <c r="E12" s="10" t="s">
        <v>208</v>
      </c>
      <c r="F12" s="10" t="s">
        <v>209</v>
      </c>
      <c r="G12" s="10" t="s">
        <v>208</v>
      </c>
      <c r="H12" s="10" t="s">
        <v>209</v>
      </c>
      <c r="I12" s="561"/>
    </row>
    <row r="13" spans="1:11" x14ac:dyDescent="0.35">
      <c r="A13" s="418" t="s">
        <v>841</v>
      </c>
      <c r="B13" s="196"/>
      <c r="C13" s="196"/>
      <c r="D13" s="196"/>
      <c r="E13" s="196"/>
      <c r="F13" s="196"/>
      <c r="G13" s="196"/>
      <c r="H13" s="196"/>
      <c r="I13" s="196"/>
      <c r="J13" s="99"/>
    </row>
    <row r="14" spans="1:11" x14ac:dyDescent="0.35">
      <c r="A14" s="24">
        <v>1</v>
      </c>
      <c r="B14" s="557" t="s">
        <v>211</v>
      </c>
      <c r="C14" s="557"/>
      <c r="D14" s="24" t="s">
        <v>12</v>
      </c>
      <c r="E14" s="26">
        <f>'As-Filed Schedule 2A'!F73</f>
        <v>9771359.4962465614</v>
      </c>
      <c r="F14" s="26">
        <f>'As-Filed Schedule 2A'!G73</f>
        <v>2539598.4340161034</v>
      </c>
      <c r="G14" s="26">
        <f>'As-Filed Schedule 2A'!J73</f>
        <v>10459.615277839328</v>
      </c>
      <c r="H14" s="26">
        <f>'As-Filed Schedule 2A'!K73</f>
        <v>2718.4776683546752</v>
      </c>
      <c r="I14" s="68">
        <f>SUM(E14:H14)</f>
        <v>12324136.023208858</v>
      </c>
    </row>
    <row r="15" spans="1:11" x14ac:dyDescent="0.35">
      <c r="A15" s="24">
        <v>2</v>
      </c>
      <c r="B15" s="557" t="s">
        <v>213</v>
      </c>
      <c r="C15" s="557"/>
      <c r="D15" s="24" t="s">
        <v>13</v>
      </c>
      <c r="E15" s="26">
        <f>'As-Filed Schedule 2B'!$F$73</f>
        <v>1355498.5923984661</v>
      </c>
      <c r="F15" s="26">
        <f>'As-Filed Schedule 2B'!G73</f>
        <v>352297.15004227433</v>
      </c>
      <c r="G15" s="26">
        <f>'As-Filed Schedule 2B'!$J$73</f>
        <v>2014256.7658322109</v>
      </c>
      <c r="H15" s="26">
        <f>'As-Filed Schedule 2B'!K73</f>
        <v>523509.88930238271</v>
      </c>
      <c r="I15" s="68">
        <f>SUM(E15:H15)</f>
        <v>4245562.3975753337</v>
      </c>
    </row>
    <row r="16" spans="1:11" x14ac:dyDescent="0.35">
      <c r="A16" s="24">
        <v>3</v>
      </c>
      <c r="B16" s="557" t="s">
        <v>201</v>
      </c>
      <c r="C16" s="557"/>
      <c r="D16" s="24" t="s">
        <v>14</v>
      </c>
      <c r="E16" s="26">
        <f>'As-Filed Schedule 2C'!$F$73</f>
        <v>39521669.777050093</v>
      </c>
      <c r="F16" s="26">
        <f>'As-Filed Schedule 2C'!G73</f>
        <v>10271771.36549448</v>
      </c>
      <c r="G16" s="26">
        <f>'As-Filed Schedule 2C'!$J$73</f>
        <v>20712391.017054714</v>
      </c>
      <c r="H16" s="26">
        <f>'As-Filed Schedule 2C'!K73</f>
        <v>5383197.2727896115</v>
      </c>
      <c r="I16" s="68">
        <f>SUM(E16:H16)</f>
        <v>75889029.432388902</v>
      </c>
      <c r="K16" s="48"/>
    </row>
    <row r="17" spans="1:11" x14ac:dyDescent="0.35">
      <c r="A17" s="24">
        <v>4</v>
      </c>
      <c r="B17" s="557" t="s">
        <v>212</v>
      </c>
      <c r="C17" s="557"/>
      <c r="D17" s="24" t="s">
        <v>179</v>
      </c>
      <c r="E17" s="26">
        <f>'As-Filed Schedule 2D'!$F$73</f>
        <v>22442752.928997252</v>
      </c>
      <c r="F17" s="26">
        <f>'As-Filed Schedule 2D'!G73</f>
        <v>5832922.2474503443</v>
      </c>
      <c r="G17" s="26">
        <f>'As-Filed Schedule 2D'!$J$73</f>
        <v>2160362.7385681863</v>
      </c>
      <c r="H17" s="26">
        <f>'As-Filed Schedule 2D'!K73</f>
        <v>561483.1620801586</v>
      </c>
      <c r="I17" s="68">
        <f>SUM(E17:H17)</f>
        <v>30997521.077095941</v>
      </c>
    </row>
    <row r="18" spans="1:11" x14ac:dyDescent="0.35">
      <c r="A18" s="418" t="s">
        <v>794</v>
      </c>
      <c r="B18" s="196"/>
      <c r="C18" s="196"/>
      <c r="D18" s="196"/>
      <c r="E18" s="196"/>
      <c r="F18" s="196"/>
      <c r="G18" s="196"/>
      <c r="H18" s="196"/>
      <c r="I18" s="196"/>
      <c r="J18" s="99"/>
      <c r="K18" s="48"/>
    </row>
    <row r="19" spans="1:11" x14ac:dyDescent="0.35">
      <c r="A19" s="146">
        <v>5</v>
      </c>
      <c r="B19" s="558" t="s">
        <v>795</v>
      </c>
      <c r="C19" s="558"/>
      <c r="D19" s="146" t="s">
        <v>796</v>
      </c>
      <c r="E19" s="26">
        <f>'As-Filed Schedule 2E'!F$73</f>
        <v>0</v>
      </c>
      <c r="F19" s="26">
        <f>'As-Filed Schedule 2E'!G$73</f>
        <v>0</v>
      </c>
      <c r="G19" s="26">
        <f>'As-Filed Schedule 2E'!J$73</f>
        <v>0</v>
      </c>
      <c r="H19" s="26">
        <f>'As-Filed Schedule 2E'!K$73</f>
        <v>0</v>
      </c>
      <c r="I19" s="173">
        <f t="shared" ref="I19:I26" si="0">SUM(E19:H19)</f>
        <v>0</v>
      </c>
      <c r="J19" s="99"/>
      <c r="K19" s="48"/>
    </row>
    <row r="20" spans="1:11" x14ac:dyDescent="0.35">
      <c r="A20" s="146">
        <v>6</v>
      </c>
      <c r="B20" s="558" t="s">
        <v>797</v>
      </c>
      <c r="C20" s="558"/>
      <c r="D20" s="146" t="s">
        <v>798</v>
      </c>
      <c r="E20" s="26">
        <f>'As-Filed Schedule 2F'!F$73</f>
        <v>0</v>
      </c>
      <c r="F20" s="26">
        <f>'As-Filed Schedule 2F'!G$73</f>
        <v>0</v>
      </c>
      <c r="G20" s="26">
        <f>'As-Filed Schedule 2F'!J$73</f>
        <v>0</v>
      </c>
      <c r="H20" s="26">
        <f>'As-Filed Schedule 2F'!K$73</f>
        <v>0</v>
      </c>
      <c r="I20" s="173">
        <f t="shared" si="0"/>
        <v>0</v>
      </c>
      <c r="J20" s="99"/>
      <c r="K20" s="48"/>
    </row>
    <row r="21" spans="1:11" x14ac:dyDescent="0.35">
      <c r="A21" s="146">
        <v>7</v>
      </c>
      <c r="B21" s="558" t="s">
        <v>799</v>
      </c>
      <c r="C21" s="558"/>
      <c r="D21" s="146" t="s">
        <v>800</v>
      </c>
      <c r="E21" s="26">
        <f>'As-Filed Schedule 2G'!F$73</f>
        <v>0</v>
      </c>
      <c r="F21" s="26">
        <f>'As-Filed Schedule 2G'!G$73</f>
        <v>0</v>
      </c>
      <c r="G21" s="26">
        <f>'As-Filed Schedule 2G'!J$73</f>
        <v>0</v>
      </c>
      <c r="H21" s="26">
        <f>'As-Filed Schedule 2G'!K$73</f>
        <v>0</v>
      </c>
      <c r="I21" s="173">
        <f t="shared" si="0"/>
        <v>0</v>
      </c>
      <c r="J21" s="99"/>
      <c r="K21" s="48"/>
    </row>
    <row r="22" spans="1:11" x14ac:dyDescent="0.35">
      <c r="A22" s="146">
        <v>8</v>
      </c>
      <c r="B22" s="558" t="s">
        <v>801</v>
      </c>
      <c r="C22" s="558"/>
      <c r="D22" s="146" t="s">
        <v>802</v>
      </c>
      <c r="E22" s="26">
        <f>'As-Filed Schedule 2H'!F$73</f>
        <v>0</v>
      </c>
      <c r="F22" s="26">
        <f>'As-Filed Schedule 2H'!G$73</f>
        <v>0</v>
      </c>
      <c r="G22" s="26">
        <f>'As-Filed Schedule 2H'!J$73</f>
        <v>0</v>
      </c>
      <c r="H22" s="26">
        <f>'As-Filed Schedule 2H'!K$73</f>
        <v>0</v>
      </c>
      <c r="I22" s="173">
        <f t="shared" si="0"/>
        <v>0</v>
      </c>
      <c r="J22" s="99"/>
      <c r="K22" s="48"/>
    </row>
    <row r="23" spans="1:11" x14ac:dyDescent="0.35">
      <c r="A23" s="146">
        <v>9</v>
      </c>
      <c r="B23" s="558" t="s">
        <v>803</v>
      </c>
      <c r="C23" s="558"/>
      <c r="D23" s="146" t="s">
        <v>804</v>
      </c>
      <c r="E23" s="26">
        <f>'As-Filed Schedule 2I'!F$73</f>
        <v>0</v>
      </c>
      <c r="F23" s="26">
        <f>'As-Filed Schedule 2I'!G$73</f>
        <v>0</v>
      </c>
      <c r="G23" s="26">
        <f>'As-Filed Schedule 2I'!J$73</f>
        <v>0</v>
      </c>
      <c r="H23" s="26">
        <f>'As-Filed Schedule 2I'!K$73</f>
        <v>0</v>
      </c>
      <c r="I23" s="173">
        <f t="shared" si="0"/>
        <v>0</v>
      </c>
      <c r="J23" s="99"/>
      <c r="K23" s="48"/>
    </row>
    <row r="24" spans="1:11" x14ac:dyDescent="0.35">
      <c r="A24" s="146">
        <v>10</v>
      </c>
      <c r="B24" s="558" t="s">
        <v>805</v>
      </c>
      <c r="C24" s="558"/>
      <c r="D24" s="146" t="s">
        <v>806</v>
      </c>
      <c r="E24" s="26">
        <f>'As-Filed Schedule 2J'!F$73</f>
        <v>0</v>
      </c>
      <c r="F24" s="26">
        <f>'As-Filed Schedule 2J'!G$73</f>
        <v>0</v>
      </c>
      <c r="G24" s="26">
        <f>'As-Filed Schedule 2J'!J$73</f>
        <v>0</v>
      </c>
      <c r="H24" s="26">
        <f>'As-Filed Schedule 2J'!K$73</f>
        <v>0</v>
      </c>
      <c r="I24" s="173">
        <f t="shared" si="0"/>
        <v>0</v>
      </c>
      <c r="J24" s="99"/>
      <c r="K24" s="48"/>
    </row>
    <row r="25" spans="1:11" x14ac:dyDescent="0.35">
      <c r="A25" s="146">
        <v>11</v>
      </c>
      <c r="B25" s="558" t="s">
        <v>807</v>
      </c>
      <c r="C25" s="558"/>
      <c r="D25" s="146" t="s">
        <v>808</v>
      </c>
      <c r="E25" s="26">
        <f>'As-Filed Schedule 2K'!F$73</f>
        <v>0</v>
      </c>
      <c r="F25" s="26">
        <f>'As-Filed Schedule 2K'!G$73</f>
        <v>0</v>
      </c>
      <c r="G25" s="26">
        <f>'As-Filed Schedule 2K'!J$73</f>
        <v>0</v>
      </c>
      <c r="H25" s="26">
        <f>'As-Filed Schedule 2K'!K$73</f>
        <v>0</v>
      </c>
      <c r="I25" s="173">
        <f t="shared" si="0"/>
        <v>0</v>
      </c>
      <c r="J25" s="99"/>
      <c r="K25" s="48"/>
    </row>
    <row r="26" spans="1:11" x14ac:dyDescent="0.35">
      <c r="A26" s="146">
        <v>12</v>
      </c>
      <c r="B26" s="558" t="s">
        <v>809</v>
      </c>
      <c r="C26" s="558"/>
      <c r="D26" s="146" t="s">
        <v>810</v>
      </c>
      <c r="E26" s="26">
        <f>'As-Filed Schedule 2L'!F$73</f>
        <v>0</v>
      </c>
      <c r="F26" s="26">
        <f>'As-Filed Schedule 2L'!G$73</f>
        <v>0</v>
      </c>
      <c r="G26" s="26">
        <f>'As-Filed Schedule 2L'!J$73</f>
        <v>0</v>
      </c>
      <c r="H26" s="26">
        <f>'As-Filed Schedule 2L'!K$73</f>
        <v>0</v>
      </c>
      <c r="I26" s="173">
        <f t="shared" si="0"/>
        <v>0</v>
      </c>
      <c r="J26" s="99"/>
      <c r="K26" s="48"/>
    </row>
    <row r="27" spans="1:11" ht="29.25" customHeight="1" x14ac:dyDescent="0.35">
      <c r="A27" s="146">
        <v>13</v>
      </c>
      <c r="B27" s="559" t="s">
        <v>811</v>
      </c>
      <c r="C27" s="559"/>
      <c r="D27" s="146" t="s">
        <v>812</v>
      </c>
      <c r="E27" s="26">
        <f>'As-Filed Schedule 2M'!F$73</f>
        <v>0</v>
      </c>
      <c r="F27" s="26">
        <f>'As-Filed Schedule 2M'!G$73</f>
        <v>0</v>
      </c>
      <c r="G27" s="26">
        <f>'As-Filed Schedule 2M'!J$73</f>
        <v>0</v>
      </c>
      <c r="H27" s="26">
        <f>'As-Filed Schedule 2M'!K$73</f>
        <v>0</v>
      </c>
      <c r="I27" s="173">
        <f>SUM(E27:H27)</f>
        <v>0</v>
      </c>
      <c r="J27" s="99"/>
    </row>
    <row r="28" spans="1:11" x14ac:dyDescent="0.35">
      <c r="A28" s="24">
        <v>14</v>
      </c>
      <c r="E28" s="18">
        <f>SUM(E14:E27)</f>
        <v>73091280.794692367</v>
      </c>
      <c r="F28" s="18">
        <f t="shared" ref="F28:G28" si="1">SUM(F14:F27)</f>
        <v>18996589.197003201</v>
      </c>
      <c r="G28" s="18">
        <f t="shared" si="1"/>
        <v>24897470.136732951</v>
      </c>
      <c r="H28" s="18">
        <f>SUM(H14:H27)</f>
        <v>6470908.8018405074</v>
      </c>
    </row>
    <row r="29" spans="1:11" s="57" customFormat="1" ht="12" x14ac:dyDescent="0.3">
      <c r="D29" s="76" t="s">
        <v>216</v>
      </c>
      <c r="E29" s="58">
        <f>'As-Filed Schedule 1'!F91</f>
        <v>73091280.794692367</v>
      </c>
      <c r="G29" s="58">
        <f>'As-Filed Schedule 1'!H91</f>
        <v>24897470.136732947</v>
      </c>
    </row>
    <row r="30" spans="1:11" s="57" customFormat="1" ht="12" x14ac:dyDescent="0.3">
      <c r="D30" s="76" t="s">
        <v>10</v>
      </c>
      <c r="E30" s="419">
        <f>E28-E29</f>
        <v>0</v>
      </c>
      <c r="G30" s="419">
        <f>G28-G29</f>
        <v>0</v>
      </c>
    </row>
    <row r="31" spans="1:11" s="57" customFormat="1" ht="12" x14ac:dyDescent="0.3">
      <c r="E31" s="76"/>
      <c r="F31" s="419"/>
      <c r="H31" s="419"/>
    </row>
    <row r="33" spans="1:10" x14ac:dyDescent="0.35">
      <c r="E33" s="10" t="s">
        <v>218</v>
      </c>
    </row>
    <row r="34" spans="1:10" x14ac:dyDescent="0.35">
      <c r="A34" s="24">
        <v>15</v>
      </c>
      <c r="B34" s="557" t="s">
        <v>219</v>
      </c>
      <c r="C34" s="557"/>
      <c r="D34" s="24" t="s">
        <v>110</v>
      </c>
      <c r="E34" s="26">
        <f>'As-Filed Schedule 3'!M167</f>
        <v>25704909.556166928</v>
      </c>
      <c r="I34" s="18">
        <f>SUM(I14:I27)+E34</f>
        <v>149161158.48643595</v>
      </c>
      <c r="J34" s="71" t="s">
        <v>3</v>
      </c>
    </row>
    <row r="35" spans="1:10" ht="12.75" customHeight="1" x14ac:dyDescent="0.35">
      <c r="D35" s="76" t="s">
        <v>217</v>
      </c>
      <c r="E35" s="58">
        <f>'As-Filed Schedule 1'!G95</f>
        <v>25704909.556166928</v>
      </c>
    </row>
    <row r="36" spans="1:10" ht="12.75" customHeight="1" x14ac:dyDescent="0.35">
      <c r="D36" s="76" t="s">
        <v>10</v>
      </c>
      <c r="E36" s="59">
        <f>E34-E35</f>
        <v>0</v>
      </c>
    </row>
    <row r="38" spans="1:10" x14ac:dyDescent="0.35">
      <c r="B38" s="48"/>
    </row>
  </sheetData>
  <sheetProtection sheet="1" objects="1" scenarios="1"/>
  <customSheetViews>
    <customSheetView guid="{17302493-42B1-4877-869E-E424A97AE78B}">
      <selection activeCell="E34" sqref="E34"/>
      <pageMargins left="0.7" right="0.7" top="0.75" bottom="0.75" header="0.3" footer="0.3"/>
      <pageSetup orientation="portrait" horizontalDpi="1200" verticalDpi="1200" r:id="rId1"/>
    </customSheetView>
    <customSheetView guid="{5C0BA3A5-859C-46C2-B685-44D9A90065E4}">
      <selection activeCell="E34" sqref="E34"/>
      <pageMargins left="0.7" right="0.7" top="0.75" bottom="0.75" header="0.3" footer="0.3"/>
      <pageSetup orientation="portrait" horizontalDpi="1200" verticalDpi="1200" r:id="rId2"/>
    </customSheetView>
  </customSheetViews>
  <mergeCells count="21">
    <mergeCell ref="A3:J3"/>
    <mergeCell ref="B34:C34"/>
    <mergeCell ref="B16:C16"/>
    <mergeCell ref="B14:C14"/>
    <mergeCell ref="B17:C17"/>
    <mergeCell ref="B15:C15"/>
    <mergeCell ref="E11:F11"/>
    <mergeCell ref="G11:H11"/>
    <mergeCell ref="B10:C10"/>
    <mergeCell ref="I11:I12"/>
    <mergeCell ref="D11:D12"/>
    <mergeCell ref="B11:C12"/>
    <mergeCell ref="B19:C19"/>
    <mergeCell ref="B20:C20"/>
    <mergeCell ref="B21:C21"/>
    <mergeCell ref="B22:C22"/>
    <mergeCell ref="B23:C23"/>
    <mergeCell ref="B24:C24"/>
    <mergeCell ref="B25:C25"/>
    <mergeCell ref="B26:C26"/>
    <mergeCell ref="B27:C27"/>
  </mergeCells>
  <pageMargins left="0.7" right="0.7" top="0.75" bottom="0.75" header="0.3" footer="0.3"/>
  <pageSetup orientation="portrait" horizontalDpi="1200" verticalDpi="1200"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9CC5CA"/>
  </sheetPr>
  <dimension ref="A1:S75"/>
  <sheetViews>
    <sheetView workbookViewId="0">
      <selection activeCell="D8" sqref="D8"/>
    </sheetView>
  </sheetViews>
  <sheetFormatPr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777</v>
      </c>
    </row>
    <row r="2" spans="1:19" ht="21" x14ac:dyDescent="0.5">
      <c r="A2" s="2" t="s">
        <v>775</v>
      </c>
    </row>
    <row r="3" spans="1:19" ht="25" customHeight="1" x14ac:dyDescent="0.5">
      <c r="A3" s="546" t="s">
        <v>766</v>
      </c>
      <c r="B3" s="546"/>
      <c r="C3" s="546"/>
      <c r="D3" s="546"/>
      <c r="E3" s="546"/>
      <c r="F3" s="546"/>
    </row>
    <row r="4" spans="1:19" x14ac:dyDescent="0.35">
      <c r="A4" s="48"/>
    </row>
    <row r="5" spans="1:19" x14ac:dyDescent="0.35">
      <c r="A5" s="1" t="s">
        <v>776</v>
      </c>
      <c r="C5" s="413" t="str">
        <f>'As-Filed Schedule 1'!C5</f>
        <v>WellPower</v>
      </c>
    </row>
    <row r="6" spans="1:19" x14ac:dyDescent="0.35">
      <c r="A6" s="1" t="s">
        <v>0</v>
      </c>
      <c r="C6" s="406">
        <f>'As-Filed Schedule 1'!C6</f>
        <v>45473</v>
      </c>
      <c r="F6" s="35"/>
      <c r="N6" s="122"/>
      <c r="O6" s="122"/>
      <c r="P6" s="122"/>
    </row>
    <row r="7" spans="1:19" x14ac:dyDescent="0.35">
      <c r="N7" s="40"/>
      <c r="O7" s="40"/>
      <c r="P7" s="40"/>
    </row>
    <row r="8" spans="1:19" x14ac:dyDescent="0.35">
      <c r="A8" s="1" t="s">
        <v>253</v>
      </c>
      <c r="B8" s="1" t="s">
        <v>252</v>
      </c>
      <c r="C8" s="1"/>
      <c r="D8" s="116" t="s">
        <v>1035</v>
      </c>
      <c r="E8" s="41" t="s">
        <v>259</v>
      </c>
      <c r="N8" s="40"/>
      <c r="O8" s="40"/>
      <c r="P8" s="40"/>
    </row>
    <row r="9" spans="1:19" x14ac:dyDescent="0.35">
      <c r="N9" s="122"/>
      <c r="O9" s="122"/>
      <c r="P9" s="122"/>
    </row>
    <row r="10" spans="1:19" x14ac:dyDescent="0.35">
      <c r="A10" s="1" t="s">
        <v>254</v>
      </c>
      <c r="B10" s="1" t="s">
        <v>256</v>
      </c>
      <c r="C10" s="1"/>
      <c r="N10" s="40"/>
      <c r="O10" s="40"/>
      <c r="P10" s="40"/>
    </row>
    <row r="11" spans="1:19" x14ac:dyDescent="0.35">
      <c r="A11" s="1"/>
      <c r="B11" s="1"/>
      <c r="C11" s="1"/>
      <c r="N11" s="40"/>
      <c r="O11" s="40"/>
      <c r="P11" s="40"/>
    </row>
    <row r="12" spans="1:19" x14ac:dyDescent="0.35">
      <c r="B12" s="560">
        <v>1</v>
      </c>
      <c r="C12" s="560"/>
      <c r="D12" s="560"/>
      <c r="F12" s="23">
        <v>2</v>
      </c>
      <c r="G12" s="23">
        <v>3</v>
      </c>
      <c r="H12" s="23">
        <v>4</v>
      </c>
      <c r="J12" s="23">
        <v>5</v>
      </c>
      <c r="K12" s="23">
        <v>6</v>
      </c>
      <c r="L12" s="23">
        <v>7</v>
      </c>
      <c r="N12" s="23">
        <v>8</v>
      </c>
      <c r="O12" s="23">
        <v>9</v>
      </c>
      <c r="Q12" s="40"/>
      <c r="R12" s="40"/>
      <c r="S12" s="40"/>
    </row>
    <row r="13" spans="1:19" x14ac:dyDescent="0.35">
      <c r="B13" s="569" t="s">
        <v>255</v>
      </c>
      <c r="C13" s="570"/>
      <c r="D13" s="571"/>
      <c r="F13" s="563" t="s">
        <v>261</v>
      </c>
      <c r="G13" s="568"/>
      <c r="H13" s="564"/>
      <c r="J13" s="563" t="s">
        <v>262</v>
      </c>
      <c r="K13" s="568"/>
      <c r="L13" s="564"/>
      <c r="N13" s="566" t="s">
        <v>250</v>
      </c>
      <c r="O13" s="566" t="s">
        <v>312</v>
      </c>
      <c r="Q13" s="40"/>
      <c r="R13" s="40"/>
      <c r="S13" s="40"/>
    </row>
    <row r="14" spans="1:19" ht="56.25" customHeight="1" x14ac:dyDescent="0.35">
      <c r="B14" s="572"/>
      <c r="C14" s="573"/>
      <c r="D14" s="574"/>
      <c r="F14" s="10" t="s">
        <v>214</v>
      </c>
      <c r="G14" s="142" t="s">
        <v>493</v>
      </c>
      <c r="H14" s="142" t="s">
        <v>215</v>
      </c>
      <c r="I14" s="99"/>
      <c r="J14" s="142" t="s">
        <v>214</v>
      </c>
      <c r="K14" s="142" t="s">
        <v>493</v>
      </c>
      <c r="L14" s="10" t="s">
        <v>215</v>
      </c>
      <c r="N14" s="567"/>
      <c r="O14" s="567"/>
    </row>
    <row r="15" spans="1:19" x14ac:dyDescent="0.35">
      <c r="A15" s="24">
        <v>1</v>
      </c>
      <c r="B15" s="565" t="s">
        <v>932</v>
      </c>
      <c r="C15" s="565"/>
      <c r="D15" s="565"/>
      <c r="F15" s="114">
        <v>4051436.3881671191</v>
      </c>
      <c r="G15" s="68">
        <f>IFERROR(F15*'As-Filed Schedule 1'!$E$103,0)</f>
        <v>1052977.4808569227</v>
      </c>
      <c r="H15" s="68">
        <f>SUM(F15:G15)</f>
        <v>5104413.869024042</v>
      </c>
      <c r="J15" s="114">
        <v>393.04816773938444</v>
      </c>
      <c r="K15" s="68">
        <f>IFERROR(J15*'As-Filed Schedule 1'!$E$103,0)</f>
        <v>102.15410779505847</v>
      </c>
      <c r="L15" s="68">
        <f>SUM(J15:K15)</f>
        <v>495.20227553444289</v>
      </c>
      <c r="N15" s="117">
        <v>39.379125000000009</v>
      </c>
      <c r="O15" s="453">
        <v>2910</v>
      </c>
    </row>
    <row r="16" spans="1:19" x14ac:dyDescent="0.35">
      <c r="A16" s="24">
        <v>2</v>
      </c>
      <c r="B16" s="597" t="s">
        <v>933</v>
      </c>
      <c r="C16" s="598"/>
      <c r="D16" s="599"/>
      <c r="F16" s="114">
        <v>1619494.454371474</v>
      </c>
      <c r="G16" s="68">
        <f>IFERROR(F16*'As-Filed Schedule 1'!$E$103,0)</f>
        <v>420910.27167708037</v>
      </c>
      <c r="H16" s="68">
        <f t="shared" ref="H16:H72" si="0">SUM(F16:G16)</f>
        <v>2040404.7260485543</v>
      </c>
      <c r="J16" s="114">
        <v>223.65621905355084</v>
      </c>
      <c r="K16" s="68">
        <f>IFERROR(J16*'As-Filed Schedule 1'!$E$103,0)</f>
        <v>58.128757199501564</v>
      </c>
      <c r="L16" s="68">
        <f t="shared" ref="L16:L72" si="1">SUM(J16:K16)</f>
        <v>281.78497625305238</v>
      </c>
      <c r="N16" s="117">
        <v>15.781249999999998</v>
      </c>
      <c r="O16" s="453">
        <v>2911</v>
      </c>
    </row>
    <row r="17" spans="1:15" x14ac:dyDescent="0.35">
      <c r="A17" s="24">
        <v>3</v>
      </c>
      <c r="B17" s="597" t="s">
        <v>934</v>
      </c>
      <c r="C17" s="598"/>
      <c r="D17" s="599"/>
      <c r="F17" s="114">
        <v>188855.89809854078</v>
      </c>
      <c r="G17" s="68">
        <f>IFERROR(F17*'As-Filed Schedule 1'!$E$103,0)</f>
        <v>49084.075071641055</v>
      </c>
      <c r="H17" s="68">
        <f t="shared" si="0"/>
        <v>237939.97317018185</v>
      </c>
      <c r="J17" s="114">
        <v>17.378348357224983</v>
      </c>
      <c r="K17" s="68">
        <f>IFERROR(J17*'As-Filed Schedule 1'!$E$103,0)</f>
        <v>4.5166720445346362</v>
      </c>
      <c r="L17" s="68">
        <f t="shared" si="1"/>
        <v>21.89502040175962</v>
      </c>
      <c r="N17" s="117">
        <v>2.1</v>
      </c>
      <c r="O17" s="453">
        <v>95</v>
      </c>
    </row>
    <row r="18" spans="1:15" x14ac:dyDescent="0.35">
      <c r="A18" s="24">
        <v>4</v>
      </c>
      <c r="B18" s="597" t="s">
        <v>935</v>
      </c>
      <c r="C18" s="598"/>
      <c r="D18" s="599"/>
      <c r="F18" s="114">
        <v>105293.98982642549</v>
      </c>
      <c r="G18" s="68">
        <f>IFERROR(F18*'As-Filed Schedule 1'!$E$103,0)</f>
        <v>27366.146110703925</v>
      </c>
      <c r="H18" s="68">
        <f t="shared" si="0"/>
        <v>132660.13593712941</v>
      </c>
      <c r="J18" s="114">
        <v>11.378680471992549</v>
      </c>
      <c r="K18" s="68">
        <f>IFERROR(J18*'As-Filed Schedule 1'!$E$103,0)</f>
        <v>2.9573447910643451</v>
      </c>
      <c r="L18" s="68">
        <f t="shared" si="1"/>
        <v>14.336025263056895</v>
      </c>
      <c r="N18" s="117">
        <v>1.375</v>
      </c>
      <c r="O18" s="453">
        <v>124</v>
      </c>
    </row>
    <row r="19" spans="1:15" x14ac:dyDescent="0.35">
      <c r="A19" s="24">
        <v>5</v>
      </c>
      <c r="B19" s="565" t="s">
        <v>936</v>
      </c>
      <c r="C19" s="565"/>
      <c r="D19" s="565"/>
      <c r="F19" s="114">
        <v>2650811.6607168736</v>
      </c>
      <c r="G19" s="68">
        <f>IFERROR(F19*'As-Filed Schedule 1'!$E$103,0)</f>
        <v>688951.94624802587</v>
      </c>
      <c r="H19" s="68">
        <f t="shared" si="0"/>
        <v>3339763.6069648992</v>
      </c>
      <c r="J19" s="114">
        <v>9743.1602059014185</v>
      </c>
      <c r="K19" s="68">
        <f>IFERROR(J19*'As-Filed Schedule 1'!$E$103,0)</f>
        <v>2532.2693746740129</v>
      </c>
      <c r="L19" s="68">
        <f t="shared" si="1"/>
        <v>12275.429580575432</v>
      </c>
      <c r="N19" s="117">
        <v>16.487437499999999</v>
      </c>
      <c r="O19" s="453">
        <v>2478</v>
      </c>
    </row>
    <row r="20" spans="1:15" x14ac:dyDescent="0.35">
      <c r="A20" s="24">
        <v>6</v>
      </c>
      <c r="B20" s="565" t="s">
        <v>937</v>
      </c>
      <c r="C20" s="565"/>
      <c r="D20" s="565"/>
      <c r="F20" s="114">
        <v>1155467.1050661281</v>
      </c>
      <c r="G20" s="68">
        <f>IFERROR(F20*'As-Filed Schedule 1'!$E$103,0)</f>
        <v>300308.51405172935</v>
      </c>
      <c r="H20" s="68">
        <f t="shared" si="0"/>
        <v>1455775.6191178574</v>
      </c>
      <c r="J20" s="114">
        <v>70.993656315756411</v>
      </c>
      <c r="K20" s="68">
        <f>IFERROR(J20*'As-Filed Schedule 1'!$E$103,0)</f>
        <v>18.451411850503369</v>
      </c>
      <c r="L20" s="68">
        <f t="shared" si="1"/>
        <v>89.445068166259773</v>
      </c>
      <c r="N20" s="117">
        <v>8.5788749999999983</v>
      </c>
      <c r="O20" s="453">
        <v>854</v>
      </c>
    </row>
    <row r="21" spans="1:15" x14ac:dyDescent="0.35">
      <c r="A21" s="24">
        <v>7</v>
      </c>
      <c r="B21" s="565"/>
      <c r="C21" s="565"/>
      <c r="D21" s="565"/>
      <c r="F21" s="114"/>
      <c r="G21" s="68">
        <f>IFERROR(F21*'As-Filed Schedule 1'!$E$103,0)</f>
        <v>0</v>
      </c>
      <c r="H21" s="68">
        <f t="shared" si="0"/>
        <v>0</v>
      </c>
      <c r="J21" s="114"/>
      <c r="K21" s="68">
        <f>IFERROR(J21*'As-Filed Schedule 1'!$E$103,0)</f>
        <v>0</v>
      </c>
      <c r="L21" s="68">
        <f t="shared" si="1"/>
        <v>0</v>
      </c>
      <c r="N21" s="117"/>
      <c r="O21" s="117"/>
    </row>
    <row r="22" spans="1:15" x14ac:dyDescent="0.35">
      <c r="A22" s="24">
        <v>8</v>
      </c>
      <c r="B22" s="565"/>
      <c r="C22" s="565"/>
      <c r="D22" s="565"/>
      <c r="F22" s="114"/>
      <c r="G22" s="68">
        <f>IFERROR(F22*'As-Filed Schedule 1'!$E$103,0)</f>
        <v>0</v>
      </c>
      <c r="H22" s="68">
        <f t="shared" si="0"/>
        <v>0</v>
      </c>
      <c r="J22" s="114"/>
      <c r="K22" s="68">
        <f>IFERROR(J22*'As-Filed Schedule 1'!$E$103,0)</f>
        <v>0</v>
      </c>
      <c r="L22" s="68">
        <f t="shared" si="1"/>
        <v>0</v>
      </c>
      <c r="N22" s="117"/>
      <c r="O22" s="117"/>
    </row>
    <row r="23" spans="1:15" x14ac:dyDescent="0.35">
      <c r="A23" s="24">
        <v>9</v>
      </c>
      <c r="B23" s="565"/>
      <c r="C23" s="565"/>
      <c r="D23" s="565"/>
      <c r="F23" s="114"/>
      <c r="G23" s="68">
        <f>IFERROR(F23*'As-Filed Schedule 1'!$E$103,0)</f>
        <v>0</v>
      </c>
      <c r="H23" s="68">
        <f t="shared" si="0"/>
        <v>0</v>
      </c>
      <c r="J23" s="114"/>
      <c r="K23" s="68">
        <f>IFERROR(J23*'As-Filed Schedule 1'!$E$103,0)</f>
        <v>0</v>
      </c>
      <c r="L23" s="68">
        <f t="shared" si="1"/>
        <v>0</v>
      </c>
      <c r="N23" s="117"/>
      <c r="O23" s="117"/>
    </row>
    <row r="24" spans="1:15" x14ac:dyDescent="0.35">
      <c r="A24" s="24">
        <v>10</v>
      </c>
      <c r="B24" s="565"/>
      <c r="C24" s="565"/>
      <c r="D24" s="565"/>
      <c r="F24" s="114"/>
      <c r="G24" s="68">
        <f>IFERROR(F24*'As-Filed Schedule 1'!$E$103,0)</f>
        <v>0</v>
      </c>
      <c r="H24" s="68">
        <f t="shared" si="0"/>
        <v>0</v>
      </c>
      <c r="J24" s="114"/>
      <c r="K24" s="68">
        <f>IFERROR(J24*'As-Filed Schedule 1'!$E$103,0)</f>
        <v>0</v>
      </c>
      <c r="L24" s="68">
        <f t="shared" si="1"/>
        <v>0</v>
      </c>
      <c r="N24" s="117"/>
      <c r="O24" s="117"/>
    </row>
    <row r="25" spans="1:15" x14ac:dyDescent="0.35">
      <c r="A25" s="24">
        <v>11</v>
      </c>
      <c r="B25" s="565"/>
      <c r="C25" s="565"/>
      <c r="D25" s="565"/>
      <c r="F25" s="114"/>
      <c r="G25" s="68">
        <f>IFERROR(F25*'As-Filed Schedule 1'!$E$103,0)</f>
        <v>0</v>
      </c>
      <c r="H25" s="68">
        <f t="shared" si="0"/>
        <v>0</v>
      </c>
      <c r="J25" s="114"/>
      <c r="K25" s="68">
        <f>IFERROR(J25*'As-Filed Schedule 1'!$E$103,0)</f>
        <v>0</v>
      </c>
      <c r="L25" s="68">
        <f t="shared" si="1"/>
        <v>0</v>
      </c>
      <c r="N25" s="117"/>
      <c r="O25" s="117"/>
    </row>
    <row r="26" spans="1:15" x14ac:dyDescent="0.35">
      <c r="A26" s="24">
        <v>12</v>
      </c>
      <c r="B26" s="565"/>
      <c r="C26" s="565"/>
      <c r="D26" s="565"/>
      <c r="F26" s="114"/>
      <c r="G26" s="68">
        <f>IFERROR(F26*'As-Filed Schedule 1'!$E$103,0)</f>
        <v>0</v>
      </c>
      <c r="H26" s="68">
        <f t="shared" si="0"/>
        <v>0</v>
      </c>
      <c r="J26" s="114"/>
      <c r="K26" s="68">
        <f>IFERROR(J26*'As-Filed Schedule 1'!$E$103,0)</f>
        <v>0</v>
      </c>
      <c r="L26" s="68">
        <f t="shared" si="1"/>
        <v>0</v>
      </c>
      <c r="N26" s="117"/>
      <c r="O26" s="117"/>
    </row>
    <row r="27" spans="1:15" x14ac:dyDescent="0.35">
      <c r="A27" s="24">
        <v>13</v>
      </c>
      <c r="B27" s="565"/>
      <c r="C27" s="565"/>
      <c r="D27" s="565"/>
      <c r="F27" s="114"/>
      <c r="G27" s="68">
        <f>IFERROR(F27*'As-Filed Schedule 1'!$E$103,0)</f>
        <v>0</v>
      </c>
      <c r="H27" s="68">
        <f t="shared" si="0"/>
        <v>0</v>
      </c>
      <c r="J27" s="114"/>
      <c r="K27" s="68">
        <f>IFERROR(J27*'As-Filed Schedule 1'!$E$103,0)</f>
        <v>0</v>
      </c>
      <c r="L27" s="68">
        <f t="shared" si="1"/>
        <v>0</v>
      </c>
      <c r="N27" s="117"/>
      <c r="O27" s="117"/>
    </row>
    <row r="28" spans="1:15" x14ac:dyDescent="0.35">
      <c r="A28" s="24">
        <v>14</v>
      </c>
      <c r="B28" s="565"/>
      <c r="C28" s="565"/>
      <c r="D28" s="565"/>
      <c r="F28" s="114"/>
      <c r="G28" s="68">
        <f>IFERROR(F28*'As-Filed Schedule 1'!$E$103,0)</f>
        <v>0</v>
      </c>
      <c r="H28" s="68">
        <f t="shared" si="0"/>
        <v>0</v>
      </c>
      <c r="J28" s="114"/>
      <c r="K28" s="68">
        <f>IFERROR(J28*'As-Filed Schedule 1'!$E$103,0)</f>
        <v>0</v>
      </c>
      <c r="L28" s="68">
        <f t="shared" si="1"/>
        <v>0</v>
      </c>
      <c r="N28" s="117"/>
      <c r="O28" s="117"/>
    </row>
    <row r="29" spans="1:15" x14ac:dyDescent="0.35">
      <c r="A29" s="24">
        <v>15</v>
      </c>
      <c r="B29" s="565"/>
      <c r="C29" s="565"/>
      <c r="D29" s="565"/>
      <c r="F29" s="114"/>
      <c r="G29" s="68">
        <f>IFERROR(F29*'As-Filed Schedule 1'!$E$103,0)</f>
        <v>0</v>
      </c>
      <c r="H29" s="68">
        <f t="shared" si="0"/>
        <v>0</v>
      </c>
      <c r="J29" s="114"/>
      <c r="K29" s="68">
        <f>IFERROR(J29*'As-Filed Schedule 1'!$E$103,0)</f>
        <v>0</v>
      </c>
      <c r="L29" s="68">
        <f t="shared" si="1"/>
        <v>0</v>
      </c>
      <c r="N29" s="117"/>
      <c r="O29" s="117"/>
    </row>
    <row r="30" spans="1:15" x14ac:dyDescent="0.35">
      <c r="A30" s="24">
        <v>16</v>
      </c>
      <c r="B30" s="565"/>
      <c r="C30" s="565"/>
      <c r="D30" s="565"/>
      <c r="F30" s="114"/>
      <c r="G30" s="68">
        <f>IFERROR(F30*'As-Filed Schedule 1'!$E$103,0)</f>
        <v>0</v>
      </c>
      <c r="H30" s="68">
        <f t="shared" si="0"/>
        <v>0</v>
      </c>
      <c r="J30" s="114"/>
      <c r="K30" s="68">
        <f>IFERROR(J30*'As-Filed Schedule 1'!$E$103,0)</f>
        <v>0</v>
      </c>
      <c r="L30" s="68">
        <f t="shared" si="1"/>
        <v>0</v>
      </c>
      <c r="N30" s="117"/>
      <c r="O30" s="117"/>
    </row>
    <row r="31" spans="1:15" x14ac:dyDescent="0.35">
      <c r="A31" s="24">
        <v>17</v>
      </c>
      <c r="B31" s="565"/>
      <c r="C31" s="565"/>
      <c r="D31" s="565"/>
      <c r="F31" s="114"/>
      <c r="G31" s="68">
        <f>IFERROR(F31*'As-Filed Schedule 1'!$E$103,0)</f>
        <v>0</v>
      </c>
      <c r="H31" s="68">
        <f t="shared" si="0"/>
        <v>0</v>
      </c>
      <c r="J31" s="114"/>
      <c r="K31" s="68">
        <f>IFERROR(J31*'As-Filed Schedule 1'!$E$103,0)</f>
        <v>0</v>
      </c>
      <c r="L31" s="68">
        <f t="shared" si="1"/>
        <v>0</v>
      </c>
      <c r="N31" s="117"/>
      <c r="O31" s="117"/>
    </row>
    <row r="32" spans="1:15" x14ac:dyDescent="0.35">
      <c r="A32" s="24">
        <v>18</v>
      </c>
      <c r="B32" s="565"/>
      <c r="C32" s="565"/>
      <c r="D32" s="565"/>
      <c r="F32" s="114"/>
      <c r="G32" s="68">
        <f>IFERROR(F32*'As-Filed Schedule 1'!$E$103,0)</f>
        <v>0</v>
      </c>
      <c r="H32" s="68">
        <f t="shared" si="0"/>
        <v>0</v>
      </c>
      <c r="J32" s="114"/>
      <c r="K32" s="68">
        <f>IFERROR(J32*'As-Filed Schedule 1'!$E$103,0)</f>
        <v>0</v>
      </c>
      <c r="L32" s="68">
        <f t="shared" si="1"/>
        <v>0</v>
      </c>
      <c r="N32" s="117"/>
      <c r="O32" s="117"/>
    </row>
    <row r="33" spans="1:15" x14ac:dyDescent="0.35">
      <c r="A33" s="24">
        <v>19</v>
      </c>
      <c r="B33" s="565"/>
      <c r="C33" s="565"/>
      <c r="D33" s="565"/>
      <c r="F33" s="114"/>
      <c r="G33" s="68">
        <f>IFERROR(F33*'As-Filed Schedule 1'!$E$103,0)</f>
        <v>0</v>
      </c>
      <c r="H33" s="68">
        <f t="shared" si="0"/>
        <v>0</v>
      </c>
      <c r="J33" s="114"/>
      <c r="K33" s="68">
        <f>IFERROR(J33*'As-Filed Schedule 1'!$E$103,0)</f>
        <v>0</v>
      </c>
      <c r="L33" s="68">
        <f t="shared" si="1"/>
        <v>0</v>
      </c>
      <c r="N33" s="117"/>
      <c r="O33" s="117"/>
    </row>
    <row r="34" spans="1:15" x14ac:dyDescent="0.35">
      <c r="A34" s="24">
        <v>20</v>
      </c>
      <c r="B34" s="565"/>
      <c r="C34" s="565"/>
      <c r="D34" s="565"/>
      <c r="F34" s="114"/>
      <c r="G34" s="68">
        <f>IFERROR(F34*'As-Filed Schedule 1'!$E$103,0)</f>
        <v>0</v>
      </c>
      <c r="H34" s="68">
        <f t="shared" si="0"/>
        <v>0</v>
      </c>
      <c r="J34" s="114"/>
      <c r="K34" s="68">
        <f>IFERROR(J34*'As-Filed Schedule 1'!$E$103,0)</f>
        <v>0</v>
      </c>
      <c r="L34" s="68">
        <f t="shared" si="1"/>
        <v>0</v>
      </c>
      <c r="N34" s="117"/>
      <c r="O34" s="117"/>
    </row>
    <row r="35" spans="1:15" x14ac:dyDescent="0.35">
      <c r="A35" s="24">
        <v>21</v>
      </c>
      <c r="B35" s="565"/>
      <c r="C35" s="565"/>
      <c r="D35" s="565"/>
      <c r="F35" s="114"/>
      <c r="G35" s="68">
        <f>IFERROR(F35*'As-Filed Schedule 1'!$E$103,0)</f>
        <v>0</v>
      </c>
      <c r="H35" s="68">
        <f t="shared" si="0"/>
        <v>0</v>
      </c>
      <c r="J35" s="114"/>
      <c r="K35" s="68">
        <f>IFERROR(J35*'As-Filed Schedule 1'!$E$103,0)</f>
        <v>0</v>
      </c>
      <c r="L35" s="68">
        <f t="shared" si="1"/>
        <v>0</v>
      </c>
      <c r="N35" s="117"/>
      <c r="O35" s="117"/>
    </row>
    <row r="36" spans="1:15" x14ac:dyDescent="0.35">
      <c r="A36" s="24">
        <v>22</v>
      </c>
      <c r="B36" s="565"/>
      <c r="C36" s="565"/>
      <c r="D36" s="565"/>
      <c r="F36" s="114"/>
      <c r="G36" s="68">
        <f>IFERROR(F36*'As-Filed Schedule 1'!$E$103,0)</f>
        <v>0</v>
      </c>
      <c r="H36" s="68">
        <f t="shared" si="0"/>
        <v>0</v>
      </c>
      <c r="J36" s="114"/>
      <c r="K36" s="68">
        <f>IFERROR(J36*'As-Filed Schedule 1'!$E$103,0)</f>
        <v>0</v>
      </c>
      <c r="L36" s="68">
        <f t="shared" si="1"/>
        <v>0</v>
      </c>
      <c r="N36" s="117"/>
      <c r="O36" s="117"/>
    </row>
    <row r="37" spans="1:15" x14ac:dyDescent="0.35">
      <c r="A37" s="24">
        <v>23</v>
      </c>
      <c r="B37" s="565"/>
      <c r="C37" s="565"/>
      <c r="D37" s="565"/>
      <c r="F37" s="114"/>
      <c r="G37" s="68">
        <f>IFERROR(F37*'As-Filed Schedule 1'!$E$103,0)</f>
        <v>0</v>
      </c>
      <c r="H37" s="68">
        <f t="shared" si="0"/>
        <v>0</v>
      </c>
      <c r="J37" s="114"/>
      <c r="K37" s="68">
        <f>IFERROR(J37*'As-Filed Schedule 1'!$E$103,0)</f>
        <v>0</v>
      </c>
      <c r="L37" s="68">
        <f t="shared" si="1"/>
        <v>0</v>
      </c>
      <c r="N37" s="117"/>
      <c r="O37" s="117"/>
    </row>
    <row r="38" spans="1:15" x14ac:dyDescent="0.35">
      <c r="A38" s="24">
        <v>24</v>
      </c>
      <c r="B38" s="565"/>
      <c r="C38" s="565"/>
      <c r="D38" s="565"/>
      <c r="F38" s="114"/>
      <c r="G38" s="68">
        <f>IFERROR(F38*'As-Filed Schedule 1'!$E$103,0)</f>
        <v>0</v>
      </c>
      <c r="H38" s="68">
        <f t="shared" si="0"/>
        <v>0</v>
      </c>
      <c r="J38" s="114"/>
      <c r="K38" s="68">
        <f>IFERROR(J38*'As-Filed Schedule 1'!$E$103,0)</f>
        <v>0</v>
      </c>
      <c r="L38" s="68">
        <f t="shared" si="1"/>
        <v>0</v>
      </c>
      <c r="N38" s="117"/>
      <c r="O38" s="117"/>
    </row>
    <row r="39" spans="1:15" x14ac:dyDescent="0.35">
      <c r="A39" s="24">
        <v>25</v>
      </c>
      <c r="B39" s="565"/>
      <c r="C39" s="565"/>
      <c r="D39" s="565"/>
      <c r="F39" s="114"/>
      <c r="G39" s="68">
        <f>IFERROR(F39*'As-Filed Schedule 1'!$E$103,0)</f>
        <v>0</v>
      </c>
      <c r="H39" s="68">
        <f t="shared" si="0"/>
        <v>0</v>
      </c>
      <c r="J39" s="114"/>
      <c r="K39" s="68">
        <f>IFERROR(J39*'As-Filed Schedule 1'!$E$103,0)</f>
        <v>0</v>
      </c>
      <c r="L39" s="68">
        <f t="shared" si="1"/>
        <v>0</v>
      </c>
      <c r="N39" s="117"/>
      <c r="O39" s="117"/>
    </row>
    <row r="40" spans="1:15" x14ac:dyDescent="0.35">
      <c r="A40" s="24">
        <v>26</v>
      </c>
      <c r="B40" s="565"/>
      <c r="C40" s="565"/>
      <c r="D40" s="565"/>
      <c r="F40" s="114"/>
      <c r="G40" s="68">
        <f>IFERROR(F40*'As-Filed Schedule 1'!$E$103,0)</f>
        <v>0</v>
      </c>
      <c r="H40" s="68">
        <f t="shared" si="0"/>
        <v>0</v>
      </c>
      <c r="J40" s="114"/>
      <c r="K40" s="68">
        <f>IFERROR(J40*'As-Filed Schedule 1'!$E$103,0)</f>
        <v>0</v>
      </c>
      <c r="L40" s="68">
        <f t="shared" si="1"/>
        <v>0</v>
      </c>
      <c r="N40" s="117"/>
      <c r="O40" s="117"/>
    </row>
    <row r="41" spans="1:15" x14ac:dyDescent="0.35">
      <c r="A41" s="24">
        <v>27</v>
      </c>
      <c r="B41" s="565"/>
      <c r="C41" s="565"/>
      <c r="D41" s="565"/>
      <c r="F41" s="114"/>
      <c r="G41" s="68">
        <f>IFERROR(F41*'As-Filed Schedule 1'!$E$103,0)</f>
        <v>0</v>
      </c>
      <c r="H41" s="68">
        <f t="shared" si="0"/>
        <v>0</v>
      </c>
      <c r="J41" s="114"/>
      <c r="K41" s="68">
        <f>IFERROR(J41*'As-Filed Schedule 1'!$E$103,0)</f>
        <v>0</v>
      </c>
      <c r="L41" s="68">
        <f t="shared" si="1"/>
        <v>0</v>
      </c>
      <c r="N41" s="117"/>
      <c r="O41" s="117"/>
    </row>
    <row r="42" spans="1:15" x14ac:dyDescent="0.35">
      <c r="A42" s="24">
        <v>28</v>
      </c>
      <c r="B42" s="565"/>
      <c r="C42" s="565"/>
      <c r="D42" s="565"/>
      <c r="F42" s="114"/>
      <c r="G42" s="68">
        <f>IFERROR(F42*'As-Filed Schedule 1'!$E$103,0)</f>
        <v>0</v>
      </c>
      <c r="H42" s="68">
        <f t="shared" si="0"/>
        <v>0</v>
      </c>
      <c r="J42" s="114"/>
      <c r="K42" s="68">
        <f>IFERROR(J42*'As-Filed Schedule 1'!$E$103,0)</f>
        <v>0</v>
      </c>
      <c r="L42" s="68">
        <f t="shared" si="1"/>
        <v>0</v>
      </c>
      <c r="N42" s="117"/>
      <c r="O42" s="117"/>
    </row>
    <row r="43" spans="1:15" x14ac:dyDescent="0.35">
      <c r="A43" s="24">
        <v>29</v>
      </c>
      <c r="B43" s="565"/>
      <c r="C43" s="565"/>
      <c r="D43" s="565"/>
      <c r="F43" s="114"/>
      <c r="G43" s="68">
        <f>IFERROR(F43*'As-Filed Schedule 1'!$E$103,0)</f>
        <v>0</v>
      </c>
      <c r="H43" s="68">
        <f t="shared" si="0"/>
        <v>0</v>
      </c>
      <c r="J43" s="114"/>
      <c r="K43" s="68">
        <f>IFERROR(J43*'As-Filed Schedule 1'!$E$103,0)</f>
        <v>0</v>
      </c>
      <c r="L43" s="68">
        <f t="shared" si="1"/>
        <v>0</v>
      </c>
      <c r="N43" s="117"/>
      <c r="O43" s="117"/>
    </row>
    <row r="44" spans="1:15" x14ac:dyDescent="0.35">
      <c r="A44" s="24">
        <v>30</v>
      </c>
      <c r="B44" s="565"/>
      <c r="C44" s="565"/>
      <c r="D44" s="565"/>
      <c r="F44" s="114"/>
      <c r="G44" s="68">
        <f>IFERROR(F44*'As-Filed Schedule 1'!$E$103,0)</f>
        <v>0</v>
      </c>
      <c r="H44" s="68">
        <f t="shared" si="0"/>
        <v>0</v>
      </c>
      <c r="J44" s="114"/>
      <c r="K44" s="68">
        <f>IFERROR(J44*'As-Filed Schedule 1'!$E$103,0)</f>
        <v>0</v>
      </c>
      <c r="L44" s="68">
        <f t="shared" si="1"/>
        <v>0</v>
      </c>
      <c r="N44" s="117"/>
      <c r="O44" s="117"/>
    </row>
    <row r="45" spans="1:15" x14ac:dyDescent="0.35">
      <c r="A45" s="24">
        <v>31</v>
      </c>
      <c r="B45" s="565"/>
      <c r="C45" s="565"/>
      <c r="D45" s="565"/>
      <c r="F45" s="114"/>
      <c r="G45" s="68">
        <f>IFERROR(F45*'As-Filed Schedule 1'!$E$103,0)</f>
        <v>0</v>
      </c>
      <c r="H45" s="68">
        <f t="shared" si="0"/>
        <v>0</v>
      </c>
      <c r="J45" s="114"/>
      <c r="K45" s="68">
        <f>IFERROR(J45*'As-Filed Schedule 1'!$E$103,0)</f>
        <v>0</v>
      </c>
      <c r="L45" s="68">
        <f t="shared" si="1"/>
        <v>0</v>
      </c>
      <c r="N45" s="117"/>
      <c r="O45" s="117"/>
    </row>
    <row r="46" spans="1:15" x14ac:dyDescent="0.35">
      <c r="A46" s="24">
        <v>32</v>
      </c>
      <c r="B46" s="565"/>
      <c r="C46" s="565"/>
      <c r="D46" s="565"/>
      <c r="F46" s="114"/>
      <c r="G46" s="68">
        <f>IFERROR(F46*'As-Filed Schedule 1'!$E$103,0)</f>
        <v>0</v>
      </c>
      <c r="H46" s="68">
        <f t="shared" si="0"/>
        <v>0</v>
      </c>
      <c r="J46" s="114"/>
      <c r="K46" s="68">
        <f>IFERROR(J46*'As-Filed Schedule 1'!$E$103,0)</f>
        <v>0</v>
      </c>
      <c r="L46" s="68">
        <f t="shared" si="1"/>
        <v>0</v>
      </c>
      <c r="N46" s="117"/>
      <c r="O46" s="117"/>
    </row>
    <row r="47" spans="1:15" x14ac:dyDescent="0.35">
      <c r="A47" s="24">
        <v>33</v>
      </c>
      <c r="B47" s="565"/>
      <c r="C47" s="565"/>
      <c r="D47" s="565"/>
      <c r="F47" s="114"/>
      <c r="G47" s="68">
        <f>IFERROR(F47*'As-Filed Schedule 1'!$E$103,0)</f>
        <v>0</v>
      </c>
      <c r="H47" s="68">
        <f t="shared" si="0"/>
        <v>0</v>
      </c>
      <c r="J47" s="114"/>
      <c r="K47" s="68">
        <f>IFERROR(J47*'As-Filed Schedule 1'!$E$103,0)</f>
        <v>0</v>
      </c>
      <c r="L47" s="68">
        <f t="shared" si="1"/>
        <v>0</v>
      </c>
      <c r="N47" s="117"/>
      <c r="O47" s="117"/>
    </row>
    <row r="48" spans="1:15" x14ac:dyDescent="0.35">
      <c r="A48" s="24">
        <v>34</v>
      </c>
      <c r="B48" s="565"/>
      <c r="C48" s="565"/>
      <c r="D48" s="565"/>
      <c r="F48" s="114"/>
      <c r="G48" s="68">
        <f>IFERROR(F48*'As-Filed Schedule 1'!$E$103,0)</f>
        <v>0</v>
      </c>
      <c r="H48" s="68">
        <f t="shared" si="0"/>
        <v>0</v>
      </c>
      <c r="J48" s="114"/>
      <c r="K48" s="68">
        <f>IFERROR(J48*'As-Filed Schedule 1'!$E$103,0)</f>
        <v>0</v>
      </c>
      <c r="L48" s="68">
        <f t="shared" si="1"/>
        <v>0</v>
      </c>
      <c r="N48" s="117"/>
      <c r="O48" s="117"/>
    </row>
    <row r="49" spans="1:15" x14ac:dyDescent="0.35">
      <c r="A49" s="24">
        <v>35</v>
      </c>
      <c r="B49" s="565"/>
      <c r="C49" s="565"/>
      <c r="D49" s="565"/>
      <c r="F49" s="114"/>
      <c r="G49" s="68">
        <f>IFERROR(F49*'As-Filed Schedule 1'!$E$103,0)</f>
        <v>0</v>
      </c>
      <c r="H49" s="68">
        <f t="shared" si="0"/>
        <v>0</v>
      </c>
      <c r="J49" s="114"/>
      <c r="K49" s="68">
        <f>IFERROR(J49*'As-Filed Schedule 1'!$E$103,0)</f>
        <v>0</v>
      </c>
      <c r="L49" s="68">
        <f t="shared" si="1"/>
        <v>0</v>
      </c>
      <c r="N49" s="117"/>
      <c r="O49" s="117"/>
    </row>
    <row r="50" spans="1:15" x14ac:dyDescent="0.35">
      <c r="A50" s="24">
        <v>36</v>
      </c>
      <c r="B50" s="565"/>
      <c r="C50" s="565"/>
      <c r="D50" s="565"/>
      <c r="F50" s="114"/>
      <c r="G50" s="68">
        <f>IFERROR(F50*'As-Filed Schedule 1'!$E$103,0)</f>
        <v>0</v>
      </c>
      <c r="H50" s="68">
        <f t="shared" si="0"/>
        <v>0</v>
      </c>
      <c r="J50" s="114"/>
      <c r="K50" s="68">
        <f>IFERROR(J50*'As-Filed Schedule 1'!$E$103,0)</f>
        <v>0</v>
      </c>
      <c r="L50" s="68">
        <f t="shared" si="1"/>
        <v>0</v>
      </c>
      <c r="N50" s="117"/>
      <c r="O50" s="117"/>
    </row>
    <row r="51" spans="1:15" x14ac:dyDescent="0.35">
      <c r="A51" s="24">
        <v>37</v>
      </c>
      <c r="B51" s="565"/>
      <c r="C51" s="565"/>
      <c r="D51" s="565"/>
      <c r="F51" s="114"/>
      <c r="G51" s="68">
        <f>IFERROR(F51*'As-Filed Schedule 1'!$E$103,0)</f>
        <v>0</v>
      </c>
      <c r="H51" s="68">
        <f t="shared" si="0"/>
        <v>0</v>
      </c>
      <c r="J51" s="114"/>
      <c r="K51" s="68">
        <f>IFERROR(J51*'As-Filed Schedule 1'!$E$103,0)</f>
        <v>0</v>
      </c>
      <c r="L51" s="68">
        <f t="shared" si="1"/>
        <v>0</v>
      </c>
      <c r="N51" s="117"/>
      <c r="O51" s="117"/>
    </row>
    <row r="52" spans="1:15" x14ac:dyDescent="0.35">
      <c r="A52" s="24">
        <v>38</v>
      </c>
      <c r="B52" s="565"/>
      <c r="C52" s="565"/>
      <c r="D52" s="565"/>
      <c r="F52" s="114"/>
      <c r="G52" s="68">
        <f>IFERROR(F52*'As-Filed Schedule 1'!$E$103,0)</f>
        <v>0</v>
      </c>
      <c r="H52" s="68">
        <f t="shared" si="0"/>
        <v>0</v>
      </c>
      <c r="J52" s="114"/>
      <c r="K52" s="68">
        <f>IFERROR(J52*'As-Filed Schedule 1'!$E$103,0)</f>
        <v>0</v>
      </c>
      <c r="L52" s="68">
        <f t="shared" si="1"/>
        <v>0</v>
      </c>
      <c r="N52" s="117"/>
      <c r="O52" s="117"/>
    </row>
    <row r="53" spans="1:15" x14ac:dyDescent="0.35">
      <c r="A53" s="24">
        <v>39</v>
      </c>
      <c r="B53" s="565"/>
      <c r="C53" s="565"/>
      <c r="D53" s="565"/>
      <c r="F53" s="114"/>
      <c r="G53" s="68">
        <f>IFERROR(F53*'As-Filed Schedule 1'!$E$103,0)</f>
        <v>0</v>
      </c>
      <c r="H53" s="68">
        <f t="shared" si="0"/>
        <v>0</v>
      </c>
      <c r="J53" s="114"/>
      <c r="K53" s="68">
        <f>IFERROR(J53*'As-Filed Schedule 1'!$E$103,0)</f>
        <v>0</v>
      </c>
      <c r="L53" s="68">
        <f t="shared" si="1"/>
        <v>0</v>
      </c>
      <c r="N53" s="117"/>
      <c r="O53" s="117"/>
    </row>
    <row r="54" spans="1:15" x14ac:dyDescent="0.35">
      <c r="A54" s="24">
        <v>40</v>
      </c>
      <c r="B54" s="565"/>
      <c r="C54" s="565"/>
      <c r="D54" s="565"/>
      <c r="F54" s="114"/>
      <c r="G54" s="68">
        <f>IFERROR(F54*'As-Filed Schedule 1'!$E$103,0)</f>
        <v>0</v>
      </c>
      <c r="H54" s="68">
        <f t="shared" si="0"/>
        <v>0</v>
      </c>
      <c r="J54" s="114"/>
      <c r="K54" s="68">
        <f>IFERROR(J54*'As-Filed Schedule 1'!$E$103,0)</f>
        <v>0</v>
      </c>
      <c r="L54" s="68">
        <f t="shared" si="1"/>
        <v>0</v>
      </c>
      <c r="N54" s="117"/>
      <c r="O54" s="117"/>
    </row>
    <row r="55" spans="1:15" x14ac:dyDescent="0.35">
      <c r="A55" s="24">
        <v>41</v>
      </c>
      <c r="B55" s="565"/>
      <c r="C55" s="565"/>
      <c r="D55" s="565"/>
      <c r="F55" s="114"/>
      <c r="G55" s="68">
        <f>IFERROR(F55*'As-Filed Schedule 1'!$E$103,0)</f>
        <v>0</v>
      </c>
      <c r="H55" s="68">
        <f t="shared" si="0"/>
        <v>0</v>
      </c>
      <c r="J55" s="114"/>
      <c r="K55" s="68">
        <f>IFERROR(J55*'As-Filed Schedule 1'!$E$103,0)</f>
        <v>0</v>
      </c>
      <c r="L55" s="68">
        <f t="shared" si="1"/>
        <v>0</v>
      </c>
      <c r="N55" s="117"/>
      <c r="O55" s="117"/>
    </row>
    <row r="56" spans="1:15" x14ac:dyDescent="0.35">
      <c r="A56" s="24">
        <v>42</v>
      </c>
      <c r="B56" s="565"/>
      <c r="C56" s="565"/>
      <c r="D56" s="565"/>
      <c r="F56" s="114"/>
      <c r="G56" s="68">
        <f>IFERROR(F56*'As-Filed Schedule 1'!$E$103,0)</f>
        <v>0</v>
      </c>
      <c r="H56" s="68">
        <f t="shared" si="0"/>
        <v>0</v>
      </c>
      <c r="J56" s="114"/>
      <c r="K56" s="68">
        <f>IFERROR(J56*'As-Filed Schedule 1'!$E$103,0)</f>
        <v>0</v>
      </c>
      <c r="L56" s="68">
        <f t="shared" si="1"/>
        <v>0</v>
      </c>
      <c r="N56" s="117"/>
      <c r="O56" s="117"/>
    </row>
    <row r="57" spans="1:15" x14ac:dyDescent="0.35">
      <c r="A57" s="24">
        <v>43</v>
      </c>
      <c r="B57" s="565"/>
      <c r="C57" s="565"/>
      <c r="D57" s="565"/>
      <c r="F57" s="114"/>
      <c r="G57" s="68">
        <f>IFERROR(F57*'As-Filed Schedule 1'!$E$103,0)</f>
        <v>0</v>
      </c>
      <c r="H57" s="68">
        <f t="shared" si="0"/>
        <v>0</v>
      </c>
      <c r="J57" s="114"/>
      <c r="K57" s="68">
        <f>IFERROR(J57*'As-Filed Schedule 1'!$E$103,0)</f>
        <v>0</v>
      </c>
      <c r="L57" s="68">
        <f t="shared" si="1"/>
        <v>0</v>
      </c>
      <c r="N57" s="117"/>
      <c r="O57" s="117"/>
    </row>
    <row r="58" spans="1:15" x14ac:dyDescent="0.35">
      <c r="A58" s="24">
        <v>44</v>
      </c>
      <c r="B58" s="565"/>
      <c r="C58" s="565"/>
      <c r="D58" s="565"/>
      <c r="F58" s="114"/>
      <c r="G58" s="68">
        <f>IFERROR(F58*'As-Filed Schedule 1'!$E$103,0)</f>
        <v>0</v>
      </c>
      <c r="H58" s="68">
        <f t="shared" si="0"/>
        <v>0</v>
      </c>
      <c r="J58" s="114"/>
      <c r="K58" s="68">
        <f>IFERROR(J58*'As-Filed Schedule 1'!$E$103,0)</f>
        <v>0</v>
      </c>
      <c r="L58" s="68">
        <f t="shared" si="1"/>
        <v>0</v>
      </c>
      <c r="N58" s="117"/>
      <c r="O58" s="117"/>
    </row>
    <row r="59" spans="1:15" x14ac:dyDescent="0.35">
      <c r="A59" s="24">
        <v>45</v>
      </c>
      <c r="B59" s="565"/>
      <c r="C59" s="565"/>
      <c r="D59" s="565"/>
      <c r="F59" s="114"/>
      <c r="G59" s="68">
        <f>IFERROR(F59*'As-Filed Schedule 1'!$E$103,0)</f>
        <v>0</v>
      </c>
      <c r="H59" s="68">
        <f t="shared" si="0"/>
        <v>0</v>
      </c>
      <c r="J59" s="114"/>
      <c r="K59" s="68">
        <f>IFERROR(J59*'As-Filed Schedule 1'!$E$103,0)</f>
        <v>0</v>
      </c>
      <c r="L59" s="68">
        <f t="shared" si="1"/>
        <v>0</v>
      </c>
      <c r="N59" s="117"/>
      <c r="O59" s="117"/>
    </row>
    <row r="60" spans="1:15" x14ac:dyDescent="0.35">
      <c r="A60" s="24">
        <v>46</v>
      </c>
      <c r="B60" s="565"/>
      <c r="C60" s="565"/>
      <c r="D60" s="565"/>
      <c r="F60" s="114"/>
      <c r="G60" s="68">
        <f>IFERROR(F60*'As-Filed Schedule 1'!$E$103,0)</f>
        <v>0</v>
      </c>
      <c r="H60" s="68">
        <f t="shared" si="0"/>
        <v>0</v>
      </c>
      <c r="J60" s="114"/>
      <c r="K60" s="68">
        <f>IFERROR(J60*'As-Filed Schedule 1'!$E$103,0)</f>
        <v>0</v>
      </c>
      <c r="L60" s="68">
        <f t="shared" si="1"/>
        <v>0</v>
      </c>
      <c r="N60" s="117"/>
      <c r="O60" s="117"/>
    </row>
    <row r="61" spans="1:15" x14ac:dyDescent="0.35">
      <c r="A61" s="24">
        <v>47</v>
      </c>
      <c r="B61" s="565"/>
      <c r="C61" s="565"/>
      <c r="D61" s="565"/>
      <c r="F61" s="114"/>
      <c r="G61" s="68">
        <f>IFERROR(F61*'As-Filed Schedule 1'!$E$103,0)</f>
        <v>0</v>
      </c>
      <c r="H61" s="68">
        <f t="shared" si="0"/>
        <v>0</v>
      </c>
      <c r="J61" s="114"/>
      <c r="K61" s="68">
        <f>IFERROR(J61*'As-Filed Schedule 1'!$E$103,0)</f>
        <v>0</v>
      </c>
      <c r="L61" s="68">
        <f t="shared" si="1"/>
        <v>0</v>
      </c>
      <c r="N61" s="117"/>
      <c r="O61" s="117"/>
    </row>
    <row r="62" spans="1:15" x14ac:dyDescent="0.35">
      <c r="A62" s="24">
        <v>48</v>
      </c>
      <c r="B62" s="565"/>
      <c r="C62" s="565"/>
      <c r="D62" s="565"/>
      <c r="F62" s="114"/>
      <c r="G62" s="68">
        <f>IFERROR(F62*'As-Filed Schedule 1'!$E$103,0)</f>
        <v>0</v>
      </c>
      <c r="H62" s="68">
        <f t="shared" si="0"/>
        <v>0</v>
      </c>
      <c r="J62" s="114"/>
      <c r="K62" s="68">
        <f>IFERROR(J62*'As-Filed Schedule 1'!$E$103,0)</f>
        <v>0</v>
      </c>
      <c r="L62" s="68">
        <f t="shared" si="1"/>
        <v>0</v>
      </c>
      <c r="N62" s="117"/>
      <c r="O62" s="117"/>
    </row>
    <row r="63" spans="1:15" x14ac:dyDescent="0.35">
      <c r="A63" s="24">
        <v>49</v>
      </c>
      <c r="B63" s="565"/>
      <c r="C63" s="565"/>
      <c r="D63" s="565"/>
      <c r="F63" s="114"/>
      <c r="G63" s="68">
        <f>IFERROR(F63*'As-Filed Schedule 1'!$E$103,0)</f>
        <v>0</v>
      </c>
      <c r="H63" s="68">
        <f t="shared" si="0"/>
        <v>0</v>
      </c>
      <c r="J63" s="114"/>
      <c r="K63" s="68">
        <f>IFERROR(J63*'As-Filed Schedule 1'!$E$103,0)</f>
        <v>0</v>
      </c>
      <c r="L63" s="68">
        <f t="shared" si="1"/>
        <v>0</v>
      </c>
      <c r="N63" s="117"/>
      <c r="O63" s="117"/>
    </row>
    <row r="64" spans="1:15" x14ac:dyDescent="0.35">
      <c r="A64" s="24">
        <v>50</v>
      </c>
      <c r="B64" s="565"/>
      <c r="C64" s="565"/>
      <c r="D64" s="565"/>
      <c r="F64" s="114"/>
      <c r="G64" s="68">
        <f>IFERROR(F64*'As-Filed Schedule 1'!$E$103,0)</f>
        <v>0</v>
      </c>
      <c r="H64" s="68">
        <f t="shared" si="0"/>
        <v>0</v>
      </c>
      <c r="J64" s="114"/>
      <c r="K64" s="68">
        <f>IFERROR(J64*'As-Filed Schedule 1'!$E$103,0)</f>
        <v>0</v>
      </c>
      <c r="L64" s="68">
        <f t="shared" si="1"/>
        <v>0</v>
      </c>
      <c r="N64" s="117"/>
      <c r="O64" s="117"/>
    </row>
    <row r="65" spans="1:15" x14ac:dyDescent="0.35">
      <c r="A65" s="24">
        <v>51</v>
      </c>
      <c r="B65" s="565"/>
      <c r="C65" s="565"/>
      <c r="D65" s="565"/>
      <c r="F65" s="114"/>
      <c r="G65" s="68">
        <f>IFERROR(F65*'As-Filed Schedule 1'!$E$103,0)</f>
        <v>0</v>
      </c>
      <c r="H65" s="68">
        <f t="shared" si="0"/>
        <v>0</v>
      </c>
      <c r="J65" s="114"/>
      <c r="K65" s="68">
        <f>IFERROR(J65*'As-Filed Schedule 1'!$E$103,0)</f>
        <v>0</v>
      </c>
      <c r="L65" s="68">
        <f t="shared" si="1"/>
        <v>0</v>
      </c>
      <c r="N65" s="117"/>
      <c r="O65" s="117"/>
    </row>
    <row r="66" spans="1:15" x14ac:dyDescent="0.35">
      <c r="A66" s="24">
        <v>52</v>
      </c>
      <c r="B66" s="565"/>
      <c r="C66" s="565"/>
      <c r="D66" s="565"/>
      <c r="F66" s="114"/>
      <c r="G66" s="68">
        <f>IFERROR(F66*'As-Filed Schedule 1'!$E$103,0)</f>
        <v>0</v>
      </c>
      <c r="H66" s="68">
        <f t="shared" si="0"/>
        <v>0</v>
      </c>
      <c r="J66" s="114"/>
      <c r="K66" s="68">
        <f>IFERROR(J66*'As-Filed Schedule 1'!$E$103,0)</f>
        <v>0</v>
      </c>
      <c r="L66" s="68">
        <f t="shared" si="1"/>
        <v>0</v>
      </c>
      <c r="N66" s="117"/>
      <c r="O66" s="117"/>
    </row>
    <row r="67" spans="1:15" x14ac:dyDescent="0.35">
      <c r="A67" s="24">
        <v>53</v>
      </c>
      <c r="B67" s="565"/>
      <c r="C67" s="565"/>
      <c r="D67" s="565"/>
      <c r="F67" s="114"/>
      <c r="G67" s="68">
        <f>IFERROR(F67*'As-Filed Schedule 1'!$E$103,0)</f>
        <v>0</v>
      </c>
      <c r="H67" s="68">
        <f t="shared" si="0"/>
        <v>0</v>
      </c>
      <c r="J67" s="114"/>
      <c r="K67" s="68">
        <f>IFERROR(J67*'As-Filed Schedule 1'!$E$103,0)</f>
        <v>0</v>
      </c>
      <c r="L67" s="68">
        <f t="shared" si="1"/>
        <v>0</v>
      </c>
      <c r="N67" s="117"/>
      <c r="O67" s="117"/>
    </row>
    <row r="68" spans="1:15" x14ac:dyDescent="0.35">
      <c r="A68" s="24">
        <v>54</v>
      </c>
      <c r="B68" s="565"/>
      <c r="C68" s="565"/>
      <c r="D68" s="565"/>
      <c r="F68" s="114"/>
      <c r="G68" s="68">
        <f>IFERROR(F68*'As-Filed Schedule 1'!$E$103,0)</f>
        <v>0</v>
      </c>
      <c r="H68" s="68">
        <f t="shared" si="0"/>
        <v>0</v>
      </c>
      <c r="J68" s="114"/>
      <c r="K68" s="68">
        <f>IFERROR(J68*'As-Filed Schedule 1'!$E$103,0)</f>
        <v>0</v>
      </c>
      <c r="L68" s="68">
        <f t="shared" si="1"/>
        <v>0</v>
      </c>
      <c r="N68" s="117"/>
      <c r="O68" s="117"/>
    </row>
    <row r="69" spans="1:15" x14ac:dyDescent="0.35">
      <c r="A69" s="24">
        <v>55</v>
      </c>
      <c r="B69" s="565"/>
      <c r="C69" s="565"/>
      <c r="D69" s="565"/>
      <c r="F69" s="114"/>
      <c r="G69" s="68">
        <f>IFERROR(F69*'As-Filed Schedule 1'!$E$103,0)</f>
        <v>0</v>
      </c>
      <c r="H69" s="68">
        <f t="shared" si="0"/>
        <v>0</v>
      </c>
      <c r="J69" s="114"/>
      <c r="K69" s="68">
        <f>IFERROR(J69*'As-Filed Schedule 1'!$E$103,0)</f>
        <v>0</v>
      </c>
      <c r="L69" s="68">
        <f t="shared" si="1"/>
        <v>0</v>
      </c>
      <c r="N69" s="117"/>
      <c r="O69" s="117"/>
    </row>
    <row r="70" spans="1:15" x14ac:dyDescent="0.35">
      <c r="A70" s="24">
        <v>56</v>
      </c>
      <c r="B70" s="565"/>
      <c r="C70" s="565"/>
      <c r="D70" s="565"/>
      <c r="F70" s="114"/>
      <c r="G70" s="68">
        <f>IFERROR(F70*'As-Filed Schedule 1'!$E$103,0)</f>
        <v>0</v>
      </c>
      <c r="H70" s="68">
        <f t="shared" si="0"/>
        <v>0</v>
      </c>
      <c r="J70" s="114"/>
      <c r="K70" s="68">
        <f>IFERROR(J70*'As-Filed Schedule 1'!$E$103,0)</f>
        <v>0</v>
      </c>
      <c r="L70" s="68">
        <f t="shared" si="1"/>
        <v>0</v>
      </c>
      <c r="N70" s="117"/>
      <c r="O70" s="117"/>
    </row>
    <row r="71" spans="1:15" x14ac:dyDescent="0.35">
      <c r="A71" s="24">
        <v>57</v>
      </c>
      <c r="B71" s="565"/>
      <c r="C71" s="565"/>
      <c r="D71" s="565"/>
      <c r="F71" s="114"/>
      <c r="G71" s="68">
        <f>IFERROR(F71*'As-Filed Schedule 1'!$E$103,0)</f>
        <v>0</v>
      </c>
      <c r="H71" s="68">
        <f t="shared" si="0"/>
        <v>0</v>
      </c>
      <c r="J71" s="114"/>
      <c r="K71" s="68">
        <f>IFERROR(J71*'As-Filed Schedule 1'!$E$103,0)</f>
        <v>0</v>
      </c>
      <c r="L71" s="68">
        <f t="shared" si="1"/>
        <v>0</v>
      </c>
      <c r="N71" s="117"/>
      <c r="O71" s="117"/>
    </row>
    <row r="72" spans="1:15" x14ac:dyDescent="0.35">
      <c r="A72" s="24">
        <v>58</v>
      </c>
      <c r="B72" s="565"/>
      <c r="C72" s="565"/>
      <c r="D72" s="565"/>
      <c r="F72" s="114"/>
      <c r="G72" s="68">
        <f>IFERROR(F72*'As-Filed Schedule 1'!$E$103,0)</f>
        <v>0</v>
      </c>
      <c r="H72" s="68">
        <f t="shared" si="0"/>
        <v>0</v>
      </c>
      <c r="J72" s="114"/>
      <c r="K72" s="68">
        <f>IFERROR(J72*'As-Filed Schedule 1'!$E$103,0)</f>
        <v>0</v>
      </c>
      <c r="L72" s="68">
        <f t="shared" si="1"/>
        <v>0</v>
      </c>
      <c r="N72" s="117"/>
      <c r="O72" s="117"/>
    </row>
    <row r="73" spans="1:15" x14ac:dyDescent="0.35">
      <c r="A73" s="24">
        <v>59</v>
      </c>
      <c r="F73" s="18">
        <f>SUM(F15:F72)</f>
        <v>9771359.4962465614</v>
      </c>
      <c r="G73" s="18">
        <f t="shared" ref="G73:H73" si="2">SUM(G15:G72)</f>
        <v>2539598.4340161034</v>
      </c>
      <c r="H73" s="18">
        <f t="shared" si="2"/>
        <v>12310957.930262664</v>
      </c>
      <c r="J73" s="18">
        <f>SUM(J15:J72)</f>
        <v>10459.615277839328</v>
      </c>
      <c r="K73" s="18">
        <f t="shared" ref="K73:L73" si="3">SUM(K15:K72)</f>
        <v>2718.4776683546752</v>
      </c>
      <c r="L73" s="18">
        <f t="shared" si="3"/>
        <v>13178.092946194003</v>
      </c>
      <c r="O73" s="83" t="s">
        <v>313</v>
      </c>
    </row>
    <row r="74" spans="1:15" ht="15" thickBot="1" x14ac:dyDescent="0.4">
      <c r="H74" s="37" t="s">
        <v>257</v>
      </c>
      <c r="L74" s="37" t="s">
        <v>258</v>
      </c>
    </row>
    <row r="75" spans="1:15" ht="16" thickBot="1" x14ac:dyDescent="0.4">
      <c r="A75" s="24">
        <v>60</v>
      </c>
      <c r="B75" s="134" t="s">
        <v>463</v>
      </c>
      <c r="C75" s="72"/>
      <c r="E75" s="72"/>
      <c r="F75" s="75">
        <f>H73+L73</f>
        <v>12324136.023208858</v>
      </c>
      <c r="I75" s="74"/>
      <c r="J75" s="74"/>
      <c r="K75" s="74"/>
      <c r="L75" s="74"/>
      <c r="N75" s="72"/>
      <c r="O75" s="72"/>
    </row>
  </sheetData>
  <sheetProtection sheet="1" objects="1" scenarios="1"/>
  <customSheetViews>
    <customSheetView guid="{17302493-42B1-4877-869E-E424A97AE78B}">
      <selection activeCell="F15" sqref="B15:F20"/>
      <pageMargins left="0.7" right="0.7" top="0.75" bottom="0.75" header="0.3" footer="0.3"/>
      <pageSetup orientation="portrait" horizontalDpi="1200" verticalDpi="1200" r:id="rId1"/>
    </customSheetView>
    <customSheetView guid="{5C0BA3A5-859C-46C2-B685-44D9A90065E4}">
      <selection activeCell="F15" sqref="B15:F20"/>
      <pageMargins left="0.7" right="0.7" top="0.75" bottom="0.75" header="0.3" footer="0.3"/>
      <pageSetup orientation="portrait" horizontalDpi="1200" verticalDpi="1200" r:id="rId2"/>
    </customSheetView>
  </customSheetViews>
  <mergeCells count="65">
    <mergeCell ref="B17:D17"/>
    <mergeCell ref="B18:D18"/>
    <mergeCell ref="B19:D19"/>
    <mergeCell ref="B15:D15"/>
    <mergeCell ref="B16:D16"/>
    <mergeCell ref="O13:O14"/>
    <mergeCell ref="F13:H13"/>
    <mergeCell ref="J13:L13"/>
    <mergeCell ref="B13:D14"/>
    <mergeCell ref="B72:D72"/>
    <mergeCell ref="N13:N14"/>
    <mergeCell ref="B40:D40"/>
    <mergeCell ref="B58:D58"/>
    <mergeCell ref="B59:D59"/>
    <mergeCell ref="B53:D53"/>
    <mergeCell ref="B54:D54"/>
    <mergeCell ref="B55:D55"/>
    <mergeCell ref="B56:D56"/>
    <mergeCell ref="B57:D57"/>
    <mergeCell ref="B35:D35"/>
    <mergeCell ref="B36:D36"/>
    <mergeCell ref="B39:D39"/>
    <mergeCell ref="B30:D30"/>
    <mergeCell ref="B31:D31"/>
    <mergeCell ref="B32:D32"/>
    <mergeCell ref="B33:D33"/>
    <mergeCell ref="B34:D34"/>
    <mergeCell ref="B20:D20"/>
    <mergeCell ref="B46:D46"/>
    <mergeCell ref="B47:D47"/>
    <mergeCell ref="B48:D48"/>
    <mergeCell ref="B49:D49"/>
    <mergeCell ref="B25:D25"/>
    <mergeCell ref="B26:D26"/>
    <mergeCell ref="B27:D27"/>
    <mergeCell ref="B28:D28"/>
    <mergeCell ref="B21:D21"/>
    <mergeCell ref="B22:D22"/>
    <mergeCell ref="B23:D23"/>
    <mergeCell ref="B24:D24"/>
    <mergeCell ref="B29:D29"/>
    <mergeCell ref="B37:D37"/>
    <mergeCell ref="B38:D38"/>
    <mergeCell ref="B50:D50"/>
    <mergeCell ref="B41:D41"/>
    <mergeCell ref="B42:D42"/>
    <mergeCell ref="B43:D43"/>
    <mergeCell ref="B44:D44"/>
    <mergeCell ref="B45:D45"/>
    <mergeCell ref="B12:D12"/>
    <mergeCell ref="A3:F3"/>
    <mergeCell ref="B71:D71"/>
    <mergeCell ref="B60:D60"/>
    <mergeCell ref="B61:D61"/>
    <mergeCell ref="B62:D62"/>
    <mergeCell ref="B63:D63"/>
    <mergeCell ref="B64:D64"/>
    <mergeCell ref="B65:D65"/>
    <mergeCell ref="B66:D66"/>
    <mergeCell ref="B67:D67"/>
    <mergeCell ref="B68:D68"/>
    <mergeCell ref="B69:D69"/>
    <mergeCell ref="B70:D70"/>
    <mergeCell ref="B51:D51"/>
    <mergeCell ref="B52:D52"/>
  </mergeCell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9CC5CA"/>
  </sheetPr>
  <dimension ref="A1:O75"/>
  <sheetViews>
    <sheetView topLeftCell="E1" workbookViewId="0">
      <selection activeCell="F8" sqref="F8"/>
    </sheetView>
  </sheetViews>
  <sheetFormatPr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46" t="s">
        <v>767</v>
      </c>
      <c r="B3" s="546"/>
      <c r="C3" s="546"/>
      <c r="D3" s="546"/>
      <c r="E3" s="546"/>
      <c r="F3" s="546"/>
      <c r="G3" s="546"/>
      <c r="H3" s="546"/>
    </row>
    <row r="5" spans="1:15" x14ac:dyDescent="0.35">
      <c r="A5" s="1" t="s">
        <v>776</v>
      </c>
      <c r="C5" s="413" t="str">
        <f>'As-Filed Schedule 1'!C5</f>
        <v>WellPower</v>
      </c>
    </row>
    <row r="6" spans="1:15" x14ac:dyDescent="0.35">
      <c r="A6" s="1" t="s">
        <v>0</v>
      </c>
      <c r="C6" s="406">
        <f>'As-Filed Schedule 1'!C6</f>
        <v>45473</v>
      </c>
      <c r="F6" s="35"/>
    </row>
    <row r="8" spans="1:15" x14ac:dyDescent="0.35">
      <c r="A8" s="1" t="s">
        <v>253</v>
      </c>
      <c r="B8" s="1" t="s">
        <v>260</v>
      </c>
      <c r="C8" s="1"/>
      <c r="F8" s="116" t="s">
        <v>1035</v>
      </c>
      <c r="G8" s="41" t="s">
        <v>259</v>
      </c>
    </row>
    <row r="10" spans="1:15" x14ac:dyDescent="0.35">
      <c r="A10" s="1" t="s">
        <v>254</v>
      </c>
      <c r="B10" s="1" t="s">
        <v>256</v>
      </c>
      <c r="C10" s="1"/>
    </row>
    <row r="12" spans="1:15" x14ac:dyDescent="0.35">
      <c r="B12" s="560">
        <v>1</v>
      </c>
      <c r="C12" s="560"/>
      <c r="D12" s="560"/>
      <c r="F12" s="23">
        <v>2</v>
      </c>
      <c r="G12" s="23">
        <v>3</v>
      </c>
      <c r="H12" s="23">
        <v>4</v>
      </c>
      <c r="J12" s="23">
        <v>5</v>
      </c>
      <c r="K12" s="23">
        <v>6</v>
      </c>
      <c r="L12" s="23">
        <v>7</v>
      </c>
      <c r="N12" s="23">
        <v>8</v>
      </c>
      <c r="O12" s="23">
        <v>9</v>
      </c>
    </row>
    <row r="13" spans="1:15" x14ac:dyDescent="0.35">
      <c r="B13" s="569" t="s">
        <v>255</v>
      </c>
      <c r="C13" s="570"/>
      <c r="D13" s="571"/>
      <c r="F13" s="563" t="s">
        <v>261</v>
      </c>
      <c r="G13" s="568"/>
      <c r="H13" s="564"/>
      <c r="J13" s="563" t="s">
        <v>262</v>
      </c>
      <c r="K13" s="568"/>
      <c r="L13" s="564"/>
      <c r="N13" s="566" t="s">
        <v>250</v>
      </c>
      <c r="O13" s="562" t="s">
        <v>312</v>
      </c>
    </row>
    <row r="14" spans="1:15" ht="55.5" customHeight="1" x14ac:dyDescent="0.35">
      <c r="B14" s="572"/>
      <c r="C14" s="573"/>
      <c r="D14" s="574"/>
      <c r="E14" s="48"/>
      <c r="F14" s="10" t="s">
        <v>214</v>
      </c>
      <c r="G14" s="142" t="s">
        <v>493</v>
      </c>
      <c r="H14" s="142" t="s">
        <v>215</v>
      </c>
      <c r="I14" s="99"/>
      <c r="J14" s="142" t="s">
        <v>214</v>
      </c>
      <c r="K14" s="142" t="s">
        <v>493</v>
      </c>
      <c r="L14" s="10" t="s">
        <v>215</v>
      </c>
      <c r="M14" s="48"/>
      <c r="N14" s="567"/>
      <c r="O14" s="562"/>
    </row>
    <row r="15" spans="1:15" x14ac:dyDescent="0.35">
      <c r="A15" s="24">
        <v>1</v>
      </c>
      <c r="B15" s="565" t="s">
        <v>938</v>
      </c>
      <c r="C15" s="565"/>
      <c r="D15" s="565"/>
      <c r="F15" s="114">
        <v>492159.11870480696</v>
      </c>
      <c r="G15" s="173">
        <f>IFERROR(F15*'As-Filed Schedule 1'!$E$103,0)</f>
        <v>127913.26812093935</v>
      </c>
      <c r="H15" s="173">
        <f>SUM(F15:G15)</f>
        <v>620072.38682574627</v>
      </c>
      <c r="I15" s="99"/>
      <c r="J15" s="172">
        <v>48.310409679635868</v>
      </c>
      <c r="K15" s="173">
        <f>IFERROR(J15*'As-Filed Schedule 1'!$E$103,0)</f>
        <v>12.555984744621028</v>
      </c>
      <c r="L15" s="68">
        <f>SUM(J15:K15)</f>
        <v>60.866394424256896</v>
      </c>
      <c r="N15" s="117">
        <v>3.2458125</v>
      </c>
      <c r="O15" s="453">
        <v>5</v>
      </c>
    </row>
    <row r="16" spans="1:15" x14ac:dyDescent="0.35">
      <c r="A16" s="24">
        <v>2</v>
      </c>
      <c r="B16" s="565" t="s">
        <v>939</v>
      </c>
      <c r="C16" s="565"/>
      <c r="D16" s="565"/>
      <c r="F16" s="114">
        <v>863339.47369365918</v>
      </c>
      <c r="G16" s="68">
        <f>IFERROR(F16*'As-Filed Schedule 1'!$E$103,0)</f>
        <v>224383.88192133498</v>
      </c>
      <c r="H16" s="68">
        <f t="shared" ref="H16:H72" si="0">SUM(F16:G16)</f>
        <v>1087723.3556149942</v>
      </c>
      <c r="J16" s="114">
        <v>36.0497285862673</v>
      </c>
      <c r="K16" s="68">
        <f>IFERROR(J16*'As-Filed Schedule 1'!$E$103,0)</f>
        <v>9.3694059971447654</v>
      </c>
      <c r="L16" s="68">
        <f t="shared" ref="L16:L72" si="1">SUM(J16:K16)</f>
        <v>45.419134583412067</v>
      </c>
      <c r="N16" s="117">
        <v>4.3562499999999993</v>
      </c>
      <c r="O16" s="453">
        <v>85</v>
      </c>
    </row>
    <row r="17" spans="1:15" x14ac:dyDescent="0.35">
      <c r="A17" s="24">
        <v>3</v>
      </c>
      <c r="B17" s="565" t="s">
        <v>940</v>
      </c>
      <c r="C17" s="565"/>
      <c r="D17" s="565"/>
      <c r="F17" s="114"/>
      <c r="G17" s="68">
        <f>IFERROR(F17*'As-Filed Schedule 1'!$E$103,0)</f>
        <v>0</v>
      </c>
      <c r="H17" s="68">
        <f t="shared" si="0"/>
        <v>0</v>
      </c>
      <c r="J17" s="114">
        <v>803255.4091492797</v>
      </c>
      <c r="K17" s="68">
        <f>IFERROR(J17*'As-Filed Schedule 1'!$E$103,0)</f>
        <v>208767.89764761727</v>
      </c>
      <c r="L17" s="68">
        <f t="shared" si="1"/>
        <v>1012023.306796897</v>
      </c>
      <c r="N17" s="117">
        <v>6.9390625000000004</v>
      </c>
      <c r="O17" s="453">
        <v>0</v>
      </c>
    </row>
    <row r="18" spans="1:15" x14ac:dyDescent="0.35">
      <c r="A18" s="24">
        <v>4</v>
      </c>
      <c r="B18" s="565" t="s">
        <v>941</v>
      </c>
      <c r="C18" s="565"/>
      <c r="D18" s="565"/>
      <c r="F18" s="114"/>
      <c r="G18" s="68">
        <f>IFERROR(F18*'As-Filed Schedule 1'!$E$103,0)</f>
        <v>0</v>
      </c>
      <c r="H18" s="68">
        <f t="shared" si="0"/>
        <v>0</v>
      </c>
      <c r="J18" s="114">
        <v>579964.03814955102</v>
      </c>
      <c r="K18" s="68">
        <f>IFERROR(J18*'As-Filed Schedule 1'!$E$103,0)</f>
        <v>150733.96528252042</v>
      </c>
      <c r="L18" s="68">
        <f t="shared" si="1"/>
        <v>730698.00343207142</v>
      </c>
      <c r="N18" s="117">
        <v>3.9999999999999996</v>
      </c>
      <c r="O18" s="453">
        <v>0</v>
      </c>
    </row>
    <row r="19" spans="1:15" x14ac:dyDescent="0.35">
      <c r="A19" s="24">
        <v>5</v>
      </c>
      <c r="B19" s="565" t="s">
        <v>942</v>
      </c>
      <c r="C19" s="565"/>
      <c r="D19" s="565"/>
      <c r="F19" s="114"/>
      <c r="G19" s="68">
        <f>IFERROR(F19*'As-Filed Schedule 1'!$E$103,0)</f>
        <v>0</v>
      </c>
      <c r="H19" s="68">
        <f t="shared" si="0"/>
        <v>0</v>
      </c>
      <c r="J19" s="114">
        <v>630952.95839511428</v>
      </c>
      <c r="K19" s="68">
        <f>IFERROR(J19*'As-Filed Schedule 1'!$E$103,0)</f>
        <v>163986.10098150329</v>
      </c>
      <c r="L19" s="68">
        <f t="shared" si="1"/>
        <v>794939.05937661754</v>
      </c>
      <c r="N19" s="117">
        <v>4.5500000000000007</v>
      </c>
      <c r="O19" s="453">
        <v>1</v>
      </c>
    </row>
    <row r="20" spans="1:15" x14ac:dyDescent="0.35">
      <c r="A20" s="24">
        <v>6</v>
      </c>
      <c r="B20" s="565"/>
      <c r="C20" s="565"/>
      <c r="D20" s="565"/>
      <c r="F20" s="114"/>
      <c r="G20" s="68">
        <f>IFERROR(F20*'As-Filed Schedule 1'!$E$103,0)</f>
        <v>0</v>
      </c>
      <c r="H20" s="68">
        <f t="shared" si="0"/>
        <v>0</v>
      </c>
      <c r="J20" s="114"/>
      <c r="K20" s="68">
        <f>IFERROR(J20*'As-Filed Schedule 1'!$E$103,0)</f>
        <v>0</v>
      </c>
      <c r="L20" s="68">
        <f t="shared" si="1"/>
        <v>0</v>
      </c>
      <c r="N20" s="117"/>
      <c r="O20" s="117"/>
    </row>
    <row r="21" spans="1:15" x14ac:dyDescent="0.35">
      <c r="A21" s="24">
        <v>7</v>
      </c>
      <c r="B21" s="565"/>
      <c r="C21" s="565"/>
      <c r="D21" s="565"/>
      <c r="F21" s="114"/>
      <c r="G21" s="68">
        <f>IFERROR(F21*'As-Filed Schedule 1'!$E$103,0)</f>
        <v>0</v>
      </c>
      <c r="H21" s="68">
        <f t="shared" si="0"/>
        <v>0</v>
      </c>
      <c r="J21" s="114"/>
      <c r="K21" s="68">
        <f>IFERROR(J21*'As-Filed Schedule 1'!$E$103,0)</f>
        <v>0</v>
      </c>
      <c r="L21" s="68">
        <f t="shared" si="1"/>
        <v>0</v>
      </c>
      <c r="N21" s="117"/>
      <c r="O21" s="117"/>
    </row>
    <row r="22" spans="1:15" x14ac:dyDescent="0.35">
      <c r="A22" s="24">
        <v>8</v>
      </c>
      <c r="B22" s="565"/>
      <c r="C22" s="565"/>
      <c r="D22" s="565"/>
      <c r="F22" s="114"/>
      <c r="G22" s="68">
        <f>IFERROR(F22*'As-Filed Schedule 1'!$E$103,0)</f>
        <v>0</v>
      </c>
      <c r="H22" s="68">
        <f t="shared" si="0"/>
        <v>0</v>
      </c>
      <c r="J22" s="114"/>
      <c r="K22" s="68">
        <f>IFERROR(J22*'As-Filed Schedule 1'!$E$103,0)</f>
        <v>0</v>
      </c>
      <c r="L22" s="68">
        <f t="shared" si="1"/>
        <v>0</v>
      </c>
      <c r="N22" s="117"/>
      <c r="O22" s="117"/>
    </row>
    <row r="23" spans="1:15" x14ac:dyDescent="0.35">
      <c r="A23" s="24">
        <v>9</v>
      </c>
      <c r="B23" s="565"/>
      <c r="C23" s="565"/>
      <c r="D23" s="565"/>
      <c r="F23" s="114"/>
      <c r="G23" s="68">
        <f>IFERROR(F23*'As-Filed Schedule 1'!$E$103,0)</f>
        <v>0</v>
      </c>
      <c r="H23" s="68">
        <f t="shared" si="0"/>
        <v>0</v>
      </c>
      <c r="J23" s="114"/>
      <c r="K23" s="68">
        <f>IFERROR(J23*'As-Filed Schedule 1'!$E$103,0)</f>
        <v>0</v>
      </c>
      <c r="L23" s="68">
        <f t="shared" si="1"/>
        <v>0</v>
      </c>
      <c r="N23" s="117"/>
      <c r="O23" s="117"/>
    </row>
    <row r="24" spans="1:15" x14ac:dyDescent="0.35">
      <c r="A24" s="24">
        <v>10</v>
      </c>
      <c r="B24" s="565"/>
      <c r="C24" s="565"/>
      <c r="D24" s="565"/>
      <c r="F24" s="114"/>
      <c r="G24" s="68">
        <f>IFERROR(F24*'As-Filed Schedule 1'!$E$103,0)</f>
        <v>0</v>
      </c>
      <c r="H24" s="68">
        <f t="shared" si="0"/>
        <v>0</v>
      </c>
      <c r="J24" s="114"/>
      <c r="K24" s="68">
        <f>IFERROR(J24*'As-Filed Schedule 1'!$E$103,0)</f>
        <v>0</v>
      </c>
      <c r="L24" s="68">
        <f t="shared" si="1"/>
        <v>0</v>
      </c>
      <c r="N24" s="117"/>
      <c r="O24" s="117"/>
    </row>
    <row r="25" spans="1:15" x14ac:dyDescent="0.35">
      <c r="A25" s="24">
        <v>11</v>
      </c>
      <c r="B25" s="565"/>
      <c r="C25" s="565"/>
      <c r="D25" s="565"/>
      <c r="F25" s="114"/>
      <c r="G25" s="68">
        <f>IFERROR(F25*'As-Filed Schedule 1'!$E$103,0)</f>
        <v>0</v>
      </c>
      <c r="H25" s="68">
        <f t="shared" si="0"/>
        <v>0</v>
      </c>
      <c r="J25" s="114"/>
      <c r="K25" s="68">
        <f>IFERROR(J25*'As-Filed Schedule 1'!$E$103,0)</f>
        <v>0</v>
      </c>
      <c r="L25" s="68">
        <f t="shared" si="1"/>
        <v>0</v>
      </c>
      <c r="N25" s="117"/>
      <c r="O25" s="117"/>
    </row>
    <row r="26" spans="1:15" x14ac:dyDescent="0.35">
      <c r="A26" s="24">
        <v>12</v>
      </c>
      <c r="B26" s="565"/>
      <c r="C26" s="565"/>
      <c r="D26" s="565"/>
      <c r="F26" s="114"/>
      <c r="G26" s="68">
        <f>IFERROR(F26*'As-Filed Schedule 1'!$E$103,0)</f>
        <v>0</v>
      </c>
      <c r="H26" s="68">
        <f t="shared" si="0"/>
        <v>0</v>
      </c>
      <c r="J26" s="114"/>
      <c r="K26" s="68">
        <f>IFERROR(J26*'As-Filed Schedule 1'!$E$103,0)</f>
        <v>0</v>
      </c>
      <c r="L26" s="68">
        <f t="shared" si="1"/>
        <v>0</v>
      </c>
      <c r="N26" s="117"/>
      <c r="O26" s="117"/>
    </row>
    <row r="27" spans="1:15" x14ac:dyDescent="0.35">
      <c r="A27" s="24">
        <v>13</v>
      </c>
      <c r="B27" s="565"/>
      <c r="C27" s="565"/>
      <c r="D27" s="565"/>
      <c r="F27" s="114"/>
      <c r="G27" s="68">
        <f>IFERROR(F27*'As-Filed Schedule 1'!$E$103,0)</f>
        <v>0</v>
      </c>
      <c r="H27" s="68">
        <f t="shared" si="0"/>
        <v>0</v>
      </c>
      <c r="J27" s="114"/>
      <c r="K27" s="68">
        <f>IFERROR(J27*'As-Filed Schedule 1'!$E$103,0)</f>
        <v>0</v>
      </c>
      <c r="L27" s="68">
        <f t="shared" si="1"/>
        <v>0</v>
      </c>
      <c r="N27" s="117"/>
      <c r="O27" s="117"/>
    </row>
    <row r="28" spans="1:15" x14ac:dyDescent="0.35">
      <c r="A28" s="24">
        <v>14</v>
      </c>
      <c r="B28" s="565"/>
      <c r="C28" s="565"/>
      <c r="D28" s="565"/>
      <c r="F28" s="114"/>
      <c r="G28" s="68">
        <f>IFERROR(F28*'As-Filed Schedule 1'!$E$103,0)</f>
        <v>0</v>
      </c>
      <c r="H28" s="68">
        <f t="shared" si="0"/>
        <v>0</v>
      </c>
      <c r="J28" s="114"/>
      <c r="K28" s="68">
        <f>IFERROR(J28*'As-Filed Schedule 1'!$E$103,0)</f>
        <v>0</v>
      </c>
      <c r="L28" s="68">
        <f t="shared" si="1"/>
        <v>0</v>
      </c>
      <c r="N28" s="117"/>
      <c r="O28" s="117"/>
    </row>
    <row r="29" spans="1:15" x14ac:dyDescent="0.35">
      <c r="A29" s="24">
        <v>15</v>
      </c>
      <c r="B29" s="565"/>
      <c r="C29" s="565"/>
      <c r="D29" s="565"/>
      <c r="F29" s="114"/>
      <c r="G29" s="68">
        <f>IFERROR(F29*'As-Filed Schedule 1'!$E$103,0)</f>
        <v>0</v>
      </c>
      <c r="H29" s="68">
        <f t="shared" si="0"/>
        <v>0</v>
      </c>
      <c r="J29" s="114"/>
      <c r="K29" s="68">
        <f>IFERROR(J29*'As-Filed Schedule 1'!$E$103,0)</f>
        <v>0</v>
      </c>
      <c r="L29" s="68">
        <f t="shared" si="1"/>
        <v>0</v>
      </c>
      <c r="N29" s="117"/>
      <c r="O29" s="117"/>
    </row>
    <row r="30" spans="1:15" x14ac:dyDescent="0.35">
      <c r="A30" s="24">
        <v>16</v>
      </c>
      <c r="B30" s="565"/>
      <c r="C30" s="565"/>
      <c r="D30" s="565"/>
      <c r="F30" s="114"/>
      <c r="G30" s="68">
        <f>IFERROR(F30*'As-Filed Schedule 1'!$E$103,0)</f>
        <v>0</v>
      </c>
      <c r="H30" s="68">
        <f t="shared" si="0"/>
        <v>0</v>
      </c>
      <c r="J30" s="114"/>
      <c r="K30" s="68">
        <f>IFERROR(J30*'As-Filed Schedule 1'!$E$103,0)</f>
        <v>0</v>
      </c>
      <c r="L30" s="68">
        <f t="shared" si="1"/>
        <v>0</v>
      </c>
      <c r="N30" s="117"/>
      <c r="O30" s="117"/>
    </row>
    <row r="31" spans="1:15" x14ac:dyDescent="0.35">
      <c r="A31" s="24">
        <v>17</v>
      </c>
      <c r="B31" s="565"/>
      <c r="C31" s="565"/>
      <c r="D31" s="565"/>
      <c r="F31" s="114"/>
      <c r="G31" s="68">
        <f>IFERROR(F31*'As-Filed Schedule 1'!$E$103,0)</f>
        <v>0</v>
      </c>
      <c r="H31" s="68">
        <f t="shared" si="0"/>
        <v>0</v>
      </c>
      <c r="J31" s="114"/>
      <c r="K31" s="68">
        <f>IFERROR(J31*'As-Filed Schedule 1'!$E$103,0)</f>
        <v>0</v>
      </c>
      <c r="L31" s="68">
        <f t="shared" si="1"/>
        <v>0</v>
      </c>
      <c r="N31" s="117"/>
      <c r="O31" s="117"/>
    </row>
    <row r="32" spans="1:15" x14ac:dyDescent="0.35">
      <c r="A32" s="24">
        <v>18</v>
      </c>
      <c r="B32" s="565"/>
      <c r="C32" s="565"/>
      <c r="D32" s="565"/>
      <c r="F32" s="114"/>
      <c r="G32" s="68">
        <f>IFERROR(F32*'As-Filed Schedule 1'!$E$103,0)</f>
        <v>0</v>
      </c>
      <c r="H32" s="68">
        <f t="shared" si="0"/>
        <v>0</v>
      </c>
      <c r="J32" s="114"/>
      <c r="K32" s="68">
        <f>IFERROR(J32*'As-Filed Schedule 1'!$E$103,0)</f>
        <v>0</v>
      </c>
      <c r="L32" s="68">
        <f t="shared" si="1"/>
        <v>0</v>
      </c>
      <c r="N32" s="117"/>
      <c r="O32" s="117"/>
    </row>
    <row r="33" spans="1:15" x14ac:dyDescent="0.35">
      <c r="A33" s="24">
        <v>19</v>
      </c>
      <c r="B33" s="565"/>
      <c r="C33" s="565"/>
      <c r="D33" s="565"/>
      <c r="F33" s="114"/>
      <c r="G33" s="68">
        <f>IFERROR(F33*'As-Filed Schedule 1'!$E$103,0)</f>
        <v>0</v>
      </c>
      <c r="H33" s="68">
        <f t="shared" si="0"/>
        <v>0</v>
      </c>
      <c r="J33" s="114"/>
      <c r="K33" s="68">
        <f>IFERROR(J33*'As-Filed Schedule 1'!$E$103,0)</f>
        <v>0</v>
      </c>
      <c r="L33" s="68">
        <f t="shared" si="1"/>
        <v>0</v>
      </c>
      <c r="N33" s="117"/>
      <c r="O33" s="117"/>
    </row>
    <row r="34" spans="1:15" x14ac:dyDescent="0.35">
      <c r="A34" s="24">
        <v>20</v>
      </c>
      <c r="B34" s="565"/>
      <c r="C34" s="565"/>
      <c r="D34" s="565"/>
      <c r="F34" s="114"/>
      <c r="G34" s="68">
        <f>IFERROR(F34*'As-Filed Schedule 1'!$E$103,0)</f>
        <v>0</v>
      </c>
      <c r="H34" s="68">
        <f t="shared" si="0"/>
        <v>0</v>
      </c>
      <c r="J34" s="114"/>
      <c r="K34" s="68">
        <f>IFERROR(J34*'As-Filed Schedule 1'!$E$103,0)</f>
        <v>0</v>
      </c>
      <c r="L34" s="68">
        <f t="shared" si="1"/>
        <v>0</v>
      </c>
      <c r="N34" s="117"/>
      <c r="O34" s="117"/>
    </row>
    <row r="35" spans="1:15" x14ac:dyDescent="0.35">
      <c r="A35" s="24">
        <v>21</v>
      </c>
      <c r="B35" s="565"/>
      <c r="C35" s="565"/>
      <c r="D35" s="565"/>
      <c r="F35" s="114"/>
      <c r="G35" s="68">
        <f>IFERROR(F35*'As-Filed Schedule 1'!$E$103,0)</f>
        <v>0</v>
      </c>
      <c r="H35" s="68">
        <f t="shared" si="0"/>
        <v>0</v>
      </c>
      <c r="J35" s="114"/>
      <c r="K35" s="68">
        <f>IFERROR(J35*'As-Filed Schedule 1'!$E$103,0)</f>
        <v>0</v>
      </c>
      <c r="L35" s="68">
        <f t="shared" si="1"/>
        <v>0</v>
      </c>
      <c r="N35" s="117"/>
      <c r="O35" s="117"/>
    </row>
    <row r="36" spans="1:15" x14ac:dyDescent="0.35">
      <c r="A36" s="24">
        <v>22</v>
      </c>
      <c r="B36" s="565"/>
      <c r="C36" s="565"/>
      <c r="D36" s="565"/>
      <c r="F36" s="114"/>
      <c r="G36" s="68">
        <f>IFERROR(F36*'As-Filed Schedule 1'!$E$103,0)</f>
        <v>0</v>
      </c>
      <c r="H36" s="68">
        <f t="shared" si="0"/>
        <v>0</v>
      </c>
      <c r="J36" s="114"/>
      <c r="K36" s="68">
        <f>IFERROR(J36*'As-Filed Schedule 1'!$E$103,0)</f>
        <v>0</v>
      </c>
      <c r="L36" s="68">
        <f t="shared" si="1"/>
        <v>0</v>
      </c>
      <c r="N36" s="117"/>
      <c r="O36" s="117"/>
    </row>
    <row r="37" spans="1:15" x14ac:dyDescent="0.35">
      <c r="A37" s="24">
        <v>23</v>
      </c>
      <c r="B37" s="565"/>
      <c r="C37" s="565"/>
      <c r="D37" s="565"/>
      <c r="F37" s="114"/>
      <c r="G37" s="68">
        <f>IFERROR(F37*'As-Filed Schedule 1'!$E$103,0)</f>
        <v>0</v>
      </c>
      <c r="H37" s="68">
        <f t="shared" si="0"/>
        <v>0</v>
      </c>
      <c r="J37" s="114"/>
      <c r="K37" s="68">
        <f>IFERROR(J37*'As-Filed Schedule 1'!$E$103,0)</f>
        <v>0</v>
      </c>
      <c r="L37" s="68">
        <f t="shared" si="1"/>
        <v>0</v>
      </c>
      <c r="N37" s="117"/>
      <c r="O37" s="117"/>
    </row>
    <row r="38" spans="1:15" x14ac:dyDescent="0.35">
      <c r="A38" s="24">
        <v>24</v>
      </c>
      <c r="B38" s="565"/>
      <c r="C38" s="565"/>
      <c r="D38" s="565"/>
      <c r="F38" s="114"/>
      <c r="G38" s="68">
        <f>IFERROR(F38*'As-Filed Schedule 1'!$E$103,0)</f>
        <v>0</v>
      </c>
      <c r="H38" s="68">
        <f t="shared" si="0"/>
        <v>0</v>
      </c>
      <c r="J38" s="114"/>
      <c r="K38" s="68">
        <f>IFERROR(J38*'As-Filed Schedule 1'!$E$103,0)</f>
        <v>0</v>
      </c>
      <c r="L38" s="68">
        <f t="shared" si="1"/>
        <v>0</v>
      </c>
      <c r="N38" s="117"/>
      <c r="O38" s="117"/>
    </row>
    <row r="39" spans="1:15" x14ac:dyDescent="0.35">
      <c r="A39" s="24">
        <v>25</v>
      </c>
      <c r="B39" s="565"/>
      <c r="C39" s="565"/>
      <c r="D39" s="565"/>
      <c r="F39" s="114"/>
      <c r="G39" s="68">
        <f>IFERROR(F39*'As-Filed Schedule 1'!$E$103,0)</f>
        <v>0</v>
      </c>
      <c r="H39" s="68">
        <f t="shared" si="0"/>
        <v>0</v>
      </c>
      <c r="J39" s="114"/>
      <c r="K39" s="68">
        <f>IFERROR(J39*'As-Filed Schedule 1'!$E$103,0)</f>
        <v>0</v>
      </c>
      <c r="L39" s="68">
        <f t="shared" si="1"/>
        <v>0</v>
      </c>
      <c r="N39" s="117"/>
      <c r="O39" s="117"/>
    </row>
    <row r="40" spans="1:15" x14ac:dyDescent="0.35">
      <c r="A40" s="24">
        <v>26</v>
      </c>
      <c r="B40" s="565"/>
      <c r="C40" s="565"/>
      <c r="D40" s="565"/>
      <c r="F40" s="114"/>
      <c r="G40" s="68">
        <f>IFERROR(F40*'As-Filed Schedule 1'!$E$103,0)</f>
        <v>0</v>
      </c>
      <c r="H40" s="68">
        <f t="shared" si="0"/>
        <v>0</v>
      </c>
      <c r="J40" s="114"/>
      <c r="K40" s="68">
        <f>IFERROR(J40*'As-Filed Schedule 1'!$E$103,0)</f>
        <v>0</v>
      </c>
      <c r="L40" s="68">
        <f t="shared" si="1"/>
        <v>0</v>
      </c>
      <c r="N40" s="117"/>
      <c r="O40" s="117"/>
    </row>
    <row r="41" spans="1:15" x14ac:dyDescent="0.35">
      <c r="A41" s="24">
        <v>27</v>
      </c>
      <c r="B41" s="565"/>
      <c r="C41" s="565"/>
      <c r="D41" s="565"/>
      <c r="F41" s="114"/>
      <c r="G41" s="68">
        <f>IFERROR(F41*'As-Filed Schedule 1'!$E$103,0)</f>
        <v>0</v>
      </c>
      <c r="H41" s="68">
        <f t="shared" si="0"/>
        <v>0</v>
      </c>
      <c r="J41" s="114"/>
      <c r="K41" s="68">
        <f>IFERROR(J41*'As-Filed Schedule 1'!$E$103,0)</f>
        <v>0</v>
      </c>
      <c r="L41" s="68">
        <f t="shared" si="1"/>
        <v>0</v>
      </c>
      <c r="N41" s="117"/>
      <c r="O41" s="117"/>
    </row>
    <row r="42" spans="1:15" x14ac:dyDescent="0.35">
      <c r="A42" s="24">
        <v>28</v>
      </c>
      <c r="B42" s="565"/>
      <c r="C42" s="565"/>
      <c r="D42" s="565"/>
      <c r="F42" s="114"/>
      <c r="G42" s="68">
        <f>IFERROR(F42*'As-Filed Schedule 1'!$E$103,0)</f>
        <v>0</v>
      </c>
      <c r="H42" s="68">
        <f t="shared" si="0"/>
        <v>0</v>
      </c>
      <c r="J42" s="114"/>
      <c r="K42" s="68">
        <f>IFERROR(J42*'As-Filed Schedule 1'!$E$103,0)</f>
        <v>0</v>
      </c>
      <c r="L42" s="68">
        <f t="shared" si="1"/>
        <v>0</v>
      </c>
      <c r="N42" s="117"/>
      <c r="O42" s="117"/>
    </row>
    <row r="43" spans="1:15" x14ac:dyDescent="0.35">
      <c r="A43" s="24">
        <v>29</v>
      </c>
      <c r="B43" s="565"/>
      <c r="C43" s="565"/>
      <c r="D43" s="565"/>
      <c r="F43" s="114"/>
      <c r="G43" s="68">
        <f>IFERROR(F43*'As-Filed Schedule 1'!$E$103,0)</f>
        <v>0</v>
      </c>
      <c r="H43" s="68">
        <f t="shared" si="0"/>
        <v>0</v>
      </c>
      <c r="J43" s="114"/>
      <c r="K43" s="68">
        <f>IFERROR(J43*'As-Filed Schedule 1'!$E$103,0)</f>
        <v>0</v>
      </c>
      <c r="L43" s="68">
        <f t="shared" si="1"/>
        <v>0</v>
      </c>
      <c r="N43" s="117"/>
      <c r="O43" s="117"/>
    </row>
    <row r="44" spans="1:15" x14ac:dyDescent="0.35">
      <c r="A44" s="24">
        <v>30</v>
      </c>
      <c r="B44" s="565"/>
      <c r="C44" s="565"/>
      <c r="D44" s="565"/>
      <c r="F44" s="114"/>
      <c r="G44" s="68">
        <f>IFERROR(F44*'As-Filed Schedule 1'!$E$103,0)</f>
        <v>0</v>
      </c>
      <c r="H44" s="68">
        <f t="shared" si="0"/>
        <v>0</v>
      </c>
      <c r="J44" s="114"/>
      <c r="K44" s="68">
        <f>IFERROR(J44*'As-Filed Schedule 1'!$E$103,0)</f>
        <v>0</v>
      </c>
      <c r="L44" s="68">
        <f t="shared" si="1"/>
        <v>0</v>
      </c>
      <c r="N44" s="117"/>
      <c r="O44" s="117"/>
    </row>
    <row r="45" spans="1:15" x14ac:dyDescent="0.35">
      <c r="A45" s="24">
        <v>31</v>
      </c>
      <c r="B45" s="565"/>
      <c r="C45" s="565"/>
      <c r="D45" s="565"/>
      <c r="F45" s="114"/>
      <c r="G45" s="68">
        <f>IFERROR(F45*'As-Filed Schedule 1'!$E$103,0)</f>
        <v>0</v>
      </c>
      <c r="H45" s="68">
        <f t="shared" si="0"/>
        <v>0</v>
      </c>
      <c r="J45" s="114"/>
      <c r="K45" s="68">
        <f>IFERROR(J45*'As-Filed Schedule 1'!$E$103,0)</f>
        <v>0</v>
      </c>
      <c r="L45" s="68">
        <f t="shared" si="1"/>
        <v>0</v>
      </c>
      <c r="N45" s="117"/>
      <c r="O45" s="117"/>
    </row>
    <row r="46" spans="1:15" x14ac:dyDescent="0.35">
      <c r="A46" s="24">
        <v>32</v>
      </c>
      <c r="B46" s="565"/>
      <c r="C46" s="565"/>
      <c r="D46" s="565"/>
      <c r="F46" s="114"/>
      <c r="G46" s="68">
        <f>IFERROR(F46*'As-Filed Schedule 1'!$E$103,0)</f>
        <v>0</v>
      </c>
      <c r="H46" s="68">
        <f t="shared" si="0"/>
        <v>0</v>
      </c>
      <c r="J46" s="114"/>
      <c r="K46" s="68">
        <f>IFERROR(J46*'As-Filed Schedule 1'!$E$103,0)</f>
        <v>0</v>
      </c>
      <c r="L46" s="68">
        <f t="shared" si="1"/>
        <v>0</v>
      </c>
      <c r="N46" s="117"/>
      <c r="O46" s="117"/>
    </row>
    <row r="47" spans="1:15" x14ac:dyDescent="0.35">
      <c r="A47" s="24">
        <v>33</v>
      </c>
      <c r="B47" s="565"/>
      <c r="C47" s="565"/>
      <c r="D47" s="565"/>
      <c r="F47" s="114"/>
      <c r="G47" s="68">
        <f>IFERROR(F47*'As-Filed Schedule 1'!$E$103,0)</f>
        <v>0</v>
      </c>
      <c r="H47" s="68">
        <f t="shared" si="0"/>
        <v>0</v>
      </c>
      <c r="J47" s="114"/>
      <c r="K47" s="68">
        <f>IFERROR(J47*'As-Filed Schedule 1'!$E$103,0)</f>
        <v>0</v>
      </c>
      <c r="L47" s="68">
        <f t="shared" si="1"/>
        <v>0</v>
      </c>
      <c r="N47" s="117"/>
      <c r="O47" s="117"/>
    </row>
    <row r="48" spans="1:15" x14ac:dyDescent="0.35">
      <c r="A48" s="24">
        <v>34</v>
      </c>
      <c r="B48" s="565"/>
      <c r="C48" s="565"/>
      <c r="D48" s="565"/>
      <c r="F48" s="114"/>
      <c r="G48" s="68">
        <f>IFERROR(F48*'As-Filed Schedule 1'!$E$103,0)</f>
        <v>0</v>
      </c>
      <c r="H48" s="68">
        <f t="shared" si="0"/>
        <v>0</v>
      </c>
      <c r="J48" s="114"/>
      <c r="K48" s="68">
        <f>IFERROR(J48*'As-Filed Schedule 1'!$E$103,0)</f>
        <v>0</v>
      </c>
      <c r="L48" s="68">
        <f t="shared" si="1"/>
        <v>0</v>
      </c>
      <c r="N48" s="117"/>
      <c r="O48" s="117"/>
    </row>
    <row r="49" spans="1:15" x14ac:dyDescent="0.35">
      <c r="A49" s="24">
        <v>35</v>
      </c>
      <c r="B49" s="565"/>
      <c r="C49" s="565"/>
      <c r="D49" s="565"/>
      <c r="F49" s="114"/>
      <c r="G49" s="68">
        <f>IFERROR(F49*'As-Filed Schedule 1'!$E$103,0)</f>
        <v>0</v>
      </c>
      <c r="H49" s="68">
        <f t="shared" si="0"/>
        <v>0</v>
      </c>
      <c r="J49" s="114"/>
      <c r="K49" s="68">
        <f>IFERROR(J49*'As-Filed Schedule 1'!$E$103,0)</f>
        <v>0</v>
      </c>
      <c r="L49" s="68">
        <f t="shared" si="1"/>
        <v>0</v>
      </c>
      <c r="N49" s="117"/>
      <c r="O49" s="117"/>
    </row>
    <row r="50" spans="1:15" x14ac:dyDescent="0.35">
      <c r="A50" s="24">
        <v>36</v>
      </c>
      <c r="B50" s="565"/>
      <c r="C50" s="565"/>
      <c r="D50" s="565"/>
      <c r="F50" s="114"/>
      <c r="G50" s="68">
        <f>IFERROR(F50*'As-Filed Schedule 1'!$E$103,0)</f>
        <v>0</v>
      </c>
      <c r="H50" s="68">
        <f t="shared" si="0"/>
        <v>0</v>
      </c>
      <c r="J50" s="114"/>
      <c r="K50" s="68">
        <f>IFERROR(J50*'As-Filed Schedule 1'!$E$103,0)</f>
        <v>0</v>
      </c>
      <c r="L50" s="68">
        <f t="shared" si="1"/>
        <v>0</v>
      </c>
      <c r="N50" s="117"/>
      <c r="O50" s="117"/>
    </row>
    <row r="51" spans="1:15" x14ac:dyDescent="0.35">
      <c r="A51" s="24">
        <v>37</v>
      </c>
      <c r="B51" s="565"/>
      <c r="C51" s="565"/>
      <c r="D51" s="565"/>
      <c r="F51" s="114"/>
      <c r="G51" s="68">
        <f>IFERROR(F51*'As-Filed Schedule 1'!$E$103,0)</f>
        <v>0</v>
      </c>
      <c r="H51" s="68">
        <f t="shared" si="0"/>
        <v>0</v>
      </c>
      <c r="J51" s="114"/>
      <c r="K51" s="68">
        <f>IFERROR(J51*'As-Filed Schedule 1'!$E$103,0)</f>
        <v>0</v>
      </c>
      <c r="L51" s="68">
        <f t="shared" si="1"/>
        <v>0</v>
      </c>
      <c r="N51" s="117"/>
      <c r="O51" s="117"/>
    </row>
    <row r="52" spans="1:15" x14ac:dyDescent="0.35">
      <c r="A52" s="24">
        <v>38</v>
      </c>
      <c r="B52" s="565"/>
      <c r="C52" s="565"/>
      <c r="D52" s="565"/>
      <c r="F52" s="114"/>
      <c r="G52" s="68">
        <f>IFERROR(F52*'As-Filed Schedule 1'!$E$103,0)</f>
        <v>0</v>
      </c>
      <c r="H52" s="68">
        <f t="shared" si="0"/>
        <v>0</v>
      </c>
      <c r="J52" s="114"/>
      <c r="K52" s="68">
        <f>IFERROR(J52*'As-Filed Schedule 1'!$E$103,0)</f>
        <v>0</v>
      </c>
      <c r="L52" s="68">
        <f t="shared" si="1"/>
        <v>0</v>
      </c>
      <c r="N52" s="117"/>
      <c r="O52" s="117"/>
    </row>
    <row r="53" spans="1:15" x14ac:dyDescent="0.35">
      <c r="A53" s="24">
        <v>39</v>
      </c>
      <c r="B53" s="565"/>
      <c r="C53" s="565"/>
      <c r="D53" s="565"/>
      <c r="F53" s="114"/>
      <c r="G53" s="68">
        <f>IFERROR(F53*'As-Filed Schedule 1'!$E$103,0)</f>
        <v>0</v>
      </c>
      <c r="H53" s="68">
        <f t="shared" si="0"/>
        <v>0</v>
      </c>
      <c r="J53" s="114"/>
      <c r="K53" s="68">
        <f>IFERROR(J53*'As-Filed Schedule 1'!$E$103,0)</f>
        <v>0</v>
      </c>
      <c r="L53" s="68">
        <f t="shared" si="1"/>
        <v>0</v>
      </c>
      <c r="N53" s="117"/>
      <c r="O53" s="117"/>
    </row>
    <row r="54" spans="1:15" x14ac:dyDescent="0.35">
      <c r="A54" s="24">
        <v>40</v>
      </c>
      <c r="B54" s="565"/>
      <c r="C54" s="565"/>
      <c r="D54" s="565"/>
      <c r="F54" s="114"/>
      <c r="G54" s="68">
        <f>IFERROR(F54*'As-Filed Schedule 1'!$E$103,0)</f>
        <v>0</v>
      </c>
      <c r="H54" s="68">
        <f t="shared" si="0"/>
        <v>0</v>
      </c>
      <c r="J54" s="114"/>
      <c r="K54" s="68">
        <f>IFERROR(J54*'As-Filed Schedule 1'!$E$103,0)</f>
        <v>0</v>
      </c>
      <c r="L54" s="68">
        <f t="shared" si="1"/>
        <v>0</v>
      </c>
      <c r="N54" s="117"/>
      <c r="O54" s="117"/>
    </row>
    <row r="55" spans="1:15" x14ac:dyDescent="0.35">
      <c r="A55" s="24">
        <v>41</v>
      </c>
      <c r="B55" s="565"/>
      <c r="C55" s="565"/>
      <c r="D55" s="565"/>
      <c r="F55" s="114"/>
      <c r="G55" s="68">
        <f>IFERROR(F55*'As-Filed Schedule 1'!$E$103,0)</f>
        <v>0</v>
      </c>
      <c r="H55" s="68">
        <f t="shared" si="0"/>
        <v>0</v>
      </c>
      <c r="J55" s="114"/>
      <c r="K55" s="68">
        <f>IFERROR(J55*'As-Filed Schedule 1'!$E$103,0)</f>
        <v>0</v>
      </c>
      <c r="L55" s="68">
        <f t="shared" si="1"/>
        <v>0</v>
      </c>
      <c r="N55" s="117"/>
      <c r="O55" s="117"/>
    </row>
    <row r="56" spans="1:15" x14ac:dyDescent="0.35">
      <c r="A56" s="24">
        <v>42</v>
      </c>
      <c r="B56" s="565"/>
      <c r="C56" s="565"/>
      <c r="D56" s="565"/>
      <c r="F56" s="114"/>
      <c r="G56" s="68">
        <f>IFERROR(F56*'As-Filed Schedule 1'!$E$103,0)</f>
        <v>0</v>
      </c>
      <c r="H56" s="68">
        <f t="shared" si="0"/>
        <v>0</v>
      </c>
      <c r="J56" s="114"/>
      <c r="K56" s="68">
        <f>IFERROR(J56*'As-Filed Schedule 1'!$E$103,0)</f>
        <v>0</v>
      </c>
      <c r="L56" s="68">
        <f t="shared" si="1"/>
        <v>0</v>
      </c>
      <c r="N56" s="117"/>
      <c r="O56" s="117"/>
    </row>
    <row r="57" spans="1:15" x14ac:dyDescent="0.35">
      <c r="A57" s="24">
        <v>43</v>
      </c>
      <c r="B57" s="565"/>
      <c r="C57" s="565"/>
      <c r="D57" s="565"/>
      <c r="F57" s="114"/>
      <c r="G57" s="68">
        <f>IFERROR(F57*'As-Filed Schedule 1'!$E$103,0)</f>
        <v>0</v>
      </c>
      <c r="H57" s="68">
        <f t="shared" si="0"/>
        <v>0</v>
      </c>
      <c r="J57" s="114"/>
      <c r="K57" s="68">
        <f>IFERROR(J57*'As-Filed Schedule 1'!$E$103,0)</f>
        <v>0</v>
      </c>
      <c r="L57" s="68">
        <f t="shared" si="1"/>
        <v>0</v>
      </c>
      <c r="N57" s="117"/>
      <c r="O57" s="117"/>
    </row>
    <row r="58" spans="1:15" x14ac:dyDescent="0.35">
      <c r="A58" s="24">
        <v>44</v>
      </c>
      <c r="B58" s="565"/>
      <c r="C58" s="565"/>
      <c r="D58" s="565"/>
      <c r="F58" s="114"/>
      <c r="G58" s="68">
        <f>IFERROR(F58*'As-Filed Schedule 1'!$E$103,0)</f>
        <v>0</v>
      </c>
      <c r="H58" s="68">
        <f t="shared" si="0"/>
        <v>0</v>
      </c>
      <c r="J58" s="114"/>
      <c r="K58" s="68">
        <f>IFERROR(J58*'As-Filed Schedule 1'!$E$103,0)</f>
        <v>0</v>
      </c>
      <c r="L58" s="68">
        <f t="shared" si="1"/>
        <v>0</v>
      </c>
      <c r="N58" s="117"/>
      <c r="O58" s="117"/>
    </row>
    <row r="59" spans="1:15" x14ac:dyDescent="0.35">
      <c r="A59" s="24">
        <v>45</v>
      </c>
      <c r="B59" s="565"/>
      <c r="C59" s="565"/>
      <c r="D59" s="565"/>
      <c r="F59" s="114"/>
      <c r="G59" s="68">
        <f>IFERROR(F59*'As-Filed Schedule 1'!$E$103,0)</f>
        <v>0</v>
      </c>
      <c r="H59" s="68">
        <f t="shared" si="0"/>
        <v>0</v>
      </c>
      <c r="J59" s="114"/>
      <c r="K59" s="68">
        <f>IFERROR(J59*'As-Filed Schedule 1'!$E$103,0)</f>
        <v>0</v>
      </c>
      <c r="L59" s="68">
        <f t="shared" si="1"/>
        <v>0</v>
      </c>
      <c r="N59" s="117"/>
      <c r="O59" s="117"/>
    </row>
    <row r="60" spans="1:15" x14ac:dyDescent="0.35">
      <c r="A60" s="24">
        <v>46</v>
      </c>
      <c r="B60" s="565"/>
      <c r="C60" s="565"/>
      <c r="D60" s="565"/>
      <c r="F60" s="114"/>
      <c r="G60" s="68">
        <f>IFERROR(F60*'As-Filed Schedule 1'!$E$103,0)</f>
        <v>0</v>
      </c>
      <c r="H60" s="68">
        <f t="shared" si="0"/>
        <v>0</v>
      </c>
      <c r="J60" s="114"/>
      <c r="K60" s="68">
        <f>IFERROR(J60*'As-Filed Schedule 1'!$E$103,0)</f>
        <v>0</v>
      </c>
      <c r="L60" s="68">
        <f t="shared" si="1"/>
        <v>0</v>
      </c>
      <c r="N60" s="117"/>
      <c r="O60" s="117"/>
    </row>
    <row r="61" spans="1:15" x14ac:dyDescent="0.35">
      <c r="A61" s="24">
        <v>47</v>
      </c>
      <c r="B61" s="565"/>
      <c r="C61" s="565"/>
      <c r="D61" s="565"/>
      <c r="F61" s="114"/>
      <c r="G61" s="68">
        <f>IFERROR(F61*'As-Filed Schedule 1'!$E$103,0)</f>
        <v>0</v>
      </c>
      <c r="H61" s="68">
        <f t="shared" si="0"/>
        <v>0</v>
      </c>
      <c r="J61" s="114"/>
      <c r="K61" s="68">
        <f>IFERROR(J61*'As-Filed Schedule 1'!$E$103,0)</f>
        <v>0</v>
      </c>
      <c r="L61" s="68">
        <f t="shared" si="1"/>
        <v>0</v>
      </c>
      <c r="N61" s="117"/>
      <c r="O61" s="117"/>
    </row>
    <row r="62" spans="1:15" x14ac:dyDescent="0.35">
      <c r="A62" s="24">
        <v>48</v>
      </c>
      <c r="B62" s="565"/>
      <c r="C62" s="565"/>
      <c r="D62" s="565"/>
      <c r="F62" s="114"/>
      <c r="G62" s="68">
        <f>IFERROR(F62*'As-Filed Schedule 1'!$E$103,0)</f>
        <v>0</v>
      </c>
      <c r="H62" s="68">
        <f t="shared" si="0"/>
        <v>0</v>
      </c>
      <c r="J62" s="114"/>
      <c r="K62" s="68">
        <f>IFERROR(J62*'As-Filed Schedule 1'!$E$103,0)</f>
        <v>0</v>
      </c>
      <c r="L62" s="68">
        <f t="shared" si="1"/>
        <v>0</v>
      </c>
      <c r="N62" s="117"/>
      <c r="O62" s="117"/>
    </row>
    <row r="63" spans="1:15" x14ac:dyDescent="0.35">
      <c r="A63" s="24">
        <v>49</v>
      </c>
      <c r="B63" s="565"/>
      <c r="C63" s="565"/>
      <c r="D63" s="565"/>
      <c r="F63" s="114"/>
      <c r="G63" s="68">
        <f>IFERROR(F63*'As-Filed Schedule 1'!$E$103,0)</f>
        <v>0</v>
      </c>
      <c r="H63" s="68">
        <f t="shared" si="0"/>
        <v>0</v>
      </c>
      <c r="J63" s="114"/>
      <c r="K63" s="68">
        <f>IFERROR(J63*'As-Filed Schedule 1'!$E$103,0)</f>
        <v>0</v>
      </c>
      <c r="L63" s="68">
        <f t="shared" si="1"/>
        <v>0</v>
      </c>
      <c r="N63" s="117"/>
      <c r="O63" s="117"/>
    </row>
    <row r="64" spans="1:15" x14ac:dyDescent="0.35">
      <c r="A64" s="24">
        <v>50</v>
      </c>
      <c r="B64" s="565"/>
      <c r="C64" s="565"/>
      <c r="D64" s="565"/>
      <c r="F64" s="114"/>
      <c r="G64" s="68">
        <f>IFERROR(F64*'As-Filed Schedule 1'!$E$103,0)</f>
        <v>0</v>
      </c>
      <c r="H64" s="68">
        <f t="shared" si="0"/>
        <v>0</v>
      </c>
      <c r="J64" s="114"/>
      <c r="K64" s="68">
        <f>IFERROR(J64*'As-Filed Schedule 1'!$E$103,0)</f>
        <v>0</v>
      </c>
      <c r="L64" s="68">
        <f t="shared" si="1"/>
        <v>0</v>
      </c>
      <c r="N64" s="117"/>
      <c r="O64" s="117"/>
    </row>
    <row r="65" spans="1:15" x14ac:dyDescent="0.35">
      <c r="A65" s="24">
        <v>51</v>
      </c>
      <c r="B65" s="565"/>
      <c r="C65" s="565"/>
      <c r="D65" s="565"/>
      <c r="F65" s="114"/>
      <c r="G65" s="68">
        <f>IFERROR(F65*'As-Filed Schedule 1'!$E$103,0)</f>
        <v>0</v>
      </c>
      <c r="H65" s="68">
        <f t="shared" si="0"/>
        <v>0</v>
      </c>
      <c r="J65" s="114"/>
      <c r="K65" s="68">
        <f>IFERROR(J65*'As-Filed Schedule 1'!$E$103,0)</f>
        <v>0</v>
      </c>
      <c r="L65" s="68">
        <f t="shared" si="1"/>
        <v>0</v>
      </c>
      <c r="N65" s="117"/>
      <c r="O65" s="117"/>
    </row>
    <row r="66" spans="1:15" x14ac:dyDescent="0.35">
      <c r="A66" s="24">
        <v>52</v>
      </c>
      <c r="B66" s="565"/>
      <c r="C66" s="565"/>
      <c r="D66" s="565"/>
      <c r="F66" s="114"/>
      <c r="G66" s="68">
        <f>IFERROR(F66*'As-Filed Schedule 1'!$E$103,0)</f>
        <v>0</v>
      </c>
      <c r="H66" s="68">
        <f t="shared" si="0"/>
        <v>0</v>
      </c>
      <c r="J66" s="114"/>
      <c r="K66" s="68">
        <f>IFERROR(J66*'As-Filed Schedule 1'!$E$103,0)</f>
        <v>0</v>
      </c>
      <c r="L66" s="68">
        <f t="shared" si="1"/>
        <v>0</v>
      </c>
      <c r="N66" s="117"/>
      <c r="O66" s="117"/>
    </row>
    <row r="67" spans="1:15" x14ac:dyDescent="0.35">
      <c r="A67" s="24">
        <v>53</v>
      </c>
      <c r="B67" s="565"/>
      <c r="C67" s="565"/>
      <c r="D67" s="565"/>
      <c r="F67" s="114"/>
      <c r="G67" s="68">
        <f>IFERROR(F67*'As-Filed Schedule 1'!$E$103,0)</f>
        <v>0</v>
      </c>
      <c r="H67" s="68">
        <f t="shared" si="0"/>
        <v>0</v>
      </c>
      <c r="J67" s="114"/>
      <c r="K67" s="68">
        <f>IFERROR(J67*'As-Filed Schedule 1'!$E$103,0)</f>
        <v>0</v>
      </c>
      <c r="L67" s="68">
        <f t="shared" si="1"/>
        <v>0</v>
      </c>
      <c r="N67" s="117"/>
      <c r="O67" s="117"/>
    </row>
    <row r="68" spans="1:15" x14ac:dyDescent="0.35">
      <c r="A68" s="24">
        <v>54</v>
      </c>
      <c r="B68" s="565"/>
      <c r="C68" s="565"/>
      <c r="D68" s="565"/>
      <c r="F68" s="114"/>
      <c r="G68" s="68">
        <f>IFERROR(F68*'As-Filed Schedule 1'!$E$103,0)</f>
        <v>0</v>
      </c>
      <c r="H68" s="68">
        <f t="shared" si="0"/>
        <v>0</v>
      </c>
      <c r="J68" s="114"/>
      <c r="K68" s="68">
        <f>IFERROR(J68*'As-Filed Schedule 1'!$E$103,0)</f>
        <v>0</v>
      </c>
      <c r="L68" s="68">
        <f t="shared" si="1"/>
        <v>0</v>
      </c>
      <c r="N68" s="117"/>
      <c r="O68" s="117"/>
    </row>
    <row r="69" spans="1:15" x14ac:dyDescent="0.35">
      <c r="A69" s="24">
        <v>55</v>
      </c>
      <c r="B69" s="565"/>
      <c r="C69" s="565"/>
      <c r="D69" s="565"/>
      <c r="F69" s="114"/>
      <c r="G69" s="68">
        <f>IFERROR(F69*'As-Filed Schedule 1'!$E$103,0)</f>
        <v>0</v>
      </c>
      <c r="H69" s="68">
        <f t="shared" si="0"/>
        <v>0</v>
      </c>
      <c r="J69" s="114"/>
      <c r="K69" s="68">
        <f>IFERROR(J69*'As-Filed Schedule 1'!$E$103,0)</f>
        <v>0</v>
      </c>
      <c r="L69" s="68">
        <f t="shared" si="1"/>
        <v>0</v>
      </c>
      <c r="N69" s="117"/>
      <c r="O69" s="117"/>
    </row>
    <row r="70" spans="1:15" x14ac:dyDescent="0.35">
      <c r="A70" s="24">
        <v>56</v>
      </c>
      <c r="B70" s="565"/>
      <c r="C70" s="565"/>
      <c r="D70" s="565"/>
      <c r="F70" s="114"/>
      <c r="G70" s="68">
        <f>IFERROR(F70*'As-Filed Schedule 1'!$E$103,0)</f>
        <v>0</v>
      </c>
      <c r="H70" s="68">
        <f t="shared" si="0"/>
        <v>0</v>
      </c>
      <c r="J70" s="114"/>
      <c r="K70" s="68">
        <f>IFERROR(J70*'As-Filed Schedule 1'!$E$103,0)</f>
        <v>0</v>
      </c>
      <c r="L70" s="68">
        <f t="shared" si="1"/>
        <v>0</v>
      </c>
      <c r="N70" s="117"/>
      <c r="O70" s="117"/>
    </row>
    <row r="71" spans="1:15" x14ac:dyDescent="0.35">
      <c r="A71" s="24">
        <v>57</v>
      </c>
      <c r="B71" s="565"/>
      <c r="C71" s="565"/>
      <c r="D71" s="565"/>
      <c r="F71" s="114"/>
      <c r="G71" s="68">
        <f>IFERROR(F71*'As-Filed Schedule 1'!$E$103,0)</f>
        <v>0</v>
      </c>
      <c r="H71" s="68">
        <f t="shared" si="0"/>
        <v>0</v>
      </c>
      <c r="J71" s="114"/>
      <c r="K71" s="68">
        <f>IFERROR(J71*'As-Filed Schedule 1'!$E$103,0)</f>
        <v>0</v>
      </c>
      <c r="L71" s="68">
        <f t="shared" si="1"/>
        <v>0</v>
      </c>
      <c r="N71" s="117"/>
      <c r="O71" s="117"/>
    </row>
    <row r="72" spans="1:15" x14ac:dyDescent="0.35">
      <c r="A72" s="24">
        <v>58</v>
      </c>
      <c r="B72" s="565"/>
      <c r="C72" s="565"/>
      <c r="D72" s="565"/>
      <c r="F72" s="114"/>
      <c r="G72" s="68">
        <f>IFERROR(F72*'As-Filed Schedule 1'!$E$103,0)</f>
        <v>0</v>
      </c>
      <c r="H72" s="68">
        <f t="shared" si="0"/>
        <v>0</v>
      </c>
      <c r="J72" s="114"/>
      <c r="K72" s="68">
        <f>IFERROR(J72*'As-Filed Schedule 1'!$E$103,0)</f>
        <v>0</v>
      </c>
      <c r="L72" s="68">
        <f t="shared" si="1"/>
        <v>0</v>
      </c>
      <c r="N72" s="117"/>
      <c r="O72" s="117"/>
    </row>
    <row r="73" spans="1:15" x14ac:dyDescent="0.35">
      <c r="A73" s="24">
        <v>59</v>
      </c>
      <c r="F73" s="18">
        <f>SUM(F15:F72)</f>
        <v>1355498.5923984661</v>
      </c>
      <c r="G73" s="18">
        <f t="shared" ref="G73:H73" si="2">SUM(G15:G72)</f>
        <v>352297.15004227433</v>
      </c>
      <c r="H73" s="18">
        <f t="shared" si="2"/>
        <v>1707795.7424407406</v>
      </c>
      <c r="J73" s="18">
        <f>SUM(J15:J72)</f>
        <v>2014256.7658322109</v>
      </c>
      <c r="K73" s="18">
        <f t="shared" ref="K73:L73" si="3">SUM(K15:K72)</f>
        <v>523509.88930238271</v>
      </c>
      <c r="L73" s="18">
        <f t="shared" si="3"/>
        <v>2537766.6551345936</v>
      </c>
      <c r="O73" s="83" t="s">
        <v>313</v>
      </c>
    </row>
    <row r="74" spans="1:15" ht="15" thickBot="1" x14ac:dyDescent="0.4">
      <c r="H74" s="37" t="s">
        <v>257</v>
      </c>
      <c r="L74" s="37" t="s">
        <v>258</v>
      </c>
    </row>
    <row r="75" spans="1:15" s="72" customFormat="1" ht="16" thickBot="1" x14ac:dyDescent="0.4">
      <c r="A75" s="24">
        <v>60</v>
      </c>
      <c r="B75" s="73" t="s">
        <v>460</v>
      </c>
      <c r="F75" s="75">
        <f>H73+L73</f>
        <v>4245562.3975753337</v>
      </c>
      <c r="G75" s="74"/>
      <c r="H75" s="74"/>
      <c r="I75" s="74"/>
      <c r="J75" s="74"/>
      <c r="K75" s="74"/>
    </row>
  </sheetData>
  <sheetProtection sheet="1" objects="1" scenarios="1"/>
  <customSheetViews>
    <customSheetView guid="{17302493-42B1-4877-869E-E424A97AE78B}" topLeftCell="G1">
      <selection activeCell="N15" sqref="N15:O19"/>
      <pageMargins left="0.7" right="0.7" top="0.75" bottom="0.75" header="0.3" footer="0.3"/>
      <pageSetup orientation="portrait" horizontalDpi="1200" verticalDpi="1200" r:id="rId1"/>
    </customSheetView>
    <customSheetView guid="{5C0BA3A5-859C-46C2-B685-44D9A90065E4}" topLeftCell="G1">
      <selection activeCell="N15" sqref="N15:O19"/>
      <pageMargins left="0.7" right="0.7" top="0.75" bottom="0.75" header="0.3" footer="0.3"/>
      <pageSetup orientation="portrait" horizontalDpi="1200" verticalDpi="1200" r:id="rId2"/>
    </customSheetView>
  </customSheetViews>
  <mergeCells count="65">
    <mergeCell ref="B55:D55"/>
    <mergeCell ref="B56:D56"/>
    <mergeCell ref="B57:D57"/>
    <mergeCell ref="B50:D50"/>
    <mergeCell ref="B51:D51"/>
    <mergeCell ref="B52:D52"/>
    <mergeCell ref="B63:D63"/>
    <mergeCell ref="B64:D64"/>
    <mergeCell ref="B58:D58"/>
    <mergeCell ref="B59:D59"/>
    <mergeCell ref="B60:D60"/>
    <mergeCell ref="B61:D61"/>
    <mergeCell ref="B62:D62"/>
    <mergeCell ref="B70:D70"/>
    <mergeCell ref="B71:D71"/>
    <mergeCell ref="B72:D72"/>
    <mergeCell ref="B65:D65"/>
    <mergeCell ref="B66:D66"/>
    <mergeCell ref="B67:D67"/>
    <mergeCell ref="B68:D68"/>
    <mergeCell ref="B69:D69"/>
    <mergeCell ref="A3:H3"/>
    <mergeCell ref="F13:H13"/>
    <mergeCell ref="B29:D29"/>
    <mergeCell ref="B30:D30"/>
    <mergeCell ref="B31:D31"/>
    <mergeCell ref="B20:D20"/>
    <mergeCell ref="B21:D21"/>
    <mergeCell ref="B22:D22"/>
    <mergeCell ref="B23:D23"/>
    <mergeCell ref="B24:D24"/>
    <mergeCell ref="B25:D25"/>
    <mergeCell ref="B26:D26"/>
    <mergeCell ref="B12:D12"/>
    <mergeCell ref="B18:D18"/>
    <mergeCell ref="B19:D19"/>
    <mergeCell ref="B15:D15"/>
    <mergeCell ref="B38:D38"/>
    <mergeCell ref="B39:D39"/>
    <mergeCell ref="B53:D53"/>
    <mergeCell ref="B54:D54"/>
    <mergeCell ref="B47:D47"/>
    <mergeCell ref="B48:D48"/>
    <mergeCell ref="B49:D49"/>
    <mergeCell ref="B40:D40"/>
    <mergeCell ref="B41:D41"/>
    <mergeCell ref="B42:D42"/>
    <mergeCell ref="B43:D43"/>
    <mergeCell ref="B44:D44"/>
    <mergeCell ref="B45:D45"/>
    <mergeCell ref="B46:D46"/>
    <mergeCell ref="O13:O14"/>
    <mergeCell ref="B37:D37"/>
    <mergeCell ref="B32:D32"/>
    <mergeCell ref="B33:D33"/>
    <mergeCell ref="B34:D34"/>
    <mergeCell ref="B35:D35"/>
    <mergeCell ref="B36:D36"/>
    <mergeCell ref="J13:L13"/>
    <mergeCell ref="B27:D27"/>
    <mergeCell ref="B28:D28"/>
    <mergeCell ref="B13:D14"/>
    <mergeCell ref="N13:N14"/>
    <mergeCell ref="B16:D16"/>
    <mergeCell ref="B17:D17"/>
  </mergeCells>
  <pageMargins left="0.7" right="0.7" top="0.75" bottom="0.75" header="0.3" footer="0.3"/>
  <pageSetup orientation="portrait" horizontalDpi="1200" verticalDpi="1200"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rgb="FF9CC5CA"/>
  </sheetPr>
  <dimension ref="A1:O75"/>
  <sheetViews>
    <sheetView topLeftCell="A4" workbookViewId="0">
      <selection activeCell="D8" sqref="D8"/>
    </sheetView>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46" t="s">
        <v>768</v>
      </c>
      <c r="B3" s="546"/>
      <c r="C3" s="546"/>
      <c r="D3" s="546"/>
      <c r="E3" s="546"/>
      <c r="F3" s="546"/>
      <c r="G3" s="546"/>
      <c r="H3" s="546"/>
    </row>
    <row r="5" spans="1:15" x14ac:dyDescent="0.35">
      <c r="A5" s="1" t="s">
        <v>776</v>
      </c>
      <c r="C5" s="413" t="str">
        <f>'As-Filed Schedule 1'!C5</f>
        <v>WellPower</v>
      </c>
    </row>
    <row r="6" spans="1:15" x14ac:dyDescent="0.35">
      <c r="A6" s="1" t="s">
        <v>0</v>
      </c>
      <c r="C6" s="406">
        <f>'As-Filed Schedule 1'!C6</f>
        <v>45473</v>
      </c>
      <c r="F6" s="35"/>
    </row>
    <row r="8" spans="1:15" x14ac:dyDescent="0.35">
      <c r="A8" s="1" t="s">
        <v>253</v>
      </c>
      <c r="B8" s="1" t="s">
        <v>204</v>
      </c>
      <c r="C8" s="1"/>
      <c r="D8" s="116" t="s">
        <v>1035</v>
      </c>
      <c r="E8" s="41" t="s">
        <v>259</v>
      </c>
    </row>
    <row r="10" spans="1:15" x14ac:dyDescent="0.35">
      <c r="A10" s="1" t="s">
        <v>254</v>
      </c>
      <c r="B10" s="1" t="s">
        <v>256</v>
      </c>
      <c r="C10" s="1"/>
    </row>
    <row r="12" spans="1:15" x14ac:dyDescent="0.35">
      <c r="B12" s="560">
        <v>1</v>
      </c>
      <c r="C12" s="560"/>
      <c r="D12" s="560"/>
      <c r="F12" s="23">
        <v>2</v>
      </c>
      <c r="G12" s="23">
        <v>3</v>
      </c>
      <c r="H12" s="23">
        <v>4</v>
      </c>
      <c r="J12" s="23">
        <v>5</v>
      </c>
      <c r="K12" s="23">
        <v>6</v>
      </c>
      <c r="L12" s="23">
        <v>7</v>
      </c>
      <c r="N12" s="23">
        <v>8</v>
      </c>
      <c r="O12" s="23">
        <v>9</v>
      </c>
    </row>
    <row r="13" spans="1:15" x14ac:dyDescent="0.35">
      <c r="B13" s="569" t="s">
        <v>255</v>
      </c>
      <c r="C13" s="570"/>
      <c r="D13" s="571"/>
      <c r="F13" s="563" t="s">
        <v>261</v>
      </c>
      <c r="G13" s="568"/>
      <c r="H13" s="564"/>
      <c r="J13" s="563" t="s">
        <v>262</v>
      </c>
      <c r="K13" s="568"/>
      <c r="L13" s="564"/>
      <c r="N13" s="566" t="s">
        <v>250</v>
      </c>
      <c r="O13" s="562" t="s">
        <v>312</v>
      </c>
    </row>
    <row r="14" spans="1:15" ht="55.5" customHeight="1" x14ac:dyDescent="0.35">
      <c r="B14" s="572"/>
      <c r="C14" s="573"/>
      <c r="D14" s="574"/>
      <c r="E14" s="48"/>
      <c r="F14" s="10" t="s">
        <v>214</v>
      </c>
      <c r="G14" s="142" t="s">
        <v>493</v>
      </c>
      <c r="H14" s="142" t="s">
        <v>215</v>
      </c>
      <c r="I14" s="99"/>
      <c r="J14" s="142" t="s">
        <v>214</v>
      </c>
      <c r="K14" s="142" t="s">
        <v>493</v>
      </c>
      <c r="L14" s="10" t="s">
        <v>215</v>
      </c>
      <c r="M14" s="48"/>
      <c r="N14" s="567"/>
      <c r="O14" s="562"/>
    </row>
    <row r="15" spans="1:15" x14ac:dyDescent="0.35">
      <c r="A15" s="24">
        <v>1</v>
      </c>
      <c r="B15" s="565" t="s">
        <v>943</v>
      </c>
      <c r="C15" s="565"/>
      <c r="D15" s="565"/>
      <c r="F15" s="114">
        <v>3042604.8020187248</v>
      </c>
      <c r="G15" s="68">
        <f>IFERROR(F15*'As-Filed Schedule 1'!$E$103,0)</f>
        <v>790779.86983334029</v>
      </c>
      <c r="H15" s="68">
        <f>SUM(F15:G15)</f>
        <v>3833384.6718520653</v>
      </c>
      <c r="J15" s="114">
        <v>52044.997659355424</v>
      </c>
      <c r="K15" s="68">
        <f>IFERROR(J15*'As-Filed Schedule 1'!$E$103,0)</f>
        <v>13526.612607472083</v>
      </c>
      <c r="L15" s="68">
        <f>SUM(J15:K15)</f>
        <v>65571.610266827513</v>
      </c>
      <c r="N15" s="117">
        <v>23.175625</v>
      </c>
      <c r="O15" s="453">
        <v>2448</v>
      </c>
    </row>
    <row r="16" spans="1:15" x14ac:dyDescent="0.35">
      <c r="A16" s="24">
        <v>2</v>
      </c>
      <c r="B16" s="565" t="s">
        <v>944</v>
      </c>
      <c r="C16" s="565"/>
      <c r="D16" s="565"/>
      <c r="F16" s="114"/>
      <c r="G16" s="68">
        <f>IFERROR(F16*'As-Filed Schedule 1'!$E$103,0)</f>
        <v>0</v>
      </c>
      <c r="H16" s="68">
        <f t="shared" ref="H16:H72" si="0">SUM(F16:G16)</f>
        <v>0</v>
      </c>
      <c r="J16" s="114">
        <v>228442.55749172549</v>
      </c>
      <c r="K16" s="68">
        <f>IFERROR(J16*'As-Filed Schedule 1'!$E$103,0)</f>
        <v>59372.737385362969</v>
      </c>
      <c r="L16" s="68">
        <f t="shared" ref="L16:L72" si="1">SUM(J16:K16)</f>
        <v>287815.29487708845</v>
      </c>
      <c r="N16" s="117">
        <v>1.9750000000000001</v>
      </c>
      <c r="O16" s="453">
        <v>195</v>
      </c>
    </row>
    <row r="17" spans="1:15" x14ac:dyDescent="0.35">
      <c r="A17" s="24">
        <v>3</v>
      </c>
      <c r="B17" s="565" t="s">
        <v>945</v>
      </c>
      <c r="C17" s="565"/>
      <c r="D17" s="565"/>
      <c r="F17" s="114">
        <v>2508560.3483315012</v>
      </c>
      <c r="G17" s="68">
        <f>IFERROR(F17*'As-Filed Schedule 1'!$E$103,0)</f>
        <v>651980.50841387419</v>
      </c>
      <c r="H17" s="68">
        <f t="shared" si="0"/>
        <v>3160540.8567453753</v>
      </c>
      <c r="J17" s="114">
        <v>38194.557536292785</v>
      </c>
      <c r="K17" s="68">
        <f>IFERROR(J17*'As-Filed Schedule 1'!$E$103,0)</f>
        <v>9926.851892448225</v>
      </c>
      <c r="L17" s="68">
        <f t="shared" si="1"/>
        <v>48121.409428741012</v>
      </c>
      <c r="N17" s="117">
        <v>15.916749999999997</v>
      </c>
      <c r="O17" s="453">
        <v>1953</v>
      </c>
    </row>
    <row r="18" spans="1:15" x14ac:dyDescent="0.35">
      <c r="A18" s="24">
        <v>4</v>
      </c>
      <c r="B18" s="565" t="s">
        <v>946</v>
      </c>
      <c r="C18" s="565"/>
      <c r="D18" s="565"/>
      <c r="F18" s="114">
        <v>2022971.3102476548</v>
      </c>
      <c r="G18" s="68">
        <f>IFERROR(F18*'As-Filed Schedule 1'!$E$103,0)</f>
        <v>525774.81910658511</v>
      </c>
      <c r="H18" s="68">
        <f t="shared" si="0"/>
        <v>2548746.1293542399</v>
      </c>
      <c r="J18" s="114">
        <v>98404.333030055408</v>
      </c>
      <c r="K18" s="68">
        <f>IFERROR(J18*'As-Filed Schedule 1'!$E$103,0)</f>
        <v>25575.508726244687</v>
      </c>
      <c r="L18" s="68">
        <f t="shared" si="1"/>
        <v>123979.8417563001</v>
      </c>
      <c r="N18" s="117">
        <v>14.4625</v>
      </c>
      <c r="O18" s="453">
        <v>1753</v>
      </c>
    </row>
    <row r="19" spans="1:15" x14ac:dyDescent="0.35">
      <c r="A19" s="24">
        <v>5</v>
      </c>
      <c r="B19" s="565" t="s">
        <v>947</v>
      </c>
      <c r="C19" s="565"/>
      <c r="D19" s="565"/>
      <c r="F19" s="114">
        <v>2106573.9036387573</v>
      </c>
      <c r="G19" s="68">
        <f>IFERROR(F19*'As-Filed Schedule 1'!$E$103,0)</f>
        <v>547503.32222196902</v>
      </c>
      <c r="H19" s="68">
        <f t="shared" si="0"/>
        <v>2654077.2258607261</v>
      </c>
      <c r="J19" s="114">
        <v>41620.341546242591</v>
      </c>
      <c r="K19" s="68">
        <f>IFERROR(J19*'As-Filed Schedule 1'!$E$103,0)</f>
        <v>10817.22090510075</v>
      </c>
      <c r="L19" s="68">
        <f t="shared" si="1"/>
        <v>52437.562451343343</v>
      </c>
      <c r="N19" s="117">
        <v>13.937874999999998</v>
      </c>
      <c r="O19" s="453">
        <v>1612</v>
      </c>
    </row>
    <row r="20" spans="1:15" x14ac:dyDescent="0.35">
      <c r="A20" s="24">
        <v>6</v>
      </c>
      <c r="B20" s="565" t="s">
        <v>948</v>
      </c>
      <c r="C20" s="565"/>
      <c r="D20" s="565"/>
      <c r="F20" s="114">
        <v>184106.89533944457</v>
      </c>
      <c r="G20" s="68">
        <f>IFERROR(F20*'As-Filed Schedule 1'!$E$103,0)</f>
        <v>47849.79851321828</v>
      </c>
      <c r="H20" s="68">
        <f t="shared" si="0"/>
        <v>231956.69385266287</v>
      </c>
      <c r="J20" s="114">
        <v>56.425565571483332</v>
      </c>
      <c r="K20" s="68">
        <f>IFERROR(J20*'As-Filed Schedule 1'!$E$103,0)</f>
        <v>14.665132115838814</v>
      </c>
      <c r="L20" s="68">
        <f t="shared" si="1"/>
        <v>71.090697687322148</v>
      </c>
      <c r="N20" s="117">
        <v>1.4000000000000001</v>
      </c>
      <c r="O20" s="453">
        <v>51</v>
      </c>
    </row>
    <row r="21" spans="1:15" x14ac:dyDescent="0.35">
      <c r="A21" s="24">
        <v>7</v>
      </c>
      <c r="B21" s="565" t="s">
        <v>949</v>
      </c>
      <c r="C21" s="565"/>
      <c r="D21" s="565"/>
      <c r="F21" s="114">
        <v>2298964.576334801</v>
      </c>
      <c r="G21" s="68">
        <f>IFERROR(F21*'As-Filed Schedule 1'!$E$103,0)</f>
        <v>597506.09320648341</v>
      </c>
      <c r="H21" s="68">
        <f t="shared" si="0"/>
        <v>2896470.6695412844</v>
      </c>
      <c r="J21" s="114">
        <v>4767.5668654209603</v>
      </c>
      <c r="K21" s="68">
        <f>IFERROR(J21*'As-Filed Schedule 1'!$E$103,0)</f>
        <v>1239.1014116450249</v>
      </c>
      <c r="L21" s="68">
        <f t="shared" si="1"/>
        <v>6006.6682770659854</v>
      </c>
      <c r="N21" s="117">
        <v>17.381249999999998</v>
      </c>
      <c r="O21" s="453">
        <v>481</v>
      </c>
    </row>
    <row r="22" spans="1:15" x14ac:dyDescent="0.35">
      <c r="A22" s="24">
        <v>8</v>
      </c>
      <c r="B22" s="565" t="s">
        <v>950</v>
      </c>
      <c r="C22" s="565"/>
      <c r="D22" s="565"/>
      <c r="F22" s="114">
        <v>561167.99794820044</v>
      </c>
      <c r="G22" s="68">
        <f>IFERROR(F22*'As-Filed Schedule 1'!$E$103,0)</f>
        <v>145848.83192115041</v>
      </c>
      <c r="H22" s="68">
        <f t="shared" si="0"/>
        <v>707016.82986935088</v>
      </c>
      <c r="J22" s="114">
        <v>28551.873005078629</v>
      </c>
      <c r="K22" s="68">
        <f>IFERROR(J22*'As-Filed Schedule 1'!$E$103,0)</f>
        <v>7420.6963728821429</v>
      </c>
      <c r="L22" s="68">
        <f t="shared" si="1"/>
        <v>35972.569377960768</v>
      </c>
      <c r="N22" s="117">
        <v>4.7312500000000002</v>
      </c>
      <c r="O22" s="453">
        <v>508</v>
      </c>
    </row>
    <row r="23" spans="1:15" x14ac:dyDescent="0.35">
      <c r="A23" s="24">
        <v>9</v>
      </c>
      <c r="B23" s="565" t="s">
        <v>951</v>
      </c>
      <c r="C23" s="565"/>
      <c r="D23" s="565"/>
      <c r="F23" s="114">
        <v>2646333.8126377813</v>
      </c>
      <c r="G23" s="68">
        <f>IFERROR(F23*'As-Filed Schedule 1'!$E$103,0)</f>
        <v>687788.14340423606</v>
      </c>
      <c r="H23" s="68">
        <f t="shared" si="0"/>
        <v>3334121.9560420173</v>
      </c>
      <c r="J23" s="114">
        <v>48530.586892876432</v>
      </c>
      <c r="K23" s="68">
        <f>IFERROR(J23*'As-Filed Schedule 1'!$E$103,0)</f>
        <v>12613.209300340892</v>
      </c>
      <c r="L23" s="68">
        <f t="shared" si="1"/>
        <v>61143.79619321732</v>
      </c>
      <c r="N23" s="117">
        <v>16.192187499999999</v>
      </c>
      <c r="O23" s="453">
        <v>1640</v>
      </c>
    </row>
    <row r="24" spans="1:15" x14ac:dyDescent="0.35">
      <c r="A24" s="24">
        <v>10</v>
      </c>
      <c r="B24" s="565" t="s">
        <v>952</v>
      </c>
      <c r="C24" s="565"/>
      <c r="D24" s="565"/>
      <c r="F24" s="114">
        <v>2161339.3505503978</v>
      </c>
      <c r="G24" s="68">
        <f>IFERROR(F24*'As-Filed Schedule 1'!$E$103,0)</f>
        <v>561736.98574324453</v>
      </c>
      <c r="H24" s="68">
        <f t="shared" si="0"/>
        <v>2723076.3362936424</v>
      </c>
      <c r="J24" s="114">
        <v>330.89186765372608</v>
      </c>
      <c r="K24" s="68">
        <f>IFERROR(J24*'As-Filed Schedule 1'!$E$103,0)</f>
        <v>85.999544817162899</v>
      </c>
      <c r="L24" s="68">
        <f t="shared" si="1"/>
        <v>416.89141247088901</v>
      </c>
      <c r="N24" s="117">
        <v>17</v>
      </c>
      <c r="O24" s="453">
        <v>5162</v>
      </c>
    </row>
    <row r="25" spans="1:15" x14ac:dyDescent="0.35">
      <c r="A25" s="24">
        <v>11</v>
      </c>
      <c r="B25" s="565" t="s">
        <v>953</v>
      </c>
      <c r="C25" s="565"/>
      <c r="D25" s="565"/>
      <c r="F25" s="114">
        <v>1709541.042027635</v>
      </c>
      <c r="G25" s="68">
        <f>IFERROR(F25*'As-Filed Schedule 1'!$E$103,0)</f>
        <v>444313.58347703237</v>
      </c>
      <c r="H25" s="68">
        <f t="shared" si="0"/>
        <v>2153854.6255046674</v>
      </c>
      <c r="J25" s="114">
        <v>107.16648153622072</v>
      </c>
      <c r="K25" s="68">
        <f>IFERROR(J25*'As-Filed Schedule 1'!$E$103,0)</f>
        <v>27.852810941296919</v>
      </c>
      <c r="L25" s="68">
        <f t="shared" si="1"/>
        <v>135.01929247751764</v>
      </c>
      <c r="N25" s="117">
        <v>12.949999999999998</v>
      </c>
      <c r="O25" s="453">
        <v>583</v>
      </c>
    </row>
    <row r="26" spans="1:15" x14ac:dyDescent="0.35">
      <c r="A26" s="24">
        <v>12</v>
      </c>
      <c r="B26" s="565" t="s">
        <v>954</v>
      </c>
      <c r="C26" s="565"/>
      <c r="D26" s="565"/>
      <c r="F26" s="114">
        <v>3931303.8813351342</v>
      </c>
      <c r="G26" s="68">
        <f>IFERROR(F26*'As-Filed Schedule 1'!$E$103,0)</f>
        <v>1021754.7706145935</v>
      </c>
      <c r="H26" s="68">
        <f t="shared" si="0"/>
        <v>4953058.6519497279</v>
      </c>
      <c r="J26" s="114">
        <v>562.04690825986961</v>
      </c>
      <c r="K26" s="68">
        <f>IFERROR(J26*'As-Filed Schedule 1'!$E$103,0)</f>
        <v>146.07726269907982</v>
      </c>
      <c r="L26" s="68">
        <f t="shared" si="1"/>
        <v>708.12417095894943</v>
      </c>
      <c r="N26" s="117">
        <v>24.0625</v>
      </c>
      <c r="O26" s="453">
        <v>1842</v>
      </c>
    </row>
    <row r="27" spans="1:15" x14ac:dyDescent="0.35">
      <c r="A27" s="24">
        <v>13</v>
      </c>
      <c r="B27" s="565" t="s">
        <v>955</v>
      </c>
      <c r="C27" s="565"/>
      <c r="D27" s="565"/>
      <c r="F27" s="114">
        <v>1994543.9210587598</v>
      </c>
      <c r="G27" s="68">
        <f>IFERROR(F27*'As-Filed Schedule 1'!$E$103,0)</f>
        <v>518386.47635908768</v>
      </c>
      <c r="H27" s="68">
        <f t="shared" si="0"/>
        <v>2512930.3974178475</v>
      </c>
      <c r="J27" s="114">
        <v>113.58664338616816</v>
      </c>
      <c r="K27" s="68">
        <f>IFERROR(J27*'As-Filed Schedule 1'!$E$103,0)</f>
        <v>29.521425527273365</v>
      </c>
      <c r="L27" s="68">
        <f t="shared" si="1"/>
        <v>143.10806891344151</v>
      </c>
      <c r="N27" s="117">
        <v>13.725812499999998</v>
      </c>
      <c r="O27" s="453">
        <v>404</v>
      </c>
    </row>
    <row r="28" spans="1:15" x14ac:dyDescent="0.35">
      <c r="A28" s="24">
        <v>14</v>
      </c>
      <c r="B28" s="565" t="s">
        <v>956</v>
      </c>
      <c r="C28" s="565"/>
      <c r="D28" s="565"/>
      <c r="F28" s="114">
        <v>994774.28615380148</v>
      </c>
      <c r="G28" s="68">
        <f>IFERROR(F28*'As-Filed Schedule 1'!$E$103,0)</f>
        <v>258544.08696007048</v>
      </c>
      <c r="H28" s="68">
        <f t="shared" si="0"/>
        <v>1253318.373113872</v>
      </c>
      <c r="J28" s="114">
        <v>51.798856785002449</v>
      </c>
      <c r="K28" s="68">
        <f>IFERROR(J28*'As-Filed Schedule 1'!$E$103,0)</f>
        <v>13.462640037504283</v>
      </c>
      <c r="L28" s="68">
        <f t="shared" si="1"/>
        <v>65.261496822506729</v>
      </c>
      <c r="N28" s="117">
        <v>6.2593750000000004</v>
      </c>
      <c r="O28" s="453">
        <v>271</v>
      </c>
    </row>
    <row r="29" spans="1:15" x14ac:dyDescent="0.35">
      <c r="A29" s="24">
        <v>15</v>
      </c>
      <c r="B29" s="565" t="s">
        <v>957</v>
      </c>
      <c r="C29" s="565"/>
      <c r="D29" s="565"/>
      <c r="F29" s="114">
        <v>1395284.2530672648</v>
      </c>
      <c r="G29" s="68">
        <f>IFERROR(F29*'As-Filed Schedule 1'!$E$103,0)</f>
        <v>362637.53323763103</v>
      </c>
      <c r="H29" s="68">
        <f t="shared" si="0"/>
        <v>1757921.7863048958</v>
      </c>
      <c r="J29" s="114">
        <v>608.20323183704761</v>
      </c>
      <c r="K29" s="68">
        <f>IFERROR(J29*'As-Filed Schedule 1'!$E$103,0)</f>
        <v>158.07339559354233</v>
      </c>
      <c r="L29" s="68">
        <f t="shared" si="1"/>
        <v>766.27662743059</v>
      </c>
      <c r="N29" s="117">
        <v>8</v>
      </c>
      <c r="O29" s="453">
        <v>1596</v>
      </c>
    </row>
    <row r="30" spans="1:15" x14ac:dyDescent="0.35">
      <c r="A30" s="24">
        <v>16</v>
      </c>
      <c r="B30" s="565" t="s">
        <v>958</v>
      </c>
      <c r="C30" s="565"/>
      <c r="D30" s="565"/>
      <c r="F30" s="114"/>
      <c r="G30" s="68">
        <f>IFERROR(F30*'As-Filed Schedule 1'!$E$103,0)</f>
        <v>0</v>
      </c>
      <c r="H30" s="68">
        <f t="shared" si="0"/>
        <v>0</v>
      </c>
      <c r="J30" s="114">
        <v>14279.69</v>
      </c>
      <c r="K30" s="68">
        <f>IFERROR(J30*'As-Filed Schedule 1'!$E$103,0)</f>
        <v>3711.3237289207955</v>
      </c>
      <c r="L30" s="68">
        <f t="shared" si="1"/>
        <v>17991.013728920796</v>
      </c>
      <c r="N30" s="117">
        <v>0</v>
      </c>
      <c r="O30" s="453">
        <v>7</v>
      </c>
    </row>
    <row r="31" spans="1:15" x14ac:dyDescent="0.35">
      <c r="A31" s="24">
        <v>17</v>
      </c>
      <c r="B31" s="565" t="s">
        <v>959</v>
      </c>
      <c r="C31" s="565"/>
      <c r="D31" s="565"/>
      <c r="F31" s="114">
        <v>727250.17109370814</v>
      </c>
      <c r="G31" s="68">
        <f>IFERROR(F31*'As-Filed Schedule 1'!$E$103,0)</f>
        <v>189013.96436769897</v>
      </c>
      <c r="H31" s="68">
        <f t="shared" si="0"/>
        <v>916264.13546140713</v>
      </c>
      <c r="J31" s="114">
        <v>45.020462447900115</v>
      </c>
      <c r="K31" s="68">
        <f>IFERROR(J31*'As-Filed Schedule 1'!$E$103,0)</f>
        <v>11.700920017863083</v>
      </c>
      <c r="L31" s="68">
        <f t="shared" si="1"/>
        <v>56.721382465763199</v>
      </c>
      <c r="N31" s="117">
        <v>5.0125000000000002</v>
      </c>
      <c r="O31" s="453">
        <v>84</v>
      </c>
    </row>
    <row r="32" spans="1:15" x14ac:dyDescent="0.35">
      <c r="A32" s="24">
        <v>18</v>
      </c>
      <c r="B32" s="565" t="s">
        <v>960</v>
      </c>
      <c r="C32" s="565"/>
      <c r="D32" s="565"/>
      <c r="F32" s="114">
        <v>1647122.6541787381</v>
      </c>
      <c r="G32" s="68">
        <f>IFERROR(F32*'As-Filed Schedule 1'!$E$103,0)</f>
        <v>428090.90329667885</v>
      </c>
      <c r="H32" s="68">
        <f t="shared" si="0"/>
        <v>2075213.5574754169</v>
      </c>
      <c r="J32" s="114">
        <v>7199.8159954701896</v>
      </c>
      <c r="K32" s="68">
        <f>IFERROR(J32*'As-Filed Schedule 1'!$E$103,0)</f>
        <v>1871.2484618259928</v>
      </c>
      <c r="L32" s="68">
        <f t="shared" si="1"/>
        <v>9071.0644572961828</v>
      </c>
      <c r="N32" s="117">
        <v>9.8709375000000001</v>
      </c>
      <c r="O32" s="453">
        <v>585</v>
      </c>
    </row>
    <row r="33" spans="1:15" x14ac:dyDescent="0.35">
      <c r="A33" s="24">
        <v>19</v>
      </c>
      <c r="B33" s="565" t="s">
        <v>961</v>
      </c>
      <c r="C33" s="565"/>
      <c r="D33" s="565"/>
      <c r="F33" s="114">
        <v>454132.70413340797</v>
      </c>
      <c r="G33" s="68">
        <f>IFERROR(F33*'As-Filed Schedule 1'!$E$103,0)</f>
        <v>118030.11696537417</v>
      </c>
      <c r="H33" s="68">
        <f t="shared" si="0"/>
        <v>572162.82109878212</v>
      </c>
      <c r="J33" s="114">
        <v>11.275403979630946</v>
      </c>
      <c r="K33" s="68">
        <f>IFERROR(J33*'As-Filed Schedule 1'!$E$103,0)</f>
        <v>2.9305029971079413</v>
      </c>
      <c r="L33" s="68">
        <f t="shared" si="1"/>
        <v>14.205906976738888</v>
      </c>
      <c r="N33" s="117">
        <v>1</v>
      </c>
      <c r="O33" s="453">
        <v>65</v>
      </c>
    </row>
    <row r="34" spans="1:15" x14ac:dyDescent="0.35">
      <c r="A34" s="24">
        <v>20</v>
      </c>
      <c r="B34" s="565" t="s">
        <v>962</v>
      </c>
      <c r="C34" s="565"/>
      <c r="D34" s="565"/>
      <c r="F34" s="114">
        <v>3626757.7805914124</v>
      </c>
      <c r="G34" s="68">
        <f>IFERROR(F34*'As-Filed Schedule 1'!$E$103,0)</f>
        <v>942602.55020641396</v>
      </c>
      <c r="H34" s="68">
        <f t="shared" si="0"/>
        <v>4569360.3307978269</v>
      </c>
      <c r="J34" s="114">
        <v>199.09969418657934</v>
      </c>
      <c r="K34" s="68">
        <f>IFERROR(J34*'As-Filed Schedule 1'!$E$103,0)</f>
        <v>51.746460844424888</v>
      </c>
      <c r="L34" s="68">
        <f t="shared" si="1"/>
        <v>250.84615503100423</v>
      </c>
      <c r="N34" s="117">
        <v>17.228124999999999</v>
      </c>
      <c r="O34" s="453">
        <v>2006</v>
      </c>
    </row>
    <row r="35" spans="1:15" x14ac:dyDescent="0.35">
      <c r="A35" s="24">
        <v>21</v>
      </c>
      <c r="B35" s="565" t="s">
        <v>963</v>
      </c>
      <c r="C35" s="565"/>
      <c r="D35" s="565"/>
      <c r="F35" s="114">
        <v>1990679.8426729476</v>
      </c>
      <c r="G35" s="68">
        <f>IFERROR(F35*'As-Filed Schedule 1'!$E$103,0)</f>
        <v>517382.19364681066</v>
      </c>
      <c r="H35" s="68">
        <f t="shared" si="0"/>
        <v>2508062.0363197583</v>
      </c>
      <c r="J35" s="114">
        <v>143.1251806787121</v>
      </c>
      <c r="K35" s="68">
        <f>IFERROR(J35*'As-Filed Schedule 1'!$E$103,0)</f>
        <v>37.198558180113174</v>
      </c>
      <c r="L35" s="68">
        <f t="shared" si="1"/>
        <v>180.32373885882527</v>
      </c>
      <c r="N35" s="117">
        <v>17.295249999999999</v>
      </c>
      <c r="O35" s="453">
        <v>730</v>
      </c>
    </row>
    <row r="36" spans="1:15" x14ac:dyDescent="0.35">
      <c r="A36" s="24">
        <v>22</v>
      </c>
      <c r="B36" s="565" t="s">
        <v>964</v>
      </c>
      <c r="C36" s="565"/>
      <c r="D36" s="565"/>
      <c r="F36" s="114">
        <v>1691839.1329622185</v>
      </c>
      <c r="G36" s="68">
        <f>IFERROR(F36*'As-Filed Schedule 1'!$E$103,0)</f>
        <v>439712.81727260648</v>
      </c>
      <c r="H36" s="68">
        <f t="shared" si="0"/>
        <v>2131551.9502348248</v>
      </c>
      <c r="J36" s="114">
        <v>132.38370631315112</v>
      </c>
      <c r="K36" s="68">
        <f>IFERROR(J36*'As-Filed Schedule 1'!$E$103,0)</f>
        <v>34.406824697348434</v>
      </c>
      <c r="L36" s="68">
        <f t="shared" si="1"/>
        <v>166.79053101049956</v>
      </c>
      <c r="N36" s="117">
        <v>15.997249999999999</v>
      </c>
      <c r="O36" s="453">
        <v>189</v>
      </c>
    </row>
    <row r="37" spans="1:15" x14ac:dyDescent="0.35">
      <c r="A37" s="24">
        <v>23</v>
      </c>
      <c r="B37" s="565" t="s">
        <v>965</v>
      </c>
      <c r="C37" s="565"/>
      <c r="D37" s="565"/>
      <c r="F37" s="114">
        <v>1722972.2423278058</v>
      </c>
      <c r="G37" s="68">
        <f>IFERROR(F37*'As-Filed Schedule 1'!$E$103,0)</f>
        <v>447804.38281384652</v>
      </c>
      <c r="H37" s="68">
        <f t="shared" si="0"/>
        <v>2170776.6251416523</v>
      </c>
      <c r="J37" s="114">
        <v>136.13039546492902</v>
      </c>
      <c r="K37" s="68">
        <f>IFERROR(J37*'As-Filed Schedule 1'!$E$103,0)</f>
        <v>35.380597682187982</v>
      </c>
      <c r="L37" s="68">
        <f t="shared" si="1"/>
        <v>171.51099314711701</v>
      </c>
      <c r="N37" s="117">
        <v>16.449999999999996</v>
      </c>
      <c r="O37" s="453">
        <v>704</v>
      </c>
    </row>
    <row r="38" spans="1:15" x14ac:dyDescent="0.35">
      <c r="A38" s="24">
        <v>24</v>
      </c>
      <c r="B38" s="565" t="s">
        <v>966</v>
      </c>
      <c r="C38" s="565"/>
      <c r="D38" s="565"/>
      <c r="F38" s="114"/>
      <c r="G38" s="68">
        <f>IFERROR(F38*'As-Filed Schedule 1'!$E$103,0)</f>
        <v>0</v>
      </c>
      <c r="H38" s="68">
        <f t="shared" si="0"/>
        <v>0</v>
      </c>
      <c r="J38" s="114">
        <v>16472587.123449549</v>
      </c>
      <c r="K38" s="68">
        <f>IFERROR(J38*'As-Filed Schedule 1'!$E$103,0)</f>
        <v>4281262.651218161</v>
      </c>
      <c r="L38" s="68">
        <f t="shared" si="1"/>
        <v>20753849.77466771</v>
      </c>
      <c r="N38" s="117">
        <v>11.162624999999998</v>
      </c>
      <c r="O38" s="453">
        <v>129</v>
      </c>
    </row>
    <row r="39" spans="1:15" x14ac:dyDescent="0.35">
      <c r="A39" s="24">
        <v>25</v>
      </c>
      <c r="B39" s="565" t="s">
        <v>967</v>
      </c>
      <c r="C39" s="565"/>
      <c r="D39" s="565"/>
      <c r="F39" s="114"/>
      <c r="G39" s="68">
        <f>IFERROR(F39*'As-Filed Schedule 1'!$E$103,0)</f>
        <v>0</v>
      </c>
      <c r="H39" s="68">
        <f t="shared" si="0"/>
        <v>0</v>
      </c>
      <c r="J39" s="114">
        <v>3573317.1089520487</v>
      </c>
      <c r="K39" s="68">
        <f>IFERROR(J39*'As-Filed Schedule 1'!$E$103,0)</f>
        <v>928713.19877479086</v>
      </c>
      <c r="L39" s="68">
        <f t="shared" si="1"/>
        <v>4502030.3077268396</v>
      </c>
      <c r="N39" s="117">
        <v>5.7187500000000009</v>
      </c>
      <c r="O39" s="453">
        <v>8</v>
      </c>
    </row>
    <row r="40" spans="1:15" x14ac:dyDescent="0.35">
      <c r="A40" s="24">
        <v>26</v>
      </c>
      <c r="B40" s="565" t="s">
        <v>968</v>
      </c>
      <c r="C40" s="565"/>
      <c r="D40" s="565"/>
      <c r="F40" s="114">
        <v>93541.929599999974</v>
      </c>
      <c r="G40" s="68">
        <f>IFERROR(F40*'As-Filed Schedule 1'!$E$103,0)</f>
        <v>24311.759076949038</v>
      </c>
      <c r="H40" s="68">
        <f t="shared" si="0"/>
        <v>117853.68867694901</v>
      </c>
      <c r="J40" s="114"/>
      <c r="K40" s="68">
        <f>IFERROR(J40*'As-Filed Schedule 1'!$E$103,0)</f>
        <v>0</v>
      </c>
      <c r="L40" s="68">
        <f t="shared" si="1"/>
        <v>0</v>
      </c>
      <c r="N40" s="117"/>
      <c r="O40" s="444"/>
    </row>
    <row r="41" spans="1:15" x14ac:dyDescent="0.35">
      <c r="A41" s="24">
        <v>27</v>
      </c>
      <c r="B41" s="565" t="s">
        <v>969</v>
      </c>
      <c r="C41" s="565"/>
      <c r="D41" s="565"/>
      <c r="F41" s="114">
        <v>9302.9387999999999</v>
      </c>
      <c r="G41" s="68">
        <f>IFERROR(F41*'As-Filed Schedule 1'!$E$103,0)</f>
        <v>2417.854835583822</v>
      </c>
      <c r="H41" s="68">
        <f t="shared" si="0"/>
        <v>11720.793635583821</v>
      </c>
      <c r="J41" s="114"/>
      <c r="K41" s="68">
        <f>IFERROR(J41*'As-Filed Schedule 1'!$E$103,0)</f>
        <v>0</v>
      </c>
      <c r="L41" s="68">
        <f t="shared" si="1"/>
        <v>0</v>
      </c>
      <c r="N41" s="117"/>
      <c r="O41" s="444"/>
    </row>
    <row r="42" spans="1:15" x14ac:dyDescent="0.35">
      <c r="A42" s="24">
        <v>28</v>
      </c>
      <c r="B42" s="565" t="s">
        <v>970</v>
      </c>
      <c r="C42" s="565"/>
      <c r="D42" s="565"/>
      <c r="F42" s="114"/>
      <c r="G42" s="68">
        <f>IFERROR(F42*'As-Filed Schedule 1'!$E$103,0)</f>
        <v>0</v>
      </c>
      <c r="H42" s="68">
        <f t="shared" si="0"/>
        <v>0</v>
      </c>
      <c r="J42" s="114">
        <v>9108.42</v>
      </c>
      <c r="K42" s="68">
        <f>IFERROR(J42*'As-Filed Schedule 1'!$E$103,0)</f>
        <v>2367.2989594995934</v>
      </c>
      <c r="L42" s="68">
        <f t="shared" si="1"/>
        <v>11475.718959499594</v>
      </c>
      <c r="N42" s="117"/>
      <c r="O42" s="444"/>
    </row>
    <row r="43" spans="1:15" x14ac:dyDescent="0.35">
      <c r="A43" s="24">
        <v>29</v>
      </c>
      <c r="B43" s="565" t="s">
        <v>971</v>
      </c>
      <c r="C43" s="565"/>
      <c r="D43" s="565"/>
      <c r="F43" s="114"/>
      <c r="G43" s="68">
        <f>IFERROR(F43*'As-Filed Schedule 1'!$E$103,0)</f>
        <v>0</v>
      </c>
      <c r="H43" s="68">
        <f t="shared" si="0"/>
        <v>0</v>
      </c>
      <c r="J43" s="114">
        <v>355</v>
      </c>
      <c r="K43" s="68">
        <f>IFERROR(J43*'As-Filed Schedule 1'!$E$103,0)</f>
        <v>92.265302941932376</v>
      </c>
      <c r="L43" s="68">
        <f t="shared" si="1"/>
        <v>447.26530294193236</v>
      </c>
      <c r="N43" s="117"/>
      <c r="O43" s="444"/>
    </row>
    <row r="44" spans="1:15" x14ac:dyDescent="0.35">
      <c r="A44" s="24">
        <v>30</v>
      </c>
      <c r="B44" s="565" t="s">
        <v>972</v>
      </c>
      <c r="C44" s="565"/>
      <c r="D44" s="565"/>
      <c r="F44" s="114"/>
      <c r="G44" s="68">
        <f>IFERROR(F44*'As-Filed Schedule 1'!$E$103,0)</f>
        <v>0</v>
      </c>
      <c r="H44" s="68">
        <f t="shared" si="0"/>
        <v>0</v>
      </c>
      <c r="J44" s="114">
        <v>92489.890232494945</v>
      </c>
      <c r="K44" s="68">
        <f>IFERROR(J44*'As-Filed Schedule 1'!$E$103,0)</f>
        <v>24038.331665823149</v>
      </c>
      <c r="L44" s="68">
        <f t="shared" si="1"/>
        <v>116528.22189831809</v>
      </c>
      <c r="N44" s="117"/>
      <c r="O44" s="444"/>
    </row>
    <row r="45" spans="1:15" x14ac:dyDescent="0.35">
      <c r="A45" s="24">
        <v>31</v>
      </c>
      <c r="B45" s="565"/>
      <c r="C45" s="565"/>
      <c r="D45" s="565"/>
      <c r="F45" s="114"/>
      <c r="G45" s="68">
        <f>IFERROR(F45*'As-Filed Schedule 1'!$E$103,0)</f>
        <v>0</v>
      </c>
      <c r="H45" s="68">
        <f t="shared" si="0"/>
        <v>0</v>
      </c>
      <c r="J45" s="114"/>
      <c r="K45" s="68">
        <f>IFERROR(J45*'As-Filed Schedule 1'!$E$103,0)</f>
        <v>0</v>
      </c>
      <c r="L45" s="68">
        <f t="shared" si="1"/>
        <v>0</v>
      </c>
      <c r="N45" s="117"/>
      <c r="O45" s="117"/>
    </row>
    <row r="46" spans="1:15" x14ac:dyDescent="0.35">
      <c r="A46" s="24">
        <v>32</v>
      </c>
      <c r="B46" s="565"/>
      <c r="C46" s="565"/>
      <c r="D46" s="565"/>
      <c r="F46" s="114"/>
      <c r="G46" s="68">
        <f>IFERROR(F46*'As-Filed Schedule 1'!$E$103,0)</f>
        <v>0</v>
      </c>
      <c r="H46" s="68">
        <f t="shared" si="0"/>
        <v>0</v>
      </c>
      <c r="J46" s="114"/>
      <c r="K46" s="68">
        <f>IFERROR(J46*'As-Filed Schedule 1'!$E$103,0)</f>
        <v>0</v>
      </c>
      <c r="L46" s="68">
        <f t="shared" si="1"/>
        <v>0</v>
      </c>
      <c r="N46" s="117"/>
      <c r="O46" s="117"/>
    </row>
    <row r="47" spans="1:15" x14ac:dyDescent="0.35">
      <c r="A47" s="24">
        <v>33</v>
      </c>
      <c r="B47" s="565"/>
      <c r="C47" s="565"/>
      <c r="D47" s="565"/>
      <c r="F47" s="114"/>
      <c r="G47" s="68">
        <f>IFERROR(F47*'As-Filed Schedule 1'!$E$103,0)</f>
        <v>0</v>
      </c>
      <c r="H47" s="68">
        <f t="shared" si="0"/>
        <v>0</v>
      </c>
      <c r="J47" s="114"/>
      <c r="K47" s="68">
        <f>IFERROR(J47*'As-Filed Schedule 1'!$E$103,0)</f>
        <v>0</v>
      </c>
      <c r="L47" s="68">
        <f t="shared" si="1"/>
        <v>0</v>
      </c>
      <c r="N47" s="117"/>
      <c r="O47" s="117"/>
    </row>
    <row r="48" spans="1:15" x14ac:dyDescent="0.35">
      <c r="A48" s="24">
        <v>34</v>
      </c>
      <c r="B48" s="565"/>
      <c r="C48" s="565"/>
      <c r="D48" s="565"/>
      <c r="F48" s="114"/>
      <c r="G48" s="68">
        <f>IFERROR(F48*'As-Filed Schedule 1'!$E$103,0)</f>
        <v>0</v>
      </c>
      <c r="H48" s="68">
        <f t="shared" si="0"/>
        <v>0</v>
      </c>
      <c r="J48" s="114"/>
      <c r="K48" s="68">
        <f>IFERROR(J48*'As-Filed Schedule 1'!$E$103,0)</f>
        <v>0</v>
      </c>
      <c r="L48" s="68">
        <f t="shared" si="1"/>
        <v>0</v>
      </c>
      <c r="N48" s="117"/>
      <c r="O48" s="117"/>
    </row>
    <row r="49" spans="1:15" x14ac:dyDescent="0.35">
      <c r="A49" s="24">
        <v>35</v>
      </c>
      <c r="B49" s="565"/>
      <c r="C49" s="565"/>
      <c r="D49" s="565"/>
      <c r="F49" s="114"/>
      <c r="G49" s="68">
        <f>IFERROR(F49*'As-Filed Schedule 1'!$E$103,0)</f>
        <v>0</v>
      </c>
      <c r="H49" s="68">
        <f t="shared" si="0"/>
        <v>0</v>
      </c>
      <c r="J49" s="114"/>
      <c r="K49" s="68">
        <f>IFERROR(J49*'As-Filed Schedule 1'!$E$103,0)</f>
        <v>0</v>
      </c>
      <c r="L49" s="68">
        <f t="shared" si="1"/>
        <v>0</v>
      </c>
      <c r="N49" s="117"/>
      <c r="O49" s="117"/>
    </row>
    <row r="50" spans="1:15" x14ac:dyDescent="0.35">
      <c r="A50" s="24">
        <v>36</v>
      </c>
      <c r="B50" s="565"/>
      <c r="C50" s="565"/>
      <c r="D50" s="565"/>
      <c r="F50" s="114"/>
      <c r="G50" s="68">
        <f>IFERROR(F50*'As-Filed Schedule 1'!$E$103,0)</f>
        <v>0</v>
      </c>
      <c r="H50" s="68">
        <f t="shared" si="0"/>
        <v>0</v>
      </c>
      <c r="J50" s="114"/>
      <c r="K50" s="68">
        <f>IFERROR(J50*'As-Filed Schedule 1'!$E$103,0)</f>
        <v>0</v>
      </c>
      <c r="L50" s="68">
        <f t="shared" si="1"/>
        <v>0</v>
      </c>
      <c r="N50" s="117"/>
      <c r="O50" s="117"/>
    </row>
    <row r="51" spans="1:15" x14ac:dyDescent="0.35">
      <c r="A51" s="24">
        <v>37</v>
      </c>
      <c r="B51" s="565"/>
      <c r="C51" s="565"/>
      <c r="D51" s="565"/>
      <c r="F51" s="114"/>
      <c r="G51" s="68">
        <f>IFERROR(F51*'As-Filed Schedule 1'!$E$103,0)</f>
        <v>0</v>
      </c>
      <c r="H51" s="68">
        <f t="shared" si="0"/>
        <v>0</v>
      </c>
      <c r="J51" s="114"/>
      <c r="K51" s="68">
        <f>IFERROR(J51*'As-Filed Schedule 1'!$E$103,0)</f>
        <v>0</v>
      </c>
      <c r="L51" s="68">
        <f t="shared" si="1"/>
        <v>0</v>
      </c>
      <c r="N51" s="117"/>
      <c r="O51" s="117"/>
    </row>
    <row r="52" spans="1:15" x14ac:dyDescent="0.35">
      <c r="A52" s="24">
        <v>38</v>
      </c>
      <c r="B52" s="565"/>
      <c r="C52" s="565"/>
      <c r="D52" s="565"/>
      <c r="F52" s="114"/>
      <c r="G52" s="68">
        <f>IFERROR(F52*'As-Filed Schedule 1'!$E$103,0)</f>
        <v>0</v>
      </c>
      <c r="H52" s="68">
        <f t="shared" si="0"/>
        <v>0</v>
      </c>
      <c r="J52" s="114"/>
      <c r="K52" s="68">
        <f>IFERROR(J52*'As-Filed Schedule 1'!$E$103,0)</f>
        <v>0</v>
      </c>
      <c r="L52" s="68">
        <f t="shared" si="1"/>
        <v>0</v>
      </c>
      <c r="N52" s="117"/>
      <c r="O52" s="117"/>
    </row>
    <row r="53" spans="1:15" x14ac:dyDescent="0.35">
      <c r="A53" s="24">
        <v>39</v>
      </c>
      <c r="B53" s="565"/>
      <c r="C53" s="565"/>
      <c r="D53" s="565"/>
      <c r="F53" s="114"/>
      <c r="G53" s="68">
        <f>IFERROR(F53*'As-Filed Schedule 1'!$E$103,0)</f>
        <v>0</v>
      </c>
      <c r="H53" s="68">
        <f t="shared" si="0"/>
        <v>0</v>
      </c>
      <c r="J53" s="114"/>
      <c r="K53" s="68">
        <f>IFERROR(J53*'As-Filed Schedule 1'!$E$103,0)</f>
        <v>0</v>
      </c>
      <c r="L53" s="68">
        <f t="shared" si="1"/>
        <v>0</v>
      </c>
      <c r="N53" s="117"/>
      <c r="O53" s="117"/>
    </row>
    <row r="54" spans="1:15" x14ac:dyDescent="0.35">
      <c r="A54" s="24">
        <v>40</v>
      </c>
      <c r="B54" s="565"/>
      <c r="C54" s="565"/>
      <c r="D54" s="565"/>
      <c r="F54" s="114"/>
      <c r="G54" s="68">
        <f>IFERROR(F54*'As-Filed Schedule 1'!$E$103,0)</f>
        <v>0</v>
      </c>
      <c r="H54" s="68">
        <f t="shared" si="0"/>
        <v>0</v>
      </c>
      <c r="J54" s="114"/>
      <c r="K54" s="68">
        <f>IFERROR(J54*'As-Filed Schedule 1'!$E$103,0)</f>
        <v>0</v>
      </c>
      <c r="L54" s="68">
        <f t="shared" si="1"/>
        <v>0</v>
      </c>
      <c r="N54" s="117"/>
      <c r="O54" s="117"/>
    </row>
    <row r="55" spans="1:15" x14ac:dyDescent="0.35">
      <c r="A55" s="24">
        <v>41</v>
      </c>
      <c r="B55" s="565"/>
      <c r="C55" s="565"/>
      <c r="D55" s="565"/>
      <c r="F55" s="114"/>
      <c r="G55" s="68">
        <f>IFERROR(F55*'As-Filed Schedule 1'!$E$103,0)</f>
        <v>0</v>
      </c>
      <c r="H55" s="68">
        <f t="shared" si="0"/>
        <v>0</v>
      </c>
      <c r="J55" s="114"/>
      <c r="K55" s="68">
        <f>IFERROR(J55*'As-Filed Schedule 1'!$E$103,0)</f>
        <v>0</v>
      </c>
      <c r="L55" s="68">
        <f t="shared" si="1"/>
        <v>0</v>
      </c>
      <c r="N55" s="117"/>
      <c r="O55" s="117"/>
    </row>
    <row r="56" spans="1:15" x14ac:dyDescent="0.35">
      <c r="A56" s="24">
        <v>42</v>
      </c>
      <c r="B56" s="565"/>
      <c r="C56" s="565"/>
      <c r="D56" s="565"/>
      <c r="F56" s="114"/>
      <c r="G56" s="68">
        <f>IFERROR(F56*'As-Filed Schedule 1'!$E$103,0)</f>
        <v>0</v>
      </c>
      <c r="H56" s="68">
        <f t="shared" si="0"/>
        <v>0</v>
      </c>
      <c r="J56" s="114"/>
      <c r="K56" s="68">
        <f>IFERROR(J56*'As-Filed Schedule 1'!$E$103,0)</f>
        <v>0</v>
      </c>
      <c r="L56" s="68">
        <f t="shared" si="1"/>
        <v>0</v>
      </c>
      <c r="N56" s="117"/>
      <c r="O56" s="117"/>
    </row>
    <row r="57" spans="1:15" x14ac:dyDescent="0.35">
      <c r="A57" s="24">
        <v>43</v>
      </c>
      <c r="B57" s="565"/>
      <c r="C57" s="565"/>
      <c r="D57" s="565"/>
      <c r="F57" s="114"/>
      <c r="G57" s="68">
        <f>IFERROR(F57*'As-Filed Schedule 1'!$E$103,0)</f>
        <v>0</v>
      </c>
      <c r="H57" s="68">
        <f t="shared" si="0"/>
        <v>0</v>
      </c>
      <c r="J57" s="114"/>
      <c r="K57" s="68">
        <f>IFERROR(J57*'As-Filed Schedule 1'!$E$103,0)</f>
        <v>0</v>
      </c>
      <c r="L57" s="68">
        <f t="shared" si="1"/>
        <v>0</v>
      </c>
      <c r="N57" s="117"/>
      <c r="O57" s="117"/>
    </row>
    <row r="58" spans="1:15" x14ac:dyDescent="0.35">
      <c r="A58" s="24">
        <v>44</v>
      </c>
      <c r="B58" s="565"/>
      <c r="C58" s="565"/>
      <c r="D58" s="565"/>
      <c r="F58" s="114"/>
      <c r="G58" s="68">
        <f>IFERROR(F58*'As-Filed Schedule 1'!$E$103,0)</f>
        <v>0</v>
      </c>
      <c r="H58" s="68">
        <f t="shared" si="0"/>
        <v>0</v>
      </c>
      <c r="J58" s="114"/>
      <c r="K58" s="68">
        <f>IFERROR(J58*'As-Filed Schedule 1'!$E$103,0)</f>
        <v>0</v>
      </c>
      <c r="L58" s="68">
        <f t="shared" si="1"/>
        <v>0</v>
      </c>
      <c r="N58" s="117"/>
      <c r="O58" s="117"/>
    </row>
    <row r="59" spans="1:15" x14ac:dyDescent="0.35">
      <c r="A59" s="24">
        <v>45</v>
      </c>
      <c r="B59" s="565"/>
      <c r="C59" s="565"/>
      <c r="D59" s="565"/>
      <c r="F59" s="114"/>
      <c r="G59" s="68">
        <f>IFERROR(F59*'As-Filed Schedule 1'!$E$103,0)</f>
        <v>0</v>
      </c>
      <c r="H59" s="68">
        <f t="shared" si="0"/>
        <v>0</v>
      </c>
      <c r="J59" s="114"/>
      <c r="K59" s="68">
        <f>IFERROR(J59*'As-Filed Schedule 1'!$E$103,0)</f>
        <v>0</v>
      </c>
      <c r="L59" s="68">
        <f t="shared" si="1"/>
        <v>0</v>
      </c>
      <c r="N59" s="117"/>
      <c r="O59" s="117"/>
    </row>
    <row r="60" spans="1:15" x14ac:dyDescent="0.35">
      <c r="A60" s="24">
        <v>46</v>
      </c>
      <c r="B60" s="565"/>
      <c r="C60" s="565"/>
      <c r="D60" s="565"/>
      <c r="F60" s="114"/>
      <c r="G60" s="68">
        <f>IFERROR(F60*'As-Filed Schedule 1'!$E$103,0)</f>
        <v>0</v>
      </c>
      <c r="H60" s="68">
        <f t="shared" si="0"/>
        <v>0</v>
      </c>
      <c r="J60" s="114"/>
      <c r="K60" s="68">
        <f>IFERROR(J60*'As-Filed Schedule 1'!$E$103,0)</f>
        <v>0</v>
      </c>
      <c r="L60" s="68">
        <f t="shared" si="1"/>
        <v>0</v>
      </c>
      <c r="N60" s="117"/>
      <c r="O60" s="117"/>
    </row>
    <row r="61" spans="1:15" x14ac:dyDescent="0.35">
      <c r="A61" s="24">
        <v>47</v>
      </c>
      <c r="B61" s="565"/>
      <c r="C61" s="565"/>
      <c r="D61" s="565"/>
      <c r="F61" s="114"/>
      <c r="G61" s="68">
        <f>IFERROR(F61*'As-Filed Schedule 1'!$E$103,0)</f>
        <v>0</v>
      </c>
      <c r="H61" s="68">
        <f t="shared" si="0"/>
        <v>0</v>
      </c>
      <c r="J61" s="114"/>
      <c r="K61" s="68">
        <f>IFERROR(J61*'As-Filed Schedule 1'!$E$103,0)</f>
        <v>0</v>
      </c>
      <c r="L61" s="68">
        <f t="shared" si="1"/>
        <v>0</v>
      </c>
      <c r="N61" s="117"/>
      <c r="O61" s="117"/>
    </row>
    <row r="62" spans="1:15" x14ac:dyDescent="0.35">
      <c r="A62" s="24">
        <v>48</v>
      </c>
      <c r="B62" s="565"/>
      <c r="C62" s="565"/>
      <c r="D62" s="565"/>
      <c r="F62" s="114"/>
      <c r="G62" s="68">
        <f>IFERROR(F62*'As-Filed Schedule 1'!$E$103,0)</f>
        <v>0</v>
      </c>
      <c r="H62" s="68">
        <f t="shared" si="0"/>
        <v>0</v>
      </c>
      <c r="J62" s="114"/>
      <c r="K62" s="68">
        <f>IFERROR(J62*'As-Filed Schedule 1'!$E$103,0)</f>
        <v>0</v>
      </c>
      <c r="L62" s="68">
        <f t="shared" si="1"/>
        <v>0</v>
      </c>
      <c r="N62" s="117"/>
      <c r="O62" s="117"/>
    </row>
    <row r="63" spans="1:15" x14ac:dyDescent="0.35">
      <c r="A63" s="24">
        <v>49</v>
      </c>
      <c r="B63" s="565"/>
      <c r="C63" s="565"/>
      <c r="D63" s="565"/>
      <c r="F63" s="114"/>
      <c r="G63" s="68">
        <f>IFERROR(F63*'As-Filed Schedule 1'!$E$103,0)</f>
        <v>0</v>
      </c>
      <c r="H63" s="68">
        <f t="shared" si="0"/>
        <v>0</v>
      </c>
      <c r="J63" s="114"/>
      <c r="K63" s="68">
        <f>IFERROR(J63*'As-Filed Schedule 1'!$E$103,0)</f>
        <v>0</v>
      </c>
      <c r="L63" s="68">
        <f t="shared" si="1"/>
        <v>0</v>
      </c>
      <c r="N63" s="117"/>
      <c r="O63" s="117"/>
    </row>
    <row r="64" spans="1:15" x14ac:dyDescent="0.35">
      <c r="A64" s="24">
        <v>50</v>
      </c>
      <c r="B64" s="565"/>
      <c r="C64" s="565"/>
      <c r="D64" s="565"/>
      <c r="F64" s="114"/>
      <c r="G64" s="68">
        <f>IFERROR(F64*'As-Filed Schedule 1'!$E$103,0)</f>
        <v>0</v>
      </c>
      <c r="H64" s="68">
        <f t="shared" si="0"/>
        <v>0</v>
      </c>
      <c r="J64" s="114"/>
      <c r="K64" s="68">
        <f>IFERROR(J64*'As-Filed Schedule 1'!$E$103,0)</f>
        <v>0</v>
      </c>
      <c r="L64" s="68">
        <f t="shared" si="1"/>
        <v>0</v>
      </c>
      <c r="N64" s="117"/>
      <c r="O64" s="117"/>
    </row>
    <row r="65" spans="1:15" x14ac:dyDescent="0.35">
      <c r="A65" s="24">
        <v>51</v>
      </c>
      <c r="B65" s="565"/>
      <c r="C65" s="565"/>
      <c r="D65" s="565"/>
      <c r="F65" s="114"/>
      <c r="G65" s="68">
        <f>IFERROR(F65*'As-Filed Schedule 1'!$E$103,0)</f>
        <v>0</v>
      </c>
      <c r="H65" s="68">
        <f t="shared" si="0"/>
        <v>0</v>
      </c>
      <c r="J65" s="114"/>
      <c r="K65" s="68">
        <f>IFERROR(J65*'As-Filed Schedule 1'!$E$103,0)</f>
        <v>0</v>
      </c>
      <c r="L65" s="68">
        <f t="shared" si="1"/>
        <v>0</v>
      </c>
      <c r="N65" s="117"/>
      <c r="O65" s="117"/>
    </row>
    <row r="66" spans="1:15" x14ac:dyDescent="0.35">
      <c r="A66" s="24">
        <v>52</v>
      </c>
      <c r="B66" s="565"/>
      <c r="C66" s="565"/>
      <c r="D66" s="565"/>
      <c r="F66" s="114"/>
      <c r="G66" s="68">
        <f>IFERROR(F66*'As-Filed Schedule 1'!$E$103,0)</f>
        <v>0</v>
      </c>
      <c r="H66" s="68">
        <f t="shared" si="0"/>
        <v>0</v>
      </c>
      <c r="J66" s="114"/>
      <c r="K66" s="68">
        <f>IFERROR(J66*'As-Filed Schedule 1'!$E$103,0)</f>
        <v>0</v>
      </c>
      <c r="L66" s="68">
        <f t="shared" si="1"/>
        <v>0</v>
      </c>
      <c r="N66" s="117"/>
      <c r="O66" s="117"/>
    </row>
    <row r="67" spans="1:15" x14ac:dyDescent="0.35">
      <c r="A67" s="24">
        <v>53</v>
      </c>
      <c r="B67" s="565"/>
      <c r="C67" s="565"/>
      <c r="D67" s="565"/>
      <c r="F67" s="114"/>
      <c r="G67" s="68">
        <f>IFERROR(F67*'As-Filed Schedule 1'!$E$103,0)</f>
        <v>0</v>
      </c>
      <c r="H67" s="68">
        <f t="shared" si="0"/>
        <v>0</v>
      </c>
      <c r="J67" s="114"/>
      <c r="K67" s="68">
        <f>IFERROR(J67*'As-Filed Schedule 1'!$E$103,0)</f>
        <v>0</v>
      </c>
      <c r="L67" s="68">
        <f t="shared" si="1"/>
        <v>0</v>
      </c>
      <c r="N67" s="117"/>
      <c r="O67" s="117"/>
    </row>
    <row r="68" spans="1:15" x14ac:dyDescent="0.35">
      <c r="A68" s="24">
        <v>54</v>
      </c>
      <c r="B68" s="565"/>
      <c r="C68" s="565"/>
      <c r="D68" s="565"/>
      <c r="F68" s="114"/>
      <c r="G68" s="68">
        <f>IFERROR(F68*'As-Filed Schedule 1'!$E$103,0)</f>
        <v>0</v>
      </c>
      <c r="H68" s="68">
        <f t="shared" si="0"/>
        <v>0</v>
      </c>
      <c r="J68" s="114"/>
      <c r="K68" s="68">
        <f>IFERROR(J68*'As-Filed Schedule 1'!$E$103,0)</f>
        <v>0</v>
      </c>
      <c r="L68" s="68">
        <f t="shared" si="1"/>
        <v>0</v>
      </c>
      <c r="N68" s="117"/>
      <c r="O68" s="117"/>
    </row>
    <row r="69" spans="1:15" x14ac:dyDescent="0.35">
      <c r="A69" s="24">
        <v>55</v>
      </c>
      <c r="B69" s="565"/>
      <c r="C69" s="565"/>
      <c r="D69" s="565"/>
      <c r="F69" s="114"/>
      <c r="G69" s="68">
        <f>IFERROR(F69*'As-Filed Schedule 1'!$E$103,0)</f>
        <v>0</v>
      </c>
      <c r="H69" s="68">
        <f t="shared" si="0"/>
        <v>0</v>
      </c>
      <c r="J69" s="114"/>
      <c r="K69" s="68">
        <f>IFERROR(J69*'As-Filed Schedule 1'!$E$103,0)</f>
        <v>0</v>
      </c>
      <c r="L69" s="68">
        <f t="shared" si="1"/>
        <v>0</v>
      </c>
      <c r="N69" s="117"/>
      <c r="O69" s="117"/>
    </row>
    <row r="70" spans="1:15" x14ac:dyDescent="0.35">
      <c r="A70" s="24">
        <v>56</v>
      </c>
      <c r="B70" s="565"/>
      <c r="C70" s="565"/>
      <c r="D70" s="565"/>
      <c r="F70" s="114"/>
      <c r="G70" s="68">
        <f>IFERROR(F70*'As-Filed Schedule 1'!$E$103,0)</f>
        <v>0</v>
      </c>
      <c r="H70" s="68">
        <f t="shared" si="0"/>
        <v>0</v>
      </c>
      <c r="J70" s="114"/>
      <c r="K70" s="68">
        <f>IFERROR(J70*'As-Filed Schedule 1'!$E$103,0)</f>
        <v>0</v>
      </c>
      <c r="L70" s="68">
        <f t="shared" si="1"/>
        <v>0</v>
      </c>
      <c r="N70" s="117"/>
      <c r="O70" s="117"/>
    </row>
    <row r="71" spans="1:15" x14ac:dyDescent="0.35">
      <c r="A71" s="24">
        <v>57</v>
      </c>
      <c r="B71" s="565"/>
      <c r="C71" s="565"/>
      <c r="D71" s="565"/>
      <c r="F71" s="114"/>
      <c r="G71" s="68">
        <f>IFERROR(F71*'As-Filed Schedule 1'!$E$103,0)</f>
        <v>0</v>
      </c>
      <c r="H71" s="68">
        <f t="shared" si="0"/>
        <v>0</v>
      </c>
      <c r="J71" s="114"/>
      <c r="K71" s="68">
        <f>IFERROR(J71*'As-Filed Schedule 1'!$E$103,0)</f>
        <v>0</v>
      </c>
      <c r="L71" s="68">
        <f t="shared" si="1"/>
        <v>0</v>
      </c>
      <c r="N71" s="117"/>
      <c r="O71" s="117"/>
    </row>
    <row r="72" spans="1:15" x14ac:dyDescent="0.35">
      <c r="A72" s="24">
        <v>58</v>
      </c>
      <c r="B72" s="565"/>
      <c r="C72" s="565"/>
      <c r="D72" s="565"/>
      <c r="F72" s="114"/>
      <c r="G72" s="68">
        <f>IFERROR(F72*'As-Filed Schedule 1'!$E$103,0)</f>
        <v>0</v>
      </c>
      <c r="H72" s="68">
        <f t="shared" si="0"/>
        <v>0</v>
      </c>
      <c r="J72" s="114"/>
      <c r="K72" s="68">
        <f>IFERROR(J72*'As-Filed Schedule 1'!$E$103,0)</f>
        <v>0</v>
      </c>
      <c r="L72" s="68">
        <f t="shared" si="1"/>
        <v>0</v>
      </c>
      <c r="N72" s="117"/>
      <c r="O72" s="117"/>
    </row>
    <row r="73" spans="1:15" x14ac:dyDescent="0.35">
      <c r="A73" s="24">
        <v>59</v>
      </c>
      <c r="F73" s="18">
        <f>SUM(F15:F72)</f>
        <v>39521669.777050093</v>
      </c>
      <c r="G73" s="18">
        <f t="shared" ref="G73:H73" si="2">SUM(G15:G72)</f>
        <v>10271771.36549448</v>
      </c>
      <c r="H73" s="18">
        <f t="shared" si="2"/>
        <v>49793441.142544568</v>
      </c>
      <c r="J73" s="18">
        <f>SUM(J15:J72)</f>
        <v>20712391.017054714</v>
      </c>
      <c r="K73" s="18">
        <f>SUM(K15:K72)</f>
        <v>5383197.2727896115</v>
      </c>
      <c r="L73" s="18">
        <f>SUM(L15:L72)</f>
        <v>26095588.289844323</v>
      </c>
      <c r="O73" s="83" t="s">
        <v>313</v>
      </c>
    </row>
    <row r="74" spans="1:15" ht="15" thickBot="1" x14ac:dyDescent="0.4">
      <c r="H74" s="37" t="s">
        <v>257</v>
      </c>
      <c r="L74" s="37" t="s">
        <v>258</v>
      </c>
    </row>
    <row r="75" spans="1:15" s="72" customFormat="1" ht="16" thickBot="1" x14ac:dyDescent="0.4">
      <c r="A75" s="24">
        <v>60</v>
      </c>
      <c r="B75" s="73" t="s">
        <v>461</v>
      </c>
      <c r="F75" s="75">
        <f>H73+L73</f>
        <v>75889029.432388887</v>
      </c>
      <c r="G75" s="74"/>
      <c r="H75" s="74"/>
      <c r="I75" s="74"/>
      <c r="J75" s="74"/>
      <c r="K75" s="74"/>
    </row>
  </sheetData>
  <sheetProtection sheet="1" objects="1" scenarios="1"/>
  <customSheetViews>
    <customSheetView guid="{17302493-42B1-4877-869E-E424A97AE78B}" topLeftCell="A4">
      <selection activeCell="F46" sqref="B15:F46"/>
      <pageMargins left="0.7" right="0.7" top="0.75" bottom="0.75" header="0.3" footer="0.3"/>
    </customSheetView>
    <customSheetView guid="{5C0BA3A5-859C-46C2-B685-44D9A90065E4}" topLeftCell="A4">
      <selection activeCell="F46" sqref="B15:F46"/>
      <pageMargins left="0.7" right="0.7" top="0.75" bottom="0.75" header="0.3" footer="0.3"/>
    </customSheetView>
  </customSheetViews>
  <mergeCells count="65">
    <mergeCell ref="B42:D42"/>
    <mergeCell ref="B43:D43"/>
    <mergeCell ref="B44:D44"/>
    <mergeCell ref="B18:D18"/>
    <mergeCell ref="B19:D19"/>
    <mergeCell ref="B20:D20"/>
    <mergeCell ref="B21:D21"/>
    <mergeCell ref="B22:D22"/>
    <mergeCell ref="B23:D23"/>
    <mergeCell ref="B24:D24"/>
    <mergeCell ref="B25:D25"/>
    <mergeCell ref="B26:D26"/>
    <mergeCell ref="B27:D27"/>
    <mergeCell ref="B29:D29"/>
    <mergeCell ref="B30:D30"/>
    <mergeCell ref="B31:D31"/>
    <mergeCell ref="B64:D64"/>
    <mergeCell ref="B65:D65"/>
    <mergeCell ref="B66:D66"/>
    <mergeCell ref="B72:D72"/>
    <mergeCell ref="B67:D67"/>
    <mergeCell ref="B68:D68"/>
    <mergeCell ref="B69:D69"/>
    <mergeCell ref="B70:D70"/>
    <mergeCell ref="B71:D71"/>
    <mergeCell ref="B59:D59"/>
    <mergeCell ref="B60:D60"/>
    <mergeCell ref="B61:D61"/>
    <mergeCell ref="B62:D62"/>
    <mergeCell ref="B63:D63"/>
    <mergeCell ref="B58:D58"/>
    <mergeCell ref="B55:D55"/>
    <mergeCell ref="B56:D56"/>
    <mergeCell ref="B45:D45"/>
    <mergeCell ref="B46:D46"/>
    <mergeCell ref="B47:D47"/>
    <mergeCell ref="B48:D48"/>
    <mergeCell ref="B49:D49"/>
    <mergeCell ref="B50:D50"/>
    <mergeCell ref="B51:D51"/>
    <mergeCell ref="B52:D52"/>
    <mergeCell ref="B53:D53"/>
    <mergeCell ref="B54:D54"/>
    <mergeCell ref="B57:D57"/>
    <mergeCell ref="O13:O14"/>
    <mergeCell ref="J13:L13"/>
    <mergeCell ref="A3:H3"/>
    <mergeCell ref="F13:H13"/>
    <mergeCell ref="B12:D12"/>
    <mergeCell ref="B13:D14"/>
    <mergeCell ref="B38:D38"/>
    <mergeCell ref="B39:D39"/>
    <mergeCell ref="B40:D40"/>
    <mergeCell ref="B41:D41"/>
    <mergeCell ref="N13:N14"/>
    <mergeCell ref="B36:D36"/>
    <mergeCell ref="B28:D28"/>
    <mergeCell ref="B15:D15"/>
    <mergeCell ref="B16:D16"/>
    <mergeCell ref="B17:D17"/>
    <mergeCell ref="B32:D32"/>
    <mergeCell ref="B33:D33"/>
    <mergeCell ref="B34:D34"/>
    <mergeCell ref="B35:D35"/>
    <mergeCell ref="B37:D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9CC5CA"/>
  </sheetPr>
  <dimension ref="A1:O75"/>
  <sheetViews>
    <sheetView workbookViewId="0">
      <selection activeCell="F9" sqref="F9"/>
    </sheetView>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46" t="s">
        <v>769</v>
      </c>
      <c r="B3" s="546"/>
      <c r="C3" s="546"/>
      <c r="D3" s="546"/>
      <c r="E3" s="546"/>
      <c r="F3" s="546"/>
      <c r="G3" s="546"/>
      <c r="H3" s="546"/>
    </row>
    <row r="5" spans="1:15" x14ac:dyDescent="0.35">
      <c r="A5" s="1" t="s">
        <v>776</v>
      </c>
      <c r="C5" s="413" t="str">
        <f>'As-Filed Schedule 1'!C5</f>
        <v>WellPower</v>
      </c>
    </row>
    <row r="6" spans="1:15" x14ac:dyDescent="0.35">
      <c r="A6" s="1" t="s">
        <v>0</v>
      </c>
      <c r="C6" s="406">
        <f>'As-Filed Schedule 1'!C6</f>
        <v>45473</v>
      </c>
      <c r="F6" s="35"/>
    </row>
    <row r="8" spans="1:15" x14ac:dyDescent="0.35">
      <c r="A8" s="1" t="s">
        <v>253</v>
      </c>
      <c r="B8" s="1" t="s">
        <v>203</v>
      </c>
      <c r="C8" s="1"/>
      <c r="F8" s="116" t="s">
        <v>1035</v>
      </c>
      <c r="G8" s="41" t="s">
        <v>259</v>
      </c>
    </row>
    <row r="10" spans="1:15" x14ac:dyDescent="0.35">
      <c r="A10" s="1" t="s">
        <v>254</v>
      </c>
      <c r="B10" s="1" t="s">
        <v>256</v>
      </c>
      <c r="C10" s="1"/>
    </row>
    <row r="12" spans="1:15" x14ac:dyDescent="0.35">
      <c r="B12" s="560">
        <v>1</v>
      </c>
      <c r="C12" s="560"/>
      <c r="D12" s="560"/>
      <c r="F12" s="23">
        <v>2</v>
      </c>
      <c r="G12" s="23">
        <v>3</v>
      </c>
      <c r="H12" s="23">
        <v>4</v>
      </c>
      <c r="J12" s="23">
        <v>5</v>
      </c>
      <c r="K12" s="23">
        <v>6</v>
      </c>
      <c r="L12" s="23">
        <v>7</v>
      </c>
      <c r="N12" s="23">
        <v>8</v>
      </c>
      <c r="O12" s="23">
        <v>9</v>
      </c>
    </row>
    <row r="13" spans="1:15" x14ac:dyDescent="0.35">
      <c r="B13" s="561" t="s">
        <v>255</v>
      </c>
      <c r="C13" s="561"/>
      <c r="D13" s="561"/>
      <c r="F13" s="563" t="s">
        <v>261</v>
      </c>
      <c r="G13" s="568"/>
      <c r="H13" s="564"/>
      <c r="J13" s="563" t="s">
        <v>262</v>
      </c>
      <c r="K13" s="568"/>
      <c r="L13" s="564"/>
      <c r="N13" s="562" t="s">
        <v>250</v>
      </c>
      <c r="O13" s="562" t="s">
        <v>312</v>
      </c>
    </row>
    <row r="14" spans="1:15" ht="55.5" customHeight="1" x14ac:dyDescent="0.35">
      <c r="B14" s="561"/>
      <c r="C14" s="561"/>
      <c r="D14" s="561"/>
      <c r="E14" s="48"/>
      <c r="F14" s="10" t="s">
        <v>214</v>
      </c>
      <c r="G14" s="142" t="s">
        <v>493</v>
      </c>
      <c r="H14" s="142" t="s">
        <v>215</v>
      </c>
      <c r="I14" s="99"/>
      <c r="J14" s="142" t="s">
        <v>214</v>
      </c>
      <c r="K14" s="142" t="s">
        <v>493</v>
      </c>
      <c r="L14" s="10" t="s">
        <v>215</v>
      </c>
      <c r="M14" s="48"/>
      <c r="N14" s="562"/>
      <c r="O14" s="562"/>
    </row>
    <row r="15" spans="1:15" x14ac:dyDescent="0.35">
      <c r="A15" s="24">
        <v>1</v>
      </c>
      <c r="B15" s="565" t="s">
        <v>973</v>
      </c>
      <c r="C15" s="565"/>
      <c r="D15" s="565"/>
      <c r="F15" s="114">
        <v>1310729.5987648193</v>
      </c>
      <c r="G15" s="68">
        <f>IFERROR(F15*'As-Filed Schedule 1'!$E$103,0)</f>
        <v>340661.58733800991</v>
      </c>
      <c r="H15" s="68">
        <f>SUM(F15:G15)</f>
        <v>1651391.1861028292</v>
      </c>
      <c r="J15" s="114">
        <v>691.01140967135734</v>
      </c>
      <c r="K15" s="68">
        <f>IFERROR(J15*'As-Filed Schedule 1'!$E$103,0)</f>
        <v>179.59542830890007</v>
      </c>
      <c r="L15" s="68">
        <f>SUM(J15:K15)</f>
        <v>870.60683798025741</v>
      </c>
      <c r="N15" s="117">
        <v>11.225</v>
      </c>
      <c r="O15" s="453">
        <v>84</v>
      </c>
    </row>
    <row r="16" spans="1:15" x14ac:dyDescent="0.35">
      <c r="A16" s="24">
        <v>2</v>
      </c>
      <c r="B16" s="565" t="s">
        <v>974</v>
      </c>
      <c r="C16" s="565"/>
      <c r="D16" s="565"/>
      <c r="F16" s="114">
        <v>1078079.1084518391</v>
      </c>
      <c r="G16" s="68">
        <f>IFERROR(F16*'As-Filed Schedule 1'!$E$103,0)</f>
        <v>280195.19869486563</v>
      </c>
      <c r="H16" s="68">
        <f t="shared" ref="H16:H72" si="0">SUM(F16:G16)</f>
        <v>1358274.3071467048</v>
      </c>
      <c r="J16" s="114">
        <v>41.894232646881669</v>
      </c>
      <c r="K16" s="68">
        <f>IFERROR(J16*'As-Filed Schedule 1'!$E$103,0)</f>
        <v>10.888405821646002</v>
      </c>
      <c r="L16" s="68">
        <f t="shared" ref="L16:L72" si="1">SUM(J16:K16)</f>
        <v>52.782638468527672</v>
      </c>
      <c r="N16" s="117">
        <v>5.0625000000000009</v>
      </c>
      <c r="O16" s="453">
        <v>349</v>
      </c>
    </row>
    <row r="17" spans="1:15" x14ac:dyDescent="0.35">
      <c r="A17" s="24">
        <v>3</v>
      </c>
      <c r="B17" s="565" t="s">
        <v>975</v>
      </c>
      <c r="C17" s="565"/>
      <c r="D17" s="565"/>
      <c r="F17" s="114">
        <v>844335.40996275574</v>
      </c>
      <c r="G17" s="68">
        <f>IFERROR(F17*'As-Filed Schedule 1'!$E$103,0)</f>
        <v>219444.68277412484</v>
      </c>
      <c r="H17" s="68">
        <f t="shared" si="0"/>
        <v>1063780.0927368805</v>
      </c>
      <c r="J17" s="114">
        <v>50.117915351639915</v>
      </c>
      <c r="K17" s="68">
        <f>IFERROR(J17*'As-Filed Schedule 1'!$E$103,0)</f>
        <v>13.02575955700614</v>
      </c>
      <c r="L17" s="68">
        <f t="shared" si="1"/>
        <v>63.143674908646055</v>
      </c>
      <c r="N17" s="117">
        <v>6.0562500000000004</v>
      </c>
      <c r="O17" s="453">
        <v>159</v>
      </c>
    </row>
    <row r="18" spans="1:15" x14ac:dyDescent="0.35">
      <c r="A18" s="24">
        <v>4</v>
      </c>
      <c r="B18" s="565" t="s">
        <v>976</v>
      </c>
      <c r="C18" s="565"/>
      <c r="D18" s="565"/>
      <c r="F18" s="114">
        <v>483322.59899887192</v>
      </c>
      <c r="G18" s="68">
        <f>IFERROR(F18*'As-Filed Schedule 1'!$E$103,0)</f>
        <v>125616.63666285358</v>
      </c>
      <c r="H18" s="68">
        <f t="shared" si="0"/>
        <v>608939.23566172551</v>
      </c>
      <c r="J18" s="114">
        <v>421.36079009713626</v>
      </c>
      <c r="K18" s="68">
        <f>IFERROR(J18*'As-Filed Schedule 1'!$E$103,0)</f>
        <v>109.51262238356128</v>
      </c>
      <c r="L18" s="68">
        <f t="shared" si="1"/>
        <v>530.87341248069754</v>
      </c>
      <c r="N18" s="117">
        <v>5.05</v>
      </c>
      <c r="O18" s="453">
        <v>275</v>
      </c>
    </row>
    <row r="19" spans="1:15" x14ac:dyDescent="0.35">
      <c r="A19" s="24">
        <v>5</v>
      </c>
      <c r="B19" s="565" t="s">
        <v>977</v>
      </c>
      <c r="C19" s="565"/>
      <c r="D19" s="565"/>
      <c r="F19" s="114">
        <v>1057163.3739484735</v>
      </c>
      <c r="G19" s="68">
        <f>IFERROR(F19*'As-Filed Schedule 1'!$E$103,0)</f>
        <v>274759.15199005982</v>
      </c>
      <c r="H19" s="68">
        <f t="shared" si="0"/>
        <v>1331922.5259385332</v>
      </c>
      <c r="J19" s="114">
        <v>3287.93240601566</v>
      </c>
      <c r="K19" s="68">
        <f>IFERROR(J19*'As-Filed Schedule 1'!$E$103,0)</f>
        <v>854.54106899614499</v>
      </c>
      <c r="L19" s="68">
        <f t="shared" si="1"/>
        <v>4142.473475011805</v>
      </c>
      <c r="N19" s="117">
        <v>9.0499999999999972</v>
      </c>
      <c r="O19" s="453">
        <v>698</v>
      </c>
    </row>
    <row r="20" spans="1:15" x14ac:dyDescent="0.35">
      <c r="A20" s="24">
        <v>6</v>
      </c>
      <c r="B20" s="565" t="s">
        <v>978</v>
      </c>
      <c r="C20" s="565"/>
      <c r="D20" s="565"/>
      <c r="F20" s="114">
        <v>695618.73083985306</v>
      </c>
      <c r="G20" s="68">
        <f>IFERROR(F20*'As-Filed Schedule 1'!$E$103,0)</f>
        <v>180792.88150146918</v>
      </c>
      <c r="H20" s="68">
        <f t="shared" si="0"/>
        <v>876411.61234132224</v>
      </c>
      <c r="J20" s="114">
        <v>3909.2543808421387</v>
      </c>
      <c r="K20" s="68">
        <f>IFERROR(J20*'As-Filed Schedule 1'!$E$103,0)</f>
        <v>1016.0240555647217</v>
      </c>
      <c r="L20" s="68">
        <f t="shared" si="1"/>
        <v>4925.2784364068602</v>
      </c>
      <c r="N20" s="117">
        <v>7.7499999999999991</v>
      </c>
      <c r="O20" s="453">
        <v>442</v>
      </c>
    </row>
    <row r="21" spans="1:15" x14ac:dyDescent="0.35">
      <c r="A21" s="24">
        <v>7</v>
      </c>
      <c r="B21" s="565" t="s">
        <v>979</v>
      </c>
      <c r="C21" s="565"/>
      <c r="D21" s="565"/>
      <c r="F21" s="114">
        <v>1032487.0794389574</v>
      </c>
      <c r="G21" s="68">
        <f>IFERROR(F21*'As-Filed Schedule 1'!$E$103,0)</f>
        <v>268345.72723398986</v>
      </c>
      <c r="H21" s="68">
        <f t="shared" si="0"/>
        <v>1300832.8066729472</v>
      </c>
      <c r="J21" s="114">
        <v>4816.0073341507959</v>
      </c>
      <c r="K21" s="68">
        <f>IFERROR(J21*'As-Filed Schedule 1'!$E$103,0)</f>
        <v>1251.6911990309613</v>
      </c>
      <c r="L21" s="68">
        <f t="shared" si="1"/>
        <v>6067.6985331817577</v>
      </c>
      <c r="N21" s="117">
        <v>7.3249999999999984</v>
      </c>
      <c r="O21" s="453">
        <v>606</v>
      </c>
    </row>
    <row r="22" spans="1:15" x14ac:dyDescent="0.35">
      <c r="A22" s="24">
        <v>8</v>
      </c>
      <c r="B22" s="565" t="s">
        <v>980</v>
      </c>
      <c r="C22" s="565"/>
      <c r="D22" s="565"/>
      <c r="F22" s="114">
        <v>1773634.89712547</v>
      </c>
      <c r="G22" s="68">
        <f>IFERROR(F22*'As-Filed Schedule 1'!$E$103,0)</f>
        <v>460971.72138497053</v>
      </c>
      <c r="H22" s="68">
        <f t="shared" si="0"/>
        <v>2234606.6185104405</v>
      </c>
      <c r="J22" s="114">
        <v>1867.3967171136985</v>
      </c>
      <c r="K22" s="68">
        <f>IFERROR(J22*'As-Filed Schedule 1'!$E$103,0)</f>
        <v>485.34063047117007</v>
      </c>
      <c r="L22" s="68">
        <f t="shared" si="1"/>
        <v>2352.7373475848685</v>
      </c>
      <c r="N22" s="117">
        <v>16.952249999999996</v>
      </c>
      <c r="O22" s="453">
        <v>1264</v>
      </c>
    </row>
    <row r="23" spans="1:15" x14ac:dyDescent="0.35">
      <c r="A23" s="24">
        <v>9</v>
      </c>
      <c r="B23" s="565" t="s">
        <v>981</v>
      </c>
      <c r="C23" s="565"/>
      <c r="D23" s="565"/>
      <c r="F23" s="114">
        <v>173655.88271500313</v>
      </c>
      <c r="G23" s="68">
        <f>IFERROR(F23*'As-Filed Schedule 1'!$E$103,0)</f>
        <v>45133.556693939274</v>
      </c>
      <c r="H23" s="68">
        <f t="shared" si="0"/>
        <v>218789.43940894242</v>
      </c>
      <c r="J23" s="114">
        <v>136.10343361868257</v>
      </c>
      <c r="K23" s="68">
        <f>IFERROR(J23*'As-Filed Schedule 1'!$E$103,0)</f>
        <v>35.373590237366002</v>
      </c>
      <c r="L23" s="68">
        <f t="shared" si="1"/>
        <v>171.47702385604856</v>
      </c>
      <c r="N23" s="117">
        <v>1.5375000000000001</v>
      </c>
      <c r="O23" s="453">
        <v>69</v>
      </c>
    </row>
    <row r="24" spans="1:15" x14ac:dyDescent="0.35">
      <c r="A24" s="24">
        <v>10</v>
      </c>
      <c r="B24" s="565" t="s">
        <v>982</v>
      </c>
      <c r="C24" s="565"/>
      <c r="D24" s="565"/>
      <c r="F24" s="114">
        <v>509845.22226944956</v>
      </c>
      <c r="G24" s="68">
        <f>IFERROR(F24*'As-Filed Schedule 1'!$E$103,0)</f>
        <v>132509.92643996509</v>
      </c>
      <c r="H24" s="68">
        <f t="shared" si="0"/>
        <v>642355.14870941464</v>
      </c>
      <c r="J24" s="114">
        <v>275.89214667395822</v>
      </c>
      <c r="K24" s="68">
        <f>IFERROR(J24*'As-Filed Schedule 1'!$E$103,0)</f>
        <v>71.704992935698016</v>
      </c>
      <c r="L24" s="68">
        <f t="shared" si="1"/>
        <v>347.59713960965621</v>
      </c>
      <c r="N24" s="117">
        <v>4.3468749999999998</v>
      </c>
      <c r="O24" s="453">
        <v>248</v>
      </c>
    </row>
    <row r="25" spans="1:15" x14ac:dyDescent="0.35">
      <c r="A25" s="24">
        <v>11</v>
      </c>
      <c r="B25" s="565" t="s">
        <v>983</v>
      </c>
      <c r="C25" s="565"/>
      <c r="D25" s="565"/>
      <c r="F25" s="114">
        <v>286571.73871220107</v>
      </c>
      <c r="G25" s="68">
        <f>IFERROR(F25*'As-Filed Schedule 1'!$E$103,0)</f>
        <v>74480.643061626819</v>
      </c>
      <c r="H25" s="68">
        <f t="shared" si="0"/>
        <v>361052.38177382789</v>
      </c>
      <c r="J25" s="114">
        <v>596.7262119388929</v>
      </c>
      <c r="K25" s="68">
        <f>IFERROR(J25*'As-Filed Schedule 1'!$E$103,0)</f>
        <v>155.09049216319352</v>
      </c>
      <c r="L25" s="68">
        <f t="shared" si="1"/>
        <v>751.81670410208642</v>
      </c>
      <c r="N25" s="117">
        <v>2.9999999999999996</v>
      </c>
      <c r="O25" s="453">
        <v>157</v>
      </c>
    </row>
    <row r="26" spans="1:15" x14ac:dyDescent="0.35">
      <c r="A26" s="24">
        <v>12</v>
      </c>
      <c r="B26" s="565" t="s">
        <v>984</v>
      </c>
      <c r="C26" s="565"/>
      <c r="D26" s="565"/>
      <c r="F26" s="114">
        <v>81179.192057949112</v>
      </c>
      <c r="G26" s="68">
        <f>IFERROR(F26*'As-Filed Schedule 1'!$E$103,0)</f>
        <v>21098.655627628126</v>
      </c>
      <c r="H26" s="68">
        <f t="shared" si="0"/>
        <v>102277.84768557723</v>
      </c>
      <c r="J26" s="114">
        <v>29.180240155012861</v>
      </c>
      <c r="K26" s="68">
        <f>IFERROR(J26*'As-Filed Schedule 1'!$E$103,0)</f>
        <v>7.58401041639606</v>
      </c>
      <c r="L26" s="68">
        <f t="shared" si="1"/>
        <v>36.764250571408922</v>
      </c>
      <c r="N26" s="117">
        <v>0.98124999999999996</v>
      </c>
      <c r="O26" s="453">
        <v>99</v>
      </c>
    </row>
    <row r="27" spans="1:15" x14ac:dyDescent="0.35">
      <c r="A27" s="24">
        <v>13</v>
      </c>
      <c r="B27" s="565" t="s">
        <v>985</v>
      </c>
      <c r="C27" s="565"/>
      <c r="D27" s="565"/>
      <c r="F27" s="114"/>
      <c r="G27" s="68">
        <f>IFERROR(F27*'As-Filed Schedule 1'!$E$103,0)</f>
        <v>0</v>
      </c>
      <c r="H27" s="68">
        <f t="shared" si="0"/>
        <v>0</v>
      </c>
      <c r="J27" s="114">
        <v>237094.52328275997</v>
      </c>
      <c r="K27" s="68">
        <f>IFERROR(J27*'As-Filed Schedule 1'!$E$103,0)</f>
        <v>61621.402863540527</v>
      </c>
      <c r="L27" s="68">
        <f t="shared" si="1"/>
        <v>298715.92614630051</v>
      </c>
      <c r="N27" s="117">
        <v>2</v>
      </c>
      <c r="O27" s="453">
        <v>198</v>
      </c>
    </row>
    <row r="28" spans="1:15" x14ac:dyDescent="0.35">
      <c r="A28" s="24">
        <v>14</v>
      </c>
      <c r="B28" s="565" t="s">
        <v>986</v>
      </c>
      <c r="C28" s="565"/>
      <c r="D28" s="565"/>
      <c r="F28" s="114">
        <v>872023.08492944168</v>
      </c>
      <c r="G28" s="68">
        <f>IFERROR(F28*'As-Filed Schedule 1'!$E$103,0)</f>
        <v>226640.77212217849</v>
      </c>
      <c r="H28" s="68">
        <f t="shared" si="0"/>
        <v>1098663.8570516203</v>
      </c>
      <c r="J28" s="114">
        <v>552.21226228593332</v>
      </c>
      <c r="K28" s="68">
        <f>IFERROR(J28*'As-Filed Schedule 1'!$E$103,0)</f>
        <v>143.52121596637031</v>
      </c>
      <c r="L28" s="68">
        <f t="shared" si="1"/>
        <v>695.7334782523036</v>
      </c>
      <c r="N28" s="117">
        <v>5.6</v>
      </c>
      <c r="O28" s="453">
        <v>192</v>
      </c>
    </row>
    <row r="29" spans="1:15" x14ac:dyDescent="0.35">
      <c r="A29" s="24">
        <v>15</v>
      </c>
      <c r="B29" s="565" t="s">
        <v>987</v>
      </c>
      <c r="C29" s="565"/>
      <c r="D29" s="565"/>
      <c r="F29" s="114">
        <v>1763242.5486927242</v>
      </c>
      <c r="G29" s="68">
        <f>IFERROR(F29*'As-Filed Schedule 1'!$E$103,0)</f>
        <v>458270.72652180039</v>
      </c>
      <c r="H29" s="68">
        <f t="shared" si="0"/>
        <v>2221513.2752145245</v>
      </c>
      <c r="J29" s="114">
        <v>2393.0553606488807</v>
      </c>
      <c r="K29" s="68">
        <f>IFERROR(J29*'As-Filed Schedule 1'!$E$103,0)</f>
        <v>621.96050086502589</v>
      </c>
      <c r="L29" s="68">
        <f t="shared" si="1"/>
        <v>3015.0158615139067</v>
      </c>
      <c r="N29" s="117">
        <v>15.396875000000001</v>
      </c>
      <c r="O29" s="453">
        <v>910</v>
      </c>
    </row>
    <row r="30" spans="1:15" x14ac:dyDescent="0.35">
      <c r="A30" s="24">
        <v>16</v>
      </c>
      <c r="B30" s="565" t="s">
        <v>988</v>
      </c>
      <c r="C30" s="565"/>
      <c r="D30" s="565"/>
      <c r="F30" s="114">
        <v>1738523.4898185651</v>
      </c>
      <c r="G30" s="68">
        <f>IFERROR(F30*'As-Filed Schedule 1'!$E$103,0)</f>
        <v>451846.18721063487</v>
      </c>
      <c r="H30" s="68">
        <f t="shared" si="0"/>
        <v>2190369.6770291999</v>
      </c>
      <c r="J30" s="114">
        <v>28609.945817306696</v>
      </c>
      <c r="K30" s="68">
        <f>IFERROR(J30*'As-Filed Schedule 1'!$E$103,0)</f>
        <v>7435.7896281297835</v>
      </c>
      <c r="L30" s="68">
        <f t="shared" si="1"/>
        <v>36045.735445436483</v>
      </c>
      <c r="N30" s="117">
        <v>14.399999999999999</v>
      </c>
      <c r="O30" s="453">
        <v>733</v>
      </c>
    </row>
    <row r="31" spans="1:15" x14ac:dyDescent="0.35">
      <c r="A31" s="24">
        <v>17</v>
      </c>
      <c r="B31" s="565" t="s">
        <v>989</v>
      </c>
      <c r="C31" s="565"/>
      <c r="D31" s="565"/>
      <c r="F31" s="114">
        <v>2340114.3569159778</v>
      </c>
      <c r="G31" s="68">
        <f>IFERROR(F31*'As-Filed Schedule 1'!$E$103,0)</f>
        <v>608201.01425244496</v>
      </c>
      <c r="H31" s="68">
        <f t="shared" si="0"/>
        <v>2948315.3711684225</v>
      </c>
      <c r="J31" s="114">
        <v>10284.094955761046</v>
      </c>
      <c r="K31" s="68">
        <f>IFERROR(J31*'As-Filed Schedule 1'!$E$103,0)</f>
        <v>2672.8595396532155</v>
      </c>
      <c r="L31" s="68">
        <f t="shared" si="1"/>
        <v>12956.954495414262</v>
      </c>
      <c r="N31" s="117">
        <v>21.55</v>
      </c>
      <c r="O31" s="453">
        <v>1084</v>
      </c>
    </row>
    <row r="32" spans="1:15" x14ac:dyDescent="0.35">
      <c r="A32" s="24">
        <v>18</v>
      </c>
      <c r="B32" s="565" t="s">
        <v>990</v>
      </c>
      <c r="C32" s="565"/>
      <c r="D32" s="565"/>
      <c r="F32" s="114">
        <v>1096744.3901704708</v>
      </c>
      <c r="G32" s="68">
        <f>IFERROR(F32*'As-Filed Schedule 1'!$E$103,0)</f>
        <v>285046.34763082641</v>
      </c>
      <c r="H32" s="68">
        <f t="shared" si="0"/>
        <v>1381790.7378012971</v>
      </c>
      <c r="J32" s="114">
        <v>2530.5888809534126</v>
      </c>
      <c r="K32" s="68">
        <f>IFERROR(J32*'As-Filed Schedule 1'!$E$103,0)</f>
        <v>657.70577386662603</v>
      </c>
      <c r="L32" s="68">
        <f t="shared" si="1"/>
        <v>3188.2946548200389</v>
      </c>
      <c r="N32" s="117">
        <v>9.9703749999999989</v>
      </c>
      <c r="O32" s="453">
        <v>722</v>
      </c>
    </row>
    <row r="33" spans="1:15" x14ac:dyDescent="0.35">
      <c r="A33" s="24">
        <v>19</v>
      </c>
      <c r="B33" s="565" t="s">
        <v>991</v>
      </c>
      <c r="C33" s="565"/>
      <c r="D33" s="565"/>
      <c r="F33" s="114">
        <v>401060.60619708151</v>
      </c>
      <c r="G33" s="68">
        <f>IFERROR(F33*'As-Filed Schedule 1'!$E$103,0)</f>
        <v>104236.55867281342</v>
      </c>
      <c r="H33" s="68">
        <f t="shared" si="0"/>
        <v>505297.16486989491</v>
      </c>
      <c r="J33" s="114">
        <v>653.43669671445002</v>
      </c>
      <c r="K33" s="68">
        <f>IFERROR(J33*'As-Filed Schedule 1'!$E$103,0)</f>
        <v>169.82967542460372</v>
      </c>
      <c r="L33" s="68">
        <f t="shared" si="1"/>
        <v>823.26637213905371</v>
      </c>
      <c r="N33" s="117">
        <v>4.1999999999999993</v>
      </c>
      <c r="O33" s="453">
        <v>124</v>
      </c>
    </row>
    <row r="34" spans="1:15" x14ac:dyDescent="0.35">
      <c r="A34" s="24">
        <v>20</v>
      </c>
      <c r="B34" s="565" t="s">
        <v>992</v>
      </c>
      <c r="C34" s="565"/>
      <c r="D34" s="565"/>
      <c r="F34" s="114">
        <v>1588929.1396562669</v>
      </c>
      <c r="G34" s="68">
        <f>IFERROR(F34*'As-Filed Schedule 1'!$E$103,0)</f>
        <v>412966.27724971675</v>
      </c>
      <c r="H34" s="68">
        <f t="shared" si="0"/>
        <v>2001895.4169059836</v>
      </c>
      <c r="J34" s="114">
        <v>2231.2282347320952</v>
      </c>
      <c r="K34" s="68">
        <f>IFERROR(J34*'As-Filed Schedule 1'!$E$103,0)</f>
        <v>579.90126481732329</v>
      </c>
      <c r="L34" s="68">
        <f t="shared" si="1"/>
        <v>2811.1294995494186</v>
      </c>
      <c r="N34" s="117">
        <v>11.004687500000001</v>
      </c>
      <c r="O34" s="453">
        <v>971</v>
      </c>
    </row>
    <row r="35" spans="1:15" x14ac:dyDescent="0.35">
      <c r="A35" s="24">
        <v>21</v>
      </c>
      <c r="B35" s="565" t="s">
        <v>993</v>
      </c>
      <c r="C35" s="565"/>
      <c r="D35" s="565"/>
      <c r="F35" s="114"/>
      <c r="G35" s="68">
        <f>IFERROR(F35*'As-Filed Schedule 1'!$E$103,0)</f>
        <v>0</v>
      </c>
      <c r="H35" s="68">
        <f t="shared" si="0"/>
        <v>0</v>
      </c>
      <c r="J35" s="114">
        <v>1857191.2630751291</v>
      </c>
      <c r="K35" s="68">
        <f>IFERROR(J35*'As-Filed Schedule 1'!$E$103,0)</f>
        <v>482688.20988376567</v>
      </c>
      <c r="L35" s="68">
        <f t="shared" si="1"/>
        <v>2339879.4729588949</v>
      </c>
      <c r="N35" s="117">
        <v>14.754812499999996</v>
      </c>
      <c r="O35" s="453">
        <v>0</v>
      </c>
    </row>
    <row r="36" spans="1:15" x14ac:dyDescent="0.35">
      <c r="A36" s="24">
        <v>22</v>
      </c>
      <c r="B36" s="565" t="s">
        <v>994</v>
      </c>
      <c r="C36" s="565"/>
      <c r="D36" s="565"/>
      <c r="F36" s="114">
        <v>1485131.3573034459</v>
      </c>
      <c r="G36" s="68">
        <f>IFERROR(F36*'As-Filed Schedule 1'!$E$103,0)</f>
        <v>385988.99884553702</v>
      </c>
      <c r="H36" s="68">
        <f t="shared" si="0"/>
        <v>1871120.3561489829</v>
      </c>
      <c r="J36" s="114">
        <v>2592.3463020822428</v>
      </c>
      <c r="K36" s="68">
        <f>IFERROR(J36*'As-Filed Schedule 1'!$E$103,0)</f>
        <v>673.75666730145429</v>
      </c>
      <c r="L36" s="68">
        <f t="shared" si="1"/>
        <v>3266.1029693836972</v>
      </c>
      <c r="N36" s="117">
        <v>15.600000000000001</v>
      </c>
      <c r="O36" s="453">
        <v>504</v>
      </c>
    </row>
    <row r="37" spans="1:15" x14ac:dyDescent="0.35">
      <c r="A37" s="24">
        <v>23</v>
      </c>
      <c r="B37" s="565" t="s">
        <v>995</v>
      </c>
      <c r="C37" s="565"/>
      <c r="D37" s="565"/>
      <c r="F37" s="114">
        <v>1830361.1220276353</v>
      </c>
      <c r="G37" s="68">
        <f>IFERROR(F37*'As-Filed Schedule 1'!$E$103,0)</f>
        <v>475714.99554088741</v>
      </c>
      <c r="H37" s="68">
        <f t="shared" si="0"/>
        <v>2306076.1175685227</v>
      </c>
      <c r="J37" s="114">
        <v>107.16648153622073</v>
      </c>
      <c r="K37" s="68">
        <f>IFERROR(J37*'As-Filed Schedule 1'!$E$103,0)</f>
        <v>27.852810941296923</v>
      </c>
      <c r="L37" s="68">
        <f t="shared" si="1"/>
        <v>135.01929247751764</v>
      </c>
      <c r="N37" s="117">
        <v>12.95</v>
      </c>
      <c r="O37" s="453">
        <v>39</v>
      </c>
    </row>
    <row r="38" spans="1:15" x14ac:dyDescent="0.35">
      <c r="A38" s="24">
        <v>24</v>
      </c>
      <c r="B38" s="565"/>
      <c r="C38" s="565"/>
      <c r="D38" s="565"/>
      <c r="F38" s="114"/>
      <c r="G38" s="68">
        <f>IFERROR(F38*'As-Filed Schedule 1'!$E$103,0)</f>
        <v>0</v>
      </c>
      <c r="H38" s="68">
        <f t="shared" si="0"/>
        <v>0</v>
      </c>
      <c r="J38" s="114"/>
      <c r="K38" s="68">
        <f>IFERROR(J38*'As-Filed Schedule 1'!$E$103,0)</f>
        <v>0</v>
      </c>
      <c r="L38" s="68">
        <f t="shared" si="1"/>
        <v>0</v>
      </c>
      <c r="N38" s="117"/>
      <c r="O38" s="117"/>
    </row>
    <row r="39" spans="1:15" x14ac:dyDescent="0.35">
      <c r="A39" s="24">
        <v>25</v>
      </c>
      <c r="B39" s="565"/>
      <c r="C39" s="565"/>
      <c r="D39" s="565"/>
      <c r="F39" s="114"/>
      <c r="G39" s="68">
        <f>IFERROR(F39*'As-Filed Schedule 1'!$E$103,0)</f>
        <v>0</v>
      </c>
      <c r="H39" s="68">
        <f t="shared" si="0"/>
        <v>0</v>
      </c>
      <c r="J39" s="114"/>
      <c r="K39" s="68">
        <f>IFERROR(J39*'As-Filed Schedule 1'!$E$103,0)</f>
        <v>0</v>
      </c>
      <c r="L39" s="68">
        <f t="shared" si="1"/>
        <v>0</v>
      </c>
      <c r="N39" s="117"/>
      <c r="O39" s="117"/>
    </row>
    <row r="40" spans="1:15" x14ac:dyDescent="0.35">
      <c r="A40" s="24">
        <v>26</v>
      </c>
      <c r="B40" s="565"/>
      <c r="C40" s="565"/>
      <c r="D40" s="565"/>
      <c r="F40" s="114"/>
      <c r="G40" s="68">
        <f>IFERROR(F40*'As-Filed Schedule 1'!$E$103,0)</f>
        <v>0</v>
      </c>
      <c r="H40" s="68">
        <f t="shared" si="0"/>
        <v>0</v>
      </c>
      <c r="J40" s="114"/>
      <c r="K40" s="68">
        <f>IFERROR(J40*'As-Filed Schedule 1'!$E$103,0)</f>
        <v>0</v>
      </c>
      <c r="L40" s="68">
        <f t="shared" si="1"/>
        <v>0</v>
      </c>
      <c r="N40" s="117"/>
      <c r="O40" s="117"/>
    </row>
    <row r="41" spans="1:15" x14ac:dyDescent="0.35">
      <c r="A41" s="24">
        <v>27</v>
      </c>
      <c r="B41" s="565"/>
      <c r="C41" s="565"/>
      <c r="D41" s="565"/>
      <c r="F41" s="114"/>
      <c r="G41" s="68">
        <f>IFERROR(F41*'As-Filed Schedule 1'!$E$103,0)</f>
        <v>0</v>
      </c>
      <c r="H41" s="68">
        <f t="shared" si="0"/>
        <v>0</v>
      </c>
      <c r="J41" s="114"/>
      <c r="K41" s="68">
        <f>IFERROR(J41*'As-Filed Schedule 1'!$E$103,0)</f>
        <v>0</v>
      </c>
      <c r="L41" s="68">
        <f t="shared" si="1"/>
        <v>0</v>
      </c>
      <c r="N41" s="117"/>
      <c r="O41" s="117"/>
    </row>
    <row r="42" spans="1:15" x14ac:dyDescent="0.35">
      <c r="A42" s="24">
        <v>28</v>
      </c>
      <c r="B42" s="565"/>
      <c r="C42" s="565"/>
      <c r="D42" s="565"/>
      <c r="F42" s="114"/>
      <c r="G42" s="68">
        <f>IFERROR(F42*'As-Filed Schedule 1'!$E$103,0)</f>
        <v>0</v>
      </c>
      <c r="H42" s="68">
        <f t="shared" si="0"/>
        <v>0</v>
      </c>
      <c r="J42" s="114"/>
      <c r="K42" s="68">
        <f>IFERROR(J42*'As-Filed Schedule 1'!$E$103,0)</f>
        <v>0</v>
      </c>
      <c r="L42" s="68">
        <f t="shared" si="1"/>
        <v>0</v>
      </c>
      <c r="N42" s="117"/>
      <c r="O42" s="117"/>
    </row>
    <row r="43" spans="1:15" x14ac:dyDescent="0.35">
      <c r="A43" s="24">
        <v>29</v>
      </c>
      <c r="B43" s="565"/>
      <c r="C43" s="565"/>
      <c r="D43" s="565"/>
      <c r="F43" s="114"/>
      <c r="G43" s="68">
        <f>IFERROR(F43*'As-Filed Schedule 1'!$E$103,0)</f>
        <v>0</v>
      </c>
      <c r="H43" s="68">
        <f t="shared" si="0"/>
        <v>0</v>
      </c>
      <c r="J43" s="114"/>
      <c r="K43" s="68">
        <f>IFERROR(J43*'As-Filed Schedule 1'!$E$103,0)</f>
        <v>0</v>
      </c>
      <c r="L43" s="68">
        <f t="shared" si="1"/>
        <v>0</v>
      </c>
      <c r="N43" s="117"/>
      <c r="O43" s="117"/>
    </row>
    <row r="44" spans="1:15" x14ac:dyDescent="0.35">
      <c r="A44" s="24">
        <v>30</v>
      </c>
      <c r="B44" s="565"/>
      <c r="C44" s="565"/>
      <c r="D44" s="565"/>
      <c r="F44" s="114"/>
      <c r="G44" s="68">
        <f>IFERROR(F44*'As-Filed Schedule 1'!$E$103,0)</f>
        <v>0</v>
      </c>
      <c r="H44" s="68">
        <f t="shared" si="0"/>
        <v>0</v>
      </c>
      <c r="J44" s="114"/>
      <c r="K44" s="68">
        <f>IFERROR(J44*'As-Filed Schedule 1'!$E$103,0)</f>
        <v>0</v>
      </c>
      <c r="L44" s="68">
        <f t="shared" si="1"/>
        <v>0</v>
      </c>
      <c r="N44" s="117"/>
      <c r="O44" s="117"/>
    </row>
    <row r="45" spans="1:15" x14ac:dyDescent="0.35">
      <c r="A45" s="24">
        <v>31</v>
      </c>
      <c r="B45" s="565"/>
      <c r="C45" s="565"/>
      <c r="D45" s="565"/>
      <c r="F45" s="114"/>
      <c r="G45" s="68">
        <f>IFERROR(F45*'As-Filed Schedule 1'!$E$103,0)</f>
        <v>0</v>
      </c>
      <c r="H45" s="68">
        <f t="shared" si="0"/>
        <v>0</v>
      </c>
      <c r="J45" s="114"/>
      <c r="K45" s="68">
        <f>IFERROR(J45*'As-Filed Schedule 1'!$E$103,0)</f>
        <v>0</v>
      </c>
      <c r="L45" s="68">
        <f t="shared" si="1"/>
        <v>0</v>
      </c>
      <c r="N45" s="117"/>
      <c r="O45" s="117"/>
    </row>
    <row r="46" spans="1:15" x14ac:dyDescent="0.35">
      <c r="A46" s="24">
        <v>32</v>
      </c>
      <c r="B46" s="565"/>
      <c r="C46" s="565"/>
      <c r="D46" s="565"/>
      <c r="F46" s="114"/>
      <c r="G46" s="68">
        <f>IFERROR(F46*'As-Filed Schedule 1'!$E$103,0)</f>
        <v>0</v>
      </c>
      <c r="H46" s="68">
        <f t="shared" si="0"/>
        <v>0</v>
      </c>
      <c r="J46" s="114"/>
      <c r="K46" s="68">
        <f>IFERROR(J46*'As-Filed Schedule 1'!$E$103,0)</f>
        <v>0</v>
      </c>
      <c r="L46" s="68">
        <f t="shared" si="1"/>
        <v>0</v>
      </c>
      <c r="N46" s="117"/>
      <c r="O46" s="117"/>
    </row>
    <row r="47" spans="1:15" x14ac:dyDescent="0.35">
      <c r="A47" s="24">
        <v>33</v>
      </c>
      <c r="B47" s="565"/>
      <c r="C47" s="565"/>
      <c r="D47" s="565"/>
      <c r="F47" s="114"/>
      <c r="G47" s="68">
        <f>IFERROR(F47*'As-Filed Schedule 1'!$E$103,0)</f>
        <v>0</v>
      </c>
      <c r="H47" s="68">
        <f t="shared" si="0"/>
        <v>0</v>
      </c>
      <c r="J47" s="114"/>
      <c r="K47" s="68">
        <f>IFERROR(J47*'As-Filed Schedule 1'!$E$103,0)</f>
        <v>0</v>
      </c>
      <c r="L47" s="68">
        <f t="shared" si="1"/>
        <v>0</v>
      </c>
      <c r="N47" s="117"/>
      <c r="O47" s="117"/>
    </row>
    <row r="48" spans="1:15" x14ac:dyDescent="0.35">
      <c r="A48" s="24">
        <v>34</v>
      </c>
      <c r="B48" s="565"/>
      <c r="C48" s="565"/>
      <c r="D48" s="565"/>
      <c r="F48" s="114"/>
      <c r="G48" s="68">
        <f>IFERROR(F48*'As-Filed Schedule 1'!$E$103,0)</f>
        <v>0</v>
      </c>
      <c r="H48" s="68">
        <f t="shared" si="0"/>
        <v>0</v>
      </c>
      <c r="J48" s="114"/>
      <c r="K48" s="68">
        <f>IFERROR(J48*'As-Filed Schedule 1'!$E$103,0)</f>
        <v>0</v>
      </c>
      <c r="L48" s="68">
        <f t="shared" si="1"/>
        <v>0</v>
      </c>
      <c r="N48" s="117"/>
      <c r="O48" s="117"/>
    </row>
    <row r="49" spans="1:15" x14ac:dyDescent="0.35">
      <c r="A49" s="24">
        <v>35</v>
      </c>
      <c r="B49" s="565"/>
      <c r="C49" s="565"/>
      <c r="D49" s="565"/>
      <c r="F49" s="114"/>
      <c r="G49" s="68">
        <f>IFERROR(F49*'As-Filed Schedule 1'!$E$103,0)</f>
        <v>0</v>
      </c>
      <c r="H49" s="68">
        <f t="shared" si="0"/>
        <v>0</v>
      </c>
      <c r="J49" s="114"/>
      <c r="K49" s="68">
        <f>IFERROR(J49*'As-Filed Schedule 1'!$E$103,0)</f>
        <v>0</v>
      </c>
      <c r="L49" s="68">
        <f t="shared" si="1"/>
        <v>0</v>
      </c>
      <c r="N49" s="117"/>
      <c r="O49" s="117"/>
    </row>
    <row r="50" spans="1:15" x14ac:dyDescent="0.35">
      <c r="A50" s="24">
        <v>36</v>
      </c>
      <c r="B50" s="565"/>
      <c r="C50" s="565"/>
      <c r="D50" s="565"/>
      <c r="F50" s="114"/>
      <c r="G50" s="68">
        <f>IFERROR(F50*'As-Filed Schedule 1'!$E$103,0)</f>
        <v>0</v>
      </c>
      <c r="H50" s="68">
        <f t="shared" si="0"/>
        <v>0</v>
      </c>
      <c r="J50" s="114"/>
      <c r="K50" s="68">
        <f>IFERROR(J50*'As-Filed Schedule 1'!$E$103,0)</f>
        <v>0</v>
      </c>
      <c r="L50" s="68">
        <f t="shared" si="1"/>
        <v>0</v>
      </c>
      <c r="N50" s="117"/>
      <c r="O50" s="117"/>
    </row>
    <row r="51" spans="1:15" x14ac:dyDescent="0.35">
      <c r="A51" s="24">
        <v>37</v>
      </c>
      <c r="B51" s="565"/>
      <c r="C51" s="565"/>
      <c r="D51" s="565"/>
      <c r="F51" s="114"/>
      <c r="G51" s="68">
        <f>IFERROR(F51*'As-Filed Schedule 1'!$E$103,0)</f>
        <v>0</v>
      </c>
      <c r="H51" s="68">
        <f t="shared" si="0"/>
        <v>0</v>
      </c>
      <c r="J51" s="114"/>
      <c r="K51" s="68">
        <f>IFERROR(J51*'As-Filed Schedule 1'!$E$103,0)</f>
        <v>0</v>
      </c>
      <c r="L51" s="68">
        <f t="shared" si="1"/>
        <v>0</v>
      </c>
      <c r="N51" s="117"/>
      <c r="O51" s="117"/>
    </row>
    <row r="52" spans="1:15" x14ac:dyDescent="0.35">
      <c r="A52" s="24">
        <v>38</v>
      </c>
      <c r="B52" s="565"/>
      <c r="C52" s="565"/>
      <c r="D52" s="565"/>
      <c r="F52" s="114"/>
      <c r="G52" s="68">
        <f>IFERROR(F52*'As-Filed Schedule 1'!$E$103,0)</f>
        <v>0</v>
      </c>
      <c r="H52" s="68">
        <f t="shared" si="0"/>
        <v>0</v>
      </c>
      <c r="J52" s="114"/>
      <c r="K52" s="68">
        <f>IFERROR(J52*'As-Filed Schedule 1'!$E$103,0)</f>
        <v>0</v>
      </c>
      <c r="L52" s="68">
        <f t="shared" si="1"/>
        <v>0</v>
      </c>
      <c r="N52" s="117"/>
      <c r="O52" s="117"/>
    </row>
    <row r="53" spans="1:15" x14ac:dyDescent="0.35">
      <c r="A53" s="24">
        <v>39</v>
      </c>
      <c r="B53" s="565"/>
      <c r="C53" s="565"/>
      <c r="D53" s="565"/>
      <c r="F53" s="114"/>
      <c r="G53" s="68">
        <f>IFERROR(F53*'As-Filed Schedule 1'!$E$103,0)</f>
        <v>0</v>
      </c>
      <c r="H53" s="68">
        <f t="shared" si="0"/>
        <v>0</v>
      </c>
      <c r="J53" s="114"/>
      <c r="K53" s="68">
        <f>IFERROR(J53*'As-Filed Schedule 1'!$E$103,0)</f>
        <v>0</v>
      </c>
      <c r="L53" s="68">
        <f t="shared" si="1"/>
        <v>0</v>
      </c>
      <c r="N53" s="117"/>
      <c r="O53" s="117"/>
    </row>
    <row r="54" spans="1:15" x14ac:dyDescent="0.35">
      <c r="A54" s="24">
        <v>40</v>
      </c>
      <c r="B54" s="565"/>
      <c r="C54" s="565"/>
      <c r="D54" s="565"/>
      <c r="F54" s="114"/>
      <c r="G54" s="68">
        <f>IFERROR(F54*'As-Filed Schedule 1'!$E$103,0)</f>
        <v>0</v>
      </c>
      <c r="H54" s="68">
        <f t="shared" si="0"/>
        <v>0</v>
      </c>
      <c r="J54" s="114"/>
      <c r="K54" s="68">
        <f>IFERROR(J54*'As-Filed Schedule 1'!$E$103,0)</f>
        <v>0</v>
      </c>
      <c r="L54" s="68">
        <f t="shared" si="1"/>
        <v>0</v>
      </c>
      <c r="N54" s="117"/>
      <c r="O54" s="117"/>
    </row>
    <row r="55" spans="1:15" x14ac:dyDescent="0.35">
      <c r="A55" s="24">
        <v>41</v>
      </c>
      <c r="B55" s="565"/>
      <c r="C55" s="565"/>
      <c r="D55" s="565"/>
      <c r="F55" s="114"/>
      <c r="G55" s="68">
        <f>IFERROR(F55*'As-Filed Schedule 1'!$E$103,0)</f>
        <v>0</v>
      </c>
      <c r="H55" s="68">
        <f t="shared" si="0"/>
        <v>0</v>
      </c>
      <c r="J55" s="114"/>
      <c r="K55" s="68">
        <f>IFERROR(J55*'As-Filed Schedule 1'!$E$103,0)</f>
        <v>0</v>
      </c>
      <c r="L55" s="68">
        <f t="shared" si="1"/>
        <v>0</v>
      </c>
      <c r="N55" s="117"/>
      <c r="O55" s="117"/>
    </row>
    <row r="56" spans="1:15" x14ac:dyDescent="0.35">
      <c r="A56" s="24">
        <v>42</v>
      </c>
      <c r="B56" s="565"/>
      <c r="C56" s="565"/>
      <c r="D56" s="565"/>
      <c r="F56" s="114"/>
      <c r="G56" s="68">
        <f>IFERROR(F56*'As-Filed Schedule 1'!$E$103,0)</f>
        <v>0</v>
      </c>
      <c r="H56" s="68">
        <f t="shared" si="0"/>
        <v>0</v>
      </c>
      <c r="J56" s="114"/>
      <c r="K56" s="68">
        <f>IFERROR(J56*'As-Filed Schedule 1'!$E$103,0)</f>
        <v>0</v>
      </c>
      <c r="L56" s="68">
        <f t="shared" si="1"/>
        <v>0</v>
      </c>
      <c r="N56" s="117"/>
      <c r="O56" s="117"/>
    </row>
    <row r="57" spans="1:15" x14ac:dyDescent="0.35">
      <c r="A57" s="24">
        <v>43</v>
      </c>
      <c r="B57" s="565"/>
      <c r="C57" s="565"/>
      <c r="D57" s="565"/>
      <c r="F57" s="114"/>
      <c r="G57" s="68">
        <f>IFERROR(F57*'As-Filed Schedule 1'!$E$103,0)</f>
        <v>0</v>
      </c>
      <c r="H57" s="68">
        <f t="shared" si="0"/>
        <v>0</v>
      </c>
      <c r="J57" s="114"/>
      <c r="K57" s="68">
        <f>IFERROR(J57*'As-Filed Schedule 1'!$E$103,0)</f>
        <v>0</v>
      </c>
      <c r="L57" s="68">
        <f t="shared" si="1"/>
        <v>0</v>
      </c>
      <c r="N57" s="117"/>
      <c r="O57" s="117"/>
    </row>
    <row r="58" spans="1:15" x14ac:dyDescent="0.35">
      <c r="A58" s="24">
        <v>44</v>
      </c>
      <c r="B58" s="565"/>
      <c r="C58" s="565"/>
      <c r="D58" s="565"/>
      <c r="F58" s="114"/>
      <c r="G58" s="68">
        <f>IFERROR(F58*'As-Filed Schedule 1'!$E$103,0)</f>
        <v>0</v>
      </c>
      <c r="H58" s="68">
        <f t="shared" si="0"/>
        <v>0</v>
      </c>
      <c r="J58" s="114"/>
      <c r="K58" s="68">
        <f>IFERROR(J58*'As-Filed Schedule 1'!$E$103,0)</f>
        <v>0</v>
      </c>
      <c r="L58" s="68">
        <f t="shared" si="1"/>
        <v>0</v>
      </c>
      <c r="N58" s="117"/>
      <c r="O58" s="117"/>
    </row>
    <row r="59" spans="1:15" x14ac:dyDescent="0.35">
      <c r="A59" s="24">
        <v>45</v>
      </c>
      <c r="B59" s="565"/>
      <c r="C59" s="565"/>
      <c r="D59" s="565"/>
      <c r="F59" s="114"/>
      <c r="G59" s="68">
        <f>IFERROR(F59*'As-Filed Schedule 1'!$E$103,0)</f>
        <v>0</v>
      </c>
      <c r="H59" s="68">
        <f t="shared" si="0"/>
        <v>0</v>
      </c>
      <c r="J59" s="114"/>
      <c r="K59" s="68">
        <f>IFERROR(J59*'As-Filed Schedule 1'!$E$103,0)</f>
        <v>0</v>
      </c>
      <c r="L59" s="68">
        <f t="shared" si="1"/>
        <v>0</v>
      </c>
      <c r="N59" s="117"/>
      <c r="O59" s="117"/>
    </row>
    <row r="60" spans="1:15" x14ac:dyDescent="0.35">
      <c r="A60" s="24">
        <v>46</v>
      </c>
      <c r="B60" s="565"/>
      <c r="C60" s="565"/>
      <c r="D60" s="565"/>
      <c r="F60" s="114"/>
      <c r="G60" s="68">
        <f>IFERROR(F60*'As-Filed Schedule 1'!$E$103,0)</f>
        <v>0</v>
      </c>
      <c r="H60" s="68">
        <f t="shared" si="0"/>
        <v>0</v>
      </c>
      <c r="J60" s="114"/>
      <c r="K60" s="68">
        <f>IFERROR(J60*'As-Filed Schedule 1'!$E$103,0)</f>
        <v>0</v>
      </c>
      <c r="L60" s="68">
        <f t="shared" si="1"/>
        <v>0</v>
      </c>
      <c r="N60" s="117"/>
      <c r="O60" s="117"/>
    </row>
    <row r="61" spans="1:15" x14ac:dyDescent="0.35">
      <c r="A61" s="24">
        <v>47</v>
      </c>
      <c r="B61" s="565"/>
      <c r="C61" s="565"/>
      <c r="D61" s="565"/>
      <c r="F61" s="114"/>
      <c r="G61" s="68">
        <f>IFERROR(F61*'As-Filed Schedule 1'!$E$103,0)</f>
        <v>0</v>
      </c>
      <c r="H61" s="68">
        <f t="shared" si="0"/>
        <v>0</v>
      </c>
      <c r="J61" s="114"/>
      <c r="K61" s="68">
        <f>IFERROR(J61*'As-Filed Schedule 1'!$E$103,0)</f>
        <v>0</v>
      </c>
      <c r="L61" s="68">
        <f t="shared" si="1"/>
        <v>0</v>
      </c>
      <c r="N61" s="117"/>
      <c r="O61" s="117"/>
    </row>
    <row r="62" spans="1:15" x14ac:dyDescent="0.35">
      <c r="A62" s="24">
        <v>48</v>
      </c>
      <c r="B62" s="565"/>
      <c r="C62" s="565"/>
      <c r="D62" s="565"/>
      <c r="F62" s="114"/>
      <c r="G62" s="68">
        <f>IFERROR(F62*'As-Filed Schedule 1'!$E$103,0)</f>
        <v>0</v>
      </c>
      <c r="H62" s="68">
        <f t="shared" si="0"/>
        <v>0</v>
      </c>
      <c r="J62" s="114"/>
      <c r="K62" s="68">
        <f>IFERROR(J62*'As-Filed Schedule 1'!$E$103,0)</f>
        <v>0</v>
      </c>
      <c r="L62" s="68">
        <f t="shared" si="1"/>
        <v>0</v>
      </c>
      <c r="N62" s="117"/>
      <c r="O62" s="117"/>
    </row>
    <row r="63" spans="1:15" x14ac:dyDescent="0.35">
      <c r="A63" s="24">
        <v>49</v>
      </c>
      <c r="B63" s="565"/>
      <c r="C63" s="565"/>
      <c r="D63" s="565"/>
      <c r="F63" s="114"/>
      <c r="G63" s="68">
        <f>IFERROR(F63*'As-Filed Schedule 1'!$E$103,0)</f>
        <v>0</v>
      </c>
      <c r="H63" s="68">
        <f t="shared" si="0"/>
        <v>0</v>
      </c>
      <c r="J63" s="114"/>
      <c r="K63" s="68">
        <f>IFERROR(J63*'As-Filed Schedule 1'!$E$103,0)</f>
        <v>0</v>
      </c>
      <c r="L63" s="68">
        <f t="shared" si="1"/>
        <v>0</v>
      </c>
      <c r="N63" s="117"/>
      <c r="O63" s="117"/>
    </row>
    <row r="64" spans="1:15" x14ac:dyDescent="0.35">
      <c r="A64" s="24">
        <v>50</v>
      </c>
      <c r="B64" s="565"/>
      <c r="C64" s="565"/>
      <c r="D64" s="565"/>
      <c r="F64" s="114"/>
      <c r="G64" s="68">
        <f>IFERROR(F64*'As-Filed Schedule 1'!$E$103,0)</f>
        <v>0</v>
      </c>
      <c r="H64" s="68">
        <f t="shared" si="0"/>
        <v>0</v>
      </c>
      <c r="J64" s="114"/>
      <c r="K64" s="68">
        <f>IFERROR(J64*'As-Filed Schedule 1'!$E$103,0)</f>
        <v>0</v>
      </c>
      <c r="L64" s="68">
        <f t="shared" si="1"/>
        <v>0</v>
      </c>
      <c r="N64" s="117"/>
      <c r="O64" s="117"/>
    </row>
    <row r="65" spans="1:15" x14ac:dyDescent="0.35">
      <c r="A65" s="24">
        <v>51</v>
      </c>
      <c r="B65" s="565"/>
      <c r="C65" s="565"/>
      <c r="D65" s="565"/>
      <c r="F65" s="114"/>
      <c r="G65" s="68">
        <f>IFERROR(F65*'As-Filed Schedule 1'!$E$103,0)</f>
        <v>0</v>
      </c>
      <c r="H65" s="68">
        <f t="shared" si="0"/>
        <v>0</v>
      </c>
      <c r="J65" s="114"/>
      <c r="K65" s="68">
        <f>IFERROR(J65*'As-Filed Schedule 1'!$E$103,0)</f>
        <v>0</v>
      </c>
      <c r="L65" s="68">
        <f t="shared" si="1"/>
        <v>0</v>
      </c>
      <c r="N65" s="117"/>
      <c r="O65" s="117"/>
    </row>
    <row r="66" spans="1:15" x14ac:dyDescent="0.35">
      <c r="A66" s="24">
        <v>52</v>
      </c>
      <c r="B66" s="565"/>
      <c r="C66" s="565"/>
      <c r="D66" s="565"/>
      <c r="F66" s="114"/>
      <c r="G66" s="68">
        <f>IFERROR(F66*'As-Filed Schedule 1'!$E$103,0)</f>
        <v>0</v>
      </c>
      <c r="H66" s="68">
        <f t="shared" si="0"/>
        <v>0</v>
      </c>
      <c r="J66" s="114"/>
      <c r="K66" s="68">
        <f>IFERROR(J66*'As-Filed Schedule 1'!$E$103,0)</f>
        <v>0</v>
      </c>
      <c r="L66" s="68">
        <f t="shared" si="1"/>
        <v>0</v>
      </c>
      <c r="N66" s="117"/>
      <c r="O66" s="117"/>
    </row>
    <row r="67" spans="1:15" x14ac:dyDescent="0.35">
      <c r="A67" s="24">
        <v>53</v>
      </c>
      <c r="B67" s="565"/>
      <c r="C67" s="565"/>
      <c r="D67" s="565"/>
      <c r="F67" s="114"/>
      <c r="G67" s="68">
        <f>IFERROR(F67*'As-Filed Schedule 1'!$E$103,0)</f>
        <v>0</v>
      </c>
      <c r="H67" s="68">
        <f t="shared" si="0"/>
        <v>0</v>
      </c>
      <c r="J67" s="114"/>
      <c r="K67" s="68">
        <f>IFERROR(J67*'As-Filed Schedule 1'!$E$103,0)</f>
        <v>0</v>
      </c>
      <c r="L67" s="68">
        <f t="shared" si="1"/>
        <v>0</v>
      </c>
      <c r="N67" s="117"/>
      <c r="O67" s="117"/>
    </row>
    <row r="68" spans="1:15" x14ac:dyDescent="0.35">
      <c r="A68" s="24">
        <v>54</v>
      </c>
      <c r="B68" s="565"/>
      <c r="C68" s="565"/>
      <c r="D68" s="565"/>
      <c r="F68" s="114"/>
      <c r="G68" s="68">
        <f>IFERROR(F68*'As-Filed Schedule 1'!$E$103,0)</f>
        <v>0</v>
      </c>
      <c r="H68" s="68">
        <f t="shared" si="0"/>
        <v>0</v>
      </c>
      <c r="J68" s="114"/>
      <c r="K68" s="68">
        <f>IFERROR(J68*'As-Filed Schedule 1'!$E$103,0)</f>
        <v>0</v>
      </c>
      <c r="L68" s="68">
        <f t="shared" si="1"/>
        <v>0</v>
      </c>
      <c r="N68" s="117"/>
      <c r="O68" s="117"/>
    </row>
    <row r="69" spans="1:15" x14ac:dyDescent="0.35">
      <c r="A69" s="24">
        <v>55</v>
      </c>
      <c r="B69" s="565"/>
      <c r="C69" s="565"/>
      <c r="D69" s="565"/>
      <c r="F69" s="114"/>
      <c r="G69" s="68">
        <f>IFERROR(F69*'As-Filed Schedule 1'!$E$103,0)</f>
        <v>0</v>
      </c>
      <c r="H69" s="68">
        <f t="shared" si="0"/>
        <v>0</v>
      </c>
      <c r="J69" s="114"/>
      <c r="K69" s="68">
        <f>IFERROR(J69*'As-Filed Schedule 1'!$E$103,0)</f>
        <v>0</v>
      </c>
      <c r="L69" s="68">
        <f t="shared" si="1"/>
        <v>0</v>
      </c>
      <c r="N69" s="117"/>
      <c r="O69" s="117"/>
    </row>
    <row r="70" spans="1:15" x14ac:dyDescent="0.35">
      <c r="A70" s="24">
        <v>56</v>
      </c>
      <c r="B70" s="565"/>
      <c r="C70" s="565"/>
      <c r="D70" s="565"/>
      <c r="F70" s="114"/>
      <c r="G70" s="68">
        <f>IFERROR(F70*'As-Filed Schedule 1'!$E$103,0)</f>
        <v>0</v>
      </c>
      <c r="H70" s="68">
        <f t="shared" si="0"/>
        <v>0</v>
      </c>
      <c r="J70" s="114"/>
      <c r="K70" s="68">
        <f>IFERROR(J70*'As-Filed Schedule 1'!$E$103,0)</f>
        <v>0</v>
      </c>
      <c r="L70" s="68">
        <f t="shared" si="1"/>
        <v>0</v>
      </c>
      <c r="N70" s="117"/>
      <c r="O70" s="117"/>
    </row>
    <row r="71" spans="1:15" x14ac:dyDescent="0.35">
      <c r="A71" s="24">
        <v>57</v>
      </c>
      <c r="B71" s="565"/>
      <c r="C71" s="565"/>
      <c r="D71" s="565"/>
      <c r="F71" s="114"/>
      <c r="G71" s="68">
        <f>IFERROR(F71*'As-Filed Schedule 1'!$E$103,0)</f>
        <v>0</v>
      </c>
      <c r="H71" s="68">
        <f t="shared" si="0"/>
        <v>0</v>
      </c>
      <c r="J71" s="114"/>
      <c r="K71" s="68">
        <f>IFERROR(J71*'As-Filed Schedule 1'!$E$103,0)</f>
        <v>0</v>
      </c>
      <c r="L71" s="68">
        <f t="shared" si="1"/>
        <v>0</v>
      </c>
      <c r="N71" s="117"/>
      <c r="O71" s="117"/>
    </row>
    <row r="72" spans="1:15" x14ac:dyDescent="0.35">
      <c r="A72" s="24">
        <v>58</v>
      </c>
      <c r="B72" s="565"/>
      <c r="C72" s="565"/>
      <c r="D72" s="565"/>
      <c r="F72" s="114"/>
      <c r="G72" s="68">
        <f>IFERROR(F72*'As-Filed Schedule 1'!$E$103,0)</f>
        <v>0</v>
      </c>
      <c r="H72" s="68">
        <f t="shared" si="0"/>
        <v>0</v>
      </c>
      <c r="J72" s="114"/>
      <c r="K72" s="68">
        <f>IFERROR(J72*'As-Filed Schedule 1'!$E$103,0)</f>
        <v>0</v>
      </c>
      <c r="L72" s="68">
        <f t="shared" si="1"/>
        <v>0</v>
      </c>
      <c r="N72" s="117"/>
      <c r="O72" s="117"/>
    </row>
    <row r="73" spans="1:15" x14ac:dyDescent="0.35">
      <c r="A73" s="24">
        <v>59</v>
      </c>
      <c r="F73" s="18">
        <f>SUM(F15:F72)</f>
        <v>22442752.928997252</v>
      </c>
      <c r="G73" s="18">
        <f t="shared" ref="G73:H73" si="2">SUM(G15:G72)</f>
        <v>5832922.2474503443</v>
      </c>
      <c r="H73" s="18">
        <f t="shared" si="2"/>
        <v>28275675.176447596</v>
      </c>
      <c r="J73" s="18">
        <f>SUM(J15:J72)</f>
        <v>2160362.7385681863</v>
      </c>
      <c r="K73" s="18">
        <f t="shared" ref="K73:L73" si="3">SUM(K15:K72)</f>
        <v>561483.1620801586</v>
      </c>
      <c r="L73" s="18">
        <f t="shared" si="3"/>
        <v>2721845.9006483448</v>
      </c>
      <c r="O73" s="83" t="s">
        <v>313</v>
      </c>
    </row>
    <row r="74" spans="1:15" ht="15" thickBot="1" x14ac:dyDescent="0.4">
      <c r="H74" s="37" t="s">
        <v>257</v>
      </c>
      <c r="L74" s="37" t="s">
        <v>258</v>
      </c>
    </row>
    <row r="75" spans="1:15" s="72" customFormat="1" ht="16" thickBot="1" x14ac:dyDescent="0.4">
      <c r="A75" s="24">
        <v>60</v>
      </c>
      <c r="B75" s="73" t="s">
        <v>462</v>
      </c>
      <c r="F75" s="75">
        <f>H73+L73</f>
        <v>30997521.077095941</v>
      </c>
      <c r="G75" s="74"/>
      <c r="H75" s="74"/>
      <c r="I75" s="74"/>
      <c r="J75" s="74"/>
      <c r="K75" s="74"/>
    </row>
  </sheetData>
  <sheetProtection sheet="1" objects="1" scenarios="1"/>
  <customSheetViews>
    <customSheetView guid="{17302493-42B1-4877-869E-E424A97AE78B}" topLeftCell="I12">
      <selection activeCell="N15" sqref="N15:O37"/>
      <pageMargins left="0.7" right="0.7" top="0.75" bottom="0.75" header="0.3" footer="0.3"/>
      <pageSetup orientation="portrait" horizontalDpi="1200" verticalDpi="1200" r:id="rId1"/>
    </customSheetView>
    <customSheetView guid="{5C0BA3A5-859C-46C2-B685-44D9A90065E4}" topLeftCell="I12">
      <selection activeCell="N15" sqref="N15:O37"/>
      <pageMargins left="0.7" right="0.7" top="0.75" bottom="0.75" header="0.3" footer="0.3"/>
      <pageSetup orientation="portrait" horizontalDpi="1200" verticalDpi="1200" r:id="rId2"/>
    </customSheetView>
  </customSheetViews>
  <mergeCells count="65">
    <mergeCell ref="B15:D15"/>
    <mergeCell ref="B16:D16"/>
    <mergeCell ref="B17:D17"/>
    <mergeCell ref="B18:D18"/>
    <mergeCell ref="B19:D19"/>
    <mergeCell ref="B20:D20"/>
    <mergeCell ref="B28:D28"/>
    <mergeCell ref="B29:D29"/>
    <mergeCell ref="B21:D21"/>
    <mergeCell ref="B22:D22"/>
    <mergeCell ref="B23:D23"/>
    <mergeCell ref="B24:D24"/>
    <mergeCell ref="B25:D25"/>
    <mergeCell ref="B26:D26"/>
    <mergeCell ref="B27:D27"/>
    <mergeCell ref="B64:D64"/>
    <mergeCell ref="B65:D65"/>
    <mergeCell ref="B59:D59"/>
    <mergeCell ref="B60:D60"/>
    <mergeCell ref="B61:D61"/>
    <mergeCell ref="B62:D62"/>
    <mergeCell ref="B63:D63"/>
    <mergeCell ref="B53:D53"/>
    <mergeCell ref="B54:D54"/>
    <mergeCell ref="B55:D55"/>
    <mergeCell ref="B57:D57"/>
    <mergeCell ref="B58:D58"/>
    <mergeCell ref="B56:D56"/>
    <mergeCell ref="B66:D66"/>
    <mergeCell ref="B72:D72"/>
    <mergeCell ref="B67:D67"/>
    <mergeCell ref="B68:D68"/>
    <mergeCell ref="B69:D69"/>
    <mergeCell ref="B70:D70"/>
    <mergeCell ref="B71:D71"/>
    <mergeCell ref="B48:D48"/>
    <mergeCell ref="B49:D49"/>
    <mergeCell ref="B50:D50"/>
    <mergeCell ref="B51:D51"/>
    <mergeCell ref="B52:D52"/>
    <mergeCell ref="B39:D39"/>
    <mergeCell ref="B40:D40"/>
    <mergeCell ref="B41:D41"/>
    <mergeCell ref="B46:D46"/>
    <mergeCell ref="B47:D47"/>
    <mergeCell ref="B42:D42"/>
    <mergeCell ref="B43:D43"/>
    <mergeCell ref="B44:D44"/>
    <mergeCell ref="B45:D45"/>
    <mergeCell ref="O13:O14"/>
    <mergeCell ref="N13:N14"/>
    <mergeCell ref="J13:L13"/>
    <mergeCell ref="B38:D38"/>
    <mergeCell ref="A3:H3"/>
    <mergeCell ref="F13:H13"/>
    <mergeCell ref="B12:D12"/>
    <mergeCell ref="B13:D14"/>
    <mergeCell ref="B33:D33"/>
    <mergeCell ref="B34:D34"/>
    <mergeCell ref="B35:D35"/>
    <mergeCell ref="B36:D36"/>
    <mergeCell ref="B37:D37"/>
    <mergeCell ref="B32:D32"/>
    <mergeCell ref="B30:D30"/>
    <mergeCell ref="B31:D31"/>
  </mergeCells>
  <pageMargins left="0.7" right="0.7" top="0.75" bottom="0.75" header="0.3" footer="0.3"/>
  <pageSetup orientation="portrait" horizontalDpi="1200" verticalDpi="1200"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tabColor rgb="FF9CC5CA"/>
  </sheetPr>
  <dimension ref="A1:O75"/>
  <sheetViews>
    <sheetView workbookViewId="0">
      <selection activeCell="F17" sqref="F17"/>
    </sheetView>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 t="s">
        <v>815</v>
      </c>
      <c r="B3" s="5"/>
      <c r="C3" s="5"/>
      <c r="D3" s="5"/>
      <c r="E3" s="5"/>
      <c r="F3" s="5"/>
      <c r="G3" s="5"/>
      <c r="H3" s="5"/>
    </row>
    <row r="5" spans="1:15" x14ac:dyDescent="0.35">
      <c r="A5" s="1" t="s">
        <v>776</v>
      </c>
      <c r="C5" s="413" t="str">
        <f>'As-Filed Schedule 1'!C5</f>
        <v>WellPower</v>
      </c>
    </row>
    <row r="6" spans="1:15" x14ac:dyDescent="0.35">
      <c r="A6" s="1" t="s">
        <v>0</v>
      </c>
      <c r="C6" s="406">
        <f>'As-Filed Schedule 1'!C6</f>
        <v>45473</v>
      </c>
      <c r="F6" s="35"/>
    </row>
    <row r="8" spans="1:15" x14ac:dyDescent="0.35">
      <c r="A8" s="1" t="s">
        <v>253</v>
      </c>
      <c r="B8" s="1" t="s">
        <v>813</v>
      </c>
      <c r="C8" s="1"/>
      <c r="F8" s="116" t="s">
        <v>177</v>
      </c>
      <c r="G8" s="41" t="s">
        <v>259</v>
      </c>
    </row>
    <row r="10" spans="1:15" x14ac:dyDescent="0.35">
      <c r="A10" s="1" t="s">
        <v>254</v>
      </c>
      <c r="B10" s="1" t="s">
        <v>256</v>
      </c>
      <c r="C10" s="1"/>
    </row>
    <row r="12" spans="1:15" x14ac:dyDescent="0.35">
      <c r="B12" s="600">
        <v>1</v>
      </c>
      <c r="C12" s="601"/>
      <c r="D12" s="602"/>
      <c r="F12" s="23">
        <v>2</v>
      </c>
      <c r="G12" s="23">
        <v>3</v>
      </c>
      <c r="H12" s="23">
        <v>4</v>
      </c>
      <c r="J12" s="23">
        <v>5</v>
      </c>
      <c r="K12" s="23">
        <v>6</v>
      </c>
      <c r="L12" s="23">
        <v>7</v>
      </c>
      <c r="N12" s="23">
        <v>8</v>
      </c>
      <c r="O12" s="23">
        <v>9</v>
      </c>
    </row>
    <row r="13" spans="1:15" ht="15" customHeight="1" x14ac:dyDescent="0.35">
      <c r="B13" s="569" t="s">
        <v>255</v>
      </c>
      <c r="C13" s="570"/>
      <c r="D13" s="571"/>
      <c r="F13" s="563" t="s">
        <v>261</v>
      </c>
      <c r="G13" s="568"/>
      <c r="H13" s="564"/>
      <c r="J13" s="563" t="s">
        <v>262</v>
      </c>
      <c r="K13" s="568"/>
      <c r="L13" s="564"/>
      <c r="N13" s="566" t="s">
        <v>250</v>
      </c>
      <c r="O13" s="566" t="s">
        <v>312</v>
      </c>
    </row>
    <row r="14" spans="1:15" ht="55.5" customHeight="1" x14ac:dyDescent="0.35">
      <c r="B14" s="572"/>
      <c r="C14" s="573"/>
      <c r="D14" s="574"/>
      <c r="E14" s="48"/>
      <c r="F14" s="10" t="s">
        <v>214</v>
      </c>
      <c r="G14" s="142" t="s">
        <v>493</v>
      </c>
      <c r="H14" s="142" t="s">
        <v>215</v>
      </c>
      <c r="I14" s="99"/>
      <c r="J14" s="142" t="s">
        <v>214</v>
      </c>
      <c r="K14" s="142" t="s">
        <v>493</v>
      </c>
      <c r="L14" s="10" t="s">
        <v>215</v>
      </c>
      <c r="M14" s="48"/>
      <c r="N14" s="567"/>
      <c r="O14" s="567"/>
    </row>
    <row r="15" spans="1:15" x14ac:dyDescent="0.35">
      <c r="A15" s="24">
        <v>1</v>
      </c>
      <c r="B15" s="565"/>
      <c r="C15" s="565"/>
      <c r="D15" s="565"/>
      <c r="F15" s="114"/>
      <c r="G15" s="68">
        <f>IFERROR(F15*'As-Filed Schedule 1'!$E$103,0)</f>
        <v>0</v>
      </c>
      <c r="H15" s="68">
        <f>SUM(F15:G15)</f>
        <v>0</v>
      </c>
      <c r="J15" s="114"/>
      <c r="K15" s="68">
        <f>IFERROR(J15*'As-Filed Schedule 1'!$E$103,0)</f>
        <v>0</v>
      </c>
      <c r="L15" s="68">
        <f>SUM(J15:K15)</f>
        <v>0</v>
      </c>
      <c r="N15" s="117"/>
      <c r="O15" s="117"/>
    </row>
    <row r="16" spans="1:15" x14ac:dyDescent="0.35">
      <c r="A16" s="24">
        <v>2</v>
      </c>
      <c r="B16" s="597"/>
      <c r="C16" s="598"/>
      <c r="D16" s="599"/>
      <c r="F16" s="114"/>
      <c r="G16" s="68">
        <f>IFERROR(F16*'As-Filed Schedule 1'!$E$103,0)</f>
        <v>0</v>
      </c>
      <c r="H16" s="68">
        <f t="shared" ref="H16:H72" si="0">SUM(F16:G16)</f>
        <v>0</v>
      </c>
      <c r="J16" s="114"/>
      <c r="K16" s="68">
        <f>IFERROR(J16*'As-Filed Schedule 1'!$E$103,0)</f>
        <v>0</v>
      </c>
      <c r="L16" s="68">
        <f t="shared" ref="L16:L72" si="1">SUM(J16:K16)</f>
        <v>0</v>
      </c>
      <c r="N16" s="117"/>
      <c r="O16" s="117"/>
    </row>
    <row r="17" spans="1:15" x14ac:dyDescent="0.35">
      <c r="A17" s="24">
        <v>3</v>
      </c>
      <c r="B17" s="597"/>
      <c r="C17" s="598"/>
      <c r="D17" s="599"/>
      <c r="F17" s="114"/>
      <c r="G17" s="68">
        <f>IFERROR(F17*'As-Filed Schedule 1'!$E$103,0)</f>
        <v>0</v>
      </c>
      <c r="H17" s="68">
        <f t="shared" si="0"/>
        <v>0</v>
      </c>
      <c r="J17" s="114"/>
      <c r="K17" s="68">
        <f>IFERROR(J17*'As-Filed Schedule 1'!$E$103,0)</f>
        <v>0</v>
      </c>
      <c r="L17" s="68">
        <f t="shared" si="1"/>
        <v>0</v>
      </c>
      <c r="N17" s="117"/>
      <c r="O17" s="117"/>
    </row>
    <row r="18" spans="1:15" x14ac:dyDescent="0.35">
      <c r="A18" s="24">
        <v>4</v>
      </c>
      <c r="B18" s="597"/>
      <c r="C18" s="598"/>
      <c r="D18" s="599"/>
      <c r="F18" s="114"/>
      <c r="G18" s="68">
        <f>IFERROR(F18*'As-Filed Schedule 1'!$E$103,0)</f>
        <v>0</v>
      </c>
      <c r="H18" s="68">
        <f t="shared" si="0"/>
        <v>0</v>
      </c>
      <c r="J18" s="114"/>
      <c r="K18" s="68">
        <f>IFERROR(J18*'As-Filed Schedule 1'!$E$103,0)</f>
        <v>0</v>
      </c>
      <c r="L18" s="68">
        <f t="shared" si="1"/>
        <v>0</v>
      </c>
      <c r="N18" s="117"/>
      <c r="O18" s="117"/>
    </row>
    <row r="19" spans="1:15" x14ac:dyDescent="0.35">
      <c r="A19" s="24">
        <v>5</v>
      </c>
      <c r="B19" s="597"/>
      <c r="C19" s="598"/>
      <c r="D19" s="599"/>
      <c r="F19" s="114"/>
      <c r="G19" s="68">
        <f>IFERROR(F19*'As-Filed Schedule 1'!$E$103,0)</f>
        <v>0</v>
      </c>
      <c r="H19" s="68">
        <f t="shared" si="0"/>
        <v>0</v>
      </c>
      <c r="J19" s="114"/>
      <c r="K19" s="68">
        <f>IFERROR(J19*'As-Filed Schedule 1'!$E$103,0)</f>
        <v>0</v>
      </c>
      <c r="L19" s="68">
        <f t="shared" si="1"/>
        <v>0</v>
      </c>
      <c r="N19" s="117"/>
      <c r="O19" s="117"/>
    </row>
    <row r="20" spans="1:15" x14ac:dyDescent="0.35">
      <c r="A20" s="24">
        <v>6</v>
      </c>
      <c r="B20" s="597"/>
      <c r="C20" s="598"/>
      <c r="D20" s="599"/>
      <c r="F20" s="114"/>
      <c r="G20" s="68">
        <f>IFERROR(F20*'As-Filed Schedule 1'!$E$103,0)</f>
        <v>0</v>
      </c>
      <c r="H20" s="68">
        <f t="shared" si="0"/>
        <v>0</v>
      </c>
      <c r="J20" s="114"/>
      <c r="K20" s="68">
        <f>IFERROR(J20*'As-Filed Schedule 1'!$E$103,0)</f>
        <v>0</v>
      </c>
      <c r="L20" s="68">
        <f t="shared" si="1"/>
        <v>0</v>
      </c>
      <c r="N20" s="117"/>
      <c r="O20" s="117"/>
    </row>
    <row r="21" spans="1:15" x14ac:dyDescent="0.35">
      <c r="A21" s="24">
        <v>7</v>
      </c>
      <c r="B21" s="597"/>
      <c r="C21" s="598"/>
      <c r="D21" s="599"/>
      <c r="F21" s="114"/>
      <c r="G21" s="68">
        <f>IFERROR(F21*'As-Filed Schedule 1'!$E$103,0)</f>
        <v>0</v>
      </c>
      <c r="H21" s="68">
        <f t="shared" si="0"/>
        <v>0</v>
      </c>
      <c r="J21" s="114"/>
      <c r="K21" s="68">
        <f>IFERROR(J21*'As-Filed Schedule 1'!$E$103,0)</f>
        <v>0</v>
      </c>
      <c r="L21" s="68">
        <f t="shared" si="1"/>
        <v>0</v>
      </c>
      <c r="N21" s="117"/>
      <c r="O21" s="117"/>
    </row>
    <row r="22" spans="1:15" x14ac:dyDescent="0.35">
      <c r="A22" s="24">
        <v>8</v>
      </c>
      <c r="B22" s="597"/>
      <c r="C22" s="598"/>
      <c r="D22" s="599"/>
      <c r="F22" s="114"/>
      <c r="G22" s="68">
        <f>IFERROR(F22*'As-Filed Schedule 1'!$E$103,0)</f>
        <v>0</v>
      </c>
      <c r="H22" s="68">
        <f t="shared" si="0"/>
        <v>0</v>
      </c>
      <c r="J22" s="114"/>
      <c r="K22" s="68">
        <f>IFERROR(J22*'As-Filed Schedule 1'!$E$103,0)</f>
        <v>0</v>
      </c>
      <c r="L22" s="68">
        <f t="shared" si="1"/>
        <v>0</v>
      </c>
      <c r="N22" s="117"/>
      <c r="O22" s="117"/>
    </row>
    <row r="23" spans="1:15" x14ac:dyDescent="0.35">
      <c r="A23" s="24">
        <v>9</v>
      </c>
      <c r="B23" s="597"/>
      <c r="C23" s="598"/>
      <c r="D23" s="599"/>
      <c r="F23" s="114"/>
      <c r="G23" s="68">
        <f>IFERROR(F23*'As-Filed Schedule 1'!$E$103,0)</f>
        <v>0</v>
      </c>
      <c r="H23" s="68">
        <f t="shared" si="0"/>
        <v>0</v>
      </c>
      <c r="J23" s="114"/>
      <c r="K23" s="68">
        <f>IFERROR(J23*'As-Filed Schedule 1'!$E$103,0)</f>
        <v>0</v>
      </c>
      <c r="L23" s="68">
        <f t="shared" si="1"/>
        <v>0</v>
      </c>
      <c r="N23" s="117"/>
      <c r="O23" s="117"/>
    </row>
    <row r="24" spans="1:15" x14ac:dyDescent="0.35">
      <c r="A24" s="24">
        <v>10</v>
      </c>
      <c r="B24" s="597"/>
      <c r="C24" s="598"/>
      <c r="D24" s="599"/>
      <c r="F24" s="114"/>
      <c r="G24" s="68">
        <f>IFERROR(F24*'As-Filed Schedule 1'!$E$103,0)</f>
        <v>0</v>
      </c>
      <c r="H24" s="68">
        <f t="shared" si="0"/>
        <v>0</v>
      </c>
      <c r="J24" s="114"/>
      <c r="K24" s="68">
        <f>IFERROR(J24*'As-Filed Schedule 1'!$E$103,0)</f>
        <v>0</v>
      </c>
      <c r="L24" s="68">
        <f t="shared" si="1"/>
        <v>0</v>
      </c>
      <c r="N24" s="117"/>
      <c r="O24" s="117"/>
    </row>
    <row r="25" spans="1:15" x14ac:dyDescent="0.35">
      <c r="A25" s="24">
        <v>11</v>
      </c>
      <c r="B25" s="597"/>
      <c r="C25" s="598"/>
      <c r="D25" s="599"/>
      <c r="F25" s="114"/>
      <c r="G25" s="68">
        <f>IFERROR(F25*'As-Filed Schedule 1'!$E$103,0)</f>
        <v>0</v>
      </c>
      <c r="H25" s="68">
        <f t="shared" si="0"/>
        <v>0</v>
      </c>
      <c r="J25" s="114"/>
      <c r="K25" s="68">
        <f>IFERROR(J25*'As-Filed Schedule 1'!$E$103,0)</f>
        <v>0</v>
      </c>
      <c r="L25" s="68">
        <f t="shared" si="1"/>
        <v>0</v>
      </c>
      <c r="N25" s="117"/>
      <c r="O25" s="117"/>
    </row>
    <row r="26" spans="1:15" x14ac:dyDescent="0.35">
      <c r="A26" s="24">
        <v>12</v>
      </c>
      <c r="B26" s="597"/>
      <c r="C26" s="598"/>
      <c r="D26" s="599"/>
      <c r="F26" s="114"/>
      <c r="G26" s="68">
        <f>IFERROR(F26*'As-Filed Schedule 1'!$E$103,0)</f>
        <v>0</v>
      </c>
      <c r="H26" s="68">
        <f t="shared" si="0"/>
        <v>0</v>
      </c>
      <c r="J26" s="114"/>
      <c r="K26" s="68">
        <f>IFERROR(J26*'As-Filed Schedule 1'!$E$103,0)</f>
        <v>0</v>
      </c>
      <c r="L26" s="68">
        <f t="shared" si="1"/>
        <v>0</v>
      </c>
      <c r="N26" s="117"/>
      <c r="O26" s="117"/>
    </row>
    <row r="27" spans="1:15" x14ac:dyDescent="0.35">
      <c r="A27" s="24">
        <v>13</v>
      </c>
      <c r="B27" s="597"/>
      <c r="C27" s="598"/>
      <c r="D27" s="599"/>
      <c r="F27" s="114"/>
      <c r="G27" s="68">
        <f>IFERROR(F27*'As-Filed Schedule 1'!$E$103,0)</f>
        <v>0</v>
      </c>
      <c r="H27" s="68">
        <f t="shared" si="0"/>
        <v>0</v>
      </c>
      <c r="J27" s="114"/>
      <c r="K27" s="68">
        <f>IFERROR(J27*'As-Filed Schedule 1'!$E$103,0)</f>
        <v>0</v>
      </c>
      <c r="L27" s="68">
        <f t="shared" si="1"/>
        <v>0</v>
      </c>
      <c r="N27" s="117"/>
      <c r="O27" s="117"/>
    </row>
    <row r="28" spans="1:15" x14ac:dyDescent="0.35">
      <c r="A28" s="24">
        <v>14</v>
      </c>
      <c r="B28" s="597"/>
      <c r="C28" s="598"/>
      <c r="D28" s="599"/>
      <c r="F28" s="114"/>
      <c r="G28" s="68">
        <f>IFERROR(F28*'As-Filed Schedule 1'!$E$103,0)</f>
        <v>0</v>
      </c>
      <c r="H28" s="68">
        <f t="shared" si="0"/>
        <v>0</v>
      </c>
      <c r="J28" s="114"/>
      <c r="K28" s="68">
        <f>IFERROR(J28*'As-Filed Schedule 1'!$E$103,0)</f>
        <v>0</v>
      </c>
      <c r="L28" s="68">
        <f t="shared" si="1"/>
        <v>0</v>
      </c>
      <c r="N28" s="117"/>
      <c r="O28" s="117"/>
    </row>
    <row r="29" spans="1:15" x14ac:dyDescent="0.35">
      <c r="A29" s="24">
        <v>15</v>
      </c>
      <c r="B29" s="597"/>
      <c r="C29" s="598"/>
      <c r="D29" s="599"/>
      <c r="F29" s="114"/>
      <c r="G29" s="68">
        <f>IFERROR(F29*'As-Filed Schedule 1'!$E$103,0)</f>
        <v>0</v>
      </c>
      <c r="H29" s="68">
        <f t="shared" si="0"/>
        <v>0</v>
      </c>
      <c r="J29" s="114"/>
      <c r="K29" s="68">
        <f>IFERROR(J29*'As-Filed Schedule 1'!$E$103,0)</f>
        <v>0</v>
      </c>
      <c r="L29" s="68">
        <f t="shared" si="1"/>
        <v>0</v>
      </c>
      <c r="N29" s="117"/>
      <c r="O29" s="117"/>
    </row>
    <row r="30" spans="1:15" x14ac:dyDescent="0.35">
      <c r="A30" s="24">
        <v>16</v>
      </c>
      <c r="B30" s="597"/>
      <c r="C30" s="598"/>
      <c r="D30" s="599"/>
      <c r="F30" s="114"/>
      <c r="G30" s="68">
        <f>IFERROR(F30*'As-Filed Schedule 1'!$E$103,0)</f>
        <v>0</v>
      </c>
      <c r="H30" s="68">
        <f t="shared" si="0"/>
        <v>0</v>
      </c>
      <c r="J30" s="114"/>
      <c r="K30" s="68">
        <f>IFERROR(J30*'As-Filed Schedule 1'!$E$103,0)</f>
        <v>0</v>
      </c>
      <c r="L30" s="68">
        <f t="shared" si="1"/>
        <v>0</v>
      </c>
      <c r="N30" s="117"/>
      <c r="O30" s="117"/>
    </row>
    <row r="31" spans="1:15" x14ac:dyDescent="0.35">
      <c r="A31" s="24">
        <v>17</v>
      </c>
      <c r="B31" s="597"/>
      <c r="C31" s="598"/>
      <c r="D31" s="599"/>
      <c r="F31" s="114"/>
      <c r="G31" s="68">
        <f>IFERROR(F31*'As-Filed Schedule 1'!$E$103,0)</f>
        <v>0</v>
      </c>
      <c r="H31" s="68">
        <f t="shared" si="0"/>
        <v>0</v>
      </c>
      <c r="J31" s="114"/>
      <c r="K31" s="68">
        <f>IFERROR(J31*'As-Filed Schedule 1'!$E$103,0)</f>
        <v>0</v>
      </c>
      <c r="L31" s="68">
        <f t="shared" si="1"/>
        <v>0</v>
      </c>
      <c r="N31" s="117"/>
      <c r="O31" s="117"/>
    </row>
    <row r="32" spans="1:15" x14ac:dyDescent="0.35">
      <c r="A32" s="24">
        <v>18</v>
      </c>
      <c r="B32" s="597"/>
      <c r="C32" s="598"/>
      <c r="D32" s="599"/>
      <c r="F32" s="114"/>
      <c r="G32" s="68">
        <f>IFERROR(F32*'As-Filed Schedule 1'!$E$103,0)</f>
        <v>0</v>
      </c>
      <c r="H32" s="68">
        <f t="shared" si="0"/>
        <v>0</v>
      </c>
      <c r="J32" s="114"/>
      <c r="K32" s="68">
        <f>IFERROR(J32*'As-Filed Schedule 1'!$E$103,0)</f>
        <v>0</v>
      </c>
      <c r="L32" s="68">
        <f t="shared" si="1"/>
        <v>0</v>
      </c>
      <c r="N32" s="117"/>
      <c r="O32" s="117"/>
    </row>
    <row r="33" spans="1:15" x14ac:dyDescent="0.35">
      <c r="A33" s="24">
        <v>19</v>
      </c>
      <c r="B33" s="597"/>
      <c r="C33" s="598"/>
      <c r="D33" s="599"/>
      <c r="F33" s="114"/>
      <c r="G33" s="68">
        <f>IFERROR(F33*'As-Filed Schedule 1'!$E$103,0)</f>
        <v>0</v>
      </c>
      <c r="H33" s="68">
        <f t="shared" si="0"/>
        <v>0</v>
      </c>
      <c r="J33" s="114"/>
      <c r="K33" s="68">
        <f>IFERROR(J33*'As-Filed Schedule 1'!$E$103,0)</f>
        <v>0</v>
      </c>
      <c r="L33" s="68">
        <f t="shared" si="1"/>
        <v>0</v>
      </c>
      <c r="N33" s="117"/>
      <c r="O33" s="117"/>
    </row>
    <row r="34" spans="1:15" x14ac:dyDescent="0.35">
      <c r="A34" s="24">
        <v>20</v>
      </c>
      <c r="B34" s="597"/>
      <c r="C34" s="598"/>
      <c r="D34" s="599"/>
      <c r="F34" s="114"/>
      <c r="G34" s="68">
        <f>IFERROR(F34*'As-Filed Schedule 1'!$E$103,0)</f>
        <v>0</v>
      </c>
      <c r="H34" s="68">
        <f t="shared" si="0"/>
        <v>0</v>
      </c>
      <c r="J34" s="114"/>
      <c r="K34" s="68">
        <f>IFERROR(J34*'As-Filed Schedule 1'!$E$103,0)</f>
        <v>0</v>
      </c>
      <c r="L34" s="68">
        <f t="shared" si="1"/>
        <v>0</v>
      </c>
      <c r="N34" s="117"/>
      <c r="O34" s="117"/>
    </row>
    <row r="35" spans="1:15" x14ac:dyDescent="0.35">
      <c r="A35" s="24">
        <v>21</v>
      </c>
      <c r="B35" s="597"/>
      <c r="C35" s="598"/>
      <c r="D35" s="599"/>
      <c r="F35" s="114"/>
      <c r="G35" s="68">
        <f>IFERROR(F35*'As-Filed Schedule 1'!$E$103,0)</f>
        <v>0</v>
      </c>
      <c r="H35" s="68">
        <f t="shared" si="0"/>
        <v>0</v>
      </c>
      <c r="J35" s="114"/>
      <c r="K35" s="68">
        <f>IFERROR(J35*'As-Filed Schedule 1'!$E$103,0)</f>
        <v>0</v>
      </c>
      <c r="L35" s="68">
        <f t="shared" si="1"/>
        <v>0</v>
      </c>
      <c r="N35" s="117"/>
      <c r="O35" s="117"/>
    </row>
    <row r="36" spans="1:15" x14ac:dyDescent="0.35">
      <c r="A36" s="24">
        <v>22</v>
      </c>
      <c r="B36" s="597"/>
      <c r="C36" s="598"/>
      <c r="D36" s="599"/>
      <c r="F36" s="114"/>
      <c r="G36" s="68">
        <f>IFERROR(F36*'As-Filed Schedule 1'!$E$103,0)</f>
        <v>0</v>
      </c>
      <c r="H36" s="68">
        <f t="shared" si="0"/>
        <v>0</v>
      </c>
      <c r="J36" s="114"/>
      <c r="K36" s="68">
        <f>IFERROR(J36*'As-Filed Schedule 1'!$E$103,0)</f>
        <v>0</v>
      </c>
      <c r="L36" s="68">
        <f t="shared" si="1"/>
        <v>0</v>
      </c>
      <c r="N36" s="117"/>
      <c r="O36" s="117"/>
    </row>
    <row r="37" spans="1:15" x14ac:dyDescent="0.35">
      <c r="A37" s="24">
        <v>23</v>
      </c>
      <c r="B37" s="597"/>
      <c r="C37" s="598"/>
      <c r="D37" s="599"/>
      <c r="F37" s="114"/>
      <c r="G37" s="68">
        <f>IFERROR(F37*'As-Filed Schedule 1'!$E$103,0)</f>
        <v>0</v>
      </c>
      <c r="H37" s="68">
        <f t="shared" si="0"/>
        <v>0</v>
      </c>
      <c r="J37" s="114"/>
      <c r="K37" s="68">
        <f>IFERROR(J37*'As-Filed Schedule 1'!$E$103,0)</f>
        <v>0</v>
      </c>
      <c r="L37" s="68">
        <f t="shared" si="1"/>
        <v>0</v>
      </c>
      <c r="N37" s="117"/>
      <c r="O37" s="117"/>
    </row>
    <row r="38" spans="1:15" x14ac:dyDescent="0.35">
      <c r="A38" s="24">
        <v>24</v>
      </c>
      <c r="B38" s="597"/>
      <c r="C38" s="598"/>
      <c r="D38" s="599"/>
      <c r="F38" s="114"/>
      <c r="G38" s="68">
        <f>IFERROR(F38*'As-Filed Schedule 1'!$E$103,0)</f>
        <v>0</v>
      </c>
      <c r="H38" s="68">
        <f t="shared" si="0"/>
        <v>0</v>
      </c>
      <c r="J38" s="114"/>
      <c r="K38" s="68">
        <f>IFERROR(J38*'As-Filed Schedule 1'!$E$103,0)</f>
        <v>0</v>
      </c>
      <c r="L38" s="68">
        <f t="shared" si="1"/>
        <v>0</v>
      </c>
      <c r="N38" s="117"/>
      <c r="O38" s="117"/>
    </row>
    <row r="39" spans="1:15" x14ac:dyDescent="0.35">
      <c r="A39" s="24">
        <v>25</v>
      </c>
      <c r="B39" s="597"/>
      <c r="C39" s="598"/>
      <c r="D39" s="599"/>
      <c r="F39" s="114"/>
      <c r="G39" s="68">
        <f>IFERROR(F39*'As-Filed Schedule 1'!$E$103,0)</f>
        <v>0</v>
      </c>
      <c r="H39" s="68">
        <f t="shared" si="0"/>
        <v>0</v>
      </c>
      <c r="J39" s="114"/>
      <c r="K39" s="68">
        <f>IFERROR(J39*'As-Filed Schedule 1'!$E$103,0)</f>
        <v>0</v>
      </c>
      <c r="L39" s="68">
        <f t="shared" si="1"/>
        <v>0</v>
      </c>
      <c r="N39" s="117"/>
      <c r="O39" s="117"/>
    </row>
    <row r="40" spans="1:15" x14ac:dyDescent="0.35">
      <c r="A40" s="24">
        <v>26</v>
      </c>
      <c r="B40" s="597"/>
      <c r="C40" s="598"/>
      <c r="D40" s="599"/>
      <c r="F40" s="114"/>
      <c r="G40" s="68">
        <f>IFERROR(F40*'As-Filed Schedule 1'!$E$103,0)</f>
        <v>0</v>
      </c>
      <c r="H40" s="68">
        <f t="shared" si="0"/>
        <v>0</v>
      </c>
      <c r="J40" s="114"/>
      <c r="K40" s="68">
        <f>IFERROR(J40*'As-Filed Schedule 1'!$E$103,0)</f>
        <v>0</v>
      </c>
      <c r="L40" s="68">
        <f t="shared" si="1"/>
        <v>0</v>
      </c>
      <c r="N40" s="117"/>
      <c r="O40" s="117"/>
    </row>
    <row r="41" spans="1:15" x14ac:dyDescent="0.35">
      <c r="A41" s="24">
        <v>27</v>
      </c>
      <c r="B41" s="597"/>
      <c r="C41" s="598"/>
      <c r="D41" s="599"/>
      <c r="F41" s="114"/>
      <c r="G41" s="68">
        <f>IFERROR(F41*'As-Filed Schedule 1'!$E$103,0)</f>
        <v>0</v>
      </c>
      <c r="H41" s="68">
        <f t="shared" si="0"/>
        <v>0</v>
      </c>
      <c r="J41" s="114"/>
      <c r="K41" s="68">
        <f>IFERROR(J41*'As-Filed Schedule 1'!$E$103,0)</f>
        <v>0</v>
      </c>
      <c r="L41" s="68">
        <f t="shared" si="1"/>
        <v>0</v>
      </c>
      <c r="N41" s="117"/>
      <c r="O41" s="117"/>
    </row>
    <row r="42" spans="1:15" x14ac:dyDescent="0.35">
      <c r="A42" s="24">
        <v>28</v>
      </c>
      <c r="B42" s="597"/>
      <c r="C42" s="598"/>
      <c r="D42" s="599"/>
      <c r="F42" s="114"/>
      <c r="G42" s="68">
        <f>IFERROR(F42*'As-Filed Schedule 1'!$E$103,0)</f>
        <v>0</v>
      </c>
      <c r="H42" s="68">
        <f t="shared" si="0"/>
        <v>0</v>
      </c>
      <c r="J42" s="114"/>
      <c r="K42" s="68">
        <f>IFERROR(J42*'As-Filed Schedule 1'!$E$103,0)</f>
        <v>0</v>
      </c>
      <c r="L42" s="68">
        <f t="shared" si="1"/>
        <v>0</v>
      </c>
      <c r="N42" s="117"/>
      <c r="O42" s="117"/>
    </row>
    <row r="43" spans="1:15" x14ac:dyDescent="0.35">
      <c r="A43" s="24">
        <v>29</v>
      </c>
      <c r="B43" s="597"/>
      <c r="C43" s="598"/>
      <c r="D43" s="599"/>
      <c r="F43" s="114"/>
      <c r="G43" s="68">
        <f>IFERROR(F43*'As-Filed Schedule 1'!$E$103,0)</f>
        <v>0</v>
      </c>
      <c r="H43" s="68">
        <f t="shared" si="0"/>
        <v>0</v>
      </c>
      <c r="J43" s="114"/>
      <c r="K43" s="68">
        <f>IFERROR(J43*'As-Filed Schedule 1'!$E$103,0)</f>
        <v>0</v>
      </c>
      <c r="L43" s="68">
        <f t="shared" si="1"/>
        <v>0</v>
      </c>
      <c r="N43" s="117"/>
      <c r="O43" s="117"/>
    </row>
    <row r="44" spans="1:15" x14ac:dyDescent="0.35">
      <c r="A44" s="24">
        <v>30</v>
      </c>
      <c r="B44" s="597"/>
      <c r="C44" s="598"/>
      <c r="D44" s="599"/>
      <c r="F44" s="114"/>
      <c r="G44" s="68">
        <f>IFERROR(F44*'As-Filed Schedule 1'!$E$103,0)</f>
        <v>0</v>
      </c>
      <c r="H44" s="68">
        <f t="shared" si="0"/>
        <v>0</v>
      </c>
      <c r="J44" s="114"/>
      <c r="K44" s="68">
        <f>IFERROR(J44*'As-Filed Schedule 1'!$E$103,0)</f>
        <v>0</v>
      </c>
      <c r="L44" s="68">
        <f t="shared" si="1"/>
        <v>0</v>
      </c>
      <c r="N44" s="117"/>
      <c r="O44" s="117"/>
    </row>
    <row r="45" spans="1:15" x14ac:dyDescent="0.35">
      <c r="A45" s="24">
        <v>31</v>
      </c>
      <c r="B45" s="597"/>
      <c r="C45" s="598"/>
      <c r="D45" s="599"/>
      <c r="F45" s="114"/>
      <c r="G45" s="68">
        <f>IFERROR(F45*'As-Filed Schedule 1'!$E$103,0)</f>
        <v>0</v>
      </c>
      <c r="H45" s="68">
        <f t="shared" si="0"/>
        <v>0</v>
      </c>
      <c r="J45" s="114"/>
      <c r="K45" s="68">
        <f>IFERROR(J45*'As-Filed Schedule 1'!$E$103,0)</f>
        <v>0</v>
      </c>
      <c r="L45" s="68">
        <f t="shared" si="1"/>
        <v>0</v>
      </c>
      <c r="N45" s="117"/>
      <c r="O45" s="117"/>
    </row>
    <row r="46" spans="1:15" x14ac:dyDescent="0.35">
      <c r="A46" s="24">
        <v>32</v>
      </c>
      <c r="B46" s="597"/>
      <c r="C46" s="598"/>
      <c r="D46" s="599"/>
      <c r="F46" s="114"/>
      <c r="G46" s="68">
        <f>IFERROR(F46*'As-Filed Schedule 1'!$E$103,0)</f>
        <v>0</v>
      </c>
      <c r="H46" s="68">
        <f t="shared" si="0"/>
        <v>0</v>
      </c>
      <c r="J46" s="114"/>
      <c r="K46" s="68">
        <f>IFERROR(J46*'As-Filed Schedule 1'!$E$103,0)</f>
        <v>0</v>
      </c>
      <c r="L46" s="68">
        <f t="shared" si="1"/>
        <v>0</v>
      </c>
      <c r="N46" s="117"/>
      <c r="O46" s="117"/>
    </row>
    <row r="47" spans="1:15" x14ac:dyDescent="0.35">
      <c r="A47" s="24">
        <v>33</v>
      </c>
      <c r="B47" s="597"/>
      <c r="C47" s="598"/>
      <c r="D47" s="599"/>
      <c r="F47" s="114"/>
      <c r="G47" s="68">
        <f>IFERROR(F47*'As-Filed Schedule 1'!$E$103,0)</f>
        <v>0</v>
      </c>
      <c r="H47" s="68">
        <f t="shared" si="0"/>
        <v>0</v>
      </c>
      <c r="J47" s="114"/>
      <c r="K47" s="68">
        <f>IFERROR(J47*'As-Filed Schedule 1'!$E$103,0)</f>
        <v>0</v>
      </c>
      <c r="L47" s="68">
        <f t="shared" si="1"/>
        <v>0</v>
      </c>
      <c r="N47" s="117"/>
      <c r="O47" s="117"/>
    </row>
    <row r="48" spans="1:15" x14ac:dyDescent="0.35">
      <c r="A48" s="24">
        <v>34</v>
      </c>
      <c r="B48" s="597"/>
      <c r="C48" s="598"/>
      <c r="D48" s="599"/>
      <c r="F48" s="114"/>
      <c r="G48" s="68">
        <f>IFERROR(F48*'As-Filed Schedule 1'!$E$103,0)</f>
        <v>0</v>
      </c>
      <c r="H48" s="68">
        <f t="shared" si="0"/>
        <v>0</v>
      </c>
      <c r="J48" s="114"/>
      <c r="K48" s="68">
        <f>IFERROR(J48*'As-Filed Schedule 1'!$E$103,0)</f>
        <v>0</v>
      </c>
      <c r="L48" s="68">
        <f t="shared" si="1"/>
        <v>0</v>
      </c>
      <c r="N48" s="117"/>
      <c r="O48" s="117"/>
    </row>
    <row r="49" spans="1:15" x14ac:dyDescent="0.35">
      <c r="A49" s="24">
        <v>35</v>
      </c>
      <c r="B49" s="597"/>
      <c r="C49" s="598"/>
      <c r="D49" s="599"/>
      <c r="F49" s="114"/>
      <c r="G49" s="68">
        <f>IFERROR(F49*'As-Filed Schedule 1'!$E$103,0)</f>
        <v>0</v>
      </c>
      <c r="H49" s="68">
        <f t="shared" si="0"/>
        <v>0</v>
      </c>
      <c r="J49" s="114"/>
      <c r="K49" s="68">
        <f>IFERROR(J49*'As-Filed Schedule 1'!$E$103,0)</f>
        <v>0</v>
      </c>
      <c r="L49" s="68">
        <f t="shared" si="1"/>
        <v>0</v>
      </c>
      <c r="N49" s="117"/>
      <c r="O49" s="117"/>
    </row>
    <row r="50" spans="1:15" x14ac:dyDescent="0.35">
      <c r="A50" s="24">
        <v>36</v>
      </c>
      <c r="B50" s="597"/>
      <c r="C50" s="598"/>
      <c r="D50" s="599"/>
      <c r="F50" s="114"/>
      <c r="G50" s="68">
        <f>IFERROR(F50*'As-Filed Schedule 1'!$E$103,0)</f>
        <v>0</v>
      </c>
      <c r="H50" s="68">
        <f t="shared" si="0"/>
        <v>0</v>
      </c>
      <c r="J50" s="114"/>
      <c r="K50" s="68">
        <f>IFERROR(J50*'As-Filed Schedule 1'!$E$103,0)</f>
        <v>0</v>
      </c>
      <c r="L50" s="68">
        <f t="shared" si="1"/>
        <v>0</v>
      </c>
      <c r="N50" s="117"/>
      <c r="O50" s="117"/>
    </row>
    <row r="51" spans="1:15" x14ac:dyDescent="0.35">
      <c r="A51" s="24">
        <v>37</v>
      </c>
      <c r="B51" s="597"/>
      <c r="C51" s="598"/>
      <c r="D51" s="599"/>
      <c r="F51" s="114"/>
      <c r="G51" s="68">
        <f>IFERROR(F51*'As-Filed Schedule 1'!$E$103,0)</f>
        <v>0</v>
      </c>
      <c r="H51" s="68">
        <f t="shared" si="0"/>
        <v>0</v>
      </c>
      <c r="J51" s="114"/>
      <c r="K51" s="68">
        <f>IFERROR(J51*'As-Filed Schedule 1'!$E$103,0)</f>
        <v>0</v>
      </c>
      <c r="L51" s="68">
        <f t="shared" si="1"/>
        <v>0</v>
      </c>
      <c r="N51" s="117"/>
      <c r="O51" s="117"/>
    </row>
    <row r="52" spans="1:15" x14ac:dyDescent="0.35">
      <c r="A52" s="24">
        <v>38</v>
      </c>
      <c r="B52" s="597"/>
      <c r="C52" s="598"/>
      <c r="D52" s="599"/>
      <c r="F52" s="114"/>
      <c r="G52" s="68">
        <f>IFERROR(F52*'As-Filed Schedule 1'!$E$103,0)</f>
        <v>0</v>
      </c>
      <c r="H52" s="68">
        <f t="shared" si="0"/>
        <v>0</v>
      </c>
      <c r="J52" s="114"/>
      <c r="K52" s="68">
        <f>IFERROR(J52*'As-Filed Schedule 1'!$E$103,0)</f>
        <v>0</v>
      </c>
      <c r="L52" s="68">
        <f t="shared" si="1"/>
        <v>0</v>
      </c>
      <c r="N52" s="117"/>
      <c r="O52" s="117"/>
    </row>
    <row r="53" spans="1:15" x14ac:dyDescent="0.35">
      <c r="A53" s="24">
        <v>39</v>
      </c>
      <c r="B53" s="597"/>
      <c r="C53" s="598"/>
      <c r="D53" s="599"/>
      <c r="F53" s="114"/>
      <c r="G53" s="68">
        <f>IFERROR(F53*'As-Filed Schedule 1'!$E$103,0)</f>
        <v>0</v>
      </c>
      <c r="H53" s="68">
        <f t="shared" si="0"/>
        <v>0</v>
      </c>
      <c r="J53" s="114"/>
      <c r="K53" s="68">
        <f>IFERROR(J53*'As-Filed Schedule 1'!$E$103,0)</f>
        <v>0</v>
      </c>
      <c r="L53" s="68">
        <f t="shared" si="1"/>
        <v>0</v>
      </c>
      <c r="N53" s="117"/>
      <c r="O53" s="117"/>
    </row>
    <row r="54" spans="1:15" x14ac:dyDescent="0.35">
      <c r="A54" s="24">
        <v>40</v>
      </c>
      <c r="B54" s="597"/>
      <c r="C54" s="598"/>
      <c r="D54" s="599"/>
      <c r="F54" s="114"/>
      <c r="G54" s="68">
        <f>IFERROR(F54*'As-Filed Schedule 1'!$E$103,0)</f>
        <v>0</v>
      </c>
      <c r="H54" s="68">
        <f t="shared" si="0"/>
        <v>0</v>
      </c>
      <c r="J54" s="114"/>
      <c r="K54" s="68">
        <f>IFERROR(J54*'As-Filed Schedule 1'!$E$103,0)</f>
        <v>0</v>
      </c>
      <c r="L54" s="68">
        <f t="shared" si="1"/>
        <v>0</v>
      </c>
      <c r="N54" s="117"/>
      <c r="O54" s="117"/>
    </row>
    <row r="55" spans="1:15" x14ac:dyDescent="0.35">
      <c r="A55" s="24">
        <v>41</v>
      </c>
      <c r="B55" s="597"/>
      <c r="C55" s="598"/>
      <c r="D55" s="599"/>
      <c r="F55" s="114"/>
      <c r="G55" s="68">
        <f>IFERROR(F55*'As-Filed Schedule 1'!$E$103,0)</f>
        <v>0</v>
      </c>
      <c r="H55" s="68">
        <f t="shared" si="0"/>
        <v>0</v>
      </c>
      <c r="J55" s="114"/>
      <c r="K55" s="68">
        <f>IFERROR(J55*'As-Filed Schedule 1'!$E$103,0)</f>
        <v>0</v>
      </c>
      <c r="L55" s="68">
        <f t="shared" si="1"/>
        <v>0</v>
      </c>
      <c r="N55" s="117"/>
      <c r="O55" s="117"/>
    </row>
    <row r="56" spans="1:15" x14ac:dyDescent="0.35">
      <c r="A56" s="24">
        <v>42</v>
      </c>
      <c r="B56" s="597"/>
      <c r="C56" s="598"/>
      <c r="D56" s="599"/>
      <c r="F56" s="114"/>
      <c r="G56" s="68">
        <f>IFERROR(F56*'As-Filed Schedule 1'!$E$103,0)</f>
        <v>0</v>
      </c>
      <c r="H56" s="68">
        <f t="shared" si="0"/>
        <v>0</v>
      </c>
      <c r="J56" s="114"/>
      <c r="K56" s="68">
        <f>IFERROR(J56*'As-Filed Schedule 1'!$E$103,0)</f>
        <v>0</v>
      </c>
      <c r="L56" s="68">
        <f t="shared" si="1"/>
        <v>0</v>
      </c>
      <c r="N56" s="117"/>
      <c r="O56" s="117"/>
    </row>
    <row r="57" spans="1:15" x14ac:dyDescent="0.35">
      <c r="A57" s="24">
        <v>43</v>
      </c>
      <c r="B57" s="597"/>
      <c r="C57" s="598"/>
      <c r="D57" s="599"/>
      <c r="F57" s="114"/>
      <c r="G57" s="68">
        <f>IFERROR(F57*'As-Filed Schedule 1'!$E$103,0)</f>
        <v>0</v>
      </c>
      <c r="H57" s="68">
        <f t="shared" si="0"/>
        <v>0</v>
      </c>
      <c r="J57" s="114"/>
      <c r="K57" s="68">
        <f>IFERROR(J57*'As-Filed Schedule 1'!$E$103,0)</f>
        <v>0</v>
      </c>
      <c r="L57" s="68">
        <f t="shared" si="1"/>
        <v>0</v>
      </c>
      <c r="N57" s="117"/>
      <c r="O57" s="117"/>
    </row>
    <row r="58" spans="1:15" x14ac:dyDescent="0.35">
      <c r="A58" s="24">
        <v>44</v>
      </c>
      <c r="B58" s="597"/>
      <c r="C58" s="598"/>
      <c r="D58" s="599"/>
      <c r="F58" s="114"/>
      <c r="G58" s="68">
        <f>IFERROR(F58*'As-Filed Schedule 1'!$E$103,0)</f>
        <v>0</v>
      </c>
      <c r="H58" s="68">
        <f t="shared" si="0"/>
        <v>0</v>
      </c>
      <c r="J58" s="114"/>
      <c r="K58" s="68">
        <f>IFERROR(J58*'As-Filed Schedule 1'!$E$103,0)</f>
        <v>0</v>
      </c>
      <c r="L58" s="68">
        <f t="shared" si="1"/>
        <v>0</v>
      </c>
      <c r="N58" s="117"/>
      <c r="O58" s="117"/>
    </row>
    <row r="59" spans="1:15" x14ac:dyDescent="0.35">
      <c r="A59" s="24">
        <v>45</v>
      </c>
      <c r="B59" s="597"/>
      <c r="C59" s="598"/>
      <c r="D59" s="599"/>
      <c r="F59" s="114"/>
      <c r="G59" s="68">
        <f>IFERROR(F59*'As-Filed Schedule 1'!$E$103,0)</f>
        <v>0</v>
      </c>
      <c r="H59" s="68">
        <f t="shared" si="0"/>
        <v>0</v>
      </c>
      <c r="J59" s="114"/>
      <c r="K59" s="68">
        <f>IFERROR(J59*'As-Filed Schedule 1'!$E$103,0)</f>
        <v>0</v>
      </c>
      <c r="L59" s="68">
        <f t="shared" si="1"/>
        <v>0</v>
      </c>
      <c r="N59" s="117"/>
      <c r="O59" s="117"/>
    </row>
    <row r="60" spans="1:15" x14ac:dyDescent="0.35">
      <c r="A60" s="24">
        <v>46</v>
      </c>
      <c r="B60" s="597"/>
      <c r="C60" s="598"/>
      <c r="D60" s="599"/>
      <c r="F60" s="114"/>
      <c r="G60" s="68">
        <f>IFERROR(F60*'As-Filed Schedule 1'!$E$103,0)</f>
        <v>0</v>
      </c>
      <c r="H60" s="68">
        <f t="shared" si="0"/>
        <v>0</v>
      </c>
      <c r="J60" s="114"/>
      <c r="K60" s="68">
        <f>IFERROR(J60*'As-Filed Schedule 1'!$E$103,0)</f>
        <v>0</v>
      </c>
      <c r="L60" s="68">
        <f t="shared" si="1"/>
        <v>0</v>
      </c>
      <c r="N60" s="117"/>
      <c r="O60" s="117"/>
    </row>
    <row r="61" spans="1:15" x14ac:dyDescent="0.35">
      <c r="A61" s="24">
        <v>47</v>
      </c>
      <c r="B61" s="597"/>
      <c r="C61" s="598"/>
      <c r="D61" s="599"/>
      <c r="F61" s="114"/>
      <c r="G61" s="68">
        <f>IFERROR(F61*'As-Filed Schedule 1'!$E$103,0)</f>
        <v>0</v>
      </c>
      <c r="H61" s="68">
        <f t="shared" si="0"/>
        <v>0</v>
      </c>
      <c r="J61" s="114"/>
      <c r="K61" s="68">
        <f>IFERROR(J61*'As-Filed Schedule 1'!$E$103,0)</f>
        <v>0</v>
      </c>
      <c r="L61" s="68">
        <f t="shared" si="1"/>
        <v>0</v>
      </c>
      <c r="N61" s="117"/>
      <c r="O61" s="117"/>
    </row>
    <row r="62" spans="1:15" x14ac:dyDescent="0.35">
      <c r="A62" s="24">
        <v>48</v>
      </c>
      <c r="B62" s="597"/>
      <c r="C62" s="598"/>
      <c r="D62" s="599"/>
      <c r="F62" s="114"/>
      <c r="G62" s="68">
        <f>IFERROR(F62*'As-Filed Schedule 1'!$E$103,0)</f>
        <v>0</v>
      </c>
      <c r="H62" s="68">
        <f t="shared" si="0"/>
        <v>0</v>
      </c>
      <c r="J62" s="114"/>
      <c r="K62" s="68">
        <f>IFERROR(J62*'As-Filed Schedule 1'!$E$103,0)</f>
        <v>0</v>
      </c>
      <c r="L62" s="68">
        <f t="shared" si="1"/>
        <v>0</v>
      </c>
      <c r="N62" s="117"/>
      <c r="O62" s="117"/>
    </row>
    <row r="63" spans="1:15" x14ac:dyDescent="0.35">
      <c r="A63" s="24">
        <v>49</v>
      </c>
      <c r="B63" s="597"/>
      <c r="C63" s="598"/>
      <c r="D63" s="599"/>
      <c r="F63" s="114"/>
      <c r="G63" s="68">
        <f>IFERROR(F63*'As-Filed Schedule 1'!$E$103,0)</f>
        <v>0</v>
      </c>
      <c r="H63" s="68">
        <f t="shared" si="0"/>
        <v>0</v>
      </c>
      <c r="J63" s="114"/>
      <c r="K63" s="68">
        <f>IFERROR(J63*'As-Filed Schedule 1'!$E$103,0)</f>
        <v>0</v>
      </c>
      <c r="L63" s="68">
        <f t="shared" si="1"/>
        <v>0</v>
      </c>
      <c r="N63" s="117"/>
      <c r="O63" s="117"/>
    </row>
    <row r="64" spans="1:15" x14ac:dyDescent="0.35">
      <c r="A64" s="24">
        <v>50</v>
      </c>
      <c r="B64" s="597"/>
      <c r="C64" s="598"/>
      <c r="D64" s="599"/>
      <c r="F64" s="114"/>
      <c r="G64" s="68">
        <f>IFERROR(F64*'As-Filed Schedule 1'!$E$103,0)</f>
        <v>0</v>
      </c>
      <c r="H64" s="68">
        <f t="shared" si="0"/>
        <v>0</v>
      </c>
      <c r="J64" s="114"/>
      <c r="K64" s="68">
        <f>IFERROR(J64*'As-Filed Schedule 1'!$E$103,0)</f>
        <v>0</v>
      </c>
      <c r="L64" s="68">
        <f t="shared" si="1"/>
        <v>0</v>
      </c>
      <c r="N64" s="117"/>
      <c r="O64" s="117"/>
    </row>
    <row r="65" spans="1:15" x14ac:dyDescent="0.35">
      <c r="A65" s="24">
        <v>51</v>
      </c>
      <c r="B65" s="597"/>
      <c r="C65" s="598"/>
      <c r="D65" s="599"/>
      <c r="F65" s="114"/>
      <c r="G65" s="68">
        <f>IFERROR(F65*'As-Filed Schedule 1'!$E$103,0)</f>
        <v>0</v>
      </c>
      <c r="H65" s="68">
        <f t="shared" si="0"/>
        <v>0</v>
      </c>
      <c r="J65" s="114"/>
      <c r="K65" s="68">
        <f>IFERROR(J65*'As-Filed Schedule 1'!$E$103,0)</f>
        <v>0</v>
      </c>
      <c r="L65" s="68">
        <f t="shared" si="1"/>
        <v>0</v>
      </c>
      <c r="N65" s="117"/>
      <c r="O65" s="117"/>
    </row>
    <row r="66" spans="1:15" x14ac:dyDescent="0.35">
      <c r="A66" s="24">
        <v>52</v>
      </c>
      <c r="B66" s="597"/>
      <c r="C66" s="598"/>
      <c r="D66" s="599"/>
      <c r="F66" s="114"/>
      <c r="G66" s="68">
        <f>IFERROR(F66*'As-Filed Schedule 1'!$E$103,0)</f>
        <v>0</v>
      </c>
      <c r="H66" s="68">
        <f t="shared" si="0"/>
        <v>0</v>
      </c>
      <c r="J66" s="114"/>
      <c r="K66" s="68">
        <f>IFERROR(J66*'As-Filed Schedule 1'!$E$103,0)</f>
        <v>0</v>
      </c>
      <c r="L66" s="68">
        <f t="shared" si="1"/>
        <v>0</v>
      </c>
      <c r="N66" s="117"/>
      <c r="O66" s="117"/>
    </row>
    <row r="67" spans="1:15" x14ac:dyDescent="0.35">
      <c r="A67" s="24">
        <v>53</v>
      </c>
      <c r="B67" s="597"/>
      <c r="C67" s="598"/>
      <c r="D67" s="599"/>
      <c r="F67" s="114"/>
      <c r="G67" s="68">
        <f>IFERROR(F67*'As-Filed Schedule 1'!$E$103,0)</f>
        <v>0</v>
      </c>
      <c r="H67" s="68">
        <f t="shared" si="0"/>
        <v>0</v>
      </c>
      <c r="J67" s="114"/>
      <c r="K67" s="68">
        <f>IFERROR(J67*'As-Filed Schedule 1'!$E$103,0)</f>
        <v>0</v>
      </c>
      <c r="L67" s="68">
        <f t="shared" si="1"/>
        <v>0</v>
      </c>
      <c r="N67" s="117"/>
      <c r="O67" s="117"/>
    </row>
    <row r="68" spans="1:15" x14ac:dyDescent="0.35">
      <c r="A68" s="24">
        <v>54</v>
      </c>
      <c r="B68" s="597"/>
      <c r="C68" s="598"/>
      <c r="D68" s="599"/>
      <c r="F68" s="114"/>
      <c r="G68" s="68">
        <f>IFERROR(F68*'As-Filed Schedule 1'!$E$103,0)</f>
        <v>0</v>
      </c>
      <c r="H68" s="68">
        <f t="shared" si="0"/>
        <v>0</v>
      </c>
      <c r="J68" s="114"/>
      <c r="K68" s="68">
        <f>IFERROR(J68*'As-Filed Schedule 1'!$E$103,0)</f>
        <v>0</v>
      </c>
      <c r="L68" s="68">
        <f t="shared" si="1"/>
        <v>0</v>
      </c>
      <c r="N68" s="117"/>
      <c r="O68" s="117"/>
    </row>
    <row r="69" spans="1:15" x14ac:dyDescent="0.35">
      <c r="A69" s="24">
        <v>55</v>
      </c>
      <c r="B69" s="597"/>
      <c r="C69" s="598"/>
      <c r="D69" s="599"/>
      <c r="F69" s="114"/>
      <c r="G69" s="68">
        <f>IFERROR(F69*'As-Filed Schedule 1'!$E$103,0)</f>
        <v>0</v>
      </c>
      <c r="H69" s="68">
        <f t="shared" si="0"/>
        <v>0</v>
      </c>
      <c r="J69" s="114"/>
      <c r="K69" s="68">
        <f>IFERROR(J69*'As-Filed Schedule 1'!$E$103,0)</f>
        <v>0</v>
      </c>
      <c r="L69" s="68">
        <f t="shared" si="1"/>
        <v>0</v>
      </c>
      <c r="N69" s="117"/>
      <c r="O69" s="117"/>
    </row>
    <row r="70" spans="1:15" x14ac:dyDescent="0.35">
      <c r="A70" s="24">
        <v>56</v>
      </c>
      <c r="B70" s="597"/>
      <c r="C70" s="598"/>
      <c r="D70" s="599"/>
      <c r="F70" s="114"/>
      <c r="G70" s="68">
        <f>IFERROR(F70*'As-Filed Schedule 1'!$E$103,0)</f>
        <v>0</v>
      </c>
      <c r="H70" s="68">
        <f t="shared" si="0"/>
        <v>0</v>
      </c>
      <c r="J70" s="114"/>
      <c r="K70" s="68">
        <f>IFERROR(J70*'As-Filed Schedule 1'!$E$103,0)</f>
        <v>0</v>
      </c>
      <c r="L70" s="68">
        <f t="shared" si="1"/>
        <v>0</v>
      </c>
      <c r="N70" s="117"/>
      <c r="O70" s="117"/>
    </row>
    <row r="71" spans="1:15" x14ac:dyDescent="0.35">
      <c r="A71" s="24">
        <v>57</v>
      </c>
      <c r="B71" s="597"/>
      <c r="C71" s="598"/>
      <c r="D71" s="599"/>
      <c r="F71" s="114"/>
      <c r="G71" s="68">
        <f>IFERROR(F71*'As-Filed Schedule 1'!$E$103,0)</f>
        <v>0</v>
      </c>
      <c r="H71" s="68">
        <f t="shared" si="0"/>
        <v>0</v>
      </c>
      <c r="J71" s="114"/>
      <c r="K71" s="68">
        <f>IFERROR(J71*'As-Filed Schedule 1'!$E$103,0)</f>
        <v>0</v>
      </c>
      <c r="L71" s="68">
        <f t="shared" si="1"/>
        <v>0</v>
      </c>
      <c r="N71" s="117"/>
      <c r="O71" s="117"/>
    </row>
    <row r="72" spans="1:15" x14ac:dyDescent="0.35">
      <c r="A72" s="24">
        <v>58</v>
      </c>
      <c r="B72" s="597"/>
      <c r="C72" s="598"/>
      <c r="D72" s="599"/>
      <c r="F72" s="114"/>
      <c r="G72" s="68">
        <f>IFERROR(F72*'As-Filed Schedule 1'!$E$103,0)</f>
        <v>0</v>
      </c>
      <c r="H72" s="68">
        <f t="shared" si="0"/>
        <v>0</v>
      </c>
      <c r="J72" s="114"/>
      <c r="K72" s="68">
        <f>IFERROR(J72*'As-Filed Schedule 1'!$E$103,0)</f>
        <v>0</v>
      </c>
      <c r="L72" s="68">
        <f t="shared" si="1"/>
        <v>0</v>
      </c>
      <c r="N72" s="117"/>
      <c r="O72" s="117"/>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814</v>
      </c>
      <c r="F75" s="75">
        <f>H73+L73</f>
        <v>0</v>
      </c>
      <c r="G75" s="74"/>
      <c r="H75" s="74"/>
      <c r="I75" s="74"/>
      <c r="J75" s="74"/>
      <c r="K75" s="74"/>
    </row>
  </sheetData>
  <sheetProtection sheet="1" objects="1" scenarios="1"/>
  <customSheetViews>
    <customSheetView guid="{17302493-42B1-4877-869E-E424A97AE78B}" state="hidden">
      <selection activeCell="F17" sqref="F17"/>
      <pageMargins left="0.7" right="0.7" top="0.75" bottom="0.75" header="0.3" footer="0.3"/>
    </customSheetView>
    <customSheetView guid="{5C0BA3A5-859C-46C2-B685-44D9A90065E4}">
      <selection activeCell="F15" sqref="B15:F15"/>
      <pageMargins left="0.7" right="0.7" top="0.75" bottom="0.75" header="0.3" footer="0.3"/>
    </customSheetView>
  </customSheetViews>
  <mergeCells count="64">
    <mergeCell ref="B12:D12"/>
    <mergeCell ref="B13:D14"/>
    <mergeCell ref="F13:H13"/>
    <mergeCell ref="J13:L13"/>
    <mergeCell ref="N13:N14"/>
    <mergeCell ref="B37:D37"/>
    <mergeCell ref="B23:D23"/>
    <mergeCell ref="B24:D24"/>
    <mergeCell ref="B25:D25"/>
    <mergeCell ref="O13:O14"/>
    <mergeCell ref="B18:D18"/>
    <mergeCell ref="B19:D19"/>
    <mergeCell ref="B20:D20"/>
    <mergeCell ref="B21:D21"/>
    <mergeCell ref="B22:D22"/>
    <mergeCell ref="B15:D15"/>
    <mergeCell ref="B32:D32"/>
    <mergeCell ref="B33:D33"/>
    <mergeCell ref="B34:D34"/>
    <mergeCell ref="B35:D35"/>
    <mergeCell ref="B36:D36"/>
    <mergeCell ref="B27:D27"/>
    <mergeCell ref="B28:D28"/>
    <mergeCell ref="B29:D29"/>
    <mergeCell ref="B30:D30"/>
    <mergeCell ref="B31:D31"/>
    <mergeCell ref="B26:D26"/>
    <mergeCell ref="B16:D1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rgb="FF9CC5CA"/>
  </sheetPr>
  <dimension ref="A1:O75"/>
  <sheetViews>
    <sheetView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 t="s">
        <v>818</v>
      </c>
      <c r="B3" s="5"/>
      <c r="C3" s="5"/>
      <c r="D3" s="5"/>
      <c r="E3" s="5"/>
      <c r="F3" s="5"/>
      <c r="G3" s="5"/>
      <c r="H3" s="5"/>
    </row>
    <row r="5" spans="1:15" x14ac:dyDescent="0.35">
      <c r="A5" s="1" t="s">
        <v>776</v>
      </c>
      <c r="C5" s="413" t="str">
        <f>'As-Filed Schedule 1'!C5</f>
        <v>WellPower</v>
      </c>
    </row>
    <row r="6" spans="1:15" x14ac:dyDescent="0.35">
      <c r="A6" s="1" t="s">
        <v>0</v>
      </c>
      <c r="C6" s="406">
        <f>'As-Filed Schedule 1'!C6</f>
        <v>45473</v>
      </c>
      <c r="F6" s="35"/>
    </row>
    <row r="8" spans="1:15" x14ac:dyDescent="0.35">
      <c r="A8" s="1" t="s">
        <v>253</v>
      </c>
      <c r="B8" s="1" t="s">
        <v>816</v>
      </c>
      <c r="C8" s="1"/>
      <c r="F8" s="116" t="s">
        <v>177</v>
      </c>
      <c r="G8" s="41" t="s">
        <v>259</v>
      </c>
    </row>
    <row r="10" spans="1:15" x14ac:dyDescent="0.35">
      <c r="A10" s="1" t="s">
        <v>254</v>
      </c>
      <c r="B10" s="1" t="s">
        <v>256</v>
      </c>
      <c r="C10" s="1"/>
    </row>
    <row r="12" spans="1:15" x14ac:dyDescent="0.35">
      <c r="B12" s="560">
        <v>1</v>
      </c>
      <c r="C12" s="560"/>
      <c r="D12" s="560"/>
      <c r="F12" s="23">
        <v>2</v>
      </c>
      <c r="G12" s="23">
        <v>3</v>
      </c>
      <c r="H12" s="23">
        <v>4</v>
      </c>
      <c r="J12" s="23">
        <v>5</v>
      </c>
      <c r="K12" s="23">
        <v>6</v>
      </c>
      <c r="L12" s="23">
        <v>7</v>
      </c>
      <c r="N12" s="23">
        <v>8</v>
      </c>
      <c r="O12" s="23">
        <v>9</v>
      </c>
    </row>
    <row r="13" spans="1:15" x14ac:dyDescent="0.35">
      <c r="B13" s="561" t="s">
        <v>255</v>
      </c>
      <c r="C13" s="561"/>
      <c r="D13" s="561"/>
      <c r="F13" s="563" t="s">
        <v>261</v>
      </c>
      <c r="G13" s="568"/>
      <c r="H13" s="564"/>
      <c r="J13" s="563" t="s">
        <v>262</v>
      </c>
      <c r="K13" s="568"/>
      <c r="L13" s="564"/>
      <c r="N13" s="562" t="s">
        <v>250</v>
      </c>
      <c r="O13" s="562" t="s">
        <v>312</v>
      </c>
    </row>
    <row r="14" spans="1:15" ht="55.5" customHeight="1" x14ac:dyDescent="0.35">
      <c r="B14" s="561"/>
      <c r="C14" s="561"/>
      <c r="D14" s="561"/>
      <c r="E14" s="48"/>
      <c r="F14" s="10" t="s">
        <v>214</v>
      </c>
      <c r="G14" s="142" t="s">
        <v>493</v>
      </c>
      <c r="H14" s="142" t="s">
        <v>215</v>
      </c>
      <c r="I14" s="99"/>
      <c r="J14" s="142" t="s">
        <v>214</v>
      </c>
      <c r="K14" s="142" t="s">
        <v>493</v>
      </c>
      <c r="L14" s="10" t="s">
        <v>215</v>
      </c>
      <c r="M14" s="48"/>
      <c r="N14" s="562"/>
      <c r="O14" s="562"/>
    </row>
    <row r="15" spans="1:15" x14ac:dyDescent="0.35">
      <c r="A15" s="24">
        <v>1</v>
      </c>
      <c r="B15" s="565"/>
      <c r="C15" s="565"/>
      <c r="D15" s="565"/>
      <c r="F15" s="114"/>
      <c r="G15" s="68">
        <f>IFERROR(F15*'As-Filed Schedule 1'!$E$103,0)</f>
        <v>0</v>
      </c>
      <c r="H15" s="68">
        <f>SUM(F15:G15)</f>
        <v>0</v>
      </c>
      <c r="J15" s="114"/>
      <c r="K15" s="68">
        <f>IFERROR(J15*'As-Filed Schedule 1'!$E$103,0)</f>
        <v>0</v>
      </c>
      <c r="L15" s="68">
        <f>SUM(J15:K15)</f>
        <v>0</v>
      </c>
      <c r="N15" s="117"/>
      <c r="O15" s="117"/>
    </row>
    <row r="16" spans="1:15" x14ac:dyDescent="0.35">
      <c r="A16" s="24">
        <v>2</v>
      </c>
      <c r="B16" s="565"/>
      <c r="C16" s="565"/>
      <c r="D16" s="565"/>
      <c r="F16" s="114"/>
      <c r="G16" s="68">
        <f>IFERROR(F16*'As-Filed Schedule 1'!$E$103,0)</f>
        <v>0</v>
      </c>
      <c r="H16" s="68">
        <f t="shared" ref="H16:H72" si="0">SUM(F16:G16)</f>
        <v>0</v>
      </c>
      <c r="J16" s="114"/>
      <c r="K16" s="68">
        <f>IFERROR(J16*'As-Filed Schedule 1'!$E$103,0)</f>
        <v>0</v>
      </c>
      <c r="L16" s="68">
        <f t="shared" ref="L16:L72" si="1">SUM(J16:K16)</f>
        <v>0</v>
      </c>
      <c r="N16" s="117"/>
      <c r="O16" s="117"/>
    </row>
    <row r="17" spans="1:15" x14ac:dyDescent="0.35">
      <c r="A17" s="24">
        <v>3</v>
      </c>
      <c r="B17" s="565"/>
      <c r="C17" s="565"/>
      <c r="D17" s="565"/>
      <c r="F17" s="114"/>
      <c r="G17" s="68">
        <f>IFERROR(F17*'As-Filed Schedule 1'!$E$103,0)</f>
        <v>0</v>
      </c>
      <c r="H17" s="68">
        <f t="shared" si="0"/>
        <v>0</v>
      </c>
      <c r="J17" s="114"/>
      <c r="K17" s="68">
        <f>IFERROR(J17*'As-Filed Schedule 1'!$E$103,0)</f>
        <v>0</v>
      </c>
      <c r="L17" s="68">
        <f t="shared" si="1"/>
        <v>0</v>
      </c>
      <c r="N17" s="117"/>
      <c r="O17" s="117"/>
    </row>
    <row r="18" spans="1:15" x14ac:dyDescent="0.35">
      <c r="A18" s="24">
        <v>4</v>
      </c>
      <c r="B18" s="565"/>
      <c r="C18" s="565"/>
      <c r="D18" s="565"/>
      <c r="F18" s="114"/>
      <c r="G18" s="68">
        <f>IFERROR(F18*'As-Filed Schedule 1'!$E$103,0)</f>
        <v>0</v>
      </c>
      <c r="H18" s="68">
        <f t="shared" si="0"/>
        <v>0</v>
      </c>
      <c r="J18" s="114"/>
      <c r="K18" s="68">
        <f>IFERROR(J18*'As-Filed Schedule 1'!$E$103,0)</f>
        <v>0</v>
      </c>
      <c r="L18" s="68">
        <f t="shared" si="1"/>
        <v>0</v>
      </c>
      <c r="N18" s="117"/>
      <c r="O18" s="117"/>
    </row>
    <row r="19" spans="1:15" x14ac:dyDescent="0.35">
      <c r="A19" s="24">
        <v>5</v>
      </c>
      <c r="B19" s="565"/>
      <c r="C19" s="565"/>
      <c r="D19" s="565"/>
      <c r="F19" s="114"/>
      <c r="G19" s="68">
        <f>IFERROR(F19*'As-Filed Schedule 1'!$E$103,0)</f>
        <v>0</v>
      </c>
      <c r="H19" s="68">
        <f t="shared" si="0"/>
        <v>0</v>
      </c>
      <c r="J19" s="114"/>
      <c r="K19" s="68">
        <f>IFERROR(J19*'As-Filed Schedule 1'!$E$103,0)</f>
        <v>0</v>
      </c>
      <c r="L19" s="68">
        <f t="shared" si="1"/>
        <v>0</v>
      </c>
      <c r="N19" s="117"/>
      <c r="O19" s="117"/>
    </row>
    <row r="20" spans="1:15" x14ac:dyDescent="0.35">
      <c r="A20" s="24">
        <v>6</v>
      </c>
      <c r="B20" s="565"/>
      <c r="C20" s="565"/>
      <c r="D20" s="565"/>
      <c r="F20" s="114"/>
      <c r="G20" s="68">
        <f>IFERROR(F20*'As-Filed Schedule 1'!$E$103,0)</f>
        <v>0</v>
      </c>
      <c r="H20" s="68">
        <f t="shared" si="0"/>
        <v>0</v>
      </c>
      <c r="J20" s="114"/>
      <c r="K20" s="68">
        <f>IFERROR(J20*'As-Filed Schedule 1'!$E$103,0)</f>
        <v>0</v>
      </c>
      <c r="L20" s="68">
        <f t="shared" si="1"/>
        <v>0</v>
      </c>
      <c r="N20" s="117"/>
      <c r="O20" s="117"/>
    </row>
    <row r="21" spans="1:15" x14ac:dyDescent="0.35">
      <c r="A21" s="24">
        <v>7</v>
      </c>
      <c r="B21" s="565"/>
      <c r="C21" s="565"/>
      <c r="D21" s="565"/>
      <c r="F21" s="114"/>
      <c r="G21" s="68">
        <f>IFERROR(F21*'As-Filed Schedule 1'!$E$103,0)</f>
        <v>0</v>
      </c>
      <c r="H21" s="68">
        <f t="shared" si="0"/>
        <v>0</v>
      </c>
      <c r="J21" s="114"/>
      <c r="K21" s="68">
        <f>IFERROR(J21*'As-Filed Schedule 1'!$E$103,0)</f>
        <v>0</v>
      </c>
      <c r="L21" s="68">
        <f t="shared" si="1"/>
        <v>0</v>
      </c>
      <c r="N21" s="117"/>
      <c r="O21" s="117"/>
    </row>
    <row r="22" spans="1:15" x14ac:dyDescent="0.35">
      <c r="A22" s="24">
        <v>8</v>
      </c>
      <c r="B22" s="449"/>
      <c r="C22" s="450"/>
      <c r="D22" s="451"/>
      <c r="F22" s="114"/>
      <c r="G22" s="68">
        <f>IFERROR(F22*'As-Filed Schedule 1'!$E$103,0)</f>
        <v>0</v>
      </c>
      <c r="H22" s="68">
        <f t="shared" si="0"/>
        <v>0</v>
      </c>
      <c r="J22" s="114"/>
      <c r="K22" s="68">
        <f>IFERROR(J22*'As-Filed Schedule 1'!$E$103,0)</f>
        <v>0</v>
      </c>
      <c r="L22" s="68">
        <f t="shared" si="1"/>
        <v>0</v>
      </c>
      <c r="N22" s="117"/>
      <c r="O22" s="117"/>
    </row>
    <row r="23" spans="1:15" x14ac:dyDescent="0.35">
      <c r="A23" s="24">
        <v>9</v>
      </c>
      <c r="B23" s="449"/>
      <c r="C23" s="450"/>
      <c r="D23" s="451"/>
      <c r="F23" s="114"/>
      <c r="G23" s="68">
        <f>IFERROR(F23*'As-Filed Schedule 1'!$E$103,0)</f>
        <v>0</v>
      </c>
      <c r="H23" s="68">
        <f t="shared" si="0"/>
        <v>0</v>
      </c>
      <c r="J23" s="114"/>
      <c r="K23" s="68">
        <f>IFERROR(J23*'As-Filed Schedule 1'!$E$103,0)</f>
        <v>0</v>
      </c>
      <c r="L23" s="68">
        <f t="shared" si="1"/>
        <v>0</v>
      </c>
      <c r="N23" s="117"/>
      <c r="O23" s="117"/>
    </row>
    <row r="24" spans="1:15" x14ac:dyDescent="0.35">
      <c r="A24" s="24">
        <v>10</v>
      </c>
      <c r="B24" s="449"/>
      <c r="C24" s="450"/>
      <c r="D24" s="451"/>
      <c r="F24" s="114"/>
      <c r="G24" s="68">
        <f>IFERROR(F24*'As-Filed Schedule 1'!$E$103,0)</f>
        <v>0</v>
      </c>
      <c r="H24" s="68">
        <f t="shared" si="0"/>
        <v>0</v>
      </c>
      <c r="J24" s="114"/>
      <c r="K24" s="68">
        <f>IFERROR(J24*'As-Filed Schedule 1'!$E$103,0)</f>
        <v>0</v>
      </c>
      <c r="L24" s="68">
        <f t="shared" si="1"/>
        <v>0</v>
      </c>
      <c r="N24" s="117"/>
      <c r="O24" s="117"/>
    </row>
    <row r="25" spans="1:15" x14ac:dyDescent="0.35">
      <c r="A25" s="24">
        <v>11</v>
      </c>
      <c r="B25" s="565"/>
      <c r="C25" s="565"/>
      <c r="D25" s="565"/>
      <c r="F25" s="114"/>
      <c r="G25" s="68">
        <f>IFERROR(F25*'As-Filed Schedule 1'!$E$103,0)</f>
        <v>0</v>
      </c>
      <c r="H25" s="68">
        <f t="shared" si="0"/>
        <v>0</v>
      </c>
      <c r="J25" s="114"/>
      <c r="K25" s="68">
        <f>IFERROR(J25*'As-Filed Schedule 1'!$E$103,0)</f>
        <v>0</v>
      </c>
      <c r="L25" s="68">
        <f t="shared" si="1"/>
        <v>0</v>
      </c>
      <c r="N25" s="117"/>
      <c r="O25" s="117"/>
    </row>
    <row r="26" spans="1:15" x14ac:dyDescent="0.35">
      <c r="A26" s="24">
        <v>12</v>
      </c>
      <c r="B26" s="565"/>
      <c r="C26" s="565"/>
      <c r="D26" s="565"/>
      <c r="F26" s="114"/>
      <c r="G26" s="68">
        <f>IFERROR(F26*'As-Filed Schedule 1'!$E$103,0)</f>
        <v>0</v>
      </c>
      <c r="H26" s="68">
        <f t="shared" si="0"/>
        <v>0</v>
      </c>
      <c r="J26" s="114"/>
      <c r="K26" s="68">
        <f>IFERROR(J26*'As-Filed Schedule 1'!$E$103,0)</f>
        <v>0</v>
      </c>
      <c r="L26" s="68">
        <f t="shared" si="1"/>
        <v>0</v>
      </c>
      <c r="N26" s="117"/>
      <c r="O26" s="117"/>
    </row>
    <row r="27" spans="1:15" x14ac:dyDescent="0.35">
      <c r="A27" s="24">
        <v>13</v>
      </c>
      <c r="B27" s="449"/>
      <c r="C27" s="450"/>
      <c r="D27" s="451"/>
      <c r="F27" s="114"/>
      <c r="G27" s="68">
        <f>IFERROR(F27*'As-Filed Schedule 1'!$E$103,0)</f>
        <v>0</v>
      </c>
      <c r="H27" s="68">
        <f t="shared" si="0"/>
        <v>0</v>
      </c>
      <c r="J27" s="114"/>
      <c r="K27" s="68">
        <f>IFERROR(J27*'As-Filed Schedule 1'!$E$103,0)</f>
        <v>0</v>
      </c>
      <c r="L27" s="68">
        <f t="shared" si="1"/>
        <v>0</v>
      </c>
      <c r="N27" s="117"/>
      <c r="O27" s="117"/>
    </row>
    <row r="28" spans="1:15" x14ac:dyDescent="0.35">
      <c r="A28" s="24">
        <v>14</v>
      </c>
      <c r="B28" s="446"/>
      <c r="C28" s="447"/>
      <c r="D28" s="448"/>
      <c r="F28" s="114"/>
      <c r="G28" s="68">
        <f>IFERROR(F28*'As-Filed Schedule 1'!$E$103,0)</f>
        <v>0</v>
      </c>
      <c r="H28" s="68">
        <f t="shared" si="0"/>
        <v>0</v>
      </c>
      <c r="J28" s="114"/>
      <c r="K28" s="68">
        <f>IFERROR(J28*'As-Filed Schedule 1'!$E$103,0)</f>
        <v>0</v>
      </c>
      <c r="L28" s="68">
        <f t="shared" si="1"/>
        <v>0</v>
      </c>
      <c r="N28" s="117"/>
      <c r="O28" s="117"/>
    </row>
    <row r="29" spans="1:15" x14ac:dyDescent="0.35">
      <c r="A29" s="24">
        <v>15</v>
      </c>
      <c r="B29" s="446"/>
      <c r="C29" s="447"/>
      <c r="D29" s="448"/>
      <c r="F29" s="114"/>
      <c r="G29" s="68">
        <f>IFERROR(F29*'As-Filed Schedule 1'!$E$103,0)</f>
        <v>0</v>
      </c>
      <c r="H29" s="68">
        <f t="shared" si="0"/>
        <v>0</v>
      </c>
      <c r="J29" s="114"/>
      <c r="K29" s="68">
        <f>IFERROR(J29*'As-Filed Schedule 1'!$E$103,0)</f>
        <v>0</v>
      </c>
      <c r="L29" s="68">
        <f t="shared" si="1"/>
        <v>0</v>
      </c>
      <c r="N29" s="117"/>
      <c r="O29" s="117"/>
    </row>
    <row r="30" spans="1:15" x14ac:dyDescent="0.35">
      <c r="A30" s="24">
        <v>16</v>
      </c>
      <c r="B30" s="603"/>
      <c r="C30" s="604"/>
      <c r="D30" s="605"/>
      <c r="F30" s="114"/>
      <c r="G30" s="68">
        <f>IFERROR(F30*'As-Filed Schedule 1'!$E$103,0)</f>
        <v>0</v>
      </c>
      <c r="H30" s="68">
        <f t="shared" si="0"/>
        <v>0</v>
      </c>
      <c r="J30" s="114"/>
      <c r="K30" s="68">
        <f>IFERROR(J30*'As-Filed Schedule 1'!$E$103,0)</f>
        <v>0</v>
      </c>
      <c r="L30" s="68">
        <f t="shared" si="1"/>
        <v>0</v>
      </c>
      <c r="N30" s="117"/>
      <c r="O30" s="117"/>
    </row>
    <row r="31" spans="1:15" x14ac:dyDescent="0.35">
      <c r="A31" s="24">
        <v>17</v>
      </c>
      <c r="B31" s="603"/>
      <c r="C31" s="604"/>
      <c r="D31" s="605"/>
      <c r="F31" s="114"/>
      <c r="G31" s="68">
        <f>IFERROR(F31*'As-Filed Schedule 1'!$E$103,0)</f>
        <v>0</v>
      </c>
      <c r="H31" s="68">
        <f t="shared" si="0"/>
        <v>0</v>
      </c>
      <c r="J31" s="114"/>
      <c r="K31" s="68">
        <f>IFERROR(J31*'As-Filed Schedule 1'!$E$103,0)</f>
        <v>0</v>
      </c>
      <c r="L31" s="68">
        <f t="shared" si="1"/>
        <v>0</v>
      </c>
      <c r="N31" s="117"/>
      <c r="O31" s="117"/>
    </row>
    <row r="32" spans="1:15" x14ac:dyDescent="0.35">
      <c r="A32" s="24">
        <v>18</v>
      </c>
      <c r="B32" s="603"/>
      <c r="C32" s="604"/>
      <c r="D32" s="605"/>
      <c r="F32" s="114"/>
      <c r="G32" s="68">
        <f>IFERROR(F32*'As-Filed Schedule 1'!$E$103,0)</f>
        <v>0</v>
      </c>
      <c r="H32" s="68">
        <f t="shared" si="0"/>
        <v>0</v>
      </c>
      <c r="J32" s="114"/>
      <c r="K32" s="68">
        <f>IFERROR(J32*'As-Filed Schedule 1'!$E$103,0)</f>
        <v>0</v>
      </c>
      <c r="L32" s="68">
        <f t="shared" si="1"/>
        <v>0</v>
      </c>
      <c r="N32" s="117"/>
      <c r="O32" s="117"/>
    </row>
    <row r="33" spans="1:15" x14ac:dyDescent="0.35">
      <c r="A33" s="24">
        <v>19</v>
      </c>
      <c r="B33" s="603"/>
      <c r="C33" s="604"/>
      <c r="D33" s="605"/>
      <c r="F33" s="114"/>
      <c r="G33" s="68">
        <f>IFERROR(F33*'As-Filed Schedule 1'!$E$103,0)</f>
        <v>0</v>
      </c>
      <c r="H33" s="68">
        <f t="shared" si="0"/>
        <v>0</v>
      </c>
      <c r="J33" s="114"/>
      <c r="K33" s="68">
        <f>IFERROR(J33*'As-Filed Schedule 1'!$E$103,0)</f>
        <v>0</v>
      </c>
      <c r="L33" s="68">
        <f t="shared" si="1"/>
        <v>0</v>
      </c>
      <c r="N33" s="117"/>
      <c r="O33" s="117"/>
    </row>
    <row r="34" spans="1:15" x14ac:dyDescent="0.35">
      <c r="A34" s="24">
        <v>20</v>
      </c>
      <c r="B34" s="603"/>
      <c r="C34" s="604"/>
      <c r="D34" s="605"/>
      <c r="F34" s="114"/>
      <c r="G34" s="68">
        <f>IFERROR(F34*'As-Filed Schedule 1'!$E$103,0)</f>
        <v>0</v>
      </c>
      <c r="H34" s="68">
        <f t="shared" si="0"/>
        <v>0</v>
      </c>
      <c r="J34" s="114"/>
      <c r="K34" s="68">
        <f>IFERROR(J34*'As-Filed Schedule 1'!$E$103,0)</f>
        <v>0</v>
      </c>
      <c r="L34" s="68">
        <f t="shared" si="1"/>
        <v>0</v>
      </c>
      <c r="N34" s="117"/>
      <c r="O34" s="117"/>
    </row>
    <row r="35" spans="1:15" x14ac:dyDescent="0.35">
      <c r="A35" s="24">
        <v>21</v>
      </c>
      <c r="B35" s="603"/>
      <c r="C35" s="604"/>
      <c r="D35" s="605"/>
      <c r="F35" s="114"/>
      <c r="G35" s="68">
        <f>IFERROR(F35*'As-Filed Schedule 1'!$E$103,0)</f>
        <v>0</v>
      </c>
      <c r="H35" s="68">
        <f t="shared" si="0"/>
        <v>0</v>
      </c>
      <c r="J35" s="114"/>
      <c r="K35" s="68">
        <f>IFERROR(J35*'As-Filed Schedule 1'!$E$103,0)</f>
        <v>0</v>
      </c>
      <c r="L35" s="68">
        <f t="shared" si="1"/>
        <v>0</v>
      </c>
      <c r="N35" s="117"/>
      <c r="O35" s="117"/>
    </row>
    <row r="36" spans="1:15" x14ac:dyDescent="0.35">
      <c r="A36" s="24">
        <v>22</v>
      </c>
      <c r="B36" s="603"/>
      <c r="C36" s="604"/>
      <c r="D36" s="605"/>
      <c r="F36" s="114"/>
      <c r="G36" s="68">
        <f>IFERROR(F36*'As-Filed Schedule 1'!$E$103,0)</f>
        <v>0</v>
      </c>
      <c r="H36" s="68">
        <f t="shared" si="0"/>
        <v>0</v>
      </c>
      <c r="J36" s="114"/>
      <c r="K36" s="68">
        <f>IFERROR(J36*'As-Filed Schedule 1'!$E$103,0)</f>
        <v>0</v>
      </c>
      <c r="L36" s="68">
        <f t="shared" si="1"/>
        <v>0</v>
      </c>
      <c r="N36" s="117"/>
      <c r="O36" s="117"/>
    </row>
    <row r="37" spans="1:15" x14ac:dyDescent="0.35">
      <c r="A37" s="24">
        <v>23</v>
      </c>
      <c r="B37" s="603"/>
      <c r="C37" s="604"/>
      <c r="D37" s="605"/>
      <c r="F37" s="114"/>
      <c r="G37" s="68">
        <f>IFERROR(F37*'As-Filed Schedule 1'!$E$103,0)</f>
        <v>0</v>
      </c>
      <c r="H37" s="68">
        <f t="shared" si="0"/>
        <v>0</v>
      </c>
      <c r="J37" s="114"/>
      <c r="K37" s="68">
        <f>IFERROR(J37*'As-Filed Schedule 1'!$E$103,0)</f>
        <v>0</v>
      </c>
      <c r="L37" s="68">
        <f t="shared" si="1"/>
        <v>0</v>
      </c>
      <c r="N37" s="117"/>
      <c r="O37" s="117"/>
    </row>
    <row r="38" spans="1:15" x14ac:dyDescent="0.35">
      <c r="A38" s="24">
        <v>24</v>
      </c>
      <c r="B38" s="603"/>
      <c r="C38" s="604"/>
      <c r="D38" s="605"/>
      <c r="F38" s="114"/>
      <c r="G38" s="68">
        <f>IFERROR(F38*'As-Filed Schedule 1'!$E$103,0)</f>
        <v>0</v>
      </c>
      <c r="H38" s="68">
        <f t="shared" si="0"/>
        <v>0</v>
      </c>
      <c r="J38" s="114"/>
      <c r="K38" s="68">
        <f>IFERROR(J38*'As-Filed Schedule 1'!$E$103,0)</f>
        <v>0</v>
      </c>
      <c r="L38" s="68">
        <f t="shared" si="1"/>
        <v>0</v>
      </c>
      <c r="N38" s="117"/>
      <c r="O38" s="117"/>
    </row>
    <row r="39" spans="1:15" x14ac:dyDescent="0.35">
      <c r="A39" s="24">
        <v>25</v>
      </c>
      <c r="B39" s="603"/>
      <c r="C39" s="604"/>
      <c r="D39" s="605"/>
      <c r="F39" s="114"/>
      <c r="G39" s="68">
        <f>IFERROR(F39*'As-Filed Schedule 1'!$E$103,0)</f>
        <v>0</v>
      </c>
      <c r="H39" s="68">
        <f t="shared" si="0"/>
        <v>0</v>
      </c>
      <c r="J39" s="114"/>
      <c r="K39" s="68">
        <f>IFERROR(J39*'As-Filed Schedule 1'!$E$103,0)</f>
        <v>0</v>
      </c>
      <c r="L39" s="68">
        <f t="shared" si="1"/>
        <v>0</v>
      </c>
      <c r="N39" s="117"/>
      <c r="O39" s="117"/>
    </row>
    <row r="40" spans="1:15" x14ac:dyDescent="0.35">
      <c r="A40" s="24">
        <v>26</v>
      </c>
      <c r="B40" s="603"/>
      <c r="C40" s="604"/>
      <c r="D40" s="605"/>
      <c r="F40" s="114"/>
      <c r="G40" s="68">
        <f>IFERROR(F40*'As-Filed Schedule 1'!$E$103,0)</f>
        <v>0</v>
      </c>
      <c r="H40" s="68">
        <f t="shared" si="0"/>
        <v>0</v>
      </c>
      <c r="J40" s="114"/>
      <c r="K40" s="68">
        <f>IFERROR(J40*'As-Filed Schedule 1'!$E$103,0)</f>
        <v>0</v>
      </c>
      <c r="L40" s="68">
        <f t="shared" si="1"/>
        <v>0</v>
      </c>
      <c r="N40" s="117"/>
      <c r="O40" s="117"/>
    </row>
    <row r="41" spans="1:15" x14ac:dyDescent="0.35">
      <c r="A41" s="24">
        <v>27</v>
      </c>
      <c r="B41" s="565"/>
      <c r="C41" s="565"/>
      <c r="D41" s="565"/>
      <c r="F41" s="114"/>
      <c r="G41" s="68">
        <f>IFERROR(F41*'As-Filed Schedule 1'!$E$103,0)</f>
        <v>0</v>
      </c>
      <c r="H41" s="68">
        <f t="shared" si="0"/>
        <v>0</v>
      </c>
      <c r="J41" s="114"/>
      <c r="K41" s="68">
        <f>IFERROR(J41*'As-Filed Schedule 1'!$E$103,0)</f>
        <v>0</v>
      </c>
      <c r="L41" s="68">
        <f t="shared" si="1"/>
        <v>0</v>
      </c>
      <c r="N41" s="117"/>
      <c r="O41" s="117"/>
    </row>
    <row r="42" spans="1:15" x14ac:dyDescent="0.35">
      <c r="A42" s="24">
        <v>28</v>
      </c>
      <c r="B42" s="565"/>
      <c r="C42" s="565"/>
      <c r="D42" s="565"/>
      <c r="F42" s="114"/>
      <c r="G42" s="68">
        <f>IFERROR(F42*'As-Filed Schedule 1'!$E$103,0)</f>
        <v>0</v>
      </c>
      <c r="H42" s="68">
        <f t="shared" si="0"/>
        <v>0</v>
      </c>
      <c r="J42" s="114"/>
      <c r="K42" s="68">
        <f>IFERROR(J42*'As-Filed Schedule 1'!$E$103,0)</f>
        <v>0</v>
      </c>
      <c r="L42" s="68">
        <f t="shared" si="1"/>
        <v>0</v>
      </c>
      <c r="N42" s="117"/>
      <c r="O42" s="117"/>
    </row>
    <row r="43" spans="1:15" x14ac:dyDescent="0.35">
      <c r="A43" s="24">
        <v>29</v>
      </c>
      <c r="B43" s="565"/>
      <c r="C43" s="565"/>
      <c r="D43" s="565"/>
      <c r="F43" s="114"/>
      <c r="G43" s="68">
        <f>IFERROR(F43*'As-Filed Schedule 1'!$E$103,0)</f>
        <v>0</v>
      </c>
      <c r="H43" s="68">
        <f t="shared" si="0"/>
        <v>0</v>
      </c>
      <c r="J43" s="114"/>
      <c r="K43" s="68">
        <f>IFERROR(J43*'As-Filed Schedule 1'!$E$103,0)</f>
        <v>0</v>
      </c>
      <c r="L43" s="68">
        <f t="shared" si="1"/>
        <v>0</v>
      </c>
      <c r="N43" s="117"/>
      <c r="O43" s="117"/>
    </row>
    <row r="44" spans="1:15" x14ac:dyDescent="0.35">
      <c r="A44" s="24">
        <v>30</v>
      </c>
      <c r="B44" s="565"/>
      <c r="C44" s="565"/>
      <c r="D44" s="565"/>
      <c r="F44" s="114"/>
      <c r="G44" s="68">
        <f>IFERROR(F44*'As-Filed Schedule 1'!$E$103,0)</f>
        <v>0</v>
      </c>
      <c r="H44" s="68">
        <f t="shared" si="0"/>
        <v>0</v>
      </c>
      <c r="J44" s="114"/>
      <c r="K44" s="68">
        <f>IFERROR(J44*'As-Filed Schedule 1'!$E$103,0)</f>
        <v>0</v>
      </c>
      <c r="L44" s="68">
        <f t="shared" si="1"/>
        <v>0</v>
      </c>
      <c r="N44" s="117"/>
      <c r="O44" s="117"/>
    </row>
    <row r="45" spans="1:15" x14ac:dyDescent="0.35">
      <c r="A45" s="24">
        <v>31</v>
      </c>
      <c r="B45" s="565"/>
      <c r="C45" s="565"/>
      <c r="D45" s="565"/>
      <c r="F45" s="114"/>
      <c r="G45" s="68">
        <f>IFERROR(F45*'As-Filed Schedule 1'!$E$103,0)</f>
        <v>0</v>
      </c>
      <c r="H45" s="68">
        <f t="shared" si="0"/>
        <v>0</v>
      </c>
      <c r="J45" s="114"/>
      <c r="K45" s="68">
        <f>IFERROR(J45*'As-Filed Schedule 1'!$E$103,0)</f>
        <v>0</v>
      </c>
      <c r="L45" s="68">
        <f t="shared" si="1"/>
        <v>0</v>
      </c>
      <c r="N45" s="117"/>
      <c r="O45" s="117"/>
    </row>
    <row r="46" spans="1:15" x14ac:dyDescent="0.35">
      <c r="A46" s="24">
        <v>32</v>
      </c>
      <c r="B46" s="565"/>
      <c r="C46" s="565"/>
      <c r="D46" s="565"/>
      <c r="F46" s="114"/>
      <c r="G46" s="68">
        <f>IFERROR(F46*'As-Filed Schedule 1'!$E$103,0)</f>
        <v>0</v>
      </c>
      <c r="H46" s="68">
        <f t="shared" si="0"/>
        <v>0</v>
      </c>
      <c r="J46" s="114"/>
      <c r="K46" s="68">
        <f>IFERROR(J46*'As-Filed Schedule 1'!$E$103,0)</f>
        <v>0</v>
      </c>
      <c r="L46" s="68">
        <f t="shared" si="1"/>
        <v>0</v>
      </c>
      <c r="N46" s="117"/>
      <c r="O46" s="117"/>
    </row>
    <row r="47" spans="1:15" x14ac:dyDescent="0.35">
      <c r="A47" s="24">
        <v>33</v>
      </c>
      <c r="B47" s="565"/>
      <c r="C47" s="565"/>
      <c r="D47" s="565"/>
      <c r="F47" s="114"/>
      <c r="G47" s="68">
        <f>IFERROR(F47*'As-Filed Schedule 1'!$E$103,0)</f>
        <v>0</v>
      </c>
      <c r="H47" s="68">
        <f t="shared" si="0"/>
        <v>0</v>
      </c>
      <c r="J47" s="114"/>
      <c r="K47" s="68">
        <f>IFERROR(J47*'As-Filed Schedule 1'!$E$103,0)</f>
        <v>0</v>
      </c>
      <c r="L47" s="68">
        <f t="shared" si="1"/>
        <v>0</v>
      </c>
      <c r="N47" s="117"/>
      <c r="O47" s="117"/>
    </row>
    <row r="48" spans="1:15" x14ac:dyDescent="0.35">
      <c r="A48" s="24">
        <v>34</v>
      </c>
      <c r="B48" s="565"/>
      <c r="C48" s="565"/>
      <c r="D48" s="565"/>
      <c r="F48" s="114"/>
      <c r="G48" s="68">
        <f>IFERROR(F48*'As-Filed Schedule 1'!$E$103,0)</f>
        <v>0</v>
      </c>
      <c r="H48" s="68">
        <f t="shared" si="0"/>
        <v>0</v>
      </c>
      <c r="J48" s="114"/>
      <c r="K48" s="68">
        <f>IFERROR(J48*'As-Filed Schedule 1'!$E$103,0)</f>
        <v>0</v>
      </c>
      <c r="L48" s="68">
        <f t="shared" si="1"/>
        <v>0</v>
      </c>
      <c r="N48" s="117"/>
      <c r="O48" s="117"/>
    </row>
    <row r="49" spans="1:15" x14ac:dyDescent="0.35">
      <c r="A49" s="24">
        <v>35</v>
      </c>
      <c r="B49" s="565"/>
      <c r="C49" s="565"/>
      <c r="D49" s="565"/>
      <c r="F49" s="114"/>
      <c r="G49" s="68">
        <f>IFERROR(F49*'As-Filed Schedule 1'!$E$103,0)</f>
        <v>0</v>
      </c>
      <c r="H49" s="68">
        <f t="shared" si="0"/>
        <v>0</v>
      </c>
      <c r="J49" s="114"/>
      <c r="K49" s="68">
        <f>IFERROR(J49*'As-Filed Schedule 1'!$E$103,0)</f>
        <v>0</v>
      </c>
      <c r="L49" s="68">
        <f t="shared" si="1"/>
        <v>0</v>
      </c>
      <c r="N49" s="117"/>
      <c r="O49" s="117"/>
    </row>
    <row r="50" spans="1:15" x14ac:dyDescent="0.35">
      <c r="A50" s="24">
        <v>36</v>
      </c>
      <c r="B50" s="565"/>
      <c r="C50" s="565"/>
      <c r="D50" s="565"/>
      <c r="F50" s="114"/>
      <c r="G50" s="68">
        <f>IFERROR(F50*'As-Filed Schedule 1'!$E$103,0)</f>
        <v>0</v>
      </c>
      <c r="H50" s="68">
        <f t="shared" si="0"/>
        <v>0</v>
      </c>
      <c r="J50" s="114"/>
      <c r="K50" s="68">
        <f>IFERROR(J50*'As-Filed Schedule 1'!$E$103,0)</f>
        <v>0</v>
      </c>
      <c r="L50" s="68">
        <f t="shared" si="1"/>
        <v>0</v>
      </c>
      <c r="N50" s="117"/>
      <c r="O50" s="117"/>
    </row>
    <row r="51" spans="1:15" x14ac:dyDescent="0.35">
      <c r="A51" s="24">
        <v>37</v>
      </c>
      <c r="B51" s="565"/>
      <c r="C51" s="565"/>
      <c r="D51" s="565"/>
      <c r="F51" s="114"/>
      <c r="G51" s="68">
        <f>IFERROR(F51*'As-Filed Schedule 1'!$E$103,0)</f>
        <v>0</v>
      </c>
      <c r="H51" s="68">
        <f t="shared" si="0"/>
        <v>0</v>
      </c>
      <c r="J51" s="114"/>
      <c r="K51" s="68">
        <f>IFERROR(J51*'As-Filed Schedule 1'!$E$103,0)</f>
        <v>0</v>
      </c>
      <c r="L51" s="68">
        <f t="shared" si="1"/>
        <v>0</v>
      </c>
      <c r="N51" s="117"/>
      <c r="O51" s="117"/>
    </row>
    <row r="52" spans="1:15" x14ac:dyDescent="0.35">
      <c r="A52" s="24">
        <v>38</v>
      </c>
      <c r="B52" s="565"/>
      <c r="C52" s="565"/>
      <c r="D52" s="565"/>
      <c r="F52" s="114"/>
      <c r="G52" s="68">
        <f>IFERROR(F52*'As-Filed Schedule 1'!$E$103,0)</f>
        <v>0</v>
      </c>
      <c r="H52" s="68">
        <f t="shared" si="0"/>
        <v>0</v>
      </c>
      <c r="J52" s="114"/>
      <c r="K52" s="68">
        <f>IFERROR(J52*'As-Filed Schedule 1'!$E$103,0)</f>
        <v>0</v>
      </c>
      <c r="L52" s="68">
        <f t="shared" si="1"/>
        <v>0</v>
      </c>
      <c r="N52" s="117"/>
      <c r="O52" s="117"/>
    </row>
    <row r="53" spans="1:15" x14ac:dyDescent="0.35">
      <c r="A53" s="24">
        <v>39</v>
      </c>
      <c r="B53" s="565"/>
      <c r="C53" s="565"/>
      <c r="D53" s="565"/>
      <c r="F53" s="114"/>
      <c r="G53" s="68">
        <f>IFERROR(F53*'As-Filed Schedule 1'!$E$103,0)</f>
        <v>0</v>
      </c>
      <c r="H53" s="68">
        <f t="shared" si="0"/>
        <v>0</v>
      </c>
      <c r="J53" s="114"/>
      <c r="K53" s="68">
        <f>IFERROR(J53*'As-Filed Schedule 1'!$E$103,0)</f>
        <v>0</v>
      </c>
      <c r="L53" s="68">
        <f t="shared" si="1"/>
        <v>0</v>
      </c>
      <c r="N53" s="117"/>
      <c r="O53" s="117"/>
    </row>
    <row r="54" spans="1:15" x14ac:dyDescent="0.35">
      <c r="A54" s="24">
        <v>40</v>
      </c>
      <c r="B54" s="565"/>
      <c r="C54" s="565"/>
      <c r="D54" s="565"/>
      <c r="F54" s="114"/>
      <c r="G54" s="68">
        <f>IFERROR(F54*'As-Filed Schedule 1'!$E$103,0)</f>
        <v>0</v>
      </c>
      <c r="H54" s="68">
        <f t="shared" si="0"/>
        <v>0</v>
      </c>
      <c r="J54" s="114"/>
      <c r="K54" s="68">
        <f>IFERROR(J54*'As-Filed Schedule 1'!$E$103,0)</f>
        <v>0</v>
      </c>
      <c r="L54" s="68">
        <f t="shared" si="1"/>
        <v>0</v>
      </c>
      <c r="N54" s="117"/>
      <c r="O54" s="117"/>
    </row>
    <row r="55" spans="1:15" x14ac:dyDescent="0.35">
      <c r="A55" s="24">
        <v>41</v>
      </c>
      <c r="B55" s="565"/>
      <c r="C55" s="565"/>
      <c r="D55" s="565"/>
      <c r="F55" s="114"/>
      <c r="G55" s="68">
        <f>IFERROR(F55*'As-Filed Schedule 1'!$E$103,0)</f>
        <v>0</v>
      </c>
      <c r="H55" s="68">
        <f t="shared" si="0"/>
        <v>0</v>
      </c>
      <c r="J55" s="114"/>
      <c r="K55" s="68">
        <f>IFERROR(J55*'As-Filed Schedule 1'!$E$103,0)</f>
        <v>0</v>
      </c>
      <c r="L55" s="68">
        <f t="shared" si="1"/>
        <v>0</v>
      </c>
      <c r="N55" s="117"/>
      <c r="O55" s="117"/>
    </row>
    <row r="56" spans="1:15" x14ac:dyDescent="0.35">
      <c r="A56" s="24">
        <v>42</v>
      </c>
      <c r="B56" s="565"/>
      <c r="C56" s="565"/>
      <c r="D56" s="565"/>
      <c r="F56" s="114"/>
      <c r="G56" s="68">
        <f>IFERROR(F56*'As-Filed Schedule 1'!$E$103,0)</f>
        <v>0</v>
      </c>
      <c r="H56" s="68">
        <f t="shared" si="0"/>
        <v>0</v>
      </c>
      <c r="J56" s="114"/>
      <c r="K56" s="68">
        <f>IFERROR(J56*'As-Filed Schedule 1'!$E$103,0)</f>
        <v>0</v>
      </c>
      <c r="L56" s="68">
        <f t="shared" si="1"/>
        <v>0</v>
      </c>
      <c r="N56" s="117"/>
      <c r="O56" s="117"/>
    </row>
    <row r="57" spans="1:15" x14ac:dyDescent="0.35">
      <c r="A57" s="24">
        <v>43</v>
      </c>
      <c r="B57" s="565"/>
      <c r="C57" s="565"/>
      <c r="D57" s="565"/>
      <c r="F57" s="114"/>
      <c r="G57" s="68">
        <f>IFERROR(F57*'As-Filed Schedule 1'!$E$103,0)</f>
        <v>0</v>
      </c>
      <c r="H57" s="68">
        <f t="shared" si="0"/>
        <v>0</v>
      </c>
      <c r="J57" s="114"/>
      <c r="K57" s="68">
        <f>IFERROR(J57*'As-Filed Schedule 1'!$E$103,0)</f>
        <v>0</v>
      </c>
      <c r="L57" s="68">
        <f t="shared" si="1"/>
        <v>0</v>
      </c>
      <c r="N57" s="117"/>
      <c r="O57" s="117"/>
    </row>
    <row r="58" spans="1:15" x14ac:dyDescent="0.35">
      <c r="A58" s="24">
        <v>44</v>
      </c>
      <c r="B58" s="565"/>
      <c r="C58" s="565"/>
      <c r="D58" s="565"/>
      <c r="F58" s="114"/>
      <c r="G58" s="68">
        <f>IFERROR(F58*'As-Filed Schedule 1'!$E$103,0)</f>
        <v>0</v>
      </c>
      <c r="H58" s="68">
        <f t="shared" si="0"/>
        <v>0</v>
      </c>
      <c r="J58" s="114"/>
      <c r="K58" s="68">
        <f>IFERROR(J58*'As-Filed Schedule 1'!$E$103,0)</f>
        <v>0</v>
      </c>
      <c r="L58" s="68">
        <f t="shared" si="1"/>
        <v>0</v>
      </c>
      <c r="N58" s="117"/>
      <c r="O58" s="117"/>
    </row>
    <row r="59" spans="1:15" x14ac:dyDescent="0.35">
      <c r="A59" s="24">
        <v>45</v>
      </c>
      <c r="B59" s="565"/>
      <c r="C59" s="565"/>
      <c r="D59" s="565"/>
      <c r="F59" s="114"/>
      <c r="G59" s="68">
        <f>IFERROR(F59*'As-Filed Schedule 1'!$E$103,0)</f>
        <v>0</v>
      </c>
      <c r="H59" s="68">
        <f t="shared" si="0"/>
        <v>0</v>
      </c>
      <c r="J59" s="114"/>
      <c r="K59" s="68">
        <f>IFERROR(J59*'As-Filed Schedule 1'!$E$103,0)</f>
        <v>0</v>
      </c>
      <c r="L59" s="68">
        <f t="shared" si="1"/>
        <v>0</v>
      </c>
      <c r="N59" s="117"/>
      <c r="O59" s="117"/>
    </row>
    <row r="60" spans="1:15" x14ac:dyDescent="0.35">
      <c r="A60" s="24">
        <v>46</v>
      </c>
      <c r="B60" s="565"/>
      <c r="C60" s="565"/>
      <c r="D60" s="565"/>
      <c r="F60" s="114"/>
      <c r="G60" s="68">
        <f>IFERROR(F60*'As-Filed Schedule 1'!$E$103,0)</f>
        <v>0</v>
      </c>
      <c r="H60" s="68">
        <f t="shared" si="0"/>
        <v>0</v>
      </c>
      <c r="J60" s="114"/>
      <c r="K60" s="68">
        <f>IFERROR(J60*'As-Filed Schedule 1'!$E$103,0)</f>
        <v>0</v>
      </c>
      <c r="L60" s="68">
        <f t="shared" si="1"/>
        <v>0</v>
      </c>
      <c r="N60" s="117"/>
      <c r="O60" s="117"/>
    </row>
    <row r="61" spans="1:15" x14ac:dyDescent="0.35">
      <c r="A61" s="24">
        <v>47</v>
      </c>
      <c r="B61" s="565"/>
      <c r="C61" s="565"/>
      <c r="D61" s="565"/>
      <c r="F61" s="114"/>
      <c r="G61" s="68">
        <f>IFERROR(F61*'As-Filed Schedule 1'!$E$103,0)</f>
        <v>0</v>
      </c>
      <c r="H61" s="68">
        <f t="shared" si="0"/>
        <v>0</v>
      </c>
      <c r="J61" s="114"/>
      <c r="K61" s="68">
        <f>IFERROR(J61*'As-Filed Schedule 1'!$E$103,0)</f>
        <v>0</v>
      </c>
      <c r="L61" s="68">
        <f t="shared" si="1"/>
        <v>0</v>
      </c>
      <c r="N61" s="117"/>
      <c r="O61" s="117"/>
    </row>
    <row r="62" spans="1:15" x14ac:dyDescent="0.35">
      <c r="A62" s="24">
        <v>48</v>
      </c>
      <c r="B62" s="565"/>
      <c r="C62" s="565"/>
      <c r="D62" s="565"/>
      <c r="F62" s="114"/>
      <c r="G62" s="68">
        <f>IFERROR(F62*'As-Filed Schedule 1'!$E$103,0)</f>
        <v>0</v>
      </c>
      <c r="H62" s="68">
        <f t="shared" si="0"/>
        <v>0</v>
      </c>
      <c r="J62" s="114"/>
      <c r="K62" s="68">
        <f>IFERROR(J62*'As-Filed Schedule 1'!$E$103,0)</f>
        <v>0</v>
      </c>
      <c r="L62" s="68">
        <f t="shared" si="1"/>
        <v>0</v>
      </c>
      <c r="N62" s="117"/>
      <c r="O62" s="117"/>
    </row>
    <row r="63" spans="1:15" x14ac:dyDescent="0.35">
      <c r="A63" s="24">
        <v>49</v>
      </c>
      <c r="B63" s="565"/>
      <c r="C63" s="565"/>
      <c r="D63" s="565"/>
      <c r="F63" s="114"/>
      <c r="G63" s="68">
        <f>IFERROR(F63*'As-Filed Schedule 1'!$E$103,0)</f>
        <v>0</v>
      </c>
      <c r="H63" s="68">
        <f t="shared" si="0"/>
        <v>0</v>
      </c>
      <c r="J63" s="114"/>
      <c r="K63" s="68">
        <f>IFERROR(J63*'As-Filed Schedule 1'!$E$103,0)</f>
        <v>0</v>
      </c>
      <c r="L63" s="68">
        <f t="shared" si="1"/>
        <v>0</v>
      </c>
      <c r="N63" s="117"/>
      <c r="O63" s="117"/>
    </row>
    <row r="64" spans="1:15" x14ac:dyDescent="0.35">
      <c r="A64" s="24">
        <v>50</v>
      </c>
      <c r="B64" s="565"/>
      <c r="C64" s="565"/>
      <c r="D64" s="565"/>
      <c r="F64" s="114"/>
      <c r="G64" s="68">
        <f>IFERROR(F64*'As-Filed Schedule 1'!$E$103,0)</f>
        <v>0</v>
      </c>
      <c r="H64" s="68">
        <f t="shared" si="0"/>
        <v>0</v>
      </c>
      <c r="J64" s="114"/>
      <c r="K64" s="68">
        <f>IFERROR(J64*'As-Filed Schedule 1'!$E$103,0)</f>
        <v>0</v>
      </c>
      <c r="L64" s="68">
        <f t="shared" si="1"/>
        <v>0</v>
      </c>
      <c r="N64" s="117"/>
      <c r="O64" s="117"/>
    </row>
    <row r="65" spans="1:15" x14ac:dyDescent="0.35">
      <c r="A65" s="24">
        <v>51</v>
      </c>
      <c r="B65" s="565"/>
      <c r="C65" s="565"/>
      <c r="D65" s="565"/>
      <c r="F65" s="114"/>
      <c r="G65" s="68">
        <f>IFERROR(F65*'As-Filed Schedule 1'!$E$103,0)</f>
        <v>0</v>
      </c>
      <c r="H65" s="68">
        <f t="shared" si="0"/>
        <v>0</v>
      </c>
      <c r="J65" s="114"/>
      <c r="K65" s="68">
        <f>IFERROR(J65*'As-Filed Schedule 1'!$E$103,0)</f>
        <v>0</v>
      </c>
      <c r="L65" s="68">
        <f t="shared" si="1"/>
        <v>0</v>
      </c>
      <c r="N65" s="117"/>
      <c r="O65" s="117"/>
    </row>
    <row r="66" spans="1:15" x14ac:dyDescent="0.35">
      <c r="A66" s="24">
        <v>52</v>
      </c>
      <c r="B66" s="565"/>
      <c r="C66" s="565"/>
      <c r="D66" s="565"/>
      <c r="F66" s="114"/>
      <c r="G66" s="68">
        <f>IFERROR(F66*'As-Filed Schedule 1'!$E$103,0)</f>
        <v>0</v>
      </c>
      <c r="H66" s="68">
        <f t="shared" si="0"/>
        <v>0</v>
      </c>
      <c r="J66" s="114"/>
      <c r="K66" s="68">
        <f>IFERROR(J66*'As-Filed Schedule 1'!$E$103,0)</f>
        <v>0</v>
      </c>
      <c r="L66" s="68">
        <f t="shared" si="1"/>
        <v>0</v>
      </c>
      <c r="N66" s="117"/>
      <c r="O66" s="117"/>
    </row>
    <row r="67" spans="1:15" x14ac:dyDescent="0.35">
      <c r="A67" s="24">
        <v>53</v>
      </c>
      <c r="B67" s="565"/>
      <c r="C67" s="565"/>
      <c r="D67" s="565"/>
      <c r="F67" s="114"/>
      <c r="G67" s="68">
        <f>IFERROR(F67*'As-Filed Schedule 1'!$E$103,0)</f>
        <v>0</v>
      </c>
      <c r="H67" s="68">
        <f t="shared" si="0"/>
        <v>0</v>
      </c>
      <c r="J67" s="114"/>
      <c r="K67" s="68">
        <f>IFERROR(J67*'As-Filed Schedule 1'!$E$103,0)</f>
        <v>0</v>
      </c>
      <c r="L67" s="68">
        <f t="shared" si="1"/>
        <v>0</v>
      </c>
      <c r="N67" s="117"/>
      <c r="O67" s="117"/>
    </row>
    <row r="68" spans="1:15" x14ac:dyDescent="0.35">
      <c r="A68" s="24">
        <v>54</v>
      </c>
      <c r="B68" s="565"/>
      <c r="C68" s="565"/>
      <c r="D68" s="565"/>
      <c r="F68" s="114"/>
      <c r="G68" s="68">
        <f>IFERROR(F68*'As-Filed Schedule 1'!$E$103,0)</f>
        <v>0</v>
      </c>
      <c r="H68" s="68">
        <f t="shared" si="0"/>
        <v>0</v>
      </c>
      <c r="J68" s="114"/>
      <c r="K68" s="68">
        <f>IFERROR(J68*'As-Filed Schedule 1'!$E$103,0)</f>
        <v>0</v>
      </c>
      <c r="L68" s="68">
        <f t="shared" si="1"/>
        <v>0</v>
      </c>
      <c r="N68" s="117"/>
      <c r="O68" s="117"/>
    </row>
    <row r="69" spans="1:15" x14ac:dyDescent="0.35">
      <c r="A69" s="24">
        <v>55</v>
      </c>
      <c r="B69" s="565"/>
      <c r="C69" s="565"/>
      <c r="D69" s="565"/>
      <c r="F69" s="114"/>
      <c r="G69" s="68">
        <f>IFERROR(F69*'As-Filed Schedule 1'!$E$103,0)</f>
        <v>0</v>
      </c>
      <c r="H69" s="68">
        <f t="shared" si="0"/>
        <v>0</v>
      </c>
      <c r="J69" s="114"/>
      <c r="K69" s="68">
        <f>IFERROR(J69*'As-Filed Schedule 1'!$E$103,0)</f>
        <v>0</v>
      </c>
      <c r="L69" s="68">
        <f t="shared" si="1"/>
        <v>0</v>
      </c>
      <c r="N69" s="117"/>
      <c r="O69" s="117"/>
    </row>
    <row r="70" spans="1:15" x14ac:dyDescent="0.35">
      <c r="A70" s="24">
        <v>56</v>
      </c>
      <c r="B70" s="565"/>
      <c r="C70" s="565"/>
      <c r="D70" s="565"/>
      <c r="F70" s="114"/>
      <c r="G70" s="68">
        <f>IFERROR(F70*'As-Filed Schedule 1'!$E$103,0)</f>
        <v>0</v>
      </c>
      <c r="H70" s="68">
        <f t="shared" si="0"/>
        <v>0</v>
      </c>
      <c r="J70" s="114"/>
      <c r="K70" s="68">
        <f>IFERROR(J70*'As-Filed Schedule 1'!$E$103,0)</f>
        <v>0</v>
      </c>
      <c r="L70" s="68">
        <f t="shared" si="1"/>
        <v>0</v>
      </c>
      <c r="N70" s="117"/>
      <c r="O70" s="117"/>
    </row>
    <row r="71" spans="1:15" x14ac:dyDescent="0.35">
      <c r="A71" s="24">
        <v>57</v>
      </c>
      <c r="B71" s="565"/>
      <c r="C71" s="565"/>
      <c r="D71" s="565"/>
      <c r="F71" s="114"/>
      <c r="G71" s="68">
        <f>IFERROR(F71*'As-Filed Schedule 1'!$E$103,0)</f>
        <v>0</v>
      </c>
      <c r="H71" s="68">
        <f t="shared" si="0"/>
        <v>0</v>
      </c>
      <c r="J71" s="114"/>
      <c r="K71" s="68">
        <f>IFERROR(J71*'As-Filed Schedule 1'!$E$103,0)</f>
        <v>0</v>
      </c>
      <c r="L71" s="68">
        <f t="shared" si="1"/>
        <v>0</v>
      </c>
      <c r="N71" s="117"/>
      <c r="O71" s="117"/>
    </row>
    <row r="72" spans="1:15" x14ac:dyDescent="0.35">
      <c r="A72" s="24">
        <v>58</v>
      </c>
      <c r="B72" s="565"/>
      <c r="C72" s="565"/>
      <c r="D72" s="565"/>
      <c r="F72" s="114"/>
      <c r="G72" s="68">
        <f>IFERROR(F72*'As-Filed Schedule 1'!$E$103,0)</f>
        <v>0</v>
      </c>
      <c r="H72" s="68">
        <f t="shared" si="0"/>
        <v>0</v>
      </c>
      <c r="J72" s="114"/>
      <c r="K72" s="68">
        <f>IFERROR(J72*'As-Filed Schedule 1'!$E$103,0)</f>
        <v>0</v>
      </c>
      <c r="L72" s="68">
        <f t="shared" si="1"/>
        <v>0</v>
      </c>
      <c r="N72" s="117"/>
      <c r="O72" s="117"/>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817</v>
      </c>
      <c r="F75" s="75">
        <f>H73+L73</f>
        <v>0</v>
      </c>
      <c r="G75" s="74"/>
      <c r="H75" s="74"/>
      <c r="I75" s="74"/>
      <c r="J75" s="74"/>
      <c r="K75" s="74"/>
    </row>
  </sheetData>
  <sheetProtection sheet="1" objects="1" scenarios="1"/>
  <customSheetViews>
    <customSheetView guid="{17302493-42B1-4877-869E-E424A97AE78B}" state="hidden">
      <selection activeCell="F17" sqref="F17"/>
      <pageMargins left="0.7" right="0.7" top="0.75" bottom="0.75" header="0.3" footer="0.3"/>
    </customSheetView>
    <customSheetView guid="{5C0BA3A5-859C-46C2-B685-44D9A90065E4}">
      <selection activeCell="B40" sqref="B15:F40"/>
      <pageMargins left="0.7" right="0.7" top="0.75" bottom="0.75" header="0.3" footer="0.3"/>
    </customSheetView>
  </customSheetViews>
  <mergeCells count="58">
    <mergeCell ref="B15:D15"/>
    <mergeCell ref="B16:D16"/>
    <mergeCell ref="B17:D17"/>
    <mergeCell ref="B32:D32"/>
    <mergeCell ref="B33:D33"/>
    <mergeCell ref="B18:D18"/>
    <mergeCell ref="B31:D31"/>
    <mergeCell ref="B20:D20"/>
    <mergeCell ref="B21:D21"/>
    <mergeCell ref="B25:D25"/>
    <mergeCell ref="B26:D26"/>
    <mergeCell ref="B30:D30"/>
    <mergeCell ref="B19:D19"/>
    <mergeCell ref="O13:O14"/>
    <mergeCell ref="B12:D12"/>
    <mergeCell ref="B13:D14"/>
    <mergeCell ref="F13:H13"/>
    <mergeCell ref="J13:L13"/>
    <mergeCell ref="N13:N14"/>
    <mergeCell ref="B34:D34"/>
    <mergeCell ref="B35:D35"/>
    <mergeCell ref="B50:D50"/>
    <mergeCell ref="B41:D41"/>
    <mergeCell ref="B42:D42"/>
    <mergeCell ref="B43:D43"/>
    <mergeCell ref="B44:D44"/>
    <mergeCell ref="B45:D45"/>
    <mergeCell ref="B46:D46"/>
    <mergeCell ref="B47:D47"/>
    <mergeCell ref="B48:D48"/>
    <mergeCell ref="B49:D49"/>
    <mergeCell ref="B36:D36"/>
    <mergeCell ref="B37:D37"/>
    <mergeCell ref="B38:D38"/>
    <mergeCell ref="B39:D39"/>
    <mergeCell ref="B40:D40"/>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rgb="FF9CC5CA"/>
  </sheetPr>
  <dimension ref="A1:O75"/>
  <sheetViews>
    <sheetView topLeftCell="A10" workbookViewId="0">
      <selection activeCell="F17" sqref="F17"/>
    </sheetView>
  </sheetViews>
  <sheetFormatPr defaultColWidth="9.1796875" defaultRowHeight="14.5" x14ac:dyDescent="0.35"/>
  <cols>
    <col min="1" max="1" width="9.54296875" customWidth="1"/>
    <col min="2" max="2" width="16" customWidth="1"/>
    <col min="3" max="3" width="25.54296875" customWidth="1"/>
    <col min="4" max="4" width="30"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 t="s">
        <v>821</v>
      </c>
      <c r="B3" s="5"/>
      <c r="C3" s="5"/>
      <c r="D3" s="5"/>
      <c r="E3" s="5"/>
      <c r="F3" s="5"/>
      <c r="G3" s="5"/>
      <c r="H3" s="5"/>
    </row>
    <row r="5" spans="1:15" x14ac:dyDescent="0.35">
      <c r="A5" s="1" t="s">
        <v>776</v>
      </c>
      <c r="C5" s="413" t="str">
        <f>'As-Filed Schedule 1'!C5</f>
        <v>WellPower</v>
      </c>
    </row>
    <row r="6" spans="1:15" x14ac:dyDescent="0.35">
      <c r="A6" s="1" t="s">
        <v>0</v>
      </c>
      <c r="C6" s="406">
        <f>'As-Filed Schedule 1'!C6</f>
        <v>45473</v>
      </c>
      <c r="F6" s="35"/>
    </row>
    <row r="8" spans="1:15" x14ac:dyDescent="0.35">
      <c r="A8" s="1" t="s">
        <v>253</v>
      </c>
      <c r="B8" s="1" t="s">
        <v>819</v>
      </c>
      <c r="C8" s="1"/>
      <c r="F8" s="116" t="s">
        <v>177</v>
      </c>
      <c r="G8" s="41" t="s">
        <v>259</v>
      </c>
    </row>
    <row r="10" spans="1:15" x14ac:dyDescent="0.35">
      <c r="A10" s="1" t="s">
        <v>254</v>
      </c>
      <c r="B10" s="1" t="s">
        <v>256</v>
      </c>
      <c r="C10" s="1"/>
    </row>
    <row r="12" spans="1:15" x14ac:dyDescent="0.35">
      <c r="B12" s="560">
        <v>1</v>
      </c>
      <c r="C12" s="560"/>
      <c r="D12" s="560"/>
      <c r="F12" s="23">
        <v>2</v>
      </c>
      <c r="G12" s="23">
        <v>3</v>
      </c>
      <c r="H12" s="23">
        <v>4</v>
      </c>
      <c r="J12" s="23">
        <v>5</v>
      </c>
      <c r="K12" s="23">
        <v>6</v>
      </c>
      <c r="L12" s="23">
        <v>7</v>
      </c>
      <c r="N12" s="23">
        <v>8</v>
      </c>
      <c r="O12" s="23">
        <v>9</v>
      </c>
    </row>
    <row r="13" spans="1:15" x14ac:dyDescent="0.35">
      <c r="B13" s="561" t="s">
        <v>255</v>
      </c>
      <c r="C13" s="561"/>
      <c r="D13" s="561"/>
      <c r="F13" s="563" t="s">
        <v>261</v>
      </c>
      <c r="G13" s="568"/>
      <c r="H13" s="564"/>
      <c r="J13" s="563" t="s">
        <v>262</v>
      </c>
      <c r="K13" s="568"/>
      <c r="L13" s="564"/>
      <c r="N13" s="562" t="s">
        <v>250</v>
      </c>
      <c r="O13" s="562" t="s">
        <v>312</v>
      </c>
    </row>
    <row r="14" spans="1:15" ht="55.5" customHeight="1" x14ac:dyDescent="0.35">
      <c r="B14" s="561"/>
      <c r="C14" s="561"/>
      <c r="D14" s="561"/>
      <c r="E14" s="48"/>
      <c r="F14" s="10" t="s">
        <v>214</v>
      </c>
      <c r="G14" s="142" t="s">
        <v>493</v>
      </c>
      <c r="H14" s="142" t="s">
        <v>215</v>
      </c>
      <c r="I14" s="99"/>
      <c r="J14" s="142" t="s">
        <v>214</v>
      </c>
      <c r="K14" s="142" t="s">
        <v>493</v>
      </c>
      <c r="L14" s="10" t="s">
        <v>215</v>
      </c>
      <c r="M14" s="48"/>
      <c r="N14" s="562"/>
      <c r="O14" s="562"/>
    </row>
    <row r="15" spans="1:15" x14ac:dyDescent="0.35">
      <c r="A15" s="24">
        <v>1</v>
      </c>
      <c r="B15" s="565"/>
      <c r="C15" s="565"/>
      <c r="D15" s="565"/>
      <c r="F15" s="114"/>
      <c r="G15" s="68">
        <f>IFERROR(F15*'As-Filed Schedule 1'!$E$103,0)</f>
        <v>0</v>
      </c>
      <c r="H15" s="68">
        <f>SUM(F15:G15)</f>
        <v>0</v>
      </c>
      <c r="J15" s="114"/>
      <c r="K15" s="68">
        <f>IFERROR(J15*'As-Filed Schedule 1'!$E$103,0)</f>
        <v>0</v>
      </c>
      <c r="L15" s="68">
        <f>SUM(J15:K15)</f>
        <v>0</v>
      </c>
      <c r="N15" s="117"/>
      <c r="O15" s="117"/>
    </row>
    <row r="16" spans="1:15" x14ac:dyDescent="0.35">
      <c r="A16" s="24">
        <v>2</v>
      </c>
      <c r="B16" s="603"/>
      <c r="C16" s="604"/>
      <c r="D16" s="605"/>
      <c r="F16" s="114"/>
      <c r="G16" s="68">
        <f>IFERROR(F16*'As-Filed Schedule 1'!$E$103,0)</f>
        <v>0</v>
      </c>
      <c r="H16" s="68">
        <f t="shared" ref="H16:H72" si="0">SUM(F16:G16)</f>
        <v>0</v>
      </c>
      <c r="J16" s="114"/>
      <c r="K16" s="68">
        <f>IFERROR(J16*'As-Filed Schedule 1'!$E$103,0)</f>
        <v>0</v>
      </c>
      <c r="L16" s="68">
        <f t="shared" ref="L16:L72" si="1">SUM(J16:K16)</f>
        <v>0</v>
      </c>
      <c r="N16" s="117"/>
      <c r="O16" s="117"/>
    </row>
    <row r="17" spans="1:15" x14ac:dyDescent="0.35">
      <c r="A17" s="24">
        <v>3</v>
      </c>
      <c r="B17" s="565"/>
      <c r="C17" s="565"/>
      <c r="D17" s="565"/>
      <c r="F17" s="114"/>
      <c r="G17" s="68">
        <f>IFERROR(F17*'As-Filed Schedule 1'!$E$103,0)</f>
        <v>0</v>
      </c>
      <c r="H17" s="68">
        <f t="shared" si="0"/>
        <v>0</v>
      </c>
      <c r="J17" s="114"/>
      <c r="K17" s="68">
        <f>IFERROR(J17*'As-Filed Schedule 1'!$E$103,0)</f>
        <v>0</v>
      </c>
      <c r="L17" s="68">
        <f t="shared" si="1"/>
        <v>0</v>
      </c>
      <c r="N17" s="117"/>
      <c r="O17" s="117"/>
    </row>
    <row r="18" spans="1:15" x14ac:dyDescent="0.35">
      <c r="A18" s="24">
        <v>4</v>
      </c>
      <c r="B18" s="565"/>
      <c r="C18" s="565"/>
      <c r="D18" s="565"/>
      <c r="F18" s="114"/>
      <c r="G18" s="68">
        <f>IFERROR(F18*'As-Filed Schedule 1'!$E$103,0)</f>
        <v>0</v>
      </c>
      <c r="H18" s="68">
        <f t="shared" si="0"/>
        <v>0</v>
      </c>
      <c r="J18" s="114"/>
      <c r="K18" s="68">
        <f>IFERROR(J18*'As-Filed Schedule 1'!$E$103,0)</f>
        <v>0</v>
      </c>
      <c r="L18" s="68">
        <f t="shared" si="1"/>
        <v>0</v>
      </c>
      <c r="N18" s="117"/>
      <c r="O18" s="117"/>
    </row>
    <row r="19" spans="1:15" x14ac:dyDescent="0.35">
      <c r="A19" s="24">
        <v>5</v>
      </c>
      <c r="B19" s="565"/>
      <c r="C19" s="565"/>
      <c r="D19" s="565"/>
      <c r="F19" s="114"/>
      <c r="G19" s="68">
        <f>IFERROR(F19*'As-Filed Schedule 1'!$E$103,0)</f>
        <v>0</v>
      </c>
      <c r="H19" s="68">
        <f t="shared" si="0"/>
        <v>0</v>
      </c>
      <c r="J19" s="114"/>
      <c r="K19" s="68">
        <f>IFERROR(J19*'As-Filed Schedule 1'!$E$103,0)</f>
        <v>0</v>
      </c>
      <c r="L19" s="68">
        <f t="shared" si="1"/>
        <v>0</v>
      </c>
      <c r="N19" s="117"/>
      <c r="O19" s="117"/>
    </row>
    <row r="20" spans="1:15" x14ac:dyDescent="0.35">
      <c r="A20" s="24">
        <v>6</v>
      </c>
      <c r="B20" s="565"/>
      <c r="C20" s="565"/>
      <c r="D20" s="565"/>
      <c r="F20" s="114"/>
      <c r="G20" s="68">
        <f>IFERROR(F20*'As-Filed Schedule 1'!$E$103,0)</f>
        <v>0</v>
      </c>
      <c r="H20" s="68">
        <f t="shared" si="0"/>
        <v>0</v>
      </c>
      <c r="J20" s="114"/>
      <c r="K20" s="68">
        <f>IFERROR(J20*'As-Filed Schedule 1'!$E$103,0)</f>
        <v>0</v>
      </c>
      <c r="L20" s="68">
        <f t="shared" si="1"/>
        <v>0</v>
      </c>
      <c r="N20" s="117"/>
      <c r="O20" s="117"/>
    </row>
    <row r="21" spans="1:15" x14ac:dyDescent="0.35">
      <c r="A21" s="24">
        <v>7</v>
      </c>
      <c r="B21" s="565"/>
      <c r="C21" s="565"/>
      <c r="D21" s="565"/>
      <c r="F21" s="114"/>
      <c r="G21" s="68">
        <f>IFERROR(F21*'As-Filed Schedule 1'!$E$103,0)</f>
        <v>0</v>
      </c>
      <c r="H21" s="68">
        <f t="shared" si="0"/>
        <v>0</v>
      </c>
      <c r="J21" s="114"/>
      <c r="K21" s="68">
        <f>IFERROR(J21*'As-Filed Schedule 1'!$E$103,0)</f>
        <v>0</v>
      </c>
      <c r="L21" s="68">
        <f t="shared" si="1"/>
        <v>0</v>
      </c>
      <c r="N21" s="117"/>
      <c r="O21" s="117"/>
    </row>
    <row r="22" spans="1:15" x14ac:dyDescent="0.35">
      <c r="A22" s="24">
        <v>8</v>
      </c>
      <c r="B22" s="565"/>
      <c r="C22" s="565"/>
      <c r="D22" s="565"/>
      <c r="F22" s="114"/>
      <c r="G22" s="68">
        <f>IFERROR(F22*'As-Filed Schedule 1'!$E$103,0)</f>
        <v>0</v>
      </c>
      <c r="H22" s="68">
        <f t="shared" si="0"/>
        <v>0</v>
      </c>
      <c r="J22" s="114"/>
      <c r="K22" s="68">
        <f>IFERROR(J22*'As-Filed Schedule 1'!$E$103,0)</f>
        <v>0</v>
      </c>
      <c r="L22" s="68">
        <f t="shared" si="1"/>
        <v>0</v>
      </c>
      <c r="N22" s="117"/>
      <c r="O22" s="117"/>
    </row>
    <row r="23" spans="1:15" x14ac:dyDescent="0.35">
      <c r="A23" s="24">
        <v>9</v>
      </c>
      <c r="B23" s="565"/>
      <c r="C23" s="565"/>
      <c r="D23" s="565"/>
      <c r="F23" s="114"/>
      <c r="G23" s="68">
        <f>IFERROR(F23*'As-Filed Schedule 1'!$E$103,0)</f>
        <v>0</v>
      </c>
      <c r="H23" s="68">
        <f t="shared" si="0"/>
        <v>0</v>
      </c>
      <c r="J23" s="114"/>
      <c r="K23" s="68">
        <f>IFERROR(J23*'As-Filed Schedule 1'!$E$103,0)</f>
        <v>0</v>
      </c>
      <c r="L23" s="68">
        <f t="shared" si="1"/>
        <v>0</v>
      </c>
      <c r="N23" s="117"/>
      <c r="O23" s="117"/>
    </row>
    <row r="24" spans="1:15" x14ac:dyDescent="0.35">
      <c r="A24" s="24">
        <v>10</v>
      </c>
      <c r="B24" s="565"/>
      <c r="C24" s="565"/>
      <c r="D24" s="565"/>
      <c r="F24" s="114"/>
      <c r="G24" s="68">
        <f>IFERROR(F24*'As-Filed Schedule 1'!$E$103,0)</f>
        <v>0</v>
      </c>
      <c r="H24" s="68">
        <f t="shared" si="0"/>
        <v>0</v>
      </c>
      <c r="J24" s="114"/>
      <c r="K24" s="68">
        <f>IFERROR(J24*'As-Filed Schedule 1'!$E$103,0)</f>
        <v>0</v>
      </c>
      <c r="L24" s="68">
        <f t="shared" si="1"/>
        <v>0</v>
      </c>
      <c r="N24" s="117"/>
      <c r="O24" s="117"/>
    </row>
    <row r="25" spans="1:15" x14ac:dyDescent="0.35">
      <c r="A25" s="24">
        <v>11</v>
      </c>
      <c r="B25" s="565"/>
      <c r="C25" s="565"/>
      <c r="D25" s="565"/>
      <c r="F25" s="114"/>
      <c r="G25" s="68">
        <f>IFERROR(F25*'As-Filed Schedule 1'!$E$103,0)</f>
        <v>0</v>
      </c>
      <c r="H25" s="68">
        <f t="shared" si="0"/>
        <v>0</v>
      </c>
      <c r="J25" s="114"/>
      <c r="K25" s="68">
        <f>IFERROR(J25*'As-Filed Schedule 1'!$E$103,0)</f>
        <v>0</v>
      </c>
      <c r="L25" s="68">
        <f t="shared" si="1"/>
        <v>0</v>
      </c>
      <c r="N25" s="117"/>
      <c r="O25" s="117"/>
    </row>
    <row r="26" spans="1:15" x14ac:dyDescent="0.35">
      <c r="A26" s="24">
        <v>12</v>
      </c>
      <c r="B26" s="565"/>
      <c r="C26" s="565"/>
      <c r="D26" s="565"/>
      <c r="F26" s="114"/>
      <c r="G26" s="68">
        <f>IFERROR(F26*'As-Filed Schedule 1'!$E$103,0)</f>
        <v>0</v>
      </c>
      <c r="H26" s="68">
        <f t="shared" si="0"/>
        <v>0</v>
      </c>
      <c r="J26" s="114"/>
      <c r="K26" s="68">
        <f>IFERROR(J26*'As-Filed Schedule 1'!$E$103,0)</f>
        <v>0</v>
      </c>
      <c r="L26" s="68">
        <f t="shared" si="1"/>
        <v>0</v>
      </c>
      <c r="N26" s="117"/>
      <c r="O26" s="117"/>
    </row>
    <row r="27" spans="1:15" x14ac:dyDescent="0.35">
      <c r="A27" s="24">
        <v>13</v>
      </c>
      <c r="B27" s="565"/>
      <c r="C27" s="565"/>
      <c r="D27" s="565"/>
      <c r="F27" s="114"/>
      <c r="G27" s="68">
        <f>IFERROR(F27*'As-Filed Schedule 1'!$E$103,0)</f>
        <v>0</v>
      </c>
      <c r="H27" s="68">
        <f t="shared" si="0"/>
        <v>0</v>
      </c>
      <c r="J27" s="114"/>
      <c r="K27" s="68">
        <f>IFERROR(J27*'As-Filed Schedule 1'!$E$103,0)</f>
        <v>0</v>
      </c>
      <c r="L27" s="68">
        <f t="shared" si="1"/>
        <v>0</v>
      </c>
      <c r="N27" s="117"/>
      <c r="O27" s="117"/>
    </row>
    <row r="28" spans="1:15" x14ac:dyDescent="0.35">
      <c r="A28" s="24">
        <v>14</v>
      </c>
      <c r="B28" s="565"/>
      <c r="C28" s="565"/>
      <c r="D28" s="565"/>
      <c r="F28" s="114"/>
      <c r="G28" s="68">
        <f>IFERROR(F28*'As-Filed Schedule 1'!$E$103,0)</f>
        <v>0</v>
      </c>
      <c r="H28" s="68">
        <f t="shared" si="0"/>
        <v>0</v>
      </c>
      <c r="J28" s="114"/>
      <c r="K28" s="68">
        <f>IFERROR(J28*'As-Filed Schedule 1'!$E$103,0)</f>
        <v>0</v>
      </c>
      <c r="L28" s="68">
        <f t="shared" si="1"/>
        <v>0</v>
      </c>
      <c r="N28" s="117"/>
      <c r="O28" s="117"/>
    </row>
    <row r="29" spans="1:15" x14ac:dyDescent="0.35">
      <c r="A29" s="24">
        <v>15</v>
      </c>
      <c r="B29" s="565"/>
      <c r="C29" s="565"/>
      <c r="D29" s="565"/>
      <c r="F29" s="114"/>
      <c r="G29" s="68">
        <f>IFERROR(F29*'As-Filed Schedule 1'!$E$103,0)</f>
        <v>0</v>
      </c>
      <c r="H29" s="68">
        <f t="shared" si="0"/>
        <v>0</v>
      </c>
      <c r="J29" s="114"/>
      <c r="K29" s="68">
        <f>IFERROR(J29*'As-Filed Schedule 1'!$E$103,0)</f>
        <v>0</v>
      </c>
      <c r="L29" s="68">
        <f t="shared" si="1"/>
        <v>0</v>
      </c>
      <c r="N29" s="117"/>
      <c r="O29" s="117"/>
    </row>
    <row r="30" spans="1:15" x14ac:dyDescent="0.35">
      <c r="A30" s="24">
        <v>16</v>
      </c>
      <c r="B30" s="565"/>
      <c r="C30" s="565"/>
      <c r="D30" s="565"/>
      <c r="F30" s="114"/>
      <c r="G30" s="68">
        <f>IFERROR(F30*'As-Filed Schedule 1'!$E$103,0)</f>
        <v>0</v>
      </c>
      <c r="H30" s="68">
        <f t="shared" si="0"/>
        <v>0</v>
      </c>
      <c r="J30" s="114"/>
      <c r="K30" s="68">
        <f>IFERROR(J30*'As-Filed Schedule 1'!$E$103,0)</f>
        <v>0</v>
      </c>
      <c r="L30" s="68">
        <f t="shared" si="1"/>
        <v>0</v>
      </c>
      <c r="N30" s="117"/>
      <c r="O30" s="117"/>
    </row>
    <row r="31" spans="1:15" x14ac:dyDescent="0.35">
      <c r="A31" s="24">
        <v>17</v>
      </c>
      <c r="B31" s="565"/>
      <c r="C31" s="565"/>
      <c r="D31" s="565"/>
      <c r="F31" s="114"/>
      <c r="G31" s="68">
        <f>IFERROR(F31*'As-Filed Schedule 1'!$E$103,0)</f>
        <v>0</v>
      </c>
      <c r="H31" s="68">
        <f t="shared" si="0"/>
        <v>0</v>
      </c>
      <c r="J31" s="114"/>
      <c r="K31" s="68">
        <f>IFERROR(J31*'As-Filed Schedule 1'!$E$103,0)</f>
        <v>0</v>
      </c>
      <c r="L31" s="68">
        <f t="shared" si="1"/>
        <v>0</v>
      </c>
      <c r="N31" s="117"/>
      <c r="O31" s="117"/>
    </row>
    <row r="32" spans="1:15" x14ac:dyDescent="0.35">
      <c r="A32" s="24">
        <v>18</v>
      </c>
      <c r="B32" s="565"/>
      <c r="C32" s="565"/>
      <c r="D32" s="565"/>
      <c r="F32" s="114"/>
      <c r="G32" s="68">
        <f>IFERROR(F32*'As-Filed Schedule 1'!$E$103,0)</f>
        <v>0</v>
      </c>
      <c r="H32" s="68">
        <f t="shared" si="0"/>
        <v>0</v>
      </c>
      <c r="J32" s="114"/>
      <c r="K32" s="68">
        <f>IFERROR(J32*'As-Filed Schedule 1'!$E$103,0)</f>
        <v>0</v>
      </c>
      <c r="L32" s="68">
        <f t="shared" si="1"/>
        <v>0</v>
      </c>
      <c r="N32" s="117"/>
      <c r="O32" s="117"/>
    </row>
    <row r="33" spans="1:15" x14ac:dyDescent="0.35">
      <c r="A33" s="24">
        <v>19</v>
      </c>
      <c r="B33" s="565"/>
      <c r="C33" s="565"/>
      <c r="D33" s="565"/>
      <c r="F33" s="114"/>
      <c r="G33" s="68">
        <f>IFERROR(F33*'As-Filed Schedule 1'!$E$103,0)</f>
        <v>0</v>
      </c>
      <c r="H33" s="68">
        <f t="shared" si="0"/>
        <v>0</v>
      </c>
      <c r="J33" s="114"/>
      <c r="K33" s="68">
        <f>IFERROR(J33*'As-Filed Schedule 1'!$E$103,0)</f>
        <v>0</v>
      </c>
      <c r="L33" s="68">
        <f t="shared" si="1"/>
        <v>0</v>
      </c>
      <c r="N33" s="117"/>
      <c r="O33" s="117"/>
    </row>
    <row r="34" spans="1:15" x14ac:dyDescent="0.35">
      <c r="A34" s="24">
        <v>20</v>
      </c>
      <c r="B34" s="565"/>
      <c r="C34" s="565"/>
      <c r="D34" s="565"/>
      <c r="F34" s="114"/>
      <c r="G34" s="68">
        <f>IFERROR(F34*'As-Filed Schedule 1'!$E$103,0)</f>
        <v>0</v>
      </c>
      <c r="H34" s="68">
        <f t="shared" si="0"/>
        <v>0</v>
      </c>
      <c r="J34" s="114"/>
      <c r="K34" s="68">
        <f>IFERROR(J34*'As-Filed Schedule 1'!$E$103,0)</f>
        <v>0</v>
      </c>
      <c r="L34" s="68">
        <f t="shared" si="1"/>
        <v>0</v>
      </c>
      <c r="N34" s="117"/>
      <c r="O34" s="117"/>
    </row>
    <row r="35" spans="1:15" x14ac:dyDescent="0.35">
      <c r="A35" s="24">
        <v>21</v>
      </c>
      <c r="B35" s="565"/>
      <c r="C35" s="565"/>
      <c r="D35" s="565"/>
      <c r="F35" s="114"/>
      <c r="G35" s="68">
        <f>IFERROR(F35*'As-Filed Schedule 1'!$E$103,0)</f>
        <v>0</v>
      </c>
      <c r="H35" s="68">
        <f t="shared" si="0"/>
        <v>0</v>
      </c>
      <c r="J35" s="114"/>
      <c r="K35" s="68">
        <f>IFERROR(J35*'As-Filed Schedule 1'!$E$103,0)</f>
        <v>0</v>
      </c>
      <c r="L35" s="68">
        <f t="shared" si="1"/>
        <v>0</v>
      </c>
      <c r="N35" s="117"/>
      <c r="O35" s="117"/>
    </row>
    <row r="36" spans="1:15" x14ac:dyDescent="0.35">
      <c r="A36" s="24">
        <v>22</v>
      </c>
      <c r="B36" s="565"/>
      <c r="C36" s="565"/>
      <c r="D36" s="565"/>
      <c r="F36" s="114"/>
      <c r="G36" s="68">
        <f>IFERROR(F36*'As-Filed Schedule 1'!$E$103,0)</f>
        <v>0</v>
      </c>
      <c r="H36" s="68">
        <f t="shared" si="0"/>
        <v>0</v>
      </c>
      <c r="J36" s="114"/>
      <c r="K36" s="68">
        <f>IFERROR(J36*'As-Filed Schedule 1'!$E$103,0)</f>
        <v>0</v>
      </c>
      <c r="L36" s="68">
        <f t="shared" si="1"/>
        <v>0</v>
      </c>
      <c r="N36" s="117"/>
      <c r="O36" s="117"/>
    </row>
    <row r="37" spans="1:15" x14ac:dyDescent="0.35">
      <c r="A37" s="24">
        <v>23</v>
      </c>
      <c r="B37" s="565"/>
      <c r="C37" s="565"/>
      <c r="D37" s="565"/>
      <c r="F37" s="114"/>
      <c r="G37" s="68">
        <f>IFERROR(F37*'As-Filed Schedule 1'!$E$103,0)</f>
        <v>0</v>
      </c>
      <c r="H37" s="68">
        <f t="shared" si="0"/>
        <v>0</v>
      </c>
      <c r="J37" s="114"/>
      <c r="K37" s="68">
        <f>IFERROR(J37*'As-Filed Schedule 1'!$E$103,0)</f>
        <v>0</v>
      </c>
      <c r="L37" s="68">
        <f t="shared" si="1"/>
        <v>0</v>
      </c>
      <c r="N37" s="117"/>
      <c r="O37" s="117"/>
    </row>
    <row r="38" spans="1:15" x14ac:dyDescent="0.35">
      <c r="A38" s="24">
        <v>24</v>
      </c>
      <c r="B38" s="565"/>
      <c r="C38" s="565"/>
      <c r="D38" s="565"/>
      <c r="F38" s="114"/>
      <c r="G38" s="68">
        <f>IFERROR(F38*'As-Filed Schedule 1'!$E$103,0)</f>
        <v>0</v>
      </c>
      <c r="H38" s="68">
        <f t="shared" si="0"/>
        <v>0</v>
      </c>
      <c r="J38" s="114"/>
      <c r="K38" s="68">
        <f>IFERROR(J38*'As-Filed Schedule 1'!$E$103,0)</f>
        <v>0</v>
      </c>
      <c r="L38" s="68">
        <f t="shared" si="1"/>
        <v>0</v>
      </c>
      <c r="N38" s="117"/>
      <c r="O38" s="117"/>
    </row>
    <row r="39" spans="1:15" x14ac:dyDescent="0.35">
      <c r="A39" s="24">
        <v>25</v>
      </c>
      <c r="B39" s="565"/>
      <c r="C39" s="565"/>
      <c r="D39" s="565"/>
      <c r="F39" s="114"/>
      <c r="G39" s="68">
        <f>IFERROR(F39*'As-Filed Schedule 1'!$E$103,0)</f>
        <v>0</v>
      </c>
      <c r="H39" s="68">
        <f t="shared" si="0"/>
        <v>0</v>
      </c>
      <c r="J39" s="114"/>
      <c r="K39" s="68">
        <f>IFERROR(J39*'As-Filed Schedule 1'!$E$103,0)</f>
        <v>0</v>
      </c>
      <c r="L39" s="68">
        <f t="shared" si="1"/>
        <v>0</v>
      </c>
      <c r="N39" s="117"/>
      <c r="O39" s="117"/>
    </row>
    <row r="40" spans="1:15" x14ac:dyDescent="0.35">
      <c r="A40" s="24">
        <v>26</v>
      </c>
      <c r="B40" s="565"/>
      <c r="C40" s="565"/>
      <c r="D40" s="565"/>
      <c r="F40" s="114"/>
      <c r="G40" s="68">
        <f>IFERROR(F40*'As-Filed Schedule 1'!$E$103,0)</f>
        <v>0</v>
      </c>
      <c r="H40" s="68">
        <f t="shared" si="0"/>
        <v>0</v>
      </c>
      <c r="J40" s="114"/>
      <c r="K40" s="68">
        <f>IFERROR(J40*'As-Filed Schedule 1'!$E$103,0)</f>
        <v>0</v>
      </c>
      <c r="L40" s="68">
        <f t="shared" si="1"/>
        <v>0</v>
      </c>
      <c r="N40" s="117"/>
      <c r="O40" s="117"/>
    </row>
    <row r="41" spans="1:15" x14ac:dyDescent="0.35">
      <c r="A41" s="24">
        <v>27</v>
      </c>
      <c r="B41" s="565"/>
      <c r="C41" s="565"/>
      <c r="D41" s="565"/>
      <c r="F41" s="114"/>
      <c r="G41" s="68">
        <f>IFERROR(F41*'As-Filed Schedule 1'!$E$103,0)</f>
        <v>0</v>
      </c>
      <c r="H41" s="68">
        <f t="shared" si="0"/>
        <v>0</v>
      </c>
      <c r="J41" s="114"/>
      <c r="K41" s="68">
        <f>IFERROR(J41*'As-Filed Schedule 1'!$E$103,0)</f>
        <v>0</v>
      </c>
      <c r="L41" s="68">
        <f t="shared" si="1"/>
        <v>0</v>
      </c>
      <c r="N41" s="117"/>
      <c r="O41" s="117"/>
    </row>
    <row r="42" spans="1:15" x14ac:dyDescent="0.35">
      <c r="A42" s="24">
        <v>28</v>
      </c>
      <c r="B42" s="565"/>
      <c r="C42" s="565"/>
      <c r="D42" s="565"/>
      <c r="F42" s="114"/>
      <c r="G42" s="68">
        <f>IFERROR(F42*'As-Filed Schedule 1'!$E$103,0)</f>
        <v>0</v>
      </c>
      <c r="H42" s="68">
        <f t="shared" si="0"/>
        <v>0</v>
      </c>
      <c r="J42" s="114"/>
      <c r="K42" s="68">
        <f>IFERROR(J42*'As-Filed Schedule 1'!$E$103,0)</f>
        <v>0</v>
      </c>
      <c r="L42" s="68">
        <f t="shared" si="1"/>
        <v>0</v>
      </c>
      <c r="N42" s="117"/>
      <c r="O42" s="117"/>
    </row>
    <row r="43" spans="1:15" x14ac:dyDescent="0.35">
      <c r="A43" s="24">
        <v>29</v>
      </c>
      <c r="B43" s="565"/>
      <c r="C43" s="565"/>
      <c r="D43" s="565"/>
      <c r="F43" s="114"/>
      <c r="G43" s="68">
        <f>IFERROR(F43*'As-Filed Schedule 1'!$E$103,0)</f>
        <v>0</v>
      </c>
      <c r="H43" s="68">
        <f t="shared" si="0"/>
        <v>0</v>
      </c>
      <c r="J43" s="114"/>
      <c r="K43" s="68">
        <f>IFERROR(J43*'As-Filed Schedule 1'!$E$103,0)</f>
        <v>0</v>
      </c>
      <c r="L43" s="68">
        <f t="shared" si="1"/>
        <v>0</v>
      </c>
      <c r="N43" s="117"/>
      <c r="O43" s="117"/>
    </row>
    <row r="44" spans="1:15" x14ac:dyDescent="0.35">
      <c r="A44" s="24">
        <v>30</v>
      </c>
      <c r="B44" s="565"/>
      <c r="C44" s="565"/>
      <c r="D44" s="565"/>
      <c r="F44" s="114"/>
      <c r="G44" s="68">
        <f>IFERROR(F44*'As-Filed Schedule 1'!$E$103,0)</f>
        <v>0</v>
      </c>
      <c r="H44" s="68">
        <f t="shared" si="0"/>
        <v>0</v>
      </c>
      <c r="J44" s="114"/>
      <c r="K44" s="68">
        <f>IFERROR(J44*'As-Filed Schedule 1'!$E$103,0)</f>
        <v>0</v>
      </c>
      <c r="L44" s="68">
        <f t="shared" si="1"/>
        <v>0</v>
      </c>
      <c r="N44" s="117"/>
      <c r="O44" s="117"/>
    </row>
    <row r="45" spans="1:15" x14ac:dyDescent="0.35">
      <c r="A45" s="24">
        <v>31</v>
      </c>
      <c r="B45" s="565"/>
      <c r="C45" s="565"/>
      <c r="D45" s="565"/>
      <c r="F45" s="114"/>
      <c r="G45" s="68">
        <f>IFERROR(F45*'As-Filed Schedule 1'!$E$103,0)</f>
        <v>0</v>
      </c>
      <c r="H45" s="68">
        <f t="shared" si="0"/>
        <v>0</v>
      </c>
      <c r="J45" s="114"/>
      <c r="K45" s="68">
        <f>IFERROR(J45*'As-Filed Schedule 1'!$E$103,0)</f>
        <v>0</v>
      </c>
      <c r="L45" s="68">
        <f t="shared" si="1"/>
        <v>0</v>
      </c>
      <c r="N45" s="117"/>
      <c r="O45" s="117"/>
    </row>
    <row r="46" spans="1:15" x14ac:dyDescent="0.35">
      <c r="A46" s="24">
        <v>32</v>
      </c>
      <c r="B46" s="565"/>
      <c r="C46" s="565"/>
      <c r="D46" s="565"/>
      <c r="F46" s="114"/>
      <c r="G46" s="68">
        <f>IFERROR(F46*'As-Filed Schedule 1'!$E$103,0)</f>
        <v>0</v>
      </c>
      <c r="H46" s="68">
        <f t="shared" si="0"/>
        <v>0</v>
      </c>
      <c r="J46" s="114"/>
      <c r="K46" s="68">
        <f>IFERROR(J46*'As-Filed Schedule 1'!$E$103,0)</f>
        <v>0</v>
      </c>
      <c r="L46" s="68">
        <f t="shared" si="1"/>
        <v>0</v>
      </c>
      <c r="N46" s="117"/>
      <c r="O46" s="117"/>
    </row>
    <row r="47" spans="1:15" x14ac:dyDescent="0.35">
      <c r="A47" s="24">
        <v>33</v>
      </c>
      <c r="B47" s="565"/>
      <c r="C47" s="565"/>
      <c r="D47" s="565"/>
      <c r="F47" s="114"/>
      <c r="G47" s="68">
        <f>IFERROR(F47*'As-Filed Schedule 1'!$E$103,0)</f>
        <v>0</v>
      </c>
      <c r="H47" s="68">
        <f t="shared" si="0"/>
        <v>0</v>
      </c>
      <c r="J47" s="114"/>
      <c r="K47" s="68">
        <f>IFERROR(J47*'As-Filed Schedule 1'!$E$103,0)</f>
        <v>0</v>
      </c>
      <c r="L47" s="68">
        <f t="shared" si="1"/>
        <v>0</v>
      </c>
      <c r="N47" s="117"/>
      <c r="O47" s="117"/>
    </row>
    <row r="48" spans="1:15" x14ac:dyDescent="0.35">
      <c r="A48" s="24">
        <v>34</v>
      </c>
      <c r="B48" s="565"/>
      <c r="C48" s="565"/>
      <c r="D48" s="565"/>
      <c r="F48" s="114"/>
      <c r="G48" s="68">
        <f>IFERROR(F48*'As-Filed Schedule 1'!$E$103,0)</f>
        <v>0</v>
      </c>
      <c r="H48" s="68">
        <f t="shared" si="0"/>
        <v>0</v>
      </c>
      <c r="J48" s="114"/>
      <c r="K48" s="68">
        <f>IFERROR(J48*'As-Filed Schedule 1'!$E$103,0)</f>
        <v>0</v>
      </c>
      <c r="L48" s="68">
        <f t="shared" si="1"/>
        <v>0</v>
      </c>
      <c r="N48" s="117"/>
      <c r="O48" s="117"/>
    </row>
    <row r="49" spans="1:15" x14ac:dyDescent="0.35">
      <c r="A49" s="24">
        <v>35</v>
      </c>
      <c r="B49" s="565"/>
      <c r="C49" s="565"/>
      <c r="D49" s="565"/>
      <c r="F49" s="114"/>
      <c r="G49" s="68">
        <f>IFERROR(F49*'As-Filed Schedule 1'!$E$103,0)</f>
        <v>0</v>
      </c>
      <c r="H49" s="68">
        <f t="shared" si="0"/>
        <v>0</v>
      </c>
      <c r="J49" s="114"/>
      <c r="K49" s="68">
        <f>IFERROR(J49*'As-Filed Schedule 1'!$E$103,0)</f>
        <v>0</v>
      </c>
      <c r="L49" s="68">
        <f t="shared" si="1"/>
        <v>0</v>
      </c>
      <c r="N49" s="117"/>
      <c r="O49" s="117"/>
    </row>
    <row r="50" spans="1:15" x14ac:dyDescent="0.35">
      <c r="A50" s="24">
        <v>36</v>
      </c>
      <c r="B50" s="565"/>
      <c r="C50" s="565"/>
      <c r="D50" s="565"/>
      <c r="F50" s="114"/>
      <c r="G50" s="68">
        <f>IFERROR(F50*'As-Filed Schedule 1'!$E$103,0)</f>
        <v>0</v>
      </c>
      <c r="H50" s="68">
        <f t="shared" si="0"/>
        <v>0</v>
      </c>
      <c r="J50" s="114"/>
      <c r="K50" s="68">
        <f>IFERROR(J50*'As-Filed Schedule 1'!$E$103,0)</f>
        <v>0</v>
      </c>
      <c r="L50" s="68">
        <f t="shared" si="1"/>
        <v>0</v>
      </c>
      <c r="N50" s="117"/>
      <c r="O50" s="117"/>
    </row>
    <row r="51" spans="1:15" x14ac:dyDescent="0.35">
      <c r="A51" s="24">
        <v>37</v>
      </c>
      <c r="B51" s="565"/>
      <c r="C51" s="565"/>
      <c r="D51" s="565"/>
      <c r="F51" s="114"/>
      <c r="G51" s="68">
        <f>IFERROR(F51*'As-Filed Schedule 1'!$E$103,0)</f>
        <v>0</v>
      </c>
      <c r="H51" s="68">
        <f t="shared" si="0"/>
        <v>0</v>
      </c>
      <c r="J51" s="114"/>
      <c r="K51" s="68">
        <f>IFERROR(J51*'As-Filed Schedule 1'!$E$103,0)</f>
        <v>0</v>
      </c>
      <c r="L51" s="68">
        <f t="shared" si="1"/>
        <v>0</v>
      </c>
      <c r="N51" s="117"/>
      <c r="O51" s="117"/>
    </row>
    <row r="52" spans="1:15" x14ac:dyDescent="0.35">
      <c r="A52" s="24">
        <v>38</v>
      </c>
      <c r="B52" s="565"/>
      <c r="C52" s="565"/>
      <c r="D52" s="565"/>
      <c r="F52" s="114"/>
      <c r="G52" s="68">
        <f>IFERROR(F52*'As-Filed Schedule 1'!$E$103,0)</f>
        <v>0</v>
      </c>
      <c r="H52" s="68">
        <f t="shared" si="0"/>
        <v>0</v>
      </c>
      <c r="J52" s="114"/>
      <c r="K52" s="68">
        <f>IFERROR(J52*'As-Filed Schedule 1'!$E$103,0)</f>
        <v>0</v>
      </c>
      <c r="L52" s="68">
        <f t="shared" si="1"/>
        <v>0</v>
      </c>
      <c r="N52" s="117"/>
      <c r="O52" s="117"/>
    </row>
    <row r="53" spans="1:15" x14ac:dyDescent="0.35">
      <c r="A53" s="24">
        <v>39</v>
      </c>
      <c r="B53" s="565"/>
      <c r="C53" s="565"/>
      <c r="D53" s="565"/>
      <c r="F53" s="114"/>
      <c r="G53" s="68">
        <f>IFERROR(F53*'As-Filed Schedule 1'!$E$103,0)</f>
        <v>0</v>
      </c>
      <c r="H53" s="68">
        <f t="shared" si="0"/>
        <v>0</v>
      </c>
      <c r="J53" s="114"/>
      <c r="K53" s="68">
        <f>IFERROR(J53*'As-Filed Schedule 1'!$E$103,0)</f>
        <v>0</v>
      </c>
      <c r="L53" s="68">
        <f t="shared" si="1"/>
        <v>0</v>
      </c>
      <c r="N53" s="117"/>
      <c r="O53" s="117"/>
    </row>
    <row r="54" spans="1:15" x14ac:dyDescent="0.35">
      <c r="A54" s="24">
        <v>40</v>
      </c>
      <c r="B54" s="565"/>
      <c r="C54" s="565"/>
      <c r="D54" s="565"/>
      <c r="F54" s="114"/>
      <c r="G54" s="68">
        <f>IFERROR(F54*'As-Filed Schedule 1'!$E$103,0)</f>
        <v>0</v>
      </c>
      <c r="H54" s="68">
        <f t="shared" si="0"/>
        <v>0</v>
      </c>
      <c r="J54" s="114"/>
      <c r="K54" s="68">
        <f>IFERROR(J54*'As-Filed Schedule 1'!$E$103,0)</f>
        <v>0</v>
      </c>
      <c r="L54" s="68">
        <f t="shared" si="1"/>
        <v>0</v>
      </c>
      <c r="N54" s="117"/>
      <c r="O54" s="117"/>
    </row>
    <row r="55" spans="1:15" x14ac:dyDescent="0.35">
      <c r="A55" s="24">
        <v>41</v>
      </c>
      <c r="B55" s="565"/>
      <c r="C55" s="565"/>
      <c r="D55" s="565"/>
      <c r="F55" s="114"/>
      <c r="G55" s="68">
        <f>IFERROR(F55*'As-Filed Schedule 1'!$E$103,0)</f>
        <v>0</v>
      </c>
      <c r="H55" s="68">
        <f t="shared" si="0"/>
        <v>0</v>
      </c>
      <c r="J55" s="114"/>
      <c r="K55" s="68">
        <f>IFERROR(J55*'As-Filed Schedule 1'!$E$103,0)</f>
        <v>0</v>
      </c>
      <c r="L55" s="68">
        <f t="shared" si="1"/>
        <v>0</v>
      </c>
      <c r="N55" s="117"/>
      <c r="O55" s="117"/>
    </row>
    <row r="56" spans="1:15" x14ac:dyDescent="0.35">
      <c r="A56" s="24">
        <v>42</v>
      </c>
      <c r="B56" s="565"/>
      <c r="C56" s="565"/>
      <c r="D56" s="565"/>
      <c r="F56" s="114"/>
      <c r="G56" s="68">
        <f>IFERROR(F56*'As-Filed Schedule 1'!$E$103,0)</f>
        <v>0</v>
      </c>
      <c r="H56" s="68">
        <f t="shared" si="0"/>
        <v>0</v>
      </c>
      <c r="J56" s="114"/>
      <c r="K56" s="68">
        <f>IFERROR(J56*'As-Filed Schedule 1'!$E$103,0)</f>
        <v>0</v>
      </c>
      <c r="L56" s="68">
        <f t="shared" si="1"/>
        <v>0</v>
      </c>
      <c r="N56" s="117"/>
      <c r="O56" s="117"/>
    </row>
    <row r="57" spans="1:15" x14ac:dyDescent="0.35">
      <c r="A57" s="24">
        <v>43</v>
      </c>
      <c r="B57" s="565"/>
      <c r="C57" s="565"/>
      <c r="D57" s="565"/>
      <c r="F57" s="114"/>
      <c r="G57" s="68">
        <f>IFERROR(F57*'As-Filed Schedule 1'!$E$103,0)</f>
        <v>0</v>
      </c>
      <c r="H57" s="68">
        <f t="shared" si="0"/>
        <v>0</v>
      </c>
      <c r="J57" s="114"/>
      <c r="K57" s="68">
        <f>IFERROR(J57*'As-Filed Schedule 1'!$E$103,0)</f>
        <v>0</v>
      </c>
      <c r="L57" s="68">
        <f t="shared" si="1"/>
        <v>0</v>
      </c>
      <c r="N57" s="117"/>
      <c r="O57" s="117"/>
    </row>
    <row r="58" spans="1:15" x14ac:dyDescent="0.35">
      <c r="A58" s="24">
        <v>44</v>
      </c>
      <c r="B58" s="565"/>
      <c r="C58" s="565"/>
      <c r="D58" s="565"/>
      <c r="F58" s="114"/>
      <c r="G58" s="68">
        <f>IFERROR(F58*'As-Filed Schedule 1'!$E$103,0)</f>
        <v>0</v>
      </c>
      <c r="H58" s="68">
        <f t="shared" si="0"/>
        <v>0</v>
      </c>
      <c r="J58" s="114"/>
      <c r="K58" s="68">
        <f>IFERROR(J58*'As-Filed Schedule 1'!$E$103,0)</f>
        <v>0</v>
      </c>
      <c r="L58" s="68">
        <f t="shared" si="1"/>
        <v>0</v>
      </c>
      <c r="N58" s="117"/>
      <c r="O58" s="117"/>
    </row>
    <row r="59" spans="1:15" x14ac:dyDescent="0.35">
      <c r="A59" s="24">
        <v>45</v>
      </c>
      <c r="B59" s="565"/>
      <c r="C59" s="565"/>
      <c r="D59" s="565"/>
      <c r="F59" s="114"/>
      <c r="G59" s="68">
        <f>IFERROR(F59*'As-Filed Schedule 1'!$E$103,0)</f>
        <v>0</v>
      </c>
      <c r="H59" s="68">
        <f t="shared" si="0"/>
        <v>0</v>
      </c>
      <c r="J59" s="114"/>
      <c r="K59" s="68">
        <f>IFERROR(J59*'As-Filed Schedule 1'!$E$103,0)</f>
        <v>0</v>
      </c>
      <c r="L59" s="68">
        <f t="shared" si="1"/>
        <v>0</v>
      </c>
      <c r="N59" s="117"/>
      <c r="O59" s="117"/>
    </row>
    <row r="60" spans="1:15" x14ac:dyDescent="0.35">
      <c r="A60" s="24">
        <v>46</v>
      </c>
      <c r="B60" s="565"/>
      <c r="C60" s="565"/>
      <c r="D60" s="565"/>
      <c r="F60" s="114"/>
      <c r="G60" s="68">
        <f>IFERROR(F60*'As-Filed Schedule 1'!$E$103,0)</f>
        <v>0</v>
      </c>
      <c r="H60" s="68">
        <f t="shared" si="0"/>
        <v>0</v>
      </c>
      <c r="J60" s="114"/>
      <c r="K60" s="68">
        <f>IFERROR(J60*'As-Filed Schedule 1'!$E$103,0)</f>
        <v>0</v>
      </c>
      <c r="L60" s="68">
        <f t="shared" si="1"/>
        <v>0</v>
      </c>
      <c r="N60" s="117"/>
      <c r="O60" s="117"/>
    </row>
    <row r="61" spans="1:15" x14ac:dyDescent="0.35">
      <c r="A61" s="24">
        <v>47</v>
      </c>
      <c r="B61" s="565"/>
      <c r="C61" s="565"/>
      <c r="D61" s="565"/>
      <c r="F61" s="114"/>
      <c r="G61" s="68">
        <f>IFERROR(F61*'As-Filed Schedule 1'!$E$103,0)</f>
        <v>0</v>
      </c>
      <c r="H61" s="68">
        <f t="shared" si="0"/>
        <v>0</v>
      </c>
      <c r="J61" s="114"/>
      <c r="K61" s="68">
        <f>IFERROR(J61*'As-Filed Schedule 1'!$E$103,0)</f>
        <v>0</v>
      </c>
      <c r="L61" s="68">
        <f t="shared" si="1"/>
        <v>0</v>
      </c>
      <c r="N61" s="117"/>
      <c r="O61" s="117"/>
    </row>
    <row r="62" spans="1:15" x14ac:dyDescent="0.35">
      <c r="A62" s="24">
        <v>48</v>
      </c>
      <c r="B62" s="565"/>
      <c r="C62" s="565"/>
      <c r="D62" s="565"/>
      <c r="F62" s="114"/>
      <c r="G62" s="68">
        <f>IFERROR(F62*'As-Filed Schedule 1'!$E$103,0)</f>
        <v>0</v>
      </c>
      <c r="H62" s="68">
        <f t="shared" si="0"/>
        <v>0</v>
      </c>
      <c r="J62" s="114"/>
      <c r="K62" s="68">
        <f>IFERROR(J62*'As-Filed Schedule 1'!$E$103,0)</f>
        <v>0</v>
      </c>
      <c r="L62" s="68">
        <f t="shared" si="1"/>
        <v>0</v>
      </c>
      <c r="N62" s="117"/>
      <c r="O62" s="117"/>
    </row>
    <row r="63" spans="1:15" x14ac:dyDescent="0.35">
      <c r="A63" s="24">
        <v>49</v>
      </c>
      <c r="B63" s="565"/>
      <c r="C63" s="565"/>
      <c r="D63" s="565"/>
      <c r="F63" s="114"/>
      <c r="G63" s="68">
        <f>IFERROR(F63*'As-Filed Schedule 1'!$E$103,0)</f>
        <v>0</v>
      </c>
      <c r="H63" s="68">
        <f t="shared" si="0"/>
        <v>0</v>
      </c>
      <c r="J63" s="114"/>
      <c r="K63" s="68">
        <f>IFERROR(J63*'As-Filed Schedule 1'!$E$103,0)</f>
        <v>0</v>
      </c>
      <c r="L63" s="68">
        <f t="shared" si="1"/>
        <v>0</v>
      </c>
      <c r="N63" s="117"/>
      <c r="O63" s="117"/>
    </row>
    <row r="64" spans="1:15" x14ac:dyDescent="0.35">
      <c r="A64" s="24">
        <v>50</v>
      </c>
      <c r="B64" s="565"/>
      <c r="C64" s="565"/>
      <c r="D64" s="565"/>
      <c r="F64" s="114"/>
      <c r="G64" s="68">
        <f>IFERROR(F64*'As-Filed Schedule 1'!$E$103,0)</f>
        <v>0</v>
      </c>
      <c r="H64" s="68">
        <f t="shared" si="0"/>
        <v>0</v>
      </c>
      <c r="J64" s="114"/>
      <c r="K64" s="68">
        <f>IFERROR(J64*'As-Filed Schedule 1'!$E$103,0)</f>
        <v>0</v>
      </c>
      <c r="L64" s="68">
        <f t="shared" si="1"/>
        <v>0</v>
      </c>
      <c r="N64" s="117"/>
      <c r="O64" s="117"/>
    </row>
    <row r="65" spans="1:15" x14ac:dyDescent="0.35">
      <c r="A65" s="24">
        <v>51</v>
      </c>
      <c r="B65" s="565"/>
      <c r="C65" s="565"/>
      <c r="D65" s="565"/>
      <c r="F65" s="114"/>
      <c r="G65" s="68">
        <f>IFERROR(F65*'As-Filed Schedule 1'!$E$103,0)</f>
        <v>0</v>
      </c>
      <c r="H65" s="68">
        <f t="shared" si="0"/>
        <v>0</v>
      </c>
      <c r="J65" s="114"/>
      <c r="K65" s="68">
        <f>IFERROR(J65*'As-Filed Schedule 1'!$E$103,0)</f>
        <v>0</v>
      </c>
      <c r="L65" s="68">
        <f t="shared" si="1"/>
        <v>0</v>
      </c>
      <c r="N65" s="117"/>
      <c r="O65" s="117"/>
    </row>
    <row r="66" spans="1:15" x14ac:dyDescent="0.35">
      <c r="A66" s="24">
        <v>52</v>
      </c>
      <c r="B66" s="565"/>
      <c r="C66" s="565"/>
      <c r="D66" s="565"/>
      <c r="F66" s="114"/>
      <c r="G66" s="68">
        <f>IFERROR(F66*'As-Filed Schedule 1'!$E$103,0)</f>
        <v>0</v>
      </c>
      <c r="H66" s="68">
        <f t="shared" si="0"/>
        <v>0</v>
      </c>
      <c r="J66" s="114"/>
      <c r="K66" s="68">
        <f>IFERROR(J66*'As-Filed Schedule 1'!$E$103,0)</f>
        <v>0</v>
      </c>
      <c r="L66" s="68">
        <f t="shared" si="1"/>
        <v>0</v>
      </c>
      <c r="N66" s="117"/>
      <c r="O66" s="117"/>
    </row>
    <row r="67" spans="1:15" x14ac:dyDescent="0.35">
      <c r="A67" s="24">
        <v>53</v>
      </c>
      <c r="B67" s="565"/>
      <c r="C67" s="565"/>
      <c r="D67" s="565"/>
      <c r="F67" s="114"/>
      <c r="G67" s="68">
        <f>IFERROR(F67*'As-Filed Schedule 1'!$E$103,0)</f>
        <v>0</v>
      </c>
      <c r="H67" s="68">
        <f t="shared" si="0"/>
        <v>0</v>
      </c>
      <c r="J67" s="114"/>
      <c r="K67" s="68">
        <f>IFERROR(J67*'As-Filed Schedule 1'!$E$103,0)</f>
        <v>0</v>
      </c>
      <c r="L67" s="68">
        <f t="shared" si="1"/>
        <v>0</v>
      </c>
      <c r="N67" s="117"/>
      <c r="O67" s="117"/>
    </row>
    <row r="68" spans="1:15" x14ac:dyDescent="0.35">
      <c r="A68" s="24">
        <v>54</v>
      </c>
      <c r="B68" s="565"/>
      <c r="C68" s="565"/>
      <c r="D68" s="565"/>
      <c r="F68" s="114"/>
      <c r="G68" s="68">
        <f>IFERROR(F68*'As-Filed Schedule 1'!$E$103,0)</f>
        <v>0</v>
      </c>
      <c r="H68" s="68">
        <f t="shared" si="0"/>
        <v>0</v>
      </c>
      <c r="J68" s="114"/>
      <c r="K68" s="68">
        <f>IFERROR(J68*'As-Filed Schedule 1'!$E$103,0)</f>
        <v>0</v>
      </c>
      <c r="L68" s="68">
        <f t="shared" si="1"/>
        <v>0</v>
      </c>
      <c r="N68" s="117"/>
      <c r="O68" s="117"/>
    </row>
    <row r="69" spans="1:15" x14ac:dyDescent="0.35">
      <c r="A69" s="24">
        <v>55</v>
      </c>
      <c r="B69" s="565"/>
      <c r="C69" s="565"/>
      <c r="D69" s="565"/>
      <c r="F69" s="114"/>
      <c r="G69" s="68">
        <f>IFERROR(F69*'As-Filed Schedule 1'!$E$103,0)</f>
        <v>0</v>
      </c>
      <c r="H69" s="68">
        <f t="shared" si="0"/>
        <v>0</v>
      </c>
      <c r="J69" s="114"/>
      <c r="K69" s="68">
        <f>IFERROR(J69*'As-Filed Schedule 1'!$E$103,0)</f>
        <v>0</v>
      </c>
      <c r="L69" s="68">
        <f t="shared" si="1"/>
        <v>0</v>
      </c>
      <c r="N69" s="117"/>
      <c r="O69" s="117"/>
    </row>
    <row r="70" spans="1:15" x14ac:dyDescent="0.35">
      <c r="A70" s="24">
        <v>56</v>
      </c>
      <c r="B70" s="565"/>
      <c r="C70" s="565"/>
      <c r="D70" s="565"/>
      <c r="F70" s="114"/>
      <c r="G70" s="68">
        <f>IFERROR(F70*'As-Filed Schedule 1'!$E$103,0)</f>
        <v>0</v>
      </c>
      <c r="H70" s="68">
        <f t="shared" si="0"/>
        <v>0</v>
      </c>
      <c r="J70" s="114"/>
      <c r="K70" s="68">
        <f>IFERROR(J70*'As-Filed Schedule 1'!$E$103,0)</f>
        <v>0</v>
      </c>
      <c r="L70" s="68">
        <f t="shared" si="1"/>
        <v>0</v>
      </c>
      <c r="N70" s="117"/>
      <c r="O70" s="117"/>
    </row>
    <row r="71" spans="1:15" x14ac:dyDescent="0.35">
      <c r="A71" s="24">
        <v>57</v>
      </c>
      <c r="B71" s="565"/>
      <c r="C71" s="565"/>
      <c r="D71" s="565"/>
      <c r="F71" s="114"/>
      <c r="G71" s="68">
        <f>IFERROR(F71*'As-Filed Schedule 1'!$E$103,0)</f>
        <v>0</v>
      </c>
      <c r="H71" s="68">
        <f t="shared" si="0"/>
        <v>0</v>
      </c>
      <c r="J71" s="114"/>
      <c r="K71" s="68">
        <f>IFERROR(J71*'As-Filed Schedule 1'!$E$103,0)</f>
        <v>0</v>
      </c>
      <c r="L71" s="68">
        <f t="shared" si="1"/>
        <v>0</v>
      </c>
      <c r="N71" s="117"/>
      <c r="O71" s="117"/>
    </row>
    <row r="72" spans="1:15" x14ac:dyDescent="0.35">
      <c r="A72" s="24">
        <v>58</v>
      </c>
      <c r="B72" s="565"/>
      <c r="C72" s="565"/>
      <c r="D72" s="565"/>
      <c r="F72" s="114"/>
      <c r="G72" s="68">
        <f>IFERROR(F72*'As-Filed Schedule 1'!$E$103,0)</f>
        <v>0</v>
      </c>
      <c r="H72" s="68">
        <f t="shared" si="0"/>
        <v>0</v>
      </c>
      <c r="J72" s="114"/>
      <c r="K72" s="68">
        <f>IFERROR(J72*'As-Filed Schedule 1'!$E$103,0)</f>
        <v>0</v>
      </c>
      <c r="L72" s="68">
        <f t="shared" si="1"/>
        <v>0</v>
      </c>
      <c r="N72" s="117"/>
      <c r="O72" s="117"/>
    </row>
    <row r="73" spans="1:15" x14ac:dyDescent="0.35">
      <c r="A73" s="24">
        <v>59</v>
      </c>
      <c r="F73" s="18">
        <f>SUM(F15:F72)</f>
        <v>0</v>
      </c>
      <c r="G73" s="18">
        <f t="shared" ref="G73:H73" si="2">SUM(G15:G72)</f>
        <v>0</v>
      </c>
      <c r="H73" s="18">
        <f t="shared" si="2"/>
        <v>0</v>
      </c>
      <c r="J73" s="18">
        <f>SUM(J15:J72)</f>
        <v>0</v>
      </c>
      <c r="K73" s="18">
        <f>SUM(K15:K72)</f>
        <v>0</v>
      </c>
      <c r="L73" s="18">
        <f t="shared" ref="L73" si="3">SUM(L15:L72)</f>
        <v>0</v>
      </c>
      <c r="O73" s="83" t="s">
        <v>313</v>
      </c>
    </row>
    <row r="74" spans="1:15" ht="15" thickBot="1" x14ac:dyDescent="0.4">
      <c r="H74" s="37" t="s">
        <v>257</v>
      </c>
      <c r="L74" s="37" t="s">
        <v>258</v>
      </c>
    </row>
    <row r="75" spans="1:15" s="72" customFormat="1" ht="16" thickBot="1" x14ac:dyDescent="0.4">
      <c r="A75" s="24">
        <v>60</v>
      </c>
      <c r="B75" s="73" t="s">
        <v>820</v>
      </c>
      <c r="F75" s="75">
        <f>H73+L73</f>
        <v>0</v>
      </c>
      <c r="G75" s="74"/>
      <c r="H75" s="74"/>
      <c r="I75" s="74"/>
      <c r="J75" s="74"/>
      <c r="K75" s="74"/>
    </row>
  </sheetData>
  <sheetProtection sheet="1" objects="1" scenarios="1"/>
  <customSheetViews>
    <customSheetView guid="{17302493-42B1-4877-869E-E424A97AE78B}" state="hidden" topLeftCell="A10">
      <selection activeCell="F17" sqref="F17"/>
      <pageMargins left="0.7" right="0.7" top="0.75" bottom="0.75" header="0.3" footer="0.3"/>
    </customSheetView>
    <customSheetView guid="{5C0BA3A5-859C-46C2-B685-44D9A90065E4}" topLeftCell="A10">
      <selection activeCell="B15" sqref="B15:F1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rgb="FF9CC5CA"/>
  </sheetPr>
  <dimension ref="A1:O75"/>
  <sheetViews>
    <sheetView workbookViewId="0">
      <selection activeCell="F17" sqref="F17"/>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 t="s">
        <v>824</v>
      </c>
      <c r="B3" s="5"/>
      <c r="C3" s="5"/>
      <c r="D3" s="5"/>
      <c r="E3" s="5"/>
      <c r="F3" s="5"/>
      <c r="G3" s="5"/>
      <c r="H3" s="5"/>
    </row>
    <row r="5" spans="1:15" x14ac:dyDescent="0.35">
      <c r="A5" s="1" t="s">
        <v>776</v>
      </c>
      <c r="C5" s="413" t="str">
        <f>'As-Filed Schedule 1'!C5</f>
        <v>WellPower</v>
      </c>
    </row>
    <row r="6" spans="1:15" x14ac:dyDescent="0.35">
      <c r="A6" s="1" t="s">
        <v>0</v>
      </c>
      <c r="C6" s="406">
        <f>'As-Filed Schedule 1'!C6</f>
        <v>45473</v>
      </c>
      <c r="F6" s="35"/>
    </row>
    <row r="8" spans="1:15" x14ac:dyDescent="0.35">
      <c r="A8" s="1" t="s">
        <v>253</v>
      </c>
      <c r="B8" s="1" t="s">
        <v>822</v>
      </c>
      <c r="C8" s="1"/>
      <c r="F8" s="116" t="s">
        <v>177</v>
      </c>
      <c r="G8" s="41" t="s">
        <v>259</v>
      </c>
    </row>
    <row r="10" spans="1:15" x14ac:dyDescent="0.35">
      <c r="A10" s="1" t="s">
        <v>254</v>
      </c>
      <c r="B10" s="1" t="s">
        <v>256</v>
      </c>
      <c r="C10" s="1"/>
    </row>
    <row r="12" spans="1:15" x14ac:dyDescent="0.35">
      <c r="B12" s="560">
        <v>1</v>
      </c>
      <c r="C12" s="560"/>
      <c r="D12" s="560"/>
      <c r="F12" s="23">
        <v>2</v>
      </c>
      <c r="G12" s="23">
        <v>3</v>
      </c>
      <c r="H12" s="23">
        <v>4</v>
      </c>
      <c r="J12" s="23">
        <v>5</v>
      </c>
      <c r="K12" s="23">
        <v>6</v>
      </c>
      <c r="L12" s="23">
        <v>7</v>
      </c>
      <c r="N12" s="23">
        <v>8</v>
      </c>
      <c r="O12" s="23">
        <v>9</v>
      </c>
    </row>
    <row r="13" spans="1:15" x14ac:dyDescent="0.35">
      <c r="B13" s="561" t="s">
        <v>255</v>
      </c>
      <c r="C13" s="561"/>
      <c r="D13" s="561"/>
      <c r="F13" s="563" t="s">
        <v>261</v>
      </c>
      <c r="G13" s="568"/>
      <c r="H13" s="564"/>
      <c r="J13" s="563" t="s">
        <v>262</v>
      </c>
      <c r="K13" s="568"/>
      <c r="L13" s="564"/>
      <c r="N13" s="562" t="s">
        <v>250</v>
      </c>
      <c r="O13" s="562" t="s">
        <v>312</v>
      </c>
    </row>
    <row r="14" spans="1:15" ht="55.5" customHeight="1" x14ac:dyDescent="0.35">
      <c r="B14" s="561"/>
      <c r="C14" s="561"/>
      <c r="D14" s="561"/>
      <c r="E14" s="48"/>
      <c r="F14" s="10" t="s">
        <v>214</v>
      </c>
      <c r="G14" s="142" t="s">
        <v>493</v>
      </c>
      <c r="H14" s="142" t="s">
        <v>215</v>
      </c>
      <c r="I14" s="99"/>
      <c r="J14" s="142" t="s">
        <v>214</v>
      </c>
      <c r="K14" s="142" t="s">
        <v>493</v>
      </c>
      <c r="L14" s="10" t="s">
        <v>215</v>
      </c>
      <c r="M14" s="48"/>
      <c r="N14" s="562"/>
      <c r="O14" s="562"/>
    </row>
    <row r="15" spans="1:15" x14ac:dyDescent="0.35">
      <c r="A15" s="24">
        <v>1</v>
      </c>
      <c r="B15" s="565"/>
      <c r="C15" s="565"/>
      <c r="D15" s="565"/>
      <c r="F15" s="114"/>
      <c r="G15" s="68">
        <f>IFERROR(F15*'As-Filed Schedule 1'!$E$103,0)</f>
        <v>0</v>
      </c>
      <c r="H15" s="68">
        <f>SUM(F15:G15)</f>
        <v>0</v>
      </c>
      <c r="J15" s="114"/>
      <c r="K15" s="68">
        <f>IFERROR(J15*'As-Filed Schedule 1'!$E$103,0)</f>
        <v>0</v>
      </c>
      <c r="L15" s="68">
        <f>SUM(J15:K15)</f>
        <v>0</v>
      </c>
      <c r="N15" s="117"/>
      <c r="O15" s="117"/>
    </row>
    <row r="16" spans="1:15" x14ac:dyDescent="0.35">
      <c r="A16" s="24">
        <v>2</v>
      </c>
      <c r="B16" s="565"/>
      <c r="C16" s="565"/>
      <c r="D16" s="565"/>
      <c r="F16" s="114"/>
      <c r="G16" s="68">
        <f>IFERROR(F16*'As-Filed Schedule 1'!$E$103,0)</f>
        <v>0</v>
      </c>
      <c r="H16" s="68">
        <f t="shared" ref="H16:H72" si="0">SUM(F16:G16)</f>
        <v>0</v>
      </c>
      <c r="J16" s="114"/>
      <c r="K16" s="68">
        <f>IFERROR(J16*'As-Filed Schedule 1'!$E$103,0)</f>
        <v>0</v>
      </c>
      <c r="L16" s="68">
        <f t="shared" ref="L16:L72" si="1">SUM(J16:K16)</f>
        <v>0</v>
      </c>
      <c r="N16" s="117"/>
      <c r="O16" s="117"/>
    </row>
    <row r="17" spans="1:15" x14ac:dyDescent="0.35">
      <c r="A17" s="24">
        <v>3</v>
      </c>
      <c r="B17" s="565"/>
      <c r="C17" s="565"/>
      <c r="D17" s="565"/>
      <c r="F17" s="114"/>
      <c r="G17" s="68">
        <f>IFERROR(F17*'As-Filed Schedule 1'!$E$103,0)</f>
        <v>0</v>
      </c>
      <c r="H17" s="68">
        <f t="shared" si="0"/>
        <v>0</v>
      </c>
      <c r="J17" s="114"/>
      <c r="K17" s="68">
        <f>IFERROR(J17*'As-Filed Schedule 1'!$E$103,0)</f>
        <v>0</v>
      </c>
      <c r="L17" s="68">
        <f t="shared" si="1"/>
        <v>0</v>
      </c>
      <c r="N17" s="117"/>
      <c r="O17" s="117"/>
    </row>
    <row r="18" spans="1:15" x14ac:dyDescent="0.35">
      <c r="A18" s="24">
        <v>4</v>
      </c>
      <c r="B18" s="565"/>
      <c r="C18" s="565"/>
      <c r="D18" s="565"/>
      <c r="F18" s="114"/>
      <c r="G18" s="68">
        <f>IFERROR(F18*'As-Filed Schedule 1'!$E$103,0)</f>
        <v>0</v>
      </c>
      <c r="H18" s="68">
        <f t="shared" si="0"/>
        <v>0</v>
      </c>
      <c r="J18" s="114"/>
      <c r="K18" s="68">
        <f>IFERROR(J18*'As-Filed Schedule 1'!$E$103,0)</f>
        <v>0</v>
      </c>
      <c r="L18" s="68">
        <f t="shared" si="1"/>
        <v>0</v>
      </c>
      <c r="N18" s="117"/>
      <c r="O18" s="117"/>
    </row>
    <row r="19" spans="1:15" x14ac:dyDescent="0.35">
      <c r="A19" s="24">
        <v>5</v>
      </c>
      <c r="B19" s="565"/>
      <c r="C19" s="565"/>
      <c r="D19" s="565"/>
      <c r="F19" s="114"/>
      <c r="G19" s="68">
        <f>IFERROR(F19*'As-Filed Schedule 1'!$E$103,0)</f>
        <v>0</v>
      </c>
      <c r="H19" s="68">
        <f t="shared" si="0"/>
        <v>0</v>
      </c>
      <c r="J19" s="114"/>
      <c r="K19" s="68">
        <f>IFERROR(J19*'As-Filed Schedule 1'!$E$103,0)</f>
        <v>0</v>
      </c>
      <c r="L19" s="68">
        <f t="shared" si="1"/>
        <v>0</v>
      </c>
      <c r="N19" s="117"/>
      <c r="O19" s="117"/>
    </row>
    <row r="20" spans="1:15" x14ac:dyDescent="0.35">
      <c r="A20" s="24">
        <v>6</v>
      </c>
      <c r="B20" s="565"/>
      <c r="C20" s="565"/>
      <c r="D20" s="565"/>
      <c r="F20" s="114"/>
      <c r="G20" s="68">
        <f>IFERROR(F20*'As-Filed Schedule 1'!$E$103,0)</f>
        <v>0</v>
      </c>
      <c r="H20" s="68">
        <f t="shared" si="0"/>
        <v>0</v>
      </c>
      <c r="J20" s="114"/>
      <c r="K20" s="68">
        <f>IFERROR(J20*'As-Filed Schedule 1'!$E$103,0)</f>
        <v>0</v>
      </c>
      <c r="L20" s="68">
        <f t="shared" si="1"/>
        <v>0</v>
      </c>
      <c r="N20" s="117"/>
      <c r="O20" s="117"/>
    </row>
    <row r="21" spans="1:15" x14ac:dyDescent="0.35">
      <c r="A21" s="24">
        <v>7</v>
      </c>
      <c r="B21" s="565"/>
      <c r="C21" s="565"/>
      <c r="D21" s="565"/>
      <c r="F21" s="114"/>
      <c r="G21" s="68">
        <f>IFERROR(F21*'As-Filed Schedule 1'!$E$103,0)</f>
        <v>0</v>
      </c>
      <c r="H21" s="68">
        <f t="shared" si="0"/>
        <v>0</v>
      </c>
      <c r="J21" s="114"/>
      <c r="K21" s="68">
        <f>IFERROR(J21*'As-Filed Schedule 1'!$E$103,0)</f>
        <v>0</v>
      </c>
      <c r="L21" s="68">
        <f t="shared" si="1"/>
        <v>0</v>
      </c>
      <c r="N21" s="117"/>
      <c r="O21" s="117"/>
    </row>
    <row r="22" spans="1:15" x14ac:dyDescent="0.35">
      <c r="A22" s="24">
        <v>8</v>
      </c>
      <c r="B22" s="565"/>
      <c r="C22" s="565"/>
      <c r="D22" s="565"/>
      <c r="F22" s="114"/>
      <c r="G22" s="68">
        <f>IFERROR(F22*'As-Filed Schedule 1'!$E$103,0)</f>
        <v>0</v>
      </c>
      <c r="H22" s="68">
        <f t="shared" si="0"/>
        <v>0</v>
      </c>
      <c r="J22" s="114"/>
      <c r="K22" s="68">
        <f>IFERROR(J22*'As-Filed Schedule 1'!$E$103,0)</f>
        <v>0</v>
      </c>
      <c r="L22" s="68">
        <f t="shared" si="1"/>
        <v>0</v>
      </c>
      <c r="N22" s="117"/>
      <c r="O22" s="117"/>
    </row>
    <row r="23" spans="1:15" x14ac:dyDescent="0.35">
      <c r="A23" s="24">
        <v>9</v>
      </c>
      <c r="B23" s="565"/>
      <c r="C23" s="565"/>
      <c r="D23" s="565"/>
      <c r="F23" s="114"/>
      <c r="G23" s="68">
        <f>IFERROR(F23*'As-Filed Schedule 1'!$E$103,0)</f>
        <v>0</v>
      </c>
      <c r="H23" s="68">
        <f t="shared" si="0"/>
        <v>0</v>
      </c>
      <c r="J23" s="114"/>
      <c r="K23" s="68">
        <f>IFERROR(J23*'As-Filed Schedule 1'!$E$103,0)</f>
        <v>0</v>
      </c>
      <c r="L23" s="68">
        <f t="shared" si="1"/>
        <v>0</v>
      </c>
      <c r="N23" s="117"/>
      <c r="O23" s="117"/>
    </row>
    <row r="24" spans="1:15" x14ac:dyDescent="0.35">
      <c r="A24" s="24">
        <v>10</v>
      </c>
      <c r="B24" s="565"/>
      <c r="C24" s="565"/>
      <c r="D24" s="565"/>
      <c r="F24" s="114"/>
      <c r="G24" s="68">
        <f>IFERROR(F24*'As-Filed Schedule 1'!$E$103,0)</f>
        <v>0</v>
      </c>
      <c r="H24" s="68">
        <f t="shared" si="0"/>
        <v>0</v>
      </c>
      <c r="J24" s="114"/>
      <c r="K24" s="68">
        <f>IFERROR(J24*'As-Filed Schedule 1'!$E$103,0)</f>
        <v>0</v>
      </c>
      <c r="L24" s="68">
        <f t="shared" si="1"/>
        <v>0</v>
      </c>
      <c r="N24" s="117"/>
      <c r="O24" s="117"/>
    </row>
    <row r="25" spans="1:15" x14ac:dyDescent="0.35">
      <c r="A25" s="24">
        <v>11</v>
      </c>
      <c r="B25" s="565"/>
      <c r="C25" s="565"/>
      <c r="D25" s="565"/>
      <c r="F25" s="114"/>
      <c r="G25" s="68">
        <f>IFERROR(F25*'As-Filed Schedule 1'!$E$103,0)</f>
        <v>0</v>
      </c>
      <c r="H25" s="68">
        <f t="shared" si="0"/>
        <v>0</v>
      </c>
      <c r="J25" s="114"/>
      <c r="K25" s="68">
        <f>IFERROR(J25*'As-Filed Schedule 1'!$E$103,0)</f>
        <v>0</v>
      </c>
      <c r="L25" s="68">
        <f t="shared" si="1"/>
        <v>0</v>
      </c>
      <c r="N25" s="117"/>
      <c r="O25" s="117"/>
    </row>
    <row r="26" spans="1:15" x14ac:dyDescent="0.35">
      <c r="A26" s="24">
        <v>12</v>
      </c>
      <c r="B26" s="565"/>
      <c r="C26" s="565"/>
      <c r="D26" s="565"/>
      <c r="F26" s="114"/>
      <c r="G26" s="68">
        <f>IFERROR(F26*'As-Filed Schedule 1'!$E$103,0)</f>
        <v>0</v>
      </c>
      <c r="H26" s="68">
        <f t="shared" si="0"/>
        <v>0</v>
      </c>
      <c r="J26" s="114"/>
      <c r="K26" s="68">
        <f>IFERROR(J26*'As-Filed Schedule 1'!$E$103,0)</f>
        <v>0</v>
      </c>
      <c r="L26" s="68">
        <f t="shared" si="1"/>
        <v>0</v>
      </c>
      <c r="N26" s="117"/>
      <c r="O26" s="117"/>
    </row>
    <row r="27" spans="1:15" x14ac:dyDescent="0.35">
      <c r="A27" s="24">
        <v>13</v>
      </c>
      <c r="B27" s="565"/>
      <c r="C27" s="565"/>
      <c r="D27" s="565"/>
      <c r="F27" s="114"/>
      <c r="G27" s="68">
        <f>IFERROR(F27*'As-Filed Schedule 1'!$E$103,0)</f>
        <v>0</v>
      </c>
      <c r="H27" s="68">
        <f t="shared" si="0"/>
        <v>0</v>
      </c>
      <c r="J27" s="114"/>
      <c r="K27" s="68">
        <f>IFERROR(J27*'As-Filed Schedule 1'!$E$103,0)</f>
        <v>0</v>
      </c>
      <c r="L27" s="68">
        <f t="shared" si="1"/>
        <v>0</v>
      </c>
      <c r="N27" s="117"/>
      <c r="O27" s="117"/>
    </row>
    <row r="28" spans="1:15" x14ac:dyDescent="0.35">
      <c r="A28" s="24">
        <v>14</v>
      </c>
      <c r="B28" s="565"/>
      <c r="C28" s="565"/>
      <c r="D28" s="565"/>
      <c r="F28" s="114"/>
      <c r="G28" s="68">
        <f>IFERROR(F28*'As-Filed Schedule 1'!$E$103,0)</f>
        <v>0</v>
      </c>
      <c r="H28" s="68">
        <f t="shared" si="0"/>
        <v>0</v>
      </c>
      <c r="J28" s="114"/>
      <c r="K28" s="68">
        <f>IFERROR(J28*'As-Filed Schedule 1'!$E$103,0)</f>
        <v>0</v>
      </c>
      <c r="L28" s="68">
        <f t="shared" si="1"/>
        <v>0</v>
      </c>
      <c r="N28" s="117"/>
      <c r="O28" s="117"/>
    </row>
    <row r="29" spans="1:15" x14ac:dyDescent="0.35">
      <c r="A29" s="24">
        <v>15</v>
      </c>
      <c r="B29" s="565"/>
      <c r="C29" s="565"/>
      <c r="D29" s="565"/>
      <c r="F29" s="114"/>
      <c r="G29" s="68">
        <f>IFERROR(F29*'As-Filed Schedule 1'!$E$103,0)</f>
        <v>0</v>
      </c>
      <c r="H29" s="68">
        <f t="shared" si="0"/>
        <v>0</v>
      </c>
      <c r="J29" s="114"/>
      <c r="K29" s="68">
        <f>IFERROR(J29*'As-Filed Schedule 1'!$E$103,0)</f>
        <v>0</v>
      </c>
      <c r="L29" s="68">
        <f t="shared" si="1"/>
        <v>0</v>
      </c>
      <c r="N29" s="117"/>
      <c r="O29" s="117"/>
    </row>
    <row r="30" spans="1:15" x14ac:dyDescent="0.35">
      <c r="A30" s="24">
        <v>16</v>
      </c>
      <c r="B30" s="565"/>
      <c r="C30" s="565"/>
      <c r="D30" s="565"/>
      <c r="F30" s="114"/>
      <c r="G30" s="68">
        <f>IFERROR(F30*'As-Filed Schedule 1'!$E$103,0)</f>
        <v>0</v>
      </c>
      <c r="H30" s="68">
        <f t="shared" si="0"/>
        <v>0</v>
      </c>
      <c r="J30" s="114"/>
      <c r="K30" s="68">
        <f>IFERROR(J30*'As-Filed Schedule 1'!$E$103,0)</f>
        <v>0</v>
      </c>
      <c r="L30" s="68">
        <f t="shared" si="1"/>
        <v>0</v>
      </c>
      <c r="N30" s="117"/>
      <c r="O30" s="117"/>
    </row>
    <row r="31" spans="1:15" x14ac:dyDescent="0.35">
      <c r="A31" s="24">
        <v>17</v>
      </c>
      <c r="B31" s="565"/>
      <c r="C31" s="565"/>
      <c r="D31" s="565"/>
      <c r="F31" s="114"/>
      <c r="G31" s="68">
        <f>IFERROR(F31*'As-Filed Schedule 1'!$E$103,0)</f>
        <v>0</v>
      </c>
      <c r="H31" s="68">
        <f t="shared" si="0"/>
        <v>0</v>
      </c>
      <c r="J31" s="114"/>
      <c r="K31" s="68">
        <f>IFERROR(J31*'As-Filed Schedule 1'!$E$103,0)</f>
        <v>0</v>
      </c>
      <c r="L31" s="68">
        <f t="shared" si="1"/>
        <v>0</v>
      </c>
      <c r="N31" s="117"/>
      <c r="O31" s="117"/>
    </row>
    <row r="32" spans="1:15" x14ac:dyDescent="0.35">
      <c r="A32" s="24">
        <v>18</v>
      </c>
      <c r="B32" s="565"/>
      <c r="C32" s="565"/>
      <c r="D32" s="565"/>
      <c r="F32" s="114"/>
      <c r="G32" s="68">
        <f>IFERROR(F32*'As-Filed Schedule 1'!$E$103,0)</f>
        <v>0</v>
      </c>
      <c r="H32" s="68">
        <f t="shared" si="0"/>
        <v>0</v>
      </c>
      <c r="J32" s="114"/>
      <c r="K32" s="68">
        <f>IFERROR(J32*'As-Filed Schedule 1'!$E$103,0)</f>
        <v>0</v>
      </c>
      <c r="L32" s="68">
        <f t="shared" si="1"/>
        <v>0</v>
      </c>
      <c r="N32" s="117"/>
      <c r="O32" s="117"/>
    </row>
    <row r="33" spans="1:15" x14ac:dyDescent="0.35">
      <c r="A33" s="24">
        <v>19</v>
      </c>
      <c r="B33" s="565"/>
      <c r="C33" s="565"/>
      <c r="D33" s="565"/>
      <c r="F33" s="114"/>
      <c r="G33" s="68">
        <f>IFERROR(F33*'As-Filed Schedule 1'!$E$103,0)</f>
        <v>0</v>
      </c>
      <c r="H33" s="68">
        <f t="shared" si="0"/>
        <v>0</v>
      </c>
      <c r="J33" s="114"/>
      <c r="K33" s="68">
        <f>IFERROR(J33*'As-Filed Schedule 1'!$E$103,0)</f>
        <v>0</v>
      </c>
      <c r="L33" s="68">
        <f t="shared" si="1"/>
        <v>0</v>
      </c>
      <c r="N33" s="117"/>
      <c r="O33" s="117"/>
    </row>
    <row r="34" spans="1:15" x14ac:dyDescent="0.35">
      <c r="A34" s="24">
        <v>20</v>
      </c>
      <c r="B34" s="565"/>
      <c r="C34" s="565"/>
      <c r="D34" s="565"/>
      <c r="F34" s="114"/>
      <c r="G34" s="68">
        <f>IFERROR(F34*'As-Filed Schedule 1'!$E$103,0)</f>
        <v>0</v>
      </c>
      <c r="H34" s="68">
        <f t="shared" si="0"/>
        <v>0</v>
      </c>
      <c r="J34" s="114"/>
      <c r="K34" s="68">
        <f>IFERROR(J34*'As-Filed Schedule 1'!$E$103,0)</f>
        <v>0</v>
      </c>
      <c r="L34" s="68">
        <f t="shared" si="1"/>
        <v>0</v>
      </c>
      <c r="N34" s="117"/>
      <c r="O34" s="117"/>
    </row>
    <row r="35" spans="1:15" x14ac:dyDescent="0.35">
      <c r="A35" s="24">
        <v>21</v>
      </c>
      <c r="B35" s="565"/>
      <c r="C35" s="565"/>
      <c r="D35" s="565"/>
      <c r="F35" s="114"/>
      <c r="G35" s="68">
        <f>IFERROR(F35*'As-Filed Schedule 1'!$E$103,0)</f>
        <v>0</v>
      </c>
      <c r="H35" s="68">
        <f t="shared" si="0"/>
        <v>0</v>
      </c>
      <c r="J35" s="114"/>
      <c r="K35" s="68">
        <f>IFERROR(J35*'As-Filed Schedule 1'!$E$103,0)</f>
        <v>0</v>
      </c>
      <c r="L35" s="68">
        <f t="shared" si="1"/>
        <v>0</v>
      </c>
      <c r="N35" s="117"/>
      <c r="O35" s="117"/>
    </row>
    <row r="36" spans="1:15" x14ac:dyDescent="0.35">
      <c r="A36" s="24">
        <v>22</v>
      </c>
      <c r="B36" s="565"/>
      <c r="C36" s="565"/>
      <c r="D36" s="565"/>
      <c r="F36" s="114"/>
      <c r="G36" s="68">
        <f>IFERROR(F36*'As-Filed Schedule 1'!$E$103,0)</f>
        <v>0</v>
      </c>
      <c r="H36" s="68">
        <f t="shared" si="0"/>
        <v>0</v>
      </c>
      <c r="J36" s="114"/>
      <c r="K36" s="68">
        <f>IFERROR(J36*'As-Filed Schedule 1'!$E$103,0)</f>
        <v>0</v>
      </c>
      <c r="L36" s="68">
        <f t="shared" si="1"/>
        <v>0</v>
      </c>
      <c r="N36" s="117"/>
      <c r="O36" s="117"/>
    </row>
    <row r="37" spans="1:15" x14ac:dyDescent="0.35">
      <c r="A37" s="24">
        <v>23</v>
      </c>
      <c r="B37" s="565"/>
      <c r="C37" s="565"/>
      <c r="D37" s="565"/>
      <c r="F37" s="114"/>
      <c r="G37" s="68">
        <f>IFERROR(F37*'As-Filed Schedule 1'!$E$103,0)</f>
        <v>0</v>
      </c>
      <c r="H37" s="68">
        <f t="shared" si="0"/>
        <v>0</v>
      </c>
      <c r="J37" s="114"/>
      <c r="K37" s="68">
        <f>IFERROR(J37*'As-Filed Schedule 1'!$E$103,0)</f>
        <v>0</v>
      </c>
      <c r="L37" s="68">
        <f t="shared" si="1"/>
        <v>0</v>
      </c>
      <c r="N37" s="117"/>
      <c r="O37" s="117"/>
    </row>
    <row r="38" spans="1:15" x14ac:dyDescent="0.35">
      <c r="A38" s="24">
        <v>24</v>
      </c>
      <c r="B38" s="565"/>
      <c r="C38" s="565"/>
      <c r="D38" s="565"/>
      <c r="F38" s="114"/>
      <c r="G38" s="68">
        <f>IFERROR(F38*'As-Filed Schedule 1'!$E$103,0)</f>
        <v>0</v>
      </c>
      <c r="H38" s="68">
        <f t="shared" si="0"/>
        <v>0</v>
      </c>
      <c r="J38" s="114"/>
      <c r="K38" s="68">
        <f>IFERROR(J38*'As-Filed Schedule 1'!$E$103,0)</f>
        <v>0</v>
      </c>
      <c r="L38" s="68">
        <f t="shared" si="1"/>
        <v>0</v>
      </c>
      <c r="N38" s="117"/>
      <c r="O38" s="117"/>
    </row>
    <row r="39" spans="1:15" x14ac:dyDescent="0.35">
      <c r="A39" s="24">
        <v>25</v>
      </c>
      <c r="B39" s="565"/>
      <c r="C39" s="565"/>
      <c r="D39" s="565"/>
      <c r="F39" s="114"/>
      <c r="G39" s="68">
        <f>IFERROR(F39*'As-Filed Schedule 1'!$E$103,0)</f>
        <v>0</v>
      </c>
      <c r="H39" s="68">
        <f t="shared" si="0"/>
        <v>0</v>
      </c>
      <c r="J39" s="114"/>
      <c r="K39" s="68">
        <f>IFERROR(J39*'As-Filed Schedule 1'!$E$103,0)</f>
        <v>0</v>
      </c>
      <c r="L39" s="68">
        <f t="shared" si="1"/>
        <v>0</v>
      </c>
      <c r="N39" s="117"/>
      <c r="O39" s="117"/>
    </row>
    <row r="40" spans="1:15" x14ac:dyDescent="0.35">
      <c r="A40" s="24">
        <v>26</v>
      </c>
      <c r="B40" s="565"/>
      <c r="C40" s="565"/>
      <c r="D40" s="565"/>
      <c r="F40" s="114"/>
      <c r="G40" s="68">
        <f>IFERROR(F40*'As-Filed Schedule 1'!$E$103,0)</f>
        <v>0</v>
      </c>
      <c r="H40" s="68">
        <f t="shared" si="0"/>
        <v>0</v>
      </c>
      <c r="J40" s="114"/>
      <c r="K40" s="68">
        <f>IFERROR(J40*'As-Filed Schedule 1'!$E$103,0)</f>
        <v>0</v>
      </c>
      <c r="L40" s="68">
        <f t="shared" si="1"/>
        <v>0</v>
      </c>
      <c r="N40" s="117"/>
      <c r="O40" s="117"/>
    </row>
    <row r="41" spans="1:15" x14ac:dyDescent="0.35">
      <c r="A41" s="24">
        <v>27</v>
      </c>
      <c r="B41" s="565"/>
      <c r="C41" s="565"/>
      <c r="D41" s="565"/>
      <c r="F41" s="114"/>
      <c r="G41" s="68">
        <f>IFERROR(F41*'As-Filed Schedule 1'!$E$103,0)</f>
        <v>0</v>
      </c>
      <c r="H41" s="68">
        <f t="shared" si="0"/>
        <v>0</v>
      </c>
      <c r="J41" s="114"/>
      <c r="K41" s="68">
        <f>IFERROR(J41*'As-Filed Schedule 1'!$E$103,0)</f>
        <v>0</v>
      </c>
      <c r="L41" s="68">
        <f t="shared" si="1"/>
        <v>0</v>
      </c>
      <c r="N41" s="117"/>
      <c r="O41" s="117"/>
    </row>
    <row r="42" spans="1:15" x14ac:dyDescent="0.35">
      <c r="A42" s="24">
        <v>28</v>
      </c>
      <c r="B42" s="565"/>
      <c r="C42" s="565"/>
      <c r="D42" s="565"/>
      <c r="F42" s="114"/>
      <c r="G42" s="68">
        <f>IFERROR(F42*'As-Filed Schedule 1'!$E$103,0)</f>
        <v>0</v>
      </c>
      <c r="H42" s="68">
        <f t="shared" si="0"/>
        <v>0</v>
      </c>
      <c r="J42" s="114"/>
      <c r="K42" s="68">
        <f>IFERROR(J42*'As-Filed Schedule 1'!$E$103,0)</f>
        <v>0</v>
      </c>
      <c r="L42" s="68">
        <f t="shared" si="1"/>
        <v>0</v>
      </c>
      <c r="N42" s="117"/>
      <c r="O42" s="117"/>
    </row>
    <row r="43" spans="1:15" x14ac:dyDescent="0.35">
      <c r="A43" s="24">
        <v>29</v>
      </c>
      <c r="B43" s="565"/>
      <c r="C43" s="565"/>
      <c r="D43" s="565"/>
      <c r="F43" s="114"/>
      <c r="G43" s="68">
        <f>IFERROR(F43*'As-Filed Schedule 1'!$E$103,0)</f>
        <v>0</v>
      </c>
      <c r="H43" s="68">
        <f t="shared" si="0"/>
        <v>0</v>
      </c>
      <c r="J43" s="114"/>
      <c r="K43" s="68">
        <f>IFERROR(J43*'As-Filed Schedule 1'!$E$103,0)</f>
        <v>0</v>
      </c>
      <c r="L43" s="68">
        <f t="shared" si="1"/>
        <v>0</v>
      </c>
      <c r="N43" s="117"/>
      <c r="O43" s="117"/>
    </row>
    <row r="44" spans="1:15" x14ac:dyDescent="0.35">
      <c r="A44" s="24">
        <v>30</v>
      </c>
      <c r="B44" s="565"/>
      <c r="C44" s="565"/>
      <c r="D44" s="565"/>
      <c r="F44" s="114"/>
      <c r="G44" s="68">
        <f>IFERROR(F44*'As-Filed Schedule 1'!$E$103,0)</f>
        <v>0</v>
      </c>
      <c r="H44" s="68">
        <f t="shared" si="0"/>
        <v>0</v>
      </c>
      <c r="J44" s="114"/>
      <c r="K44" s="68">
        <f>IFERROR(J44*'As-Filed Schedule 1'!$E$103,0)</f>
        <v>0</v>
      </c>
      <c r="L44" s="68">
        <f t="shared" si="1"/>
        <v>0</v>
      </c>
      <c r="N44" s="117"/>
      <c r="O44" s="117"/>
    </row>
    <row r="45" spans="1:15" x14ac:dyDescent="0.35">
      <c r="A45" s="24">
        <v>31</v>
      </c>
      <c r="B45" s="565"/>
      <c r="C45" s="565"/>
      <c r="D45" s="565"/>
      <c r="F45" s="114"/>
      <c r="G45" s="68">
        <f>IFERROR(F45*'As-Filed Schedule 1'!$E$103,0)</f>
        <v>0</v>
      </c>
      <c r="H45" s="68">
        <f t="shared" si="0"/>
        <v>0</v>
      </c>
      <c r="J45" s="114"/>
      <c r="K45" s="68">
        <f>IFERROR(J45*'As-Filed Schedule 1'!$E$103,0)</f>
        <v>0</v>
      </c>
      <c r="L45" s="68">
        <f t="shared" si="1"/>
        <v>0</v>
      </c>
      <c r="N45" s="117"/>
      <c r="O45" s="117"/>
    </row>
    <row r="46" spans="1:15" x14ac:dyDescent="0.35">
      <c r="A46" s="24">
        <v>32</v>
      </c>
      <c r="B46" s="565"/>
      <c r="C46" s="565"/>
      <c r="D46" s="565"/>
      <c r="F46" s="114"/>
      <c r="G46" s="68">
        <f>IFERROR(F46*'As-Filed Schedule 1'!$E$103,0)</f>
        <v>0</v>
      </c>
      <c r="H46" s="68">
        <f t="shared" si="0"/>
        <v>0</v>
      </c>
      <c r="J46" s="114"/>
      <c r="K46" s="68">
        <f>IFERROR(J46*'As-Filed Schedule 1'!$E$103,0)</f>
        <v>0</v>
      </c>
      <c r="L46" s="68">
        <f t="shared" si="1"/>
        <v>0</v>
      </c>
      <c r="N46" s="117"/>
      <c r="O46" s="117"/>
    </row>
    <row r="47" spans="1:15" x14ac:dyDescent="0.35">
      <c r="A47" s="24">
        <v>33</v>
      </c>
      <c r="B47" s="565"/>
      <c r="C47" s="565"/>
      <c r="D47" s="565"/>
      <c r="F47" s="114"/>
      <c r="G47" s="68">
        <f>IFERROR(F47*'As-Filed Schedule 1'!$E$103,0)</f>
        <v>0</v>
      </c>
      <c r="H47" s="68">
        <f t="shared" si="0"/>
        <v>0</v>
      </c>
      <c r="J47" s="114"/>
      <c r="K47" s="68">
        <f>IFERROR(J47*'As-Filed Schedule 1'!$E$103,0)</f>
        <v>0</v>
      </c>
      <c r="L47" s="68">
        <f t="shared" si="1"/>
        <v>0</v>
      </c>
      <c r="N47" s="117"/>
      <c r="O47" s="117"/>
    </row>
    <row r="48" spans="1:15" x14ac:dyDescent="0.35">
      <c r="A48" s="24">
        <v>34</v>
      </c>
      <c r="B48" s="565"/>
      <c r="C48" s="565"/>
      <c r="D48" s="565"/>
      <c r="F48" s="114"/>
      <c r="G48" s="68">
        <f>IFERROR(F48*'As-Filed Schedule 1'!$E$103,0)</f>
        <v>0</v>
      </c>
      <c r="H48" s="68">
        <f t="shared" si="0"/>
        <v>0</v>
      </c>
      <c r="J48" s="114"/>
      <c r="K48" s="68">
        <f>IFERROR(J48*'As-Filed Schedule 1'!$E$103,0)</f>
        <v>0</v>
      </c>
      <c r="L48" s="68">
        <f t="shared" si="1"/>
        <v>0</v>
      </c>
      <c r="N48" s="117"/>
      <c r="O48" s="117"/>
    </row>
    <row r="49" spans="1:15" x14ac:dyDescent="0.35">
      <c r="A49" s="24">
        <v>35</v>
      </c>
      <c r="B49" s="565"/>
      <c r="C49" s="565"/>
      <c r="D49" s="565"/>
      <c r="F49" s="114"/>
      <c r="G49" s="68">
        <f>IFERROR(F49*'As-Filed Schedule 1'!$E$103,0)</f>
        <v>0</v>
      </c>
      <c r="H49" s="68">
        <f t="shared" si="0"/>
        <v>0</v>
      </c>
      <c r="J49" s="114"/>
      <c r="K49" s="68">
        <f>IFERROR(J49*'As-Filed Schedule 1'!$E$103,0)</f>
        <v>0</v>
      </c>
      <c r="L49" s="68">
        <f t="shared" si="1"/>
        <v>0</v>
      </c>
      <c r="N49" s="117"/>
      <c r="O49" s="117"/>
    </row>
    <row r="50" spans="1:15" x14ac:dyDescent="0.35">
      <c r="A50" s="24">
        <v>36</v>
      </c>
      <c r="B50" s="565"/>
      <c r="C50" s="565"/>
      <c r="D50" s="565"/>
      <c r="F50" s="114"/>
      <c r="G50" s="68">
        <f>IFERROR(F50*'As-Filed Schedule 1'!$E$103,0)</f>
        <v>0</v>
      </c>
      <c r="H50" s="68">
        <f t="shared" si="0"/>
        <v>0</v>
      </c>
      <c r="J50" s="114"/>
      <c r="K50" s="68">
        <f>IFERROR(J50*'As-Filed Schedule 1'!$E$103,0)</f>
        <v>0</v>
      </c>
      <c r="L50" s="68">
        <f t="shared" si="1"/>
        <v>0</v>
      </c>
      <c r="N50" s="117"/>
      <c r="O50" s="117"/>
    </row>
    <row r="51" spans="1:15" x14ac:dyDescent="0.35">
      <c r="A51" s="24">
        <v>37</v>
      </c>
      <c r="B51" s="565"/>
      <c r="C51" s="565"/>
      <c r="D51" s="565"/>
      <c r="F51" s="114"/>
      <c r="G51" s="68">
        <f>IFERROR(F51*'As-Filed Schedule 1'!$E$103,0)</f>
        <v>0</v>
      </c>
      <c r="H51" s="68">
        <f t="shared" si="0"/>
        <v>0</v>
      </c>
      <c r="J51" s="114"/>
      <c r="K51" s="68">
        <f>IFERROR(J51*'As-Filed Schedule 1'!$E$103,0)</f>
        <v>0</v>
      </c>
      <c r="L51" s="68">
        <f t="shared" si="1"/>
        <v>0</v>
      </c>
      <c r="N51" s="117"/>
      <c r="O51" s="117"/>
    </row>
    <row r="52" spans="1:15" x14ac:dyDescent="0.35">
      <c r="A52" s="24">
        <v>38</v>
      </c>
      <c r="B52" s="565"/>
      <c r="C52" s="565"/>
      <c r="D52" s="565"/>
      <c r="F52" s="114"/>
      <c r="G52" s="68">
        <f>IFERROR(F52*'As-Filed Schedule 1'!$E$103,0)</f>
        <v>0</v>
      </c>
      <c r="H52" s="68">
        <f t="shared" si="0"/>
        <v>0</v>
      </c>
      <c r="J52" s="114"/>
      <c r="K52" s="68">
        <f>IFERROR(J52*'As-Filed Schedule 1'!$E$103,0)</f>
        <v>0</v>
      </c>
      <c r="L52" s="68">
        <f t="shared" si="1"/>
        <v>0</v>
      </c>
      <c r="N52" s="117"/>
      <c r="O52" s="117"/>
    </row>
    <row r="53" spans="1:15" x14ac:dyDescent="0.35">
      <c r="A53" s="24">
        <v>39</v>
      </c>
      <c r="B53" s="565"/>
      <c r="C53" s="565"/>
      <c r="D53" s="565"/>
      <c r="F53" s="114"/>
      <c r="G53" s="68">
        <f>IFERROR(F53*'As-Filed Schedule 1'!$E$103,0)</f>
        <v>0</v>
      </c>
      <c r="H53" s="68">
        <f t="shared" si="0"/>
        <v>0</v>
      </c>
      <c r="J53" s="114"/>
      <c r="K53" s="68">
        <f>IFERROR(J53*'As-Filed Schedule 1'!$E$103,0)</f>
        <v>0</v>
      </c>
      <c r="L53" s="68">
        <f t="shared" si="1"/>
        <v>0</v>
      </c>
      <c r="N53" s="117"/>
      <c r="O53" s="117"/>
    </row>
    <row r="54" spans="1:15" x14ac:dyDescent="0.35">
      <c r="A54" s="24">
        <v>40</v>
      </c>
      <c r="B54" s="565"/>
      <c r="C54" s="565"/>
      <c r="D54" s="565"/>
      <c r="F54" s="114"/>
      <c r="G54" s="68">
        <f>IFERROR(F54*'As-Filed Schedule 1'!$E$103,0)</f>
        <v>0</v>
      </c>
      <c r="H54" s="68">
        <f t="shared" si="0"/>
        <v>0</v>
      </c>
      <c r="J54" s="114"/>
      <c r="K54" s="68">
        <f>IFERROR(J54*'As-Filed Schedule 1'!$E$103,0)</f>
        <v>0</v>
      </c>
      <c r="L54" s="68">
        <f t="shared" si="1"/>
        <v>0</v>
      </c>
      <c r="N54" s="117"/>
      <c r="O54" s="117"/>
    </row>
    <row r="55" spans="1:15" x14ac:dyDescent="0.35">
      <c r="A55" s="24">
        <v>41</v>
      </c>
      <c r="B55" s="565"/>
      <c r="C55" s="565"/>
      <c r="D55" s="565"/>
      <c r="F55" s="114"/>
      <c r="G55" s="68">
        <f>IFERROR(F55*'As-Filed Schedule 1'!$E$103,0)</f>
        <v>0</v>
      </c>
      <c r="H55" s="68">
        <f t="shared" si="0"/>
        <v>0</v>
      </c>
      <c r="J55" s="114"/>
      <c r="K55" s="68">
        <f>IFERROR(J55*'As-Filed Schedule 1'!$E$103,0)</f>
        <v>0</v>
      </c>
      <c r="L55" s="68">
        <f t="shared" si="1"/>
        <v>0</v>
      </c>
      <c r="N55" s="117"/>
      <c r="O55" s="117"/>
    </row>
    <row r="56" spans="1:15" x14ac:dyDescent="0.35">
      <c r="A56" s="24">
        <v>42</v>
      </c>
      <c r="B56" s="565"/>
      <c r="C56" s="565"/>
      <c r="D56" s="565"/>
      <c r="F56" s="114"/>
      <c r="G56" s="68">
        <f>IFERROR(F56*'As-Filed Schedule 1'!$E$103,0)</f>
        <v>0</v>
      </c>
      <c r="H56" s="68">
        <f t="shared" si="0"/>
        <v>0</v>
      </c>
      <c r="J56" s="114"/>
      <c r="K56" s="68">
        <f>IFERROR(J56*'As-Filed Schedule 1'!$E$103,0)</f>
        <v>0</v>
      </c>
      <c r="L56" s="68">
        <f t="shared" si="1"/>
        <v>0</v>
      </c>
      <c r="N56" s="117"/>
      <c r="O56" s="117"/>
    </row>
    <row r="57" spans="1:15" x14ac:dyDescent="0.35">
      <c r="A57" s="24">
        <v>43</v>
      </c>
      <c r="B57" s="565"/>
      <c r="C57" s="565"/>
      <c r="D57" s="565"/>
      <c r="F57" s="114"/>
      <c r="G57" s="68">
        <f>IFERROR(F57*'As-Filed Schedule 1'!$E$103,0)</f>
        <v>0</v>
      </c>
      <c r="H57" s="68">
        <f t="shared" si="0"/>
        <v>0</v>
      </c>
      <c r="J57" s="114"/>
      <c r="K57" s="68">
        <f>IFERROR(J57*'As-Filed Schedule 1'!$E$103,0)</f>
        <v>0</v>
      </c>
      <c r="L57" s="68">
        <f t="shared" si="1"/>
        <v>0</v>
      </c>
      <c r="N57" s="117"/>
      <c r="O57" s="117"/>
    </row>
    <row r="58" spans="1:15" x14ac:dyDescent="0.35">
      <c r="A58" s="24">
        <v>44</v>
      </c>
      <c r="B58" s="565"/>
      <c r="C58" s="565"/>
      <c r="D58" s="565"/>
      <c r="F58" s="114"/>
      <c r="G58" s="68">
        <f>IFERROR(F58*'As-Filed Schedule 1'!$E$103,0)</f>
        <v>0</v>
      </c>
      <c r="H58" s="68">
        <f t="shared" si="0"/>
        <v>0</v>
      </c>
      <c r="J58" s="114"/>
      <c r="K58" s="68">
        <f>IFERROR(J58*'As-Filed Schedule 1'!$E$103,0)</f>
        <v>0</v>
      </c>
      <c r="L58" s="68">
        <f t="shared" si="1"/>
        <v>0</v>
      </c>
      <c r="N58" s="117"/>
      <c r="O58" s="117"/>
    </row>
    <row r="59" spans="1:15" x14ac:dyDescent="0.35">
      <c r="A59" s="24">
        <v>45</v>
      </c>
      <c r="B59" s="565"/>
      <c r="C59" s="565"/>
      <c r="D59" s="565"/>
      <c r="F59" s="114"/>
      <c r="G59" s="68">
        <f>IFERROR(F59*'As-Filed Schedule 1'!$E$103,0)</f>
        <v>0</v>
      </c>
      <c r="H59" s="68">
        <f t="shared" si="0"/>
        <v>0</v>
      </c>
      <c r="J59" s="114"/>
      <c r="K59" s="68">
        <f>IFERROR(J59*'As-Filed Schedule 1'!$E$103,0)</f>
        <v>0</v>
      </c>
      <c r="L59" s="68">
        <f t="shared" si="1"/>
        <v>0</v>
      </c>
      <c r="N59" s="117"/>
      <c r="O59" s="117"/>
    </row>
    <row r="60" spans="1:15" x14ac:dyDescent="0.35">
      <c r="A60" s="24">
        <v>46</v>
      </c>
      <c r="B60" s="565"/>
      <c r="C60" s="565"/>
      <c r="D60" s="565"/>
      <c r="F60" s="114"/>
      <c r="G60" s="68">
        <f>IFERROR(F60*'As-Filed Schedule 1'!$E$103,0)</f>
        <v>0</v>
      </c>
      <c r="H60" s="68">
        <f t="shared" si="0"/>
        <v>0</v>
      </c>
      <c r="J60" s="114"/>
      <c r="K60" s="68">
        <f>IFERROR(J60*'As-Filed Schedule 1'!$E$103,0)</f>
        <v>0</v>
      </c>
      <c r="L60" s="68">
        <f t="shared" si="1"/>
        <v>0</v>
      </c>
      <c r="N60" s="117"/>
      <c r="O60" s="117"/>
    </row>
    <row r="61" spans="1:15" x14ac:dyDescent="0.35">
      <c r="A61" s="24">
        <v>47</v>
      </c>
      <c r="B61" s="565"/>
      <c r="C61" s="565"/>
      <c r="D61" s="565"/>
      <c r="F61" s="114"/>
      <c r="G61" s="68">
        <f>IFERROR(F61*'As-Filed Schedule 1'!$E$103,0)</f>
        <v>0</v>
      </c>
      <c r="H61" s="68">
        <f t="shared" si="0"/>
        <v>0</v>
      </c>
      <c r="J61" s="114"/>
      <c r="K61" s="68">
        <f>IFERROR(J61*'As-Filed Schedule 1'!$E$103,0)</f>
        <v>0</v>
      </c>
      <c r="L61" s="68">
        <f t="shared" si="1"/>
        <v>0</v>
      </c>
      <c r="N61" s="117"/>
      <c r="O61" s="117"/>
    </row>
    <row r="62" spans="1:15" x14ac:dyDescent="0.35">
      <c r="A62" s="24">
        <v>48</v>
      </c>
      <c r="B62" s="565"/>
      <c r="C62" s="565"/>
      <c r="D62" s="565"/>
      <c r="F62" s="114"/>
      <c r="G62" s="68">
        <f>IFERROR(F62*'As-Filed Schedule 1'!$E$103,0)</f>
        <v>0</v>
      </c>
      <c r="H62" s="68">
        <f t="shared" si="0"/>
        <v>0</v>
      </c>
      <c r="J62" s="114"/>
      <c r="K62" s="68">
        <f>IFERROR(J62*'As-Filed Schedule 1'!$E$103,0)</f>
        <v>0</v>
      </c>
      <c r="L62" s="68">
        <f t="shared" si="1"/>
        <v>0</v>
      </c>
      <c r="N62" s="117"/>
      <c r="O62" s="117"/>
    </row>
    <row r="63" spans="1:15" x14ac:dyDescent="0.35">
      <c r="A63" s="24">
        <v>49</v>
      </c>
      <c r="B63" s="565"/>
      <c r="C63" s="565"/>
      <c r="D63" s="565"/>
      <c r="F63" s="114"/>
      <c r="G63" s="68">
        <f>IFERROR(F63*'As-Filed Schedule 1'!$E$103,0)</f>
        <v>0</v>
      </c>
      <c r="H63" s="68">
        <f t="shared" si="0"/>
        <v>0</v>
      </c>
      <c r="J63" s="114"/>
      <c r="K63" s="68">
        <f>IFERROR(J63*'As-Filed Schedule 1'!$E$103,0)</f>
        <v>0</v>
      </c>
      <c r="L63" s="68">
        <f t="shared" si="1"/>
        <v>0</v>
      </c>
      <c r="N63" s="117"/>
      <c r="O63" s="117"/>
    </row>
    <row r="64" spans="1:15" x14ac:dyDescent="0.35">
      <c r="A64" s="24">
        <v>50</v>
      </c>
      <c r="B64" s="565"/>
      <c r="C64" s="565"/>
      <c r="D64" s="565"/>
      <c r="F64" s="114"/>
      <c r="G64" s="68">
        <f>IFERROR(F64*'As-Filed Schedule 1'!$E$103,0)</f>
        <v>0</v>
      </c>
      <c r="H64" s="68">
        <f t="shared" si="0"/>
        <v>0</v>
      </c>
      <c r="J64" s="114"/>
      <c r="K64" s="68">
        <f>IFERROR(J64*'As-Filed Schedule 1'!$E$103,0)</f>
        <v>0</v>
      </c>
      <c r="L64" s="68">
        <f t="shared" si="1"/>
        <v>0</v>
      </c>
      <c r="N64" s="117"/>
      <c r="O64" s="117"/>
    </row>
    <row r="65" spans="1:15" x14ac:dyDescent="0.35">
      <c r="A65" s="24">
        <v>51</v>
      </c>
      <c r="B65" s="565"/>
      <c r="C65" s="565"/>
      <c r="D65" s="565"/>
      <c r="F65" s="114"/>
      <c r="G65" s="68">
        <f>IFERROR(F65*'As-Filed Schedule 1'!$E$103,0)</f>
        <v>0</v>
      </c>
      <c r="H65" s="68">
        <f t="shared" si="0"/>
        <v>0</v>
      </c>
      <c r="J65" s="114"/>
      <c r="K65" s="68">
        <f>IFERROR(J65*'As-Filed Schedule 1'!$E$103,0)</f>
        <v>0</v>
      </c>
      <c r="L65" s="68">
        <f t="shared" si="1"/>
        <v>0</v>
      </c>
      <c r="N65" s="117"/>
      <c r="O65" s="117"/>
    </row>
    <row r="66" spans="1:15" x14ac:dyDescent="0.35">
      <c r="A66" s="24">
        <v>52</v>
      </c>
      <c r="B66" s="565"/>
      <c r="C66" s="565"/>
      <c r="D66" s="565"/>
      <c r="F66" s="114"/>
      <c r="G66" s="68">
        <f>IFERROR(F66*'As-Filed Schedule 1'!$E$103,0)</f>
        <v>0</v>
      </c>
      <c r="H66" s="68">
        <f t="shared" si="0"/>
        <v>0</v>
      </c>
      <c r="J66" s="114"/>
      <c r="K66" s="68">
        <f>IFERROR(J66*'As-Filed Schedule 1'!$E$103,0)</f>
        <v>0</v>
      </c>
      <c r="L66" s="68">
        <f t="shared" si="1"/>
        <v>0</v>
      </c>
      <c r="N66" s="117"/>
      <c r="O66" s="117"/>
    </row>
    <row r="67" spans="1:15" x14ac:dyDescent="0.35">
      <c r="A67" s="24">
        <v>53</v>
      </c>
      <c r="B67" s="565"/>
      <c r="C67" s="565"/>
      <c r="D67" s="565"/>
      <c r="F67" s="114"/>
      <c r="G67" s="68">
        <f>IFERROR(F67*'As-Filed Schedule 1'!$E$103,0)</f>
        <v>0</v>
      </c>
      <c r="H67" s="68">
        <f t="shared" si="0"/>
        <v>0</v>
      </c>
      <c r="J67" s="114"/>
      <c r="K67" s="68">
        <f>IFERROR(J67*'As-Filed Schedule 1'!$E$103,0)</f>
        <v>0</v>
      </c>
      <c r="L67" s="68">
        <f t="shared" si="1"/>
        <v>0</v>
      </c>
      <c r="N67" s="117"/>
      <c r="O67" s="117"/>
    </row>
    <row r="68" spans="1:15" x14ac:dyDescent="0.35">
      <c r="A68" s="24">
        <v>54</v>
      </c>
      <c r="B68" s="565"/>
      <c r="C68" s="565"/>
      <c r="D68" s="565"/>
      <c r="F68" s="114"/>
      <c r="G68" s="68">
        <f>IFERROR(F68*'As-Filed Schedule 1'!$E$103,0)</f>
        <v>0</v>
      </c>
      <c r="H68" s="68">
        <f t="shared" si="0"/>
        <v>0</v>
      </c>
      <c r="J68" s="114"/>
      <c r="K68" s="68">
        <f>IFERROR(J68*'As-Filed Schedule 1'!$E$103,0)</f>
        <v>0</v>
      </c>
      <c r="L68" s="68">
        <f t="shared" si="1"/>
        <v>0</v>
      </c>
      <c r="N68" s="117"/>
      <c r="O68" s="117"/>
    </row>
    <row r="69" spans="1:15" x14ac:dyDescent="0.35">
      <c r="A69" s="24">
        <v>55</v>
      </c>
      <c r="B69" s="565"/>
      <c r="C69" s="565"/>
      <c r="D69" s="565"/>
      <c r="F69" s="114"/>
      <c r="G69" s="68">
        <f>IFERROR(F69*'As-Filed Schedule 1'!$E$103,0)</f>
        <v>0</v>
      </c>
      <c r="H69" s="68">
        <f t="shared" si="0"/>
        <v>0</v>
      </c>
      <c r="J69" s="114"/>
      <c r="K69" s="68">
        <f>IFERROR(J69*'As-Filed Schedule 1'!$E$103,0)</f>
        <v>0</v>
      </c>
      <c r="L69" s="68">
        <f t="shared" si="1"/>
        <v>0</v>
      </c>
      <c r="N69" s="117"/>
      <c r="O69" s="117"/>
    </row>
    <row r="70" spans="1:15" x14ac:dyDescent="0.35">
      <c r="A70" s="24">
        <v>56</v>
      </c>
      <c r="B70" s="565"/>
      <c r="C70" s="565"/>
      <c r="D70" s="565"/>
      <c r="F70" s="114"/>
      <c r="G70" s="68">
        <f>IFERROR(F70*'As-Filed Schedule 1'!$E$103,0)</f>
        <v>0</v>
      </c>
      <c r="H70" s="68">
        <f t="shared" si="0"/>
        <v>0</v>
      </c>
      <c r="J70" s="114"/>
      <c r="K70" s="68">
        <f>IFERROR(J70*'As-Filed Schedule 1'!$E$103,0)</f>
        <v>0</v>
      </c>
      <c r="L70" s="68">
        <f t="shared" si="1"/>
        <v>0</v>
      </c>
      <c r="N70" s="117"/>
      <c r="O70" s="117"/>
    </row>
    <row r="71" spans="1:15" x14ac:dyDescent="0.35">
      <c r="A71" s="24">
        <v>57</v>
      </c>
      <c r="B71" s="565"/>
      <c r="C71" s="565"/>
      <c r="D71" s="565"/>
      <c r="F71" s="114"/>
      <c r="G71" s="68">
        <f>IFERROR(F71*'As-Filed Schedule 1'!$E$103,0)</f>
        <v>0</v>
      </c>
      <c r="H71" s="68">
        <f t="shared" si="0"/>
        <v>0</v>
      </c>
      <c r="J71" s="114"/>
      <c r="K71" s="68">
        <f>IFERROR(J71*'As-Filed Schedule 1'!$E$103,0)</f>
        <v>0</v>
      </c>
      <c r="L71" s="68">
        <f t="shared" si="1"/>
        <v>0</v>
      </c>
      <c r="N71" s="117"/>
      <c r="O71" s="117"/>
    </row>
    <row r="72" spans="1:15" x14ac:dyDescent="0.35">
      <c r="A72" s="24">
        <v>58</v>
      </c>
      <c r="B72" s="565"/>
      <c r="C72" s="565"/>
      <c r="D72" s="565"/>
      <c r="F72" s="114"/>
      <c r="G72" s="68">
        <f>IFERROR(F72*'As-Filed Schedule 1'!$E$103,0)</f>
        <v>0</v>
      </c>
      <c r="H72" s="68">
        <f t="shared" si="0"/>
        <v>0</v>
      </c>
      <c r="J72" s="114"/>
      <c r="K72" s="68">
        <f>IFERROR(J72*'As-Filed Schedule 1'!$E$103,0)</f>
        <v>0</v>
      </c>
      <c r="L72" s="68">
        <f t="shared" si="1"/>
        <v>0</v>
      </c>
      <c r="N72" s="117"/>
      <c r="O72" s="117"/>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823</v>
      </c>
      <c r="F75" s="75">
        <f>H73+L73</f>
        <v>0</v>
      </c>
      <c r="G75" s="74"/>
      <c r="H75" s="74"/>
      <c r="I75" s="74"/>
      <c r="J75" s="74"/>
      <c r="K75" s="74"/>
    </row>
  </sheetData>
  <sheetProtection sheet="1" objects="1" scenarios="1"/>
  <customSheetViews>
    <customSheetView guid="{17302493-42B1-4877-869E-E424A97AE78B}" state="hidden">
      <selection activeCell="F17" sqref="F17"/>
      <pageMargins left="0.7" right="0.7" top="0.75" bottom="0.75" header="0.3" footer="0.3"/>
    </customSheetView>
    <customSheetView guid="{5C0BA3A5-859C-46C2-B685-44D9A90065E4}">
      <selection activeCell="B15" sqref="B15:F19"/>
      <pageMargins left="0.7" right="0.7" top="0.75" bottom="0.75" header="0.3" footer="0.3"/>
    </customSheetView>
  </customSheetViews>
  <mergeCells count="64">
    <mergeCell ref="B18:D18"/>
    <mergeCell ref="O13:O14"/>
    <mergeCell ref="B12:D12"/>
    <mergeCell ref="B13:D14"/>
    <mergeCell ref="F13:H13"/>
    <mergeCell ref="J13:L13"/>
    <mergeCell ref="N13:N14"/>
    <mergeCell ref="B26:D26"/>
    <mergeCell ref="B20:D20"/>
    <mergeCell ref="B21:D21"/>
    <mergeCell ref="B22:D22"/>
    <mergeCell ref="B23:D23"/>
    <mergeCell ref="B24:D24"/>
    <mergeCell ref="B25:D25"/>
    <mergeCell ref="B19:D19"/>
    <mergeCell ref="B15:D15"/>
    <mergeCell ref="B16:D16"/>
    <mergeCell ref="B17:D17"/>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9">
    <tabColor rgb="FF9CC5CA"/>
  </sheetPr>
  <dimension ref="A1:O75"/>
  <sheetViews>
    <sheetView workbookViewId="0">
      <selection activeCell="F17" sqref="F17"/>
    </sheetView>
  </sheetViews>
  <sheetFormatPr defaultColWidth="9.1796875" defaultRowHeight="14.5" x14ac:dyDescent="0.35"/>
  <cols>
    <col min="1" max="1" width="9.54296875" customWidth="1"/>
    <col min="2" max="2" width="16" customWidth="1"/>
    <col min="3" max="3" width="26.7265625" customWidth="1"/>
    <col min="4" max="4" width="24.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 t="s">
        <v>827</v>
      </c>
      <c r="B3" s="5"/>
      <c r="C3" s="5"/>
      <c r="D3" s="5"/>
      <c r="E3" s="5"/>
      <c r="F3" s="5"/>
      <c r="G3" s="5"/>
      <c r="H3" s="5"/>
    </row>
    <row r="5" spans="1:15" x14ac:dyDescent="0.35">
      <c r="A5" s="1" t="s">
        <v>776</v>
      </c>
      <c r="C5" s="413" t="str">
        <f>'As-Filed Schedule 1'!C5</f>
        <v>WellPower</v>
      </c>
    </row>
    <row r="6" spans="1:15" x14ac:dyDescent="0.35">
      <c r="A6" s="1" t="s">
        <v>0</v>
      </c>
      <c r="C6" s="406">
        <f>'As-Filed Schedule 1'!C6</f>
        <v>45473</v>
      </c>
      <c r="F6" s="35"/>
    </row>
    <row r="8" spans="1:15" x14ac:dyDescent="0.35">
      <c r="A8" s="1" t="s">
        <v>253</v>
      </c>
      <c r="B8" s="1" t="s">
        <v>825</v>
      </c>
      <c r="C8" s="1"/>
      <c r="F8" s="116" t="s">
        <v>177</v>
      </c>
      <c r="G8" s="41" t="s">
        <v>259</v>
      </c>
    </row>
    <row r="10" spans="1:15" x14ac:dyDescent="0.35">
      <c r="A10" s="1" t="s">
        <v>254</v>
      </c>
      <c r="B10" s="1" t="s">
        <v>256</v>
      </c>
      <c r="C10" s="1"/>
    </row>
    <row r="12" spans="1:15" x14ac:dyDescent="0.35">
      <c r="B12" s="560">
        <v>1</v>
      </c>
      <c r="C12" s="560"/>
      <c r="D12" s="560"/>
      <c r="F12" s="23">
        <v>2</v>
      </c>
      <c r="G12" s="23">
        <v>3</v>
      </c>
      <c r="H12" s="23">
        <v>4</v>
      </c>
      <c r="J12" s="23">
        <v>5</v>
      </c>
      <c r="K12" s="23">
        <v>6</v>
      </c>
      <c r="L12" s="23">
        <v>7</v>
      </c>
      <c r="N12" s="23">
        <v>8</v>
      </c>
      <c r="O12" s="23">
        <v>9</v>
      </c>
    </row>
    <row r="13" spans="1:15" x14ac:dyDescent="0.35">
      <c r="B13" s="561" t="s">
        <v>255</v>
      </c>
      <c r="C13" s="561"/>
      <c r="D13" s="561"/>
      <c r="F13" s="563" t="s">
        <v>261</v>
      </c>
      <c r="G13" s="568"/>
      <c r="H13" s="564"/>
      <c r="J13" s="563" t="s">
        <v>262</v>
      </c>
      <c r="K13" s="568"/>
      <c r="L13" s="564"/>
      <c r="N13" s="562" t="s">
        <v>250</v>
      </c>
      <c r="O13" s="562" t="s">
        <v>312</v>
      </c>
    </row>
    <row r="14" spans="1:15" ht="55.5" customHeight="1" x14ac:dyDescent="0.35">
      <c r="B14" s="561"/>
      <c r="C14" s="561"/>
      <c r="D14" s="561"/>
      <c r="E14" s="48"/>
      <c r="F14" s="10" t="s">
        <v>214</v>
      </c>
      <c r="G14" s="142" t="s">
        <v>493</v>
      </c>
      <c r="H14" s="142" t="s">
        <v>215</v>
      </c>
      <c r="I14" s="99"/>
      <c r="J14" s="142" t="s">
        <v>214</v>
      </c>
      <c r="K14" s="142" t="s">
        <v>493</v>
      </c>
      <c r="L14" s="10" t="s">
        <v>215</v>
      </c>
      <c r="M14" s="48"/>
      <c r="N14" s="562"/>
      <c r="O14" s="562"/>
    </row>
    <row r="15" spans="1:15" x14ac:dyDescent="0.35">
      <c r="A15" s="24">
        <v>1</v>
      </c>
      <c r="B15" s="565"/>
      <c r="C15" s="565"/>
      <c r="D15" s="565"/>
      <c r="F15" s="114"/>
      <c r="G15" s="68">
        <f>IFERROR(F15*'As-Filed Schedule 1'!$E$103,0)</f>
        <v>0</v>
      </c>
      <c r="H15" s="68">
        <f>SUM(F15:G15)</f>
        <v>0</v>
      </c>
      <c r="J15" s="114"/>
      <c r="K15" s="68">
        <f>IFERROR(J15*'As-Filed Schedule 1'!$E$103,0)</f>
        <v>0</v>
      </c>
      <c r="L15" s="68">
        <f>SUM(J15:K15)</f>
        <v>0</v>
      </c>
      <c r="N15" s="117"/>
      <c r="O15" s="117"/>
    </row>
    <row r="16" spans="1:15" x14ac:dyDescent="0.35">
      <c r="A16" s="24">
        <v>2</v>
      </c>
      <c r="B16" s="565"/>
      <c r="C16" s="565"/>
      <c r="D16" s="565"/>
      <c r="F16" s="114"/>
      <c r="G16" s="68">
        <f>IFERROR(F16*'As-Filed Schedule 1'!$E$103,0)</f>
        <v>0</v>
      </c>
      <c r="H16" s="68">
        <f t="shared" ref="H16:H72" si="0">SUM(F16:G16)</f>
        <v>0</v>
      </c>
      <c r="J16" s="114"/>
      <c r="K16" s="68">
        <f>IFERROR(J16*'As-Filed Schedule 1'!$E$103,0)</f>
        <v>0</v>
      </c>
      <c r="L16" s="68">
        <f t="shared" ref="L16:L72" si="1">SUM(J16:K16)</f>
        <v>0</v>
      </c>
      <c r="N16" s="117"/>
      <c r="O16" s="117"/>
    </row>
    <row r="17" spans="1:15" x14ac:dyDescent="0.35">
      <c r="A17" s="24">
        <v>3</v>
      </c>
      <c r="B17" s="565"/>
      <c r="C17" s="565"/>
      <c r="D17" s="565"/>
      <c r="F17" s="114"/>
      <c r="G17" s="68">
        <f>IFERROR(F17*'As-Filed Schedule 1'!$E$103,0)</f>
        <v>0</v>
      </c>
      <c r="H17" s="68">
        <f t="shared" si="0"/>
        <v>0</v>
      </c>
      <c r="J17" s="114"/>
      <c r="K17" s="68">
        <f>IFERROR(J17*'As-Filed Schedule 1'!$E$103,0)</f>
        <v>0</v>
      </c>
      <c r="L17" s="68">
        <f t="shared" si="1"/>
        <v>0</v>
      </c>
      <c r="N17" s="117"/>
      <c r="O17" s="117"/>
    </row>
    <row r="18" spans="1:15" x14ac:dyDescent="0.35">
      <c r="A18" s="24">
        <v>4</v>
      </c>
      <c r="B18" s="565"/>
      <c r="C18" s="565"/>
      <c r="D18" s="565"/>
      <c r="F18" s="114"/>
      <c r="G18" s="68">
        <f>IFERROR(F18*'As-Filed Schedule 1'!$E$103,0)</f>
        <v>0</v>
      </c>
      <c r="H18" s="68">
        <f t="shared" si="0"/>
        <v>0</v>
      </c>
      <c r="J18" s="114"/>
      <c r="K18" s="68">
        <f>IFERROR(J18*'As-Filed Schedule 1'!$E$103,0)</f>
        <v>0</v>
      </c>
      <c r="L18" s="68">
        <f t="shared" si="1"/>
        <v>0</v>
      </c>
      <c r="N18" s="117"/>
      <c r="O18" s="117"/>
    </row>
    <row r="19" spans="1:15" x14ac:dyDescent="0.35">
      <c r="A19" s="24">
        <v>5</v>
      </c>
      <c r="B19" s="565"/>
      <c r="C19" s="565"/>
      <c r="D19" s="565"/>
      <c r="F19" s="114"/>
      <c r="G19" s="68">
        <f>IFERROR(F19*'As-Filed Schedule 1'!$E$103,0)</f>
        <v>0</v>
      </c>
      <c r="H19" s="68">
        <f t="shared" si="0"/>
        <v>0</v>
      </c>
      <c r="J19" s="114"/>
      <c r="K19" s="68">
        <f>IFERROR(J19*'As-Filed Schedule 1'!$E$103,0)</f>
        <v>0</v>
      </c>
      <c r="L19" s="68">
        <f t="shared" si="1"/>
        <v>0</v>
      </c>
      <c r="N19" s="117"/>
      <c r="O19" s="117"/>
    </row>
    <row r="20" spans="1:15" x14ac:dyDescent="0.35">
      <c r="A20" s="24">
        <v>6</v>
      </c>
      <c r="B20" s="565"/>
      <c r="C20" s="565"/>
      <c r="D20" s="565"/>
      <c r="F20" s="114"/>
      <c r="G20" s="68">
        <f>IFERROR(F20*'As-Filed Schedule 1'!$E$103,0)</f>
        <v>0</v>
      </c>
      <c r="H20" s="68">
        <f t="shared" si="0"/>
        <v>0</v>
      </c>
      <c r="J20" s="114"/>
      <c r="K20" s="68">
        <f>IFERROR(J20*'As-Filed Schedule 1'!$E$103,0)</f>
        <v>0</v>
      </c>
      <c r="L20" s="68">
        <f t="shared" si="1"/>
        <v>0</v>
      </c>
      <c r="N20" s="117"/>
      <c r="O20" s="117"/>
    </row>
    <row r="21" spans="1:15" x14ac:dyDescent="0.35">
      <c r="A21" s="24">
        <v>7</v>
      </c>
      <c r="B21" s="565"/>
      <c r="C21" s="565"/>
      <c r="D21" s="565"/>
      <c r="F21" s="114"/>
      <c r="G21" s="68">
        <f>IFERROR(F21*'As-Filed Schedule 1'!$E$103,0)</f>
        <v>0</v>
      </c>
      <c r="H21" s="68">
        <f t="shared" si="0"/>
        <v>0</v>
      </c>
      <c r="J21" s="114"/>
      <c r="K21" s="68">
        <f>IFERROR(J21*'As-Filed Schedule 1'!$E$103,0)</f>
        <v>0</v>
      </c>
      <c r="L21" s="68">
        <f t="shared" si="1"/>
        <v>0</v>
      </c>
      <c r="N21" s="117"/>
      <c r="O21" s="117"/>
    </row>
    <row r="22" spans="1:15" x14ac:dyDescent="0.35">
      <c r="A22" s="24">
        <v>8</v>
      </c>
      <c r="B22" s="565"/>
      <c r="C22" s="565"/>
      <c r="D22" s="565"/>
      <c r="F22" s="114"/>
      <c r="G22" s="68">
        <f>IFERROR(F22*'As-Filed Schedule 1'!$E$103,0)</f>
        <v>0</v>
      </c>
      <c r="H22" s="68">
        <f t="shared" si="0"/>
        <v>0</v>
      </c>
      <c r="J22" s="114"/>
      <c r="K22" s="68">
        <f>IFERROR(J22*'As-Filed Schedule 1'!$E$103,0)</f>
        <v>0</v>
      </c>
      <c r="L22" s="68">
        <f t="shared" si="1"/>
        <v>0</v>
      </c>
      <c r="N22" s="117"/>
      <c r="O22" s="117"/>
    </row>
    <row r="23" spans="1:15" x14ac:dyDescent="0.35">
      <c r="A23" s="24">
        <v>9</v>
      </c>
      <c r="B23" s="565"/>
      <c r="C23" s="565"/>
      <c r="D23" s="565"/>
      <c r="F23" s="114"/>
      <c r="G23" s="68">
        <f>IFERROR(F23*'As-Filed Schedule 1'!$E$103,0)</f>
        <v>0</v>
      </c>
      <c r="H23" s="68">
        <f t="shared" si="0"/>
        <v>0</v>
      </c>
      <c r="J23" s="114"/>
      <c r="K23" s="68">
        <f>IFERROR(J23*'As-Filed Schedule 1'!$E$103,0)</f>
        <v>0</v>
      </c>
      <c r="L23" s="68">
        <f t="shared" si="1"/>
        <v>0</v>
      </c>
      <c r="N23" s="117"/>
      <c r="O23" s="117"/>
    </row>
    <row r="24" spans="1:15" x14ac:dyDescent="0.35">
      <c r="A24" s="24">
        <v>10</v>
      </c>
      <c r="B24" s="565"/>
      <c r="C24" s="565"/>
      <c r="D24" s="565"/>
      <c r="F24" s="114"/>
      <c r="G24" s="68">
        <f>IFERROR(F24*'As-Filed Schedule 1'!$E$103,0)</f>
        <v>0</v>
      </c>
      <c r="H24" s="68">
        <f t="shared" si="0"/>
        <v>0</v>
      </c>
      <c r="J24" s="114"/>
      <c r="K24" s="68">
        <f>IFERROR(J24*'As-Filed Schedule 1'!$E$103,0)</f>
        <v>0</v>
      </c>
      <c r="L24" s="68">
        <f t="shared" si="1"/>
        <v>0</v>
      </c>
      <c r="N24" s="117"/>
      <c r="O24" s="117"/>
    </row>
    <row r="25" spans="1:15" x14ac:dyDescent="0.35">
      <c r="A25" s="24">
        <v>11</v>
      </c>
      <c r="B25" s="565"/>
      <c r="C25" s="565"/>
      <c r="D25" s="565"/>
      <c r="F25" s="114"/>
      <c r="G25" s="68">
        <f>IFERROR(F25*'As-Filed Schedule 1'!$E$103,0)</f>
        <v>0</v>
      </c>
      <c r="H25" s="68">
        <f t="shared" si="0"/>
        <v>0</v>
      </c>
      <c r="J25" s="114"/>
      <c r="K25" s="68">
        <f>IFERROR(J25*'As-Filed Schedule 1'!$E$103,0)</f>
        <v>0</v>
      </c>
      <c r="L25" s="68">
        <f t="shared" si="1"/>
        <v>0</v>
      </c>
      <c r="N25" s="117"/>
      <c r="O25" s="117"/>
    </row>
    <row r="26" spans="1:15" x14ac:dyDescent="0.35">
      <c r="A26" s="24">
        <v>12</v>
      </c>
      <c r="B26" s="565"/>
      <c r="C26" s="565"/>
      <c r="D26" s="565"/>
      <c r="F26" s="114"/>
      <c r="G26" s="68">
        <f>IFERROR(F26*'As-Filed Schedule 1'!$E$103,0)</f>
        <v>0</v>
      </c>
      <c r="H26" s="68">
        <f t="shared" si="0"/>
        <v>0</v>
      </c>
      <c r="J26" s="114"/>
      <c r="K26" s="68">
        <f>IFERROR(J26*'As-Filed Schedule 1'!$E$103,0)</f>
        <v>0</v>
      </c>
      <c r="L26" s="68">
        <f t="shared" si="1"/>
        <v>0</v>
      </c>
      <c r="N26" s="117"/>
      <c r="O26" s="117"/>
    </row>
    <row r="27" spans="1:15" x14ac:dyDescent="0.35">
      <c r="A27" s="24">
        <v>13</v>
      </c>
      <c r="B27" s="565"/>
      <c r="C27" s="565"/>
      <c r="D27" s="565"/>
      <c r="F27" s="114"/>
      <c r="G27" s="68">
        <f>IFERROR(F27*'As-Filed Schedule 1'!$E$103,0)</f>
        <v>0</v>
      </c>
      <c r="H27" s="68">
        <f t="shared" si="0"/>
        <v>0</v>
      </c>
      <c r="J27" s="114"/>
      <c r="K27" s="68">
        <f>IFERROR(J27*'As-Filed Schedule 1'!$E$103,0)</f>
        <v>0</v>
      </c>
      <c r="L27" s="68">
        <f t="shared" si="1"/>
        <v>0</v>
      </c>
      <c r="N27" s="117"/>
      <c r="O27" s="117"/>
    </row>
    <row r="28" spans="1:15" x14ac:dyDescent="0.35">
      <c r="A28" s="24">
        <v>14</v>
      </c>
      <c r="B28" s="565"/>
      <c r="C28" s="565"/>
      <c r="D28" s="565"/>
      <c r="F28" s="114"/>
      <c r="G28" s="68">
        <f>IFERROR(F28*'As-Filed Schedule 1'!$E$103,0)</f>
        <v>0</v>
      </c>
      <c r="H28" s="68">
        <f t="shared" si="0"/>
        <v>0</v>
      </c>
      <c r="J28" s="114"/>
      <c r="K28" s="68">
        <f>IFERROR(J28*'As-Filed Schedule 1'!$E$103,0)</f>
        <v>0</v>
      </c>
      <c r="L28" s="68">
        <f t="shared" si="1"/>
        <v>0</v>
      </c>
      <c r="N28" s="117"/>
      <c r="O28" s="117"/>
    </row>
    <row r="29" spans="1:15" x14ac:dyDescent="0.35">
      <c r="A29" s="24">
        <v>15</v>
      </c>
      <c r="B29" s="565"/>
      <c r="C29" s="565"/>
      <c r="D29" s="565"/>
      <c r="F29" s="114"/>
      <c r="G29" s="68">
        <f>IFERROR(F29*'As-Filed Schedule 1'!$E$103,0)</f>
        <v>0</v>
      </c>
      <c r="H29" s="68">
        <f t="shared" si="0"/>
        <v>0</v>
      </c>
      <c r="J29" s="114"/>
      <c r="K29" s="68">
        <f>IFERROR(J29*'As-Filed Schedule 1'!$E$103,0)</f>
        <v>0</v>
      </c>
      <c r="L29" s="68">
        <f t="shared" si="1"/>
        <v>0</v>
      </c>
      <c r="N29" s="117"/>
      <c r="O29" s="117"/>
    </row>
    <row r="30" spans="1:15" x14ac:dyDescent="0.35">
      <c r="A30" s="24">
        <v>16</v>
      </c>
      <c r="B30" s="565"/>
      <c r="C30" s="565"/>
      <c r="D30" s="565"/>
      <c r="F30" s="114"/>
      <c r="G30" s="68">
        <f>IFERROR(F30*'As-Filed Schedule 1'!$E$103,0)</f>
        <v>0</v>
      </c>
      <c r="H30" s="68">
        <f t="shared" si="0"/>
        <v>0</v>
      </c>
      <c r="J30" s="114"/>
      <c r="K30" s="68">
        <f>IFERROR(J30*'As-Filed Schedule 1'!$E$103,0)</f>
        <v>0</v>
      </c>
      <c r="L30" s="68">
        <f t="shared" si="1"/>
        <v>0</v>
      </c>
      <c r="N30" s="117"/>
      <c r="O30" s="117"/>
    </row>
    <row r="31" spans="1:15" x14ac:dyDescent="0.35">
      <c r="A31" s="24">
        <v>17</v>
      </c>
      <c r="B31" s="565"/>
      <c r="C31" s="565"/>
      <c r="D31" s="565"/>
      <c r="F31" s="114"/>
      <c r="G31" s="68">
        <f>IFERROR(F31*'As-Filed Schedule 1'!$E$103,0)</f>
        <v>0</v>
      </c>
      <c r="H31" s="68">
        <f t="shared" si="0"/>
        <v>0</v>
      </c>
      <c r="J31" s="114"/>
      <c r="K31" s="68">
        <f>IFERROR(J31*'As-Filed Schedule 1'!$E$103,0)</f>
        <v>0</v>
      </c>
      <c r="L31" s="68">
        <f t="shared" si="1"/>
        <v>0</v>
      </c>
      <c r="N31" s="117"/>
      <c r="O31" s="117"/>
    </row>
    <row r="32" spans="1:15" x14ac:dyDescent="0.35">
      <c r="A32" s="24">
        <v>18</v>
      </c>
      <c r="B32" s="565"/>
      <c r="C32" s="565"/>
      <c r="D32" s="565"/>
      <c r="F32" s="114"/>
      <c r="G32" s="68">
        <f>IFERROR(F32*'As-Filed Schedule 1'!$E$103,0)</f>
        <v>0</v>
      </c>
      <c r="H32" s="68">
        <f t="shared" si="0"/>
        <v>0</v>
      </c>
      <c r="J32" s="114"/>
      <c r="K32" s="68">
        <f>IFERROR(J32*'As-Filed Schedule 1'!$E$103,0)</f>
        <v>0</v>
      </c>
      <c r="L32" s="68">
        <f t="shared" si="1"/>
        <v>0</v>
      </c>
      <c r="N32" s="117"/>
      <c r="O32" s="117"/>
    </row>
    <row r="33" spans="1:15" x14ac:dyDescent="0.35">
      <c r="A33" s="24">
        <v>19</v>
      </c>
      <c r="B33" s="565"/>
      <c r="C33" s="565"/>
      <c r="D33" s="565"/>
      <c r="F33" s="114"/>
      <c r="G33" s="68">
        <f>IFERROR(F33*'As-Filed Schedule 1'!$E$103,0)</f>
        <v>0</v>
      </c>
      <c r="H33" s="68">
        <f t="shared" si="0"/>
        <v>0</v>
      </c>
      <c r="J33" s="114"/>
      <c r="K33" s="68">
        <f>IFERROR(J33*'As-Filed Schedule 1'!$E$103,0)</f>
        <v>0</v>
      </c>
      <c r="L33" s="68">
        <f t="shared" si="1"/>
        <v>0</v>
      </c>
      <c r="N33" s="117"/>
      <c r="O33" s="117"/>
    </row>
    <row r="34" spans="1:15" x14ac:dyDescent="0.35">
      <c r="A34" s="24">
        <v>20</v>
      </c>
      <c r="B34" s="565"/>
      <c r="C34" s="565"/>
      <c r="D34" s="565"/>
      <c r="F34" s="114"/>
      <c r="G34" s="68">
        <f>IFERROR(F34*'As-Filed Schedule 1'!$E$103,0)</f>
        <v>0</v>
      </c>
      <c r="H34" s="68">
        <f t="shared" si="0"/>
        <v>0</v>
      </c>
      <c r="J34" s="114"/>
      <c r="K34" s="68">
        <f>IFERROR(J34*'As-Filed Schedule 1'!$E$103,0)</f>
        <v>0</v>
      </c>
      <c r="L34" s="68">
        <f t="shared" si="1"/>
        <v>0</v>
      </c>
      <c r="N34" s="117"/>
      <c r="O34" s="117"/>
    </row>
    <row r="35" spans="1:15" x14ac:dyDescent="0.35">
      <c r="A35" s="24">
        <v>21</v>
      </c>
      <c r="B35" s="565"/>
      <c r="C35" s="565"/>
      <c r="D35" s="565"/>
      <c r="F35" s="114"/>
      <c r="G35" s="68">
        <f>IFERROR(F35*'As-Filed Schedule 1'!$E$103,0)</f>
        <v>0</v>
      </c>
      <c r="H35" s="68">
        <f t="shared" si="0"/>
        <v>0</v>
      </c>
      <c r="J35" s="114"/>
      <c r="K35" s="68">
        <f>IFERROR(J35*'As-Filed Schedule 1'!$E$103,0)</f>
        <v>0</v>
      </c>
      <c r="L35" s="68">
        <f t="shared" si="1"/>
        <v>0</v>
      </c>
      <c r="N35" s="117"/>
      <c r="O35" s="117"/>
    </row>
    <row r="36" spans="1:15" x14ac:dyDescent="0.35">
      <c r="A36" s="24">
        <v>22</v>
      </c>
      <c r="B36" s="565"/>
      <c r="C36" s="565"/>
      <c r="D36" s="565"/>
      <c r="F36" s="114"/>
      <c r="G36" s="68">
        <f>IFERROR(F36*'As-Filed Schedule 1'!$E$103,0)</f>
        <v>0</v>
      </c>
      <c r="H36" s="68">
        <f t="shared" si="0"/>
        <v>0</v>
      </c>
      <c r="J36" s="114"/>
      <c r="K36" s="68">
        <f>IFERROR(J36*'As-Filed Schedule 1'!$E$103,0)</f>
        <v>0</v>
      </c>
      <c r="L36" s="68">
        <f t="shared" si="1"/>
        <v>0</v>
      </c>
      <c r="N36" s="117"/>
      <c r="O36" s="117"/>
    </row>
    <row r="37" spans="1:15" x14ac:dyDescent="0.35">
      <c r="A37" s="24">
        <v>23</v>
      </c>
      <c r="B37" s="565"/>
      <c r="C37" s="565"/>
      <c r="D37" s="565"/>
      <c r="F37" s="114"/>
      <c r="G37" s="68">
        <f>IFERROR(F37*'As-Filed Schedule 1'!$E$103,0)</f>
        <v>0</v>
      </c>
      <c r="H37" s="68">
        <f t="shared" si="0"/>
        <v>0</v>
      </c>
      <c r="J37" s="114"/>
      <c r="K37" s="68">
        <f>IFERROR(J37*'As-Filed Schedule 1'!$E$103,0)</f>
        <v>0</v>
      </c>
      <c r="L37" s="68">
        <f t="shared" si="1"/>
        <v>0</v>
      </c>
      <c r="N37" s="117"/>
      <c r="O37" s="117"/>
    </row>
    <row r="38" spans="1:15" x14ac:dyDescent="0.35">
      <c r="A38" s="24">
        <v>24</v>
      </c>
      <c r="B38" s="565"/>
      <c r="C38" s="565"/>
      <c r="D38" s="565"/>
      <c r="F38" s="114"/>
      <c r="G38" s="68">
        <f>IFERROR(F38*'As-Filed Schedule 1'!$E$103,0)</f>
        <v>0</v>
      </c>
      <c r="H38" s="68">
        <f t="shared" si="0"/>
        <v>0</v>
      </c>
      <c r="J38" s="114"/>
      <c r="K38" s="68">
        <f>IFERROR(J38*'As-Filed Schedule 1'!$E$103,0)</f>
        <v>0</v>
      </c>
      <c r="L38" s="68">
        <f t="shared" si="1"/>
        <v>0</v>
      </c>
      <c r="N38" s="117"/>
      <c r="O38" s="117"/>
    </row>
    <row r="39" spans="1:15" x14ac:dyDescent="0.35">
      <c r="A39" s="24">
        <v>25</v>
      </c>
      <c r="B39" s="565"/>
      <c r="C39" s="565"/>
      <c r="D39" s="565"/>
      <c r="F39" s="114"/>
      <c r="G39" s="68">
        <f>IFERROR(F39*'As-Filed Schedule 1'!$E$103,0)</f>
        <v>0</v>
      </c>
      <c r="H39" s="68">
        <f t="shared" si="0"/>
        <v>0</v>
      </c>
      <c r="J39" s="114"/>
      <c r="K39" s="68">
        <f>IFERROR(J39*'As-Filed Schedule 1'!$E$103,0)</f>
        <v>0</v>
      </c>
      <c r="L39" s="68">
        <f t="shared" si="1"/>
        <v>0</v>
      </c>
      <c r="N39" s="117"/>
      <c r="O39" s="117"/>
    </row>
    <row r="40" spans="1:15" x14ac:dyDescent="0.35">
      <c r="A40" s="24">
        <v>26</v>
      </c>
      <c r="B40" s="565"/>
      <c r="C40" s="565"/>
      <c r="D40" s="565"/>
      <c r="F40" s="114"/>
      <c r="G40" s="68">
        <f>IFERROR(F40*'As-Filed Schedule 1'!$E$103,0)</f>
        <v>0</v>
      </c>
      <c r="H40" s="68">
        <f t="shared" si="0"/>
        <v>0</v>
      </c>
      <c r="J40" s="114"/>
      <c r="K40" s="68">
        <f>IFERROR(J40*'As-Filed Schedule 1'!$E$103,0)</f>
        <v>0</v>
      </c>
      <c r="L40" s="68">
        <f t="shared" si="1"/>
        <v>0</v>
      </c>
      <c r="N40" s="117"/>
      <c r="O40" s="117"/>
    </row>
    <row r="41" spans="1:15" x14ac:dyDescent="0.35">
      <c r="A41" s="24">
        <v>27</v>
      </c>
      <c r="B41" s="565"/>
      <c r="C41" s="565"/>
      <c r="D41" s="565"/>
      <c r="F41" s="114"/>
      <c r="G41" s="68">
        <f>IFERROR(F41*'As-Filed Schedule 1'!$E$103,0)</f>
        <v>0</v>
      </c>
      <c r="H41" s="68">
        <f t="shared" si="0"/>
        <v>0</v>
      </c>
      <c r="J41" s="114"/>
      <c r="K41" s="68">
        <f>IFERROR(J41*'As-Filed Schedule 1'!$E$103,0)</f>
        <v>0</v>
      </c>
      <c r="L41" s="68">
        <f t="shared" si="1"/>
        <v>0</v>
      </c>
      <c r="N41" s="117"/>
      <c r="O41" s="117"/>
    </row>
    <row r="42" spans="1:15" x14ac:dyDescent="0.35">
      <c r="A42" s="24">
        <v>28</v>
      </c>
      <c r="B42" s="565"/>
      <c r="C42" s="565"/>
      <c r="D42" s="565"/>
      <c r="F42" s="114"/>
      <c r="G42" s="68">
        <f>IFERROR(F42*'As-Filed Schedule 1'!$E$103,0)</f>
        <v>0</v>
      </c>
      <c r="H42" s="68">
        <f t="shared" si="0"/>
        <v>0</v>
      </c>
      <c r="J42" s="114"/>
      <c r="K42" s="68">
        <f>IFERROR(J42*'As-Filed Schedule 1'!$E$103,0)</f>
        <v>0</v>
      </c>
      <c r="L42" s="68">
        <f t="shared" si="1"/>
        <v>0</v>
      </c>
      <c r="N42" s="117"/>
      <c r="O42" s="117"/>
    </row>
    <row r="43" spans="1:15" x14ac:dyDescent="0.35">
      <c r="A43" s="24">
        <v>29</v>
      </c>
      <c r="B43" s="565"/>
      <c r="C43" s="565"/>
      <c r="D43" s="565"/>
      <c r="F43" s="114"/>
      <c r="G43" s="68">
        <f>IFERROR(F43*'As-Filed Schedule 1'!$E$103,0)</f>
        <v>0</v>
      </c>
      <c r="H43" s="68">
        <f t="shared" si="0"/>
        <v>0</v>
      </c>
      <c r="J43" s="114"/>
      <c r="K43" s="68">
        <f>IFERROR(J43*'As-Filed Schedule 1'!$E$103,0)</f>
        <v>0</v>
      </c>
      <c r="L43" s="68">
        <f t="shared" si="1"/>
        <v>0</v>
      </c>
      <c r="N43" s="117"/>
      <c r="O43" s="117"/>
    </row>
    <row r="44" spans="1:15" x14ac:dyDescent="0.35">
      <c r="A44" s="24">
        <v>30</v>
      </c>
      <c r="B44" s="565"/>
      <c r="C44" s="565"/>
      <c r="D44" s="565"/>
      <c r="F44" s="114"/>
      <c r="G44" s="68">
        <f>IFERROR(F44*'As-Filed Schedule 1'!$E$103,0)</f>
        <v>0</v>
      </c>
      <c r="H44" s="68">
        <f t="shared" si="0"/>
        <v>0</v>
      </c>
      <c r="J44" s="114"/>
      <c r="K44" s="68">
        <f>IFERROR(J44*'As-Filed Schedule 1'!$E$103,0)</f>
        <v>0</v>
      </c>
      <c r="L44" s="68">
        <f t="shared" si="1"/>
        <v>0</v>
      </c>
      <c r="N44" s="117"/>
      <c r="O44" s="117"/>
    </row>
    <row r="45" spans="1:15" x14ac:dyDescent="0.35">
      <c r="A45" s="24">
        <v>31</v>
      </c>
      <c r="B45" s="565"/>
      <c r="C45" s="565"/>
      <c r="D45" s="565"/>
      <c r="F45" s="114"/>
      <c r="G45" s="68">
        <f>IFERROR(F45*'As-Filed Schedule 1'!$E$103,0)</f>
        <v>0</v>
      </c>
      <c r="H45" s="68">
        <f t="shared" si="0"/>
        <v>0</v>
      </c>
      <c r="J45" s="114"/>
      <c r="K45" s="68">
        <f>IFERROR(J45*'As-Filed Schedule 1'!$E$103,0)</f>
        <v>0</v>
      </c>
      <c r="L45" s="68">
        <f t="shared" si="1"/>
        <v>0</v>
      </c>
      <c r="N45" s="117"/>
      <c r="O45" s="117"/>
    </row>
    <row r="46" spans="1:15" x14ac:dyDescent="0.35">
      <c r="A46" s="24">
        <v>32</v>
      </c>
      <c r="B46" s="565"/>
      <c r="C46" s="565"/>
      <c r="D46" s="565"/>
      <c r="F46" s="114"/>
      <c r="G46" s="68">
        <f>IFERROR(F46*'As-Filed Schedule 1'!$E$103,0)</f>
        <v>0</v>
      </c>
      <c r="H46" s="68">
        <f t="shared" si="0"/>
        <v>0</v>
      </c>
      <c r="J46" s="114"/>
      <c r="K46" s="68">
        <f>IFERROR(J46*'As-Filed Schedule 1'!$E$103,0)</f>
        <v>0</v>
      </c>
      <c r="L46" s="68">
        <f t="shared" si="1"/>
        <v>0</v>
      </c>
      <c r="N46" s="117"/>
      <c r="O46" s="117"/>
    </row>
    <row r="47" spans="1:15" x14ac:dyDescent="0.35">
      <c r="A47" s="24">
        <v>33</v>
      </c>
      <c r="B47" s="565"/>
      <c r="C47" s="565"/>
      <c r="D47" s="565"/>
      <c r="F47" s="114"/>
      <c r="G47" s="68">
        <f>IFERROR(F47*'As-Filed Schedule 1'!$E$103,0)</f>
        <v>0</v>
      </c>
      <c r="H47" s="68">
        <f t="shared" si="0"/>
        <v>0</v>
      </c>
      <c r="J47" s="114"/>
      <c r="K47" s="68">
        <f>IFERROR(J47*'As-Filed Schedule 1'!$E$103,0)</f>
        <v>0</v>
      </c>
      <c r="L47" s="68">
        <f t="shared" si="1"/>
        <v>0</v>
      </c>
      <c r="N47" s="117"/>
      <c r="O47" s="117"/>
    </row>
    <row r="48" spans="1:15" x14ac:dyDescent="0.35">
      <c r="A48" s="24">
        <v>34</v>
      </c>
      <c r="B48" s="565"/>
      <c r="C48" s="565"/>
      <c r="D48" s="565"/>
      <c r="F48" s="114"/>
      <c r="G48" s="68">
        <f>IFERROR(F48*'As-Filed Schedule 1'!$E$103,0)</f>
        <v>0</v>
      </c>
      <c r="H48" s="68">
        <f t="shared" si="0"/>
        <v>0</v>
      </c>
      <c r="J48" s="114"/>
      <c r="K48" s="68">
        <f>IFERROR(J48*'As-Filed Schedule 1'!$E$103,0)</f>
        <v>0</v>
      </c>
      <c r="L48" s="68">
        <f t="shared" si="1"/>
        <v>0</v>
      </c>
      <c r="N48" s="117"/>
      <c r="O48" s="117"/>
    </row>
    <row r="49" spans="1:15" x14ac:dyDescent="0.35">
      <c r="A49" s="24">
        <v>35</v>
      </c>
      <c r="B49" s="565"/>
      <c r="C49" s="565"/>
      <c r="D49" s="565"/>
      <c r="F49" s="114"/>
      <c r="G49" s="68">
        <f>IFERROR(F49*'As-Filed Schedule 1'!$E$103,0)</f>
        <v>0</v>
      </c>
      <c r="H49" s="68">
        <f t="shared" si="0"/>
        <v>0</v>
      </c>
      <c r="J49" s="114"/>
      <c r="K49" s="68">
        <f>IFERROR(J49*'As-Filed Schedule 1'!$E$103,0)</f>
        <v>0</v>
      </c>
      <c r="L49" s="68">
        <f t="shared" si="1"/>
        <v>0</v>
      </c>
      <c r="N49" s="117"/>
      <c r="O49" s="117"/>
    </row>
    <row r="50" spans="1:15" x14ac:dyDescent="0.35">
      <c r="A50" s="24">
        <v>36</v>
      </c>
      <c r="B50" s="565"/>
      <c r="C50" s="565"/>
      <c r="D50" s="565"/>
      <c r="F50" s="114"/>
      <c r="G50" s="68">
        <f>IFERROR(F50*'As-Filed Schedule 1'!$E$103,0)</f>
        <v>0</v>
      </c>
      <c r="H50" s="68">
        <f t="shared" si="0"/>
        <v>0</v>
      </c>
      <c r="J50" s="114"/>
      <c r="K50" s="68">
        <f>IFERROR(J50*'As-Filed Schedule 1'!$E$103,0)</f>
        <v>0</v>
      </c>
      <c r="L50" s="68">
        <f t="shared" si="1"/>
        <v>0</v>
      </c>
      <c r="N50" s="117"/>
      <c r="O50" s="117"/>
    </row>
    <row r="51" spans="1:15" x14ac:dyDescent="0.35">
      <c r="A51" s="24">
        <v>37</v>
      </c>
      <c r="B51" s="565"/>
      <c r="C51" s="565"/>
      <c r="D51" s="565"/>
      <c r="F51" s="114"/>
      <c r="G51" s="68">
        <f>IFERROR(F51*'As-Filed Schedule 1'!$E$103,0)</f>
        <v>0</v>
      </c>
      <c r="H51" s="68">
        <f t="shared" si="0"/>
        <v>0</v>
      </c>
      <c r="J51" s="114"/>
      <c r="K51" s="68">
        <f>IFERROR(J51*'As-Filed Schedule 1'!$E$103,0)</f>
        <v>0</v>
      </c>
      <c r="L51" s="68">
        <f t="shared" si="1"/>
        <v>0</v>
      </c>
      <c r="N51" s="117"/>
      <c r="O51" s="117"/>
    </row>
    <row r="52" spans="1:15" x14ac:dyDescent="0.35">
      <c r="A52" s="24">
        <v>38</v>
      </c>
      <c r="B52" s="565"/>
      <c r="C52" s="565"/>
      <c r="D52" s="565"/>
      <c r="F52" s="114"/>
      <c r="G52" s="68">
        <f>IFERROR(F52*'As-Filed Schedule 1'!$E$103,0)</f>
        <v>0</v>
      </c>
      <c r="H52" s="68">
        <f t="shared" si="0"/>
        <v>0</v>
      </c>
      <c r="J52" s="114"/>
      <c r="K52" s="68">
        <f>IFERROR(J52*'As-Filed Schedule 1'!$E$103,0)</f>
        <v>0</v>
      </c>
      <c r="L52" s="68">
        <f t="shared" si="1"/>
        <v>0</v>
      </c>
      <c r="N52" s="117"/>
      <c r="O52" s="117"/>
    </row>
    <row r="53" spans="1:15" x14ac:dyDescent="0.35">
      <c r="A53" s="24">
        <v>39</v>
      </c>
      <c r="B53" s="565"/>
      <c r="C53" s="565"/>
      <c r="D53" s="565"/>
      <c r="F53" s="114"/>
      <c r="G53" s="68">
        <f>IFERROR(F53*'As-Filed Schedule 1'!$E$103,0)</f>
        <v>0</v>
      </c>
      <c r="H53" s="68">
        <f t="shared" si="0"/>
        <v>0</v>
      </c>
      <c r="J53" s="114"/>
      <c r="K53" s="68">
        <f>IFERROR(J53*'As-Filed Schedule 1'!$E$103,0)</f>
        <v>0</v>
      </c>
      <c r="L53" s="68">
        <f t="shared" si="1"/>
        <v>0</v>
      </c>
      <c r="N53" s="117"/>
      <c r="O53" s="117"/>
    </row>
    <row r="54" spans="1:15" x14ac:dyDescent="0.35">
      <c r="A54" s="24">
        <v>40</v>
      </c>
      <c r="B54" s="565"/>
      <c r="C54" s="565"/>
      <c r="D54" s="565"/>
      <c r="F54" s="114"/>
      <c r="G54" s="68">
        <f>IFERROR(F54*'As-Filed Schedule 1'!$E$103,0)</f>
        <v>0</v>
      </c>
      <c r="H54" s="68">
        <f t="shared" si="0"/>
        <v>0</v>
      </c>
      <c r="J54" s="114"/>
      <c r="K54" s="68">
        <f>IFERROR(J54*'As-Filed Schedule 1'!$E$103,0)</f>
        <v>0</v>
      </c>
      <c r="L54" s="68">
        <f t="shared" si="1"/>
        <v>0</v>
      </c>
      <c r="N54" s="117"/>
      <c r="O54" s="117"/>
    </row>
    <row r="55" spans="1:15" x14ac:dyDescent="0.35">
      <c r="A55" s="24">
        <v>41</v>
      </c>
      <c r="B55" s="565"/>
      <c r="C55" s="565"/>
      <c r="D55" s="565"/>
      <c r="F55" s="114"/>
      <c r="G55" s="68">
        <f>IFERROR(F55*'As-Filed Schedule 1'!$E$103,0)</f>
        <v>0</v>
      </c>
      <c r="H55" s="68">
        <f t="shared" si="0"/>
        <v>0</v>
      </c>
      <c r="J55" s="114"/>
      <c r="K55" s="68">
        <f>IFERROR(J55*'As-Filed Schedule 1'!$E$103,0)</f>
        <v>0</v>
      </c>
      <c r="L55" s="68">
        <f t="shared" si="1"/>
        <v>0</v>
      </c>
      <c r="N55" s="117"/>
      <c r="O55" s="117"/>
    </row>
    <row r="56" spans="1:15" x14ac:dyDescent="0.35">
      <c r="A56" s="24">
        <v>42</v>
      </c>
      <c r="B56" s="565"/>
      <c r="C56" s="565"/>
      <c r="D56" s="565"/>
      <c r="F56" s="114"/>
      <c r="G56" s="68">
        <f>IFERROR(F56*'As-Filed Schedule 1'!$E$103,0)</f>
        <v>0</v>
      </c>
      <c r="H56" s="68">
        <f t="shared" si="0"/>
        <v>0</v>
      </c>
      <c r="J56" s="114"/>
      <c r="K56" s="68">
        <f>IFERROR(J56*'As-Filed Schedule 1'!$E$103,0)</f>
        <v>0</v>
      </c>
      <c r="L56" s="68">
        <f t="shared" si="1"/>
        <v>0</v>
      </c>
      <c r="N56" s="117"/>
      <c r="O56" s="117"/>
    </row>
    <row r="57" spans="1:15" x14ac:dyDescent="0.35">
      <c r="A57" s="24">
        <v>43</v>
      </c>
      <c r="B57" s="565"/>
      <c r="C57" s="565"/>
      <c r="D57" s="565"/>
      <c r="F57" s="114"/>
      <c r="G57" s="68">
        <f>IFERROR(F57*'As-Filed Schedule 1'!$E$103,0)</f>
        <v>0</v>
      </c>
      <c r="H57" s="68">
        <f t="shared" si="0"/>
        <v>0</v>
      </c>
      <c r="J57" s="114"/>
      <c r="K57" s="68">
        <f>IFERROR(J57*'As-Filed Schedule 1'!$E$103,0)</f>
        <v>0</v>
      </c>
      <c r="L57" s="68">
        <f t="shared" si="1"/>
        <v>0</v>
      </c>
      <c r="N57" s="117"/>
      <c r="O57" s="117"/>
    </row>
    <row r="58" spans="1:15" x14ac:dyDescent="0.35">
      <c r="A58" s="24">
        <v>44</v>
      </c>
      <c r="B58" s="565"/>
      <c r="C58" s="565"/>
      <c r="D58" s="565"/>
      <c r="F58" s="114"/>
      <c r="G58" s="68">
        <f>IFERROR(F58*'As-Filed Schedule 1'!$E$103,0)</f>
        <v>0</v>
      </c>
      <c r="H58" s="68">
        <f t="shared" si="0"/>
        <v>0</v>
      </c>
      <c r="J58" s="114"/>
      <c r="K58" s="68">
        <f>IFERROR(J58*'As-Filed Schedule 1'!$E$103,0)</f>
        <v>0</v>
      </c>
      <c r="L58" s="68">
        <f t="shared" si="1"/>
        <v>0</v>
      </c>
      <c r="N58" s="117"/>
      <c r="O58" s="117"/>
    </row>
    <row r="59" spans="1:15" x14ac:dyDescent="0.35">
      <c r="A59" s="24">
        <v>45</v>
      </c>
      <c r="B59" s="565"/>
      <c r="C59" s="565"/>
      <c r="D59" s="565"/>
      <c r="F59" s="114"/>
      <c r="G59" s="68">
        <f>IFERROR(F59*'As-Filed Schedule 1'!$E$103,0)</f>
        <v>0</v>
      </c>
      <c r="H59" s="68">
        <f t="shared" si="0"/>
        <v>0</v>
      </c>
      <c r="J59" s="114"/>
      <c r="K59" s="68">
        <f>IFERROR(J59*'As-Filed Schedule 1'!$E$103,0)</f>
        <v>0</v>
      </c>
      <c r="L59" s="68">
        <f t="shared" si="1"/>
        <v>0</v>
      </c>
      <c r="N59" s="117"/>
      <c r="O59" s="117"/>
    </row>
    <row r="60" spans="1:15" x14ac:dyDescent="0.35">
      <c r="A60" s="24">
        <v>46</v>
      </c>
      <c r="B60" s="565"/>
      <c r="C60" s="565"/>
      <c r="D60" s="565"/>
      <c r="F60" s="114"/>
      <c r="G60" s="68">
        <f>IFERROR(F60*'As-Filed Schedule 1'!$E$103,0)</f>
        <v>0</v>
      </c>
      <c r="H60" s="68">
        <f t="shared" si="0"/>
        <v>0</v>
      </c>
      <c r="J60" s="114"/>
      <c r="K60" s="68">
        <f>IFERROR(J60*'As-Filed Schedule 1'!$E$103,0)</f>
        <v>0</v>
      </c>
      <c r="L60" s="68">
        <f t="shared" si="1"/>
        <v>0</v>
      </c>
      <c r="N60" s="117"/>
      <c r="O60" s="117"/>
    </row>
    <row r="61" spans="1:15" x14ac:dyDescent="0.35">
      <c r="A61" s="24">
        <v>47</v>
      </c>
      <c r="B61" s="565"/>
      <c r="C61" s="565"/>
      <c r="D61" s="565"/>
      <c r="F61" s="114"/>
      <c r="G61" s="68">
        <f>IFERROR(F61*'As-Filed Schedule 1'!$E$103,0)</f>
        <v>0</v>
      </c>
      <c r="H61" s="68">
        <f t="shared" si="0"/>
        <v>0</v>
      </c>
      <c r="J61" s="114"/>
      <c r="K61" s="68">
        <f>IFERROR(J61*'As-Filed Schedule 1'!$E$103,0)</f>
        <v>0</v>
      </c>
      <c r="L61" s="68">
        <f t="shared" si="1"/>
        <v>0</v>
      </c>
      <c r="N61" s="117"/>
      <c r="O61" s="117"/>
    </row>
    <row r="62" spans="1:15" x14ac:dyDescent="0.35">
      <c r="A62" s="24">
        <v>48</v>
      </c>
      <c r="B62" s="565"/>
      <c r="C62" s="565"/>
      <c r="D62" s="565"/>
      <c r="F62" s="114"/>
      <c r="G62" s="68">
        <f>IFERROR(F62*'As-Filed Schedule 1'!$E$103,0)</f>
        <v>0</v>
      </c>
      <c r="H62" s="68">
        <f t="shared" si="0"/>
        <v>0</v>
      </c>
      <c r="J62" s="114"/>
      <c r="K62" s="68">
        <f>IFERROR(J62*'As-Filed Schedule 1'!$E$103,0)</f>
        <v>0</v>
      </c>
      <c r="L62" s="68">
        <f t="shared" si="1"/>
        <v>0</v>
      </c>
      <c r="N62" s="117"/>
      <c r="O62" s="117"/>
    </row>
    <row r="63" spans="1:15" x14ac:dyDescent="0.35">
      <c r="A63" s="24">
        <v>49</v>
      </c>
      <c r="B63" s="565"/>
      <c r="C63" s="565"/>
      <c r="D63" s="565"/>
      <c r="F63" s="114"/>
      <c r="G63" s="68">
        <f>IFERROR(F63*'As-Filed Schedule 1'!$E$103,0)</f>
        <v>0</v>
      </c>
      <c r="H63" s="68">
        <f t="shared" si="0"/>
        <v>0</v>
      </c>
      <c r="J63" s="114"/>
      <c r="K63" s="68">
        <f>IFERROR(J63*'As-Filed Schedule 1'!$E$103,0)</f>
        <v>0</v>
      </c>
      <c r="L63" s="68">
        <f t="shared" si="1"/>
        <v>0</v>
      </c>
      <c r="N63" s="117"/>
      <c r="O63" s="117"/>
    </row>
    <row r="64" spans="1:15" x14ac:dyDescent="0.35">
      <c r="A64" s="24">
        <v>50</v>
      </c>
      <c r="B64" s="565"/>
      <c r="C64" s="565"/>
      <c r="D64" s="565"/>
      <c r="F64" s="114"/>
      <c r="G64" s="68">
        <f>IFERROR(F64*'As-Filed Schedule 1'!$E$103,0)</f>
        <v>0</v>
      </c>
      <c r="H64" s="68">
        <f t="shared" si="0"/>
        <v>0</v>
      </c>
      <c r="J64" s="114"/>
      <c r="K64" s="68">
        <f>IFERROR(J64*'As-Filed Schedule 1'!$E$103,0)</f>
        <v>0</v>
      </c>
      <c r="L64" s="68">
        <f t="shared" si="1"/>
        <v>0</v>
      </c>
      <c r="N64" s="117"/>
      <c r="O64" s="117"/>
    </row>
    <row r="65" spans="1:15" x14ac:dyDescent="0.35">
      <c r="A65" s="24">
        <v>51</v>
      </c>
      <c r="B65" s="565"/>
      <c r="C65" s="565"/>
      <c r="D65" s="565"/>
      <c r="F65" s="114"/>
      <c r="G65" s="68">
        <f>IFERROR(F65*'As-Filed Schedule 1'!$E$103,0)</f>
        <v>0</v>
      </c>
      <c r="H65" s="68">
        <f t="shared" si="0"/>
        <v>0</v>
      </c>
      <c r="J65" s="114"/>
      <c r="K65" s="68">
        <f>IFERROR(J65*'As-Filed Schedule 1'!$E$103,0)</f>
        <v>0</v>
      </c>
      <c r="L65" s="68">
        <f t="shared" si="1"/>
        <v>0</v>
      </c>
      <c r="N65" s="117"/>
      <c r="O65" s="117"/>
    </row>
    <row r="66" spans="1:15" x14ac:dyDescent="0.35">
      <c r="A66" s="24">
        <v>52</v>
      </c>
      <c r="B66" s="565"/>
      <c r="C66" s="565"/>
      <c r="D66" s="565"/>
      <c r="F66" s="114"/>
      <c r="G66" s="68">
        <f>IFERROR(F66*'As-Filed Schedule 1'!$E$103,0)</f>
        <v>0</v>
      </c>
      <c r="H66" s="68">
        <f t="shared" si="0"/>
        <v>0</v>
      </c>
      <c r="J66" s="114"/>
      <c r="K66" s="68">
        <f>IFERROR(J66*'As-Filed Schedule 1'!$E$103,0)</f>
        <v>0</v>
      </c>
      <c r="L66" s="68">
        <f t="shared" si="1"/>
        <v>0</v>
      </c>
      <c r="N66" s="117"/>
      <c r="O66" s="117"/>
    </row>
    <row r="67" spans="1:15" x14ac:dyDescent="0.35">
      <c r="A67" s="24">
        <v>53</v>
      </c>
      <c r="B67" s="565"/>
      <c r="C67" s="565"/>
      <c r="D67" s="565"/>
      <c r="F67" s="114"/>
      <c r="G67" s="68">
        <f>IFERROR(F67*'As-Filed Schedule 1'!$E$103,0)</f>
        <v>0</v>
      </c>
      <c r="H67" s="68">
        <f t="shared" si="0"/>
        <v>0</v>
      </c>
      <c r="J67" s="114"/>
      <c r="K67" s="68">
        <f>IFERROR(J67*'As-Filed Schedule 1'!$E$103,0)</f>
        <v>0</v>
      </c>
      <c r="L67" s="68">
        <f t="shared" si="1"/>
        <v>0</v>
      </c>
      <c r="N67" s="117"/>
      <c r="O67" s="117"/>
    </row>
    <row r="68" spans="1:15" x14ac:dyDescent="0.35">
      <c r="A68" s="24">
        <v>54</v>
      </c>
      <c r="B68" s="565"/>
      <c r="C68" s="565"/>
      <c r="D68" s="565"/>
      <c r="F68" s="114"/>
      <c r="G68" s="68">
        <f>IFERROR(F68*'As-Filed Schedule 1'!$E$103,0)</f>
        <v>0</v>
      </c>
      <c r="H68" s="68">
        <f t="shared" si="0"/>
        <v>0</v>
      </c>
      <c r="J68" s="114"/>
      <c r="K68" s="68">
        <f>IFERROR(J68*'As-Filed Schedule 1'!$E$103,0)</f>
        <v>0</v>
      </c>
      <c r="L68" s="68">
        <f t="shared" si="1"/>
        <v>0</v>
      </c>
      <c r="N68" s="117"/>
      <c r="O68" s="117"/>
    </row>
    <row r="69" spans="1:15" x14ac:dyDescent="0.35">
      <c r="A69" s="24">
        <v>55</v>
      </c>
      <c r="B69" s="565"/>
      <c r="C69" s="565"/>
      <c r="D69" s="565"/>
      <c r="F69" s="114"/>
      <c r="G69" s="68">
        <f>IFERROR(F69*'As-Filed Schedule 1'!$E$103,0)</f>
        <v>0</v>
      </c>
      <c r="H69" s="68">
        <f t="shared" si="0"/>
        <v>0</v>
      </c>
      <c r="J69" s="114"/>
      <c r="K69" s="68">
        <f>IFERROR(J69*'As-Filed Schedule 1'!$E$103,0)</f>
        <v>0</v>
      </c>
      <c r="L69" s="68">
        <f>SUM(J69:K69)</f>
        <v>0</v>
      </c>
      <c r="N69" s="117"/>
      <c r="O69" s="117"/>
    </row>
    <row r="70" spans="1:15" x14ac:dyDescent="0.35">
      <c r="A70" s="24">
        <v>56</v>
      </c>
      <c r="B70" s="565"/>
      <c r="C70" s="565"/>
      <c r="D70" s="565"/>
      <c r="F70" s="114"/>
      <c r="G70" s="68">
        <f>IFERROR(F70*'As-Filed Schedule 1'!$E$103,0)</f>
        <v>0</v>
      </c>
      <c r="H70" s="68">
        <f t="shared" si="0"/>
        <v>0</v>
      </c>
      <c r="J70" s="114"/>
      <c r="K70" s="68">
        <f>IFERROR(J70*'As-Filed Schedule 1'!$E$103,0)</f>
        <v>0</v>
      </c>
      <c r="L70" s="68">
        <f t="shared" si="1"/>
        <v>0</v>
      </c>
      <c r="N70" s="117"/>
      <c r="O70" s="117"/>
    </row>
    <row r="71" spans="1:15" x14ac:dyDescent="0.35">
      <c r="A71" s="24">
        <v>57</v>
      </c>
      <c r="B71" s="565"/>
      <c r="C71" s="565"/>
      <c r="D71" s="565"/>
      <c r="F71" s="114"/>
      <c r="G71" s="68">
        <f>IFERROR(F71*'As-Filed Schedule 1'!$E$103,0)</f>
        <v>0</v>
      </c>
      <c r="H71" s="68">
        <f t="shared" si="0"/>
        <v>0</v>
      </c>
      <c r="J71" s="114"/>
      <c r="K71" s="68">
        <f>IFERROR(J71*'As-Filed Schedule 1'!$E$103,0)</f>
        <v>0</v>
      </c>
      <c r="L71" s="68">
        <f t="shared" si="1"/>
        <v>0</v>
      </c>
      <c r="N71" s="117"/>
      <c r="O71" s="117"/>
    </row>
    <row r="72" spans="1:15" x14ac:dyDescent="0.35">
      <c r="A72" s="24">
        <v>58</v>
      </c>
      <c r="B72" s="565"/>
      <c r="C72" s="565"/>
      <c r="D72" s="565"/>
      <c r="F72" s="114"/>
      <c r="G72" s="68">
        <f>IFERROR(F72*'As-Filed Schedule 1'!$E$103,0)</f>
        <v>0</v>
      </c>
      <c r="H72" s="68">
        <f t="shared" si="0"/>
        <v>0</v>
      </c>
      <c r="J72" s="114"/>
      <c r="K72" s="68">
        <f>IFERROR(J72*'As-Filed Schedule 1'!$E$103,0)</f>
        <v>0</v>
      </c>
      <c r="L72" s="68">
        <f t="shared" si="1"/>
        <v>0</v>
      </c>
      <c r="N72" s="117"/>
      <c r="O72" s="117"/>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826</v>
      </c>
      <c r="F75" s="75">
        <f>H73+L73</f>
        <v>0</v>
      </c>
      <c r="G75" s="74"/>
      <c r="H75" s="74"/>
      <c r="I75" s="74"/>
      <c r="J75" s="74"/>
      <c r="K75" s="74"/>
    </row>
  </sheetData>
  <sheetProtection sheet="1" objects="1" scenarios="1"/>
  <customSheetViews>
    <customSheetView guid="{17302493-42B1-4877-869E-E424A97AE78B}" state="hidden">
      <selection activeCell="F17" sqref="F17"/>
      <pageMargins left="0.7" right="0.7" top="0.75" bottom="0.75" header="0.3" footer="0.3"/>
    </customSheetView>
    <customSheetView guid="{5C0BA3A5-859C-46C2-B685-44D9A90065E4}">
      <selection activeCell="B15" sqref="B15:F25"/>
      <pageMargins left="0.7" right="0.7" top="0.75" bottom="0.75" header="0.3" footer="0.3"/>
    </customSheetView>
  </customSheetViews>
  <mergeCells count="64">
    <mergeCell ref="O13:O14"/>
    <mergeCell ref="B12:D12"/>
    <mergeCell ref="B13:D14"/>
    <mergeCell ref="F13:H13"/>
    <mergeCell ref="J13:L13"/>
    <mergeCell ref="N13:N14"/>
    <mergeCell ref="B26:D26"/>
    <mergeCell ref="B25:D25"/>
    <mergeCell ref="B19:D19"/>
    <mergeCell ref="B15:D15"/>
    <mergeCell ref="B16:D16"/>
    <mergeCell ref="B17:D17"/>
    <mergeCell ref="B24:D24"/>
    <mergeCell ref="B18:D18"/>
    <mergeCell ref="B20:D20"/>
    <mergeCell ref="B21:D21"/>
    <mergeCell ref="B22:D22"/>
    <mergeCell ref="B23:D23"/>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tabColor rgb="FF9CC5CA"/>
  </sheetPr>
  <dimension ref="A1:O75"/>
  <sheetViews>
    <sheetView workbookViewId="0">
      <selection activeCell="F17" sqref="F17"/>
    </sheetView>
  </sheetViews>
  <sheetFormatPr defaultColWidth="9.1796875" defaultRowHeight="14.5" x14ac:dyDescent="0.35"/>
  <cols>
    <col min="1" max="1" width="9.54296875" customWidth="1"/>
    <col min="2" max="2" width="23.1796875" customWidth="1"/>
    <col min="3" max="3" width="26.7265625" customWidth="1"/>
    <col min="4" max="4" width="21.81640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 t="s">
        <v>830</v>
      </c>
      <c r="B3" s="5"/>
      <c r="C3" s="5"/>
      <c r="D3" s="5"/>
      <c r="E3" s="5"/>
      <c r="F3" s="5"/>
      <c r="G3" s="5"/>
      <c r="H3" s="5"/>
    </row>
    <row r="5" spans="1:15" x14ac:dyDescent="0.35">
      <c r="A5" s="1" t="s">
        <v>776</v>
      </c>
      <c r="C5" s="413" t="str">
        <f>'As-Filed Schedule 1'!C5</f>
        <v>WellPower</v>
      </c>
    </row>
    <row r="6" spans="1:15" x14ac:dyDescent="0.35">
      <c r="A6" s="1" t="s">
        <v>0</v>
      </c>
      <c r="C6" s="406">
        <f>'As-Filed Schedule 1'!C6</f>
        <v>45473</v>
      </c>
      <c r="F6" s="35"/>
    </row>
    <row r="8" spans="1:15" x14ac:dyDescent="0.35">
      <c r="A8" s="1" t="s">
        <v>253</v>
      </c>
      <c r="B8" s="1" t="s">
        <v>828</v>
      </c>
      <c r="C8" s="1"/>
      <c r="F8" s="116" t="s">
        <v>177</v>
      </c>
      <c r="G8" s="41" t="s">
        <v>259</v>
      </c>
    </row>
    <row r="10" spans="1:15" x14ac:dyDescent="0.35">
      <c r="A10" s="1" t="s">
        <v>254</v>
      </c>
      <c r="B10" s="1" t="s">
        <v>256</v>
      </c>
      <c r="C10" s="1"/>
    </row>
    <row r="12" spans="1:15" x14ac:dyDescent="0.35">
      <c r="B12" s="560">
        <v>1</v>
      </c>
      <c r="C12" s="560"/>
      <c r="D12" s="560"/>
      <c r="F12" s="23">
        <v>2</v>
      </c>
      <c r="G12" s="23">
        <v>3</v>
      </c>
      <c r="H12" s="23">
        <v>4</v>
      </c>
      <c r="J12" s="23">
        <v>5</v>
      </c>
      <c r="K12" s="23">
        <v>6</v>
      </c>
      <c r="L12" s="23">
        <v>7</v>
      </c>
      <c r="N12" s="23">
        <v>8</v>
      </c>
      <c r="O12" s="23">
        <v>9</v>
      </c>
    </row>
    <row r="13" spans="1:15" x14ac:dyDescent="0.35">
      <c r="B13" s="561" t="s">
        <v>255</v>
      </c>
      <c r="C13" s="561"/>
      <c r="D13" s="561"/>
      <c r="F13" s="563" t="s">
        <v>261</v>
      </c>
      <c r="G13" s="568"/>
      <c r="H13" s="564"/>
      <c r="J13" s="563" t="s">
        <v>262</v>
      </c>
      <c r="K13" s="568"/>
      <c r="L13" s="564"/>
      <c r="N13" s="562" t="s">
        <v>250</v>
      </c>
      <c r="O13" s="562" t="s">
        <v>312</v>
      </c>
    </row>
    <row r="14" spans="1:15" ht="55.5" customHeight="1" x14ac:dyDescent="0.35">
      <c r="B14" s="561"/>
      <c r="C14" s="561"/>
      <c r="D14" s="561"/>
      <c r="E14" s="48"/>
      <c r="F14" s="10" t="s">
        <v>214</v>
      </c>
      <c r="G14" s="142" t="s">
        <v>493</v>
      </c>
      <c r="H14" s="142" t="s">
        <v>215</v>
      </c>
      <c r="I14" s="99"/>
      <c r="J14" s="142" t="s">
        <v>214</v>
      </c>
      <c r="K14" s="142" t="s">
        <v>493</v>
      </c>
      <c r="L14" s="10" t="s">
        <v>215</v>
      </c>
      <c r="M14" s="48"/>
      <c r="N14" s="562"/>
      <c r="O14" s="562"/>
    </row>
    <row r="15" spans="1:15" x14ac:dyDescent="0.35">
      <c r="A15" s="24">
        <v>1</v>
      </c>
      <c r="B15" s="565"/>
      <c r="C15" s="565"/>
      <c r="D15" s="565"/>
      <c r="F15" s="114"/>
      <c r="G15" s="68">
        <f>IFERROR(F15*'As-Filed Schedule 1'!$E$103,0)</f>
        <v>0</v>
      </c>
      <c r="H15" s="68">
        <f>SUM(F15:G15)</f>
        <v>0</v>
      </c>
      <c r="J15" s="114"/>
      <c r="K15" s="68">
        <f>IFERROR(J15*'As-Filed Schedule 1'!$E$103,0)</f>
        <v>0</v>
      </c>
      <c r="L15" s="68">
        <f>SUM(J15:K15)</f>
        <v>0</v>
      </c>
      <c r="N15" s="117"/>
      <c r="O15" s="117"/>
    </row>
    <row r="16" spans="1:15" x14ac:dyDescent="0.35">
      <c r="A16" s="24">
        <v>2</v>
      </c>
      <c r="B16" s="565"/>
      <c r="C16" s="565"/>
      <c r="D16" s="565"/>
      <c r="F16" s="114"/>
      <c r="G16" s="68">
        <f>IFERROR(F16*'As-Filed Schedule 1'!$E$103,0)</f>
        <v>0</v>
      </c>
      <c r="H16" s="68">
        <f t="shared" ref="H16:H72" si="0">SUM(F16:G16)</f>
        <v>0</v>
      </c>
      <c r="J16" s="114"/>
      <c r="K16" s="68">
        <f>IFERROR(J16*'As-Filed Schedule 1'!$E$103,0)</f>
        <v>0</v>
      </c>
      <c r="L16" s="68">
        <f t="shared" ref="L16:L72" si="1">SUM(J16:K16)</f>
        <v>0</v>
      </c>
      <c r="N16" s="117"/>
      <c r="O16" s="117"/>
    </row>
    <row r="17" spans="1:15" x14ac:dyDescent="0.35">
      <c r="A17" s="24">
        <v>3</v>
      </c>
      <c r="B17" s="565"/>
      <c r="C17" s="565"/>
      <c r="D17" s="565"/>
      <c r="F17" s="114"/>
      <c r="G17" s="68">
        <f>IFERROR(F17*'As-Filed Schedule 1'!$E$103,0)</f>
        <v>0</v>
      </c>
      <c r="H17" s="68">
        <f t="shared" si="0"/>
        <v>0</v>
      </c>
      <c r="J17" s="114"/>
      <c r="K17" s="68">
        <f>IFERROR(J17*'As-Filed Schedule 1'!$E$103,0)</f>
        <v>0</v>
      </c>
      <c r="L17" s="68">
        <f t="shared" si="1"/>
        <v>0</v>
      </c>
      <c r="N17" s="117"/>
      <c r="O17" s="117"/>
    </row>
    <row r="18" spans="1:15" x14ac:dyDescent="0.35">
      <c r="A18" s="24">
        <v>4</v>
      </c>
      <c r="B18" s="565"/>
      <c r="C18" s="565"/>
      <c r="D18" s="565"/>
      <c r="F18" s="114"/>
      <c r="G18" s="68">
        <f>IFERROR(F18*'As-Filed Schedule 1'!$E$103,0)</f>
        <v>0</v>
      </c>
      <c r="H18" s="68">
        <f t="shared" si="0"/>
        <v>0</v>
      </c>
      <c r="J18" s="114"/>
      <c r="K18" s="68">
        <f>IFERROR(J18*'As-Filed Schedule 1'!$E$103,0)</f>
        <v>0</v>
      </c>
      <c r="L18" s="68">
        <f t="shared" si="1"/>
        <v>0</v>
      </c>
      <c r="N18" s="117"/>
      <c r="O18" s="117"/>
    </row>
    <row r="19" spans="1:15" x14ac:dyDescent="0.35">
      <c r="A19" s="24">
        <v>5</v>
      </c>
      <c r="B19" s="565"/>
      <c r="C19" s="565"/>
      <c r="D19" s="565"/>
      <c r="F19" s="114"/>
      <c r="G19" s="68">
        <f>IFERROR(F19*'As-Filed Schedule 1'!$E$103,0)</f>
        <v>0</v>
      </c>
      <c r="H19" s="68">
        <f t="shared" si="0"/>
        <v>0</v>
      </c>
      <c r="J19" s="114"/>
      <c r="K19" s="68">
        <f>IFERROR(J19*'As-Filed Schedule 1'!$E$103,0)</f>
        <v>0</v>
      </c>
      <c r="L19" s="68">
        <f t="shared" si="1"/>
        <v>0</v>
      </c>
      <c r="N19" s="117"/>
      <c r="O19" s="117"/>
    </row>
    <row r="20" spans="1:15" x14ac:dyDescent="0.35">
      <c r="A20" s="24">
        <v>6</v>
      </c>
      <c r="B20" s="565"/>
      <c r="C20" s="565"/>
      <c r="D20" s="565"/>
      <c r="F20" s="114"/>
      <c r="G20" s="68">
        <f>IFERROR(F20*'As-Filed Schedule 1'!$E$103,0)</f>
        <v>0</v>
      </c>
      <c r="H20" s="68">
        <f t="shared" si="0"/>
        <v>0</v>
      </c>
      <c r="J20" s="114"/>
      <c r="K20" s="68">
        <f>IFERROR(J20*'As-Filed Schedule 1'!$E$103,0)</f>
        <v>0</v>
      </c>
      <c r="L20" s="68">
        <f t="shared" si="1"/>
        <v>0</v>
      </c>
      <c r="N20" s="117"/>
      <c r="O20" s="117"/>
    </row>
    <row r="21" spans="1:15" x14ac:dyDescent="0.35">
      <c r="A21" s="24">
        <v>7</v>
      </c>
      <c r="B21" s="565"/>
      <c r="C21" s="565"/>
      <c r="D21" s="565"/>
      <c r="F21" s="114"/>
      <c r="G21" s="68">
        <f>IFERROR(F21*'As-Filed Schedule 1'!$E$103,0)</f>
        <v>0</v>
      </c>
      <c r="H21" s="68">
        <f t="shared" si="0"/>
        <v>0</v>
      </c>
      <c r="J21" s="114"/>
      <c r="K21" s="68">
        <f>IFERROR(J21*'As-Filed Schedule 1'!$E$103,0)</f>
        <v>0</v>
      </c>
      <c r="L21" s="68">
        <f t="shared" si="1"/>
        <v>0</v>
      </c>
      <c r="N21" s="117"/>
      <c r="O21" s="117"/>
    </row>
    <row r="22" spans="1:15" x14ac:dyDescent="0.35">
      <c r="A22" s="24">
        <v>8</v>
      </c>
      <c r="B22" s="565"/>
      <c r="C22" s="565"/>
      <c r="D22" s="565"/>
      <c r="F22" s="114"/>
      <c r="G22" s="68">
        <f>IFERROR(F22*'As-Filed Schedule 1'!$E$103,0)</f>
        <v>0</v>
      </c>
      <c r="H22" s="68">
        <f t="shared" si="0"/>
        <v>0</v>
      </c>
      <c r="J22" s="114"/>
      <c r="K22" s="68">
        <f>IFERROR(J22*'As-Filed Schedule 1'!$E$103,0)</f>
        <v>0</v>
      </c>
      <c r="L22" s="68">
        <f t="shared" si="1"/>
        <v>0</v>
      </c>
      <c r="N22" s="117"/>
      <c r="O22" s="117"/>
    </row>
    <row r="23" spans="1:15" x14ac:dyDescent="0.35">
      <c r="A23" s="24">
        <v>9</v>
      </c>
      <c r="B23" s="565"/>
      <c r="C23" s="565"/>
      <c r="D23" s="565"/>
      <c r="F23" s="114"/>
      <c r="G23" s="68">
        <f>IFERROR(F23*'As-Filed Schedule 1'!$E$103,0)</f>
        <v>0</v>
      </c>
      <c r="H23" s="68">
        <f t="shared" si="0"/>
        <v>0</v>
      </c>
      <c r="J23" s="114"/>
      <c r="K23" s="68">
        <f>IFERROR(J23*'As-Filed Schedule 1'!$E$103,0)</f>
        <v>0</v>
      </c>
      <c r="L23" s="68">
        <f t="shared" si="1"/>
        <v>0</v>
      </c>
      <c r="N23" s="117"/>
      <c r="O23" s="117"/>
    </row>
    <row r="24" spans="1:15" x14ac:dyDescent="0.35">
      <c r="A24" s="24">
        <v>10</v>
      </c>
      <c r="B24" s="565"/>
      <c r="C24" s="565"/>
      <c r="D24" s="565"/>
      <c r="F24" s="114"/>
      <c r="G24" s="68">
        <f>IFERROR(F24*'As-Filed Schedule 1'!$E$103,0)</f>
        <v>0</v>
      </c>
      <c r="H24" s="68">
        <f t="shared" si="0"/>
        <v>0</v>
      </c>
      <c r="J24" s="114"/>
      <c r="K24" s="68">
        <f>IFERROR(J24*'As-Filed Schedule 1'!$E$103,0)</f>
        <v>0</v>
      </c>
      <c r="L24" s="68">
        <f t="shared" si="1"/>
        <v>0</v>
      </c>
      <c r="N24" s="117"/>
      <c r="O24" s="117"/>
    </row>
    <row r="25" spans="1:15" x14ac:dyDescent="0.35">
      <c r="A25" s="24">
        <v>11</v>
      </c>
      <c r="B25" s="565"/>
      <c r="C25" s="565"/>
      <c r="D25" s="565"/>
      <c r="F25" s="114"/>
      <c r="G25" s="68">
        <f>IFERROR(F25*'As-Filed Schedule 1'!$E$103,0)</f>
        <v>0</v>
      </c>
      <c r="H25" s="68">
        <f t="shared" si="0"/>
        <v>0</v>
      </c>
      <c r="J25" s="114"/>
      <c r="K25" s="68">
        <f>IFERROR(J25*'As-Filed Schedule 1'!$E$103,0)</f>
        <v>0</v>
      </c>
      <c r="L25" s="68">
        <f t="shared" si="1"/>
        <v>0</v>
      </c>
      <c r="N25" s="117"/>
      <c r="O25" s="117"/>
    </row>
    <row r="26" spans="1:15" x14ac:dyDescent="0.35">
      <c r="A26" s="24">
        <v>12</v>
      </c>
      <c r="B26" s="565"/>
      <c r="C26" s="565"/>
      <c r="D26" s="565"/>
      <c r="F26" s="114"/>
      <c r="G26" s="68">
        <f>IFERROR(F26*'As-Filed Schedule 1'!$E$103,0)</f>
        <v>0</v>
      </c>
      <c r="H26" s="68">
        <f t="shared" si="0"/>
        <v>0</v>
      </c>
      <c r="J26" s="114"/>
      <c r="K26" s="68">
        <f>IFERROR(J26*'As-Filed Schedule 1'!$E$103,0)</f>
        <v>0</v>
      </c>
      <c r="L26" s="68">
        <f t="shared" si="1"/>
        <v>0</v>
      </c>
      <c r="N26" s="117"/>
      <c r="O26" s="117"/>
    </row>
    <row r="27" spans="1:15" x14ac:dyDescent="0.35">
      <c r="A27" s="24">
        <v>13</v>
      </c>
      <c r="B27" s="565"/>
      <c r="C27" s="565"/>
      <c r="D27" s="565"/>
      <c r="F27" s="114"/>
      <c r="G27" s="68">
        <f>IFERROR(F27*'As-Filed Schedule 1'!$E$103,0)</f>
        <v>0</v>
      </c>
      <c r="H27" s="68">
        <f t="shared" si="0"/>
        <v>0</v>
      </c>
      <c r="J27" s="114"/>
      <c r="K27" s="68">
        <f>IFERROR(J27*'As-Filed Schedule 1'!$E$103,0)</f>
        <v>0</v>
      </c>
      <c r="L27" s="68">
        <f t="shared" si="1"/>
        <v>0</v>
      </c>
      <c r="N27" s="117"/>
      <c r="O27" s="117"/>
    </row>
    <row r="28" spans="1:15" x14ac:dyDescent="0.35">
      <c r="A28" s="24">
        <v>14</v>
      </c>
      <c r="B28" s="565"/>
      <c r="C28" s="565"/>
      <c r="D28" s="565"/>
      <c r="F28" s="114"/>
      <c r="G28" s="68">
        <f>IFERROR(F28*'As-Filed Schedule 1'!$E$103,0)</f>
        <v>0</v>
      </c>
      <c r="H28" s="68">
        <f t="shared" si="0"/>
        <v>0</v>
      </c>
      <c r="J28" s="114"/>
      <c r="K28" s="68">
        <f>IFERROR(J28*'As-Filed Schedule 1'!$E$103,0)</f>
        <v>0</v>
      </c>
      <c r="L28" s="68">
        <f t="shared" si="1"/>
        <v>0</v>
      </c>
      <c r="N28" s="117"/>
      <c r="O28" s="117"/>
    </row>
    <row r="29" spans="1:15" x14ac:dyDescent="0.35">
      <c r="A29" s="24">
        <v>15</v>
      </c>
      <c r="B29" s="565"/>
      <c r="C29" s="565"/>
      <c r="D29" s="565"/>
      <c r="F29" s="114"/>
      <c r="G29" s="68">
        <f>IFERROR(F29*'As-Filed Schedule 1'!$E$103,0)</f>
        <v>0</v>
      </c>
      <c r="H29" s="68">
        <f t="shared" si="0"/>
        <v>0</v>
      </c>
      <c r="J29" s="114"/>
      <c r="K29" s="68">
        <f>IFERROR(J29*'As-Filed Schedule 1'!$E$103,0)</f>
        <v>0</v>
      </c>
      <c r="L29" s="68">
        <f t="shared" si="1"/>
        <v>0</v>
      </c>
      <c r="N29" s="117"/>
      <c r="O29" s="117"/>
    </row>
    <row r="30" spans="1:15" x14ac:dyDescent="0.35">
      <c r="A30" s="24">
        <v>16</v>
      </c>
      <c r="B30" s="565"/>
      <c r="C30" s="565"/>
      <c r="D30" s="565"/>
      <c r="F30" s="114"/>
      <c r="G30" s="68">
        <f>IFERROR(F30*'As-Filed Schedule 1'!$E$103,0)</f>
        <v>0</v>
      </c>
      <c r="H30" s="68">
        <f t="shared" si="0"/>
        <v>0</v>
      </c>
      <c r="J30" s="114"/>
      <c r="K30" s="68">
        <f>IFERROR(J30*'As-Filed Schedule 1'!$E$103,0)</f>
        <v>0</v>
      </c>
      <c r="L30" s="68">
        <f t="shared" si="1"/>
        <v>0</v>
      </c>
      <c r="N30" s="117"/>
      <c r="O30" s="117"/>
    </row>
    <row r="31" spans="1:15" x14ac:dyDescent="0.35">
      <c r="A31" s="24">
        <v>17</v>
      </c>
      <c r="B31" s="565"/>
      <c r="C31" s="565"/>
      <c r="D31" s="565"/>
      <c r="F31" s="114"/>
      <c r="G31" s="68">
        <f>IFERROR(F31*'As-Filed Schedule 1'!$E$103,0)</f>
        <v>0</v>
      </c>
      <c r="H31" s="68">
        <f t="shared" si="0"/>
        <v>0</v>
      </c>
      <c r="J31" s="114"/>
      <c r="K31" s="68">
        <f>IFERROR(J31*'As-Filed Schedule 1'!$E$103,0)</f>
        <v>0</v>
      </c>
      <c r="L31" s="68">
        <f t="shared" si="1"/>
        <v>0</v>
      </c>
      <c r="N31" s="117"/>
      <c r="O31" s="117"/>
    </row>
    <row r="32" spans="1:15" x14ac:dyDescent="0.35">
      <c r="A32" s="24">
        <v>18</v>
      </c>
      <c r="B32" s="565"/>
      <c r="C32" s="565"/>
      <c r="D32" s="565"/>
      <c r="F32" s="114"/>
      <c r="G32" s="68">
        <f>IFERROR(F32*'As-Filed Schedule 1'!$E$103,0)</f>
        <v>0</v>
      </c>
      <c r="H32" s="68">
        <f t="shared" si="0"/>
        <v>0</v>
      </c>
      <c r="J32" s="114"/>
      <c r="K32" s="68">
        <f>IFERROR(J32*'As-Filed Schedule 1'!$E$103,0)</f>
        <v>0</v>
      </c>
      <c r="L32" s="68">
        <f t="shared" si="1"/>
        <v>0</v>
      </c>
      <c r="N32" s="117"/>
      <c r="O32" s="117"/>
    </row>
    <row r="33" spans="1:15" x14ac:dyDescent="0.35">
      <c r="A33" s="24">
        <v>19</v>
      </c>
      <c r="B33" s="565"/>
      <c r="C33" s="565"/>
      <c r="D33" s="565"/>
      <c r="F33" s="114"/>
      <c r="G33" s="68">
        <f>IFERROR(F33*'As-Filed Schedule 1'!$E$103,0)</f>
        <v>0</v>
      </c>
      <c r="H33" s="68">
        <f t="shared" si="0"/>
        <v>0</v>
      </c>
      <c r="J33" s="114"/>
      <c r="K33" s="68">
        <f>IFERROR(J33*'As-Filed Schedule 1'!$E$103,0)</f>
        <v>0</v>
      </c>
      <c r="L33" s="68">
        <f t="shared" si="1"/>
        <v>0</v>
      </c>
      <c r="N33" s="117"/>
      <c r="O33" s="117"/>
    </row>
    <row r="34" spans="1:15" x14ac:dyDescent="0.35">
      <c r="A34" s="24">
        <v>20</v>
      </c>
      <c r="B34" s="565"/>
      <c r="C34" s="565"/>
      <c r="D34" s="565"/>
      <c r="F34" s="114"/>
      <c r="G34" s="68">
        <f>IFERROR(F34*'As-Filed Schedule 1'!$E$103,0)</f>
        <v>0</v>
      </c>
      <c r="H34" s="68">
        <f t="shared" si="0"/>
        <v>0</v>
      </c>
      <c r="J34" s="114"/>
      <c r="K34" s="68">
        <f>IFERROR(J34*'As-Filed Schedule 1'!$E$103,0)</f>
        <v>0</v>
      </c>
      <c r="L34" s="68">
        <f t="shared" si="1"/>
        <v>0</v>
      </c>
      <c r="N34" s="117"/>
      <c r="O34" s="117"/>
    </row>
    <row r="35" spans="1:15" x14ac:dyDescent="0.35">
      <c r="A35" s="24">
        <v>21</v>
      </c>
      <c r="B35" s="565"/>
      <c r="C35" s="565"/>
      <c r="D35" s="565"/>
      <c r="F35" s="114"/>
      <c r="G35" s="68">
        <f>IFERROR(F35*'As-Filed Schedule 1'!$E$103,0)</f>
        <v>0</v>
      </c>
      <c r="H35" s="68">
        <f t="shared" si="0"/>
        <v>0</v>
      </c>
      <c r="J35" s="114"/>
      <c r="K35" s="68">
        <f>IFERROR(J35*'As-Filed Schedule 1'!$E$103,0)</f>
        <v>0</v>
      </c>
      <c r="L35" s="68">
        <f t="shared" si="1"/>
        <v>0</v>
      </c>
      <c r="N35" s="117"/>
      <c r="O35" s="117"/>
    </row>
    <row r="36" spans="1:15" x14ac:dyDescent="0.35">
      <c r="A36" s="24">
        <v>22</v>
      </c>
      <c r="B36" s="565"/>
      <c r="C36" s="565"/>
      <c r="D36" s="565"/>
      <c r="F36" s="114"/>
      <c r="G36" s="68">
        <f>IFERROR(F36*'As-Filed Schedule 1'!$E$103,0)</f>
        <v>0</v>
      </c>
      <c r="H36" s="68">
        <f t="shared" si="0"/>
        <v>0</v>
      </c>
      <c r="J36" s="114"/>
      <c r="K36" s="68">
        <f>IFERROR(J36*'As-Filed Schedule 1'!$E$103,0)</f>
        <v>0</v>
      </c>
      <c r="L36" s="68">
        <f t="shared" si="1"/>
        <v>0</v>
      </c>
      <c r="N36" s="117"/>
      <c r="O36" s="117"/>
    </row>
    <row r="37" spans="1:15" x14ac:dyDescent="0.35">
      <c r="A37" s="24">
        <v>23</v>
      </c>
      <c r="B37" s="565"/>
      <c r="C37" s="565"/>
      <c r="D37" s="565"/>
      <c r="F37" s="114"/>
      <c r="G37" s="68">
        <f>IFERROR(F37*'As-Filed Schedule 1'!$E$103,0)</f>
        <v>0</v>
      </c>
      <c r="H37" s="68">
        <f t="shared" si="0"/>
        <v>0</v>
      </c>
      <c r="J37" s="114"/>
      <c r="K37" s="68">
        <f>IFERROR(J37*'As-Filed Schedule 1'!$E$103,0)</f>
        <v>0</v>
      </c>
      <c r="L37" s="68">
        <f t="shared" si="1"/>
        <v>0</v>
      </c>
      <c r="N37" s="117"/>
      <c r="O37" s="117"/>
    </row>
    <row r="38" spans="1:15" x14ac:dyDescent="0.35">
      <c r="A38" s="24">
        <v>24</v>
      </c>
      <c r="B38" s="565"/>
      <c r="C38" s="565"/>
      <c r="D38" s="565"/>
      <c r="F38" s="114"/>
      <c r="G38" s="68">
        <f>IFERROR(F38*'As-Filed Schedule 1'!$E$103,0)</f>
        <v>0</v>
      </c>
      <c r="H38" s="68">
        <f t="shared" si="0"/>
        <v>0</v>
      </c>
      <c r="J38" s="114"/>
      <c r="K38" s="68">
        <f>IFERROR(J38*'As-Filed Schedule 1'!$E$103,0)</f>
        <v>0</v>
      </c>
      <c r="L38" s="68">
        <f t="shared" si="1"/>
        <v>0</v>
      </c>
      <c r="N38" s="117"/>
      <c r="O38" s="117"/>
    </row>
    <row r="39" spans="1:15" x14ac:dyDescent="0.35">
      <c r="A39" s="24">
        <v>25</v>
      </c>
      <c r="B39" s="565"/>
      <c r="C39" s="565"/>
      <c r="D39" s="565"/>
      <c r="F39" s="114"/>
      <c r="G39" s="68">
        <f>IFERROR(F39*'As-Filed Schedule 1'!$E$103,0)</f>
        <v>0</v>
      </c>
      <c r="H39" s="68">
        <f t="shared" si="0"/>
        <v>0</v>
      </c>
      <c r="J39" s="114"/>
      <c r="K39" s="68">
        <f>IFERROR(J39*'As-Filed Schedule 1'!$E$103,0)</f>
        <v>0</v>
      </c>
      <c r="L39" s="68">
        <f t="shared" si="1"/>
        <v>0</v>
      </c>
      <c r="N39" s="117"/>
      <c r="O39" s="117"/>
    </row>
    <row r="40" spans="1:15" x14ac:dyDescent="0.35">
      <c r="A40" s="24">
        <v>26</v>
      </c>
      <c r="B40" s="565"/>
      <c r="C40" s="565"/>
      <c r="D40" s="565"/>
      <c r="F40" s="114"/>
      <c r="G40" s="68">
        <f>IFERROR(F40*'As-Filed Schedule 1'!$E$103,0)</f>
        <v>0</v>
      </c>
      <c r="H40" s="68">
        <f t="shared" si="0"/>
        <v>0</v>
      </c>
      <c r="J40" s="114"/>
      <c r="K40" s="68">
        <f>IFERROR(J40*'As-Filed Schedule 1'!$E$103,0)</f>
        <v>0</v>
      </c>
      <c r="L40" s="68">
        <f t="shared" si="1"/>
        <v>0</v>
      </c>
      <c r="N40" s="117"/>
      <c r="O40" s="117"/>
    </row>
    <row r="41" spans="1:15" x14ac:dyDescent="0.35">
      <c r="A41" s="24">
        <v>27</v>
      </c>
      <c r="B41" s="565"/>
      <c r="C41" s="565"/>
      <c r="D41" s="565"/>
      <c r="F41" s="114"/>
      <c r="G41" s="68">
        <f>IFERROR(F41*'As-Filed Schedule 1'!$E$103,0)</f>
        <v>0</v>
      </c>
      <c r="H41" s="68">
        <f t="shared" si="0"/>
        <v>0</v>
      </c>
      <c r="J41" s="114"/>
      <c r="K41" s="68">
        <f>IFERROR(J41*'As-Filed Schedule 1'!$E$103,0)</f>
        <v>0</v>
      </c>
      <c r="L41" s="68">
        <f t="shared" si="1"/>
        <v>0</v>
      </c>
      <c r="N41" s="117"/>
      <c r="O41" s="117"/>
    </row>
    <row r="42" spans="1:15" x14ac:dyDescent="0.35">
      <c r="A42" s="24">
        <v>28</v>
      </c>
      <c r="B42" s="565"/>
      <c r="C42" s="565"/>
      <c r="D42" s="565"/>
      <c r="F42" s="114"/>
      <c r="G42" s="68">
        <f>IFERROR(F42*'As-Filed Schedule 1'!$E$103,0)</f>
        <v>0</v>
      </c>
      <c r="H42" s="68">
        <f t="shared" si="0"/>
        <v>0</v>
      </c>
      <c r="J42" s="114"/>
      <c r="K42" s="68">
        <f>IFERROR(J42*'As-Filed Schedule 1'!$E$103,0)</f>
        <v>0</v>
      </c>
      <c r="L42" s="68">
        <f t="shared" si="1"/>
        <v>0</v>
      </c>
      <c r="N42" s="117"/>
      <c r="O42" s="117"/>
    </row>
    <row r="43" spans="1:15" x14ac:dyDescent="0.35">
      <c r="A43" s="24">
        <v>29</v>
      </c>
      <c r="B43" s="565"/>
      <c r="C43" s="565"/>
      <c r="D43" s="565"/>
      <c r="F43" s="114"/>
      <c r="G43" s="68">
        <f>IFERROR(F43*'As-Filed Schedule 1'!$E$103,0)</f>
        <v>0</v>
      </c>
      <c r="H43" s="68">
        <f t="shared" si="0"/>
        <v>0</v>
      </c>
      <c r="J43" s="114"/>
      <c r="K43" s="68">
        <f>IFERROR(J43*'As-Filed Schedule 1'!$E$103,0)</f>
        <v>0</v>
      </c>
      <c r="L43" s="68">
        <f t="shared" si="1"/>
        <v>0</v>
      </c>
      <c r="N43" s="117"/>
      <c r="O43" s="117"/>
    </row>
    <row r="44" spans="1:15" x14ac:dyDescent="0.35">
      <c r="A44" s="24">
        <v>30</v>
      </c>
      <c r="B44" s="565"/>
      <c r="C44" s="565"/>
      <c r="D44" s="565"/>
      <c r="F44" s="114"/>
      <c r="G44" s="68">
        <f>IFERROR(F44*'As-Filed Schedule 1'!$E$103,0)</f>
        <v>0</v>
      </c>
      <c r="H44" s="68">
        <f t="shared" si="0"/>
        <v>0</v>
      </c>
      <c r="J44" s="114"/>
      <c r="K44" s="68">
        <f>IFERROR(J44*'As-Filed Schedule 1'!$E$103,0)</f>
        <v>0</v>
      </c>
      <c r="L44" s="68">
        <f t="shared" si="1"/>
        <v>0</v>
      </c>
      <c r="N44" s="117"/>
      <c r="O44" s="117"/>
    </row>
    <row r="45" spans="1:15" x14ac:dyDescent="0.35">
      <c r="A45" s="24">
        <v>31</v>
      </c>
      <c r="B45" s="565"/>
      <c r="C45" s="565"/>
      <c r="D45" s="565"/>
      <c r="F45" s="114"/>
      <c r="G45" s="68">
        <f>IFERROR(F45*'As-Filed Schedule 1'!$E$103,0)</f>
        <v>0</v>
      </c>
      <c r="H45" s="68">
        <f t="shared" si="0"/>
        <v>0</v>
      </c>
      <c r="J45" s="114"/>
      <c r="K45" s="68">
        <f>IFERROR(J45*'As-Filed Schedule 1'!$E$103,0)</f>
        <v>0</v>
      </c>
      <c r="L45" s="68">
        <f t="shared" si="1"/>
        <v>0</v>
      </c>
      <c r="N45" s="117"/>
      <c r="O45" s="117"/>
    </row>
    <row r="46" spans="1:15" x14ac:dyDescent="0.35">
      <c r="A46" s="24">
        <v>32</v>
      </c>
      <c r="B46" s="565"/>
      <c r="C46" s="565"/>
      <c r="D46" s="565"/>
      <c r="F46" s="114"/>
      <c r="G46" s="68">
        <f>IFERROR(F46*'As-Filed Schedule 1'!$E$103,0)</f>
        <v>0</v>
      </c>
      <c r="H46" s="68">
        <f t="shared" si="0"/>
        <v>0</v>
      </c>
      <c r="J46" s="114"/>
      <c r="K46" s="68">
        <f>IFERROR(J46*'As-Filed Schedule 1'!$E$103,0)</f>
        <v>0</v>
      </c>
      <c r="L46" s="68">
        <f t="shared" si="1"/>
        <v>0</v>
      </c>
      <c r="N46" s="117"/>
      <c r="O46" s="117"/>
    </row>
    <row r="47" spans="1:15" x14ac:dyDescent="0.35">
      <c r="A47" s="24">
        <v>33</v>
      </c>
      <c r="B47" s="565"/>
      <c r="C47" s="565"/>
      <c r="D47" s="565"/>
      <c r="F47" s="114"/>
      <c r="G47" s="68">
        <f>IFERROR(F47*'As-Filed Schedule 1'!$E$103,0)</f>
        <v>0</v>
      </c>
      <c r="H47" s="68">
        <f t="shared" si="0"/>
        <v>0</v>
      </c>
      <c r="J47" s="114"/>
      <c r="K47" s="68">
        <f>IFERROR(J47*'As-Filed Schedule 1'!$E$103,0)</f>
        <v>0</v>
      </c>
      <c r="L47" s="68">
        <f t="shared" si="1"/>
        <v>0</v>
      </c>
      <c r="N47" s="117"/>
      <c r="O47" s="117"/>
    </row>
    <row r="48" spans="1:15" x14ac:dyDescent="0.35">
      <c r="A48" s="24">
        <v>34</v>
      </c>
      <c r="B48" s="565"/>
      <c r="C48" s="565"/>
      <c r="D48" s="565"/>
      <c r="F48" s="114"/>
      <c r="G48" s="68">
        <f>IFERROR(F48*'As-Filed Schedule 1'!$E$103,0)</f>
        <v>0</v>
      </c>
      <c r="H48" s="68">
        <f t="shared" si="0"/>
        <v>0</v>
      </c>
      <c r="J48" s="114"/>
      <c r="K48" s="68">
        <f>IFERROR(J48*'As-Filed Schedule 1'!$E$103,0)</f>
        <v>0</v>
      </c>
      <c r="L48" s="68">
        <f t="shared" si="1"/>
        <v>0</v>
      </c>
      <c r="N48" s="117"/>
      <c r="O48" s="117"/>
    </row>
    <row r="49" spans="1:15" x14ac:dyDescent="0.35">
      <c r="A49" s="24">
        <v>35</v>
      </c>
      <c r="B49" s="565"/>
      <c r="C49" s="565"/>
      <c r="D49" s="565"/>
      <c r="F49" s="114"/>
      <c r="G49" s="68">
        <f>IFERROR(F49*'As-Filed Schedule 1'!$E$103,0)</f>
        <v>0</v>
      </c>
      <c r="H49" s="68">
        <f t="shared" si="0"/>
        <v>0</v>
      </c>
      <c r="J49" s="114"/>
      <c r="K49" s="68">
        <f>IFERROR(J49*'As-Filed Schedule 1'!$E$103,0)</f>
        <v>0</v>
      </c>
      <c r="L49" s="68">
        <f t="shared" si="1"/>
        <v>0</v>
      </c>
      <c r="N49" s="117"/>
      <c r="O49" s="117"/>
    </row>
    <row r="50" spans="1:15" x14ac:dyDescent="0.35">
      <c r="A50" s="24">
        <v>36</v>
      </c>
      <c r="B50" s="565"/>
      <c r="C50" s="565"/>
      <c r="D50" s="565"/>
      <c r="F50" s="114"/>
      <c r="G50" s="68">
        <f>IFERROR(F50*'As-Filed Schedule 1'!$E$103,0)</f>
        <v>0</v>
      </c>
      <c r="H50" s="68">
        <f t="shared" si="0"/>
        <v>0</v>
      </c>
      <c r="J50" s="114"/>
      <c r="K50" s="68">
        <f>IFERROR(J50*'As-Filed Schedule 1'!$E$103,0)</f>
        <v>0</v>
      </c>
      <c r="L50" s="68">
        <f t="shared" si="1"/>
        <v>0</v>
      </c>
      <c r="N50" s="117"/>
      <c r="O50" s="117"/>
    </row>
    <row r="51" spans="1:15" x14ac:dyDescent="0.35">
      <c r="A51" s="24">
        <v>37</v>
      </c>
      <c r="B51" s="565"/>
      <c r="C51" s="565"/>
      <c r="D51" s="565"/>
      <c r="F51" s="114"/>
      <c r="G51" s="68">
        <f>IFERROR(F51*'As-Filed Schedule 1'!$E$103,0)</f>
        <v>0</v>
      </c>
      <c r="H51" s="68">
        <f t="shared" si="0"/>
        <v>0</v>
      </c>
      <c r="J51" s="114"/>
      <c r="K51" s="68">
        <f>IFERROR(J51*'As-Filed Schedule 1'!$E$103,0)</f>
        <v>0</v>
      </c>
      <c r="L51" s="68">
        <f t="shared" si="1"/>
        <v>0</v>
      </c>
      <c r="N51" s="117"/>
      <c r="O51" s="117"/>
    </row>
    <row r="52" spans="1:15" x14ac:dyDescent="0.35">
      <c r="A52" s="24">
        <v>38</v>
      </c>
      <c r="B52" s="565"/>
      <c r="C52" s="565"/>
      <c r="D52" s="565"/>
      <c r="F52" s="114"/>
      <c r="G52" s="68">
        <f>IFERROR(F52*'As-Filed Schedule 1'!$E$103,0)</f>
        <v>0</v>
      </c>
      <c r="H52" s="68">
        <f t="shared" si="0"/>
        <v>0</v>
      </c>
      <c r="J52" s="114"/>
      <c r="K52" s="68">
        <f>IFERROR(J52*'As-Filed Schedule 1'!$E$103,0)</f>
        <v>0</v>
      </c>
      <c r="L52" s="68">
        <f t="shared" si="1"/>
        <v>0</v>
      </c>
      <c r="N52" s="117"/>
      <c r="O52" s="117"/>
    </row>
    <row r="53" spans="1:15" x14ac:dyDescent="0.35">
      <c r="A53" s="24">
        <v>39</v>
      </c>
      <c r="B53" s="565"/>
      <c r="C53" s="565"/>
      <c r="D53" s="565"/>
      <c r="F53" s="114"/>
      <c r="G53" s="68">
        <f>IFERROR(F53*'As-Filed Schedule 1'!$E$103,0)</f>
        <v>0</v>
      </c>
      <c r="H53" s="68">
        <f t="shared" si="0"/>
        <v>0</v>
      </c>
      <c r="J53" s="114"/>
      <c r="K53" s="68">
        <f>IFERROR(J53*'As-Filed Schedule 1'!$E$103,0)</f>
        <v>0</v>
      </c>
      <c r="L53" s="68">
        <f t="shared" si="1"/>
        <v>0</v>
      </c>
      <c r="N53" s="117"/>
      <c r="O53" s="117"/>
    </row>
    <row r="54" spans="1:15" x14ac:dyDescent="0.35">
      <c r="A54" s="24">
        <v>40</v>
      </c>
      <c r="B54" s="565"/>
      <c r="C54" s="565"/>
      <c r="D54" s="565"/>
      <c r="F54" s="114"/>
      <c r="G54" s="68">
        <f>IFERROR(F54*'As-Filed Schedule 1'!$E$103,0)</f>
        <v>0</v>
      </c>
      <c r="H54" s="68">
        <f t="shared" si="0"/>
        <v>0</v>
      </c>
      <c r="J54" s="114"/>
      <c r="K54" s="68">
        <f>IFERROR(J54*'As-Filed Schedule 1'!$E$103,0)</f>
        <v>0</v>
      </c>
      <c r="L54" s="68">
        <f t="shared" si="1"/>
        <v>0</v>
      </c>
      <c r="N54" s="117"/>
      <c r="O54" s="117"/>
    </row>
    <row r="55" spans="1:15" x14ac:dyDescent="0.35">
      <c r="A55" s="24">
        <v>41</v>
      </c>
      <c r="B55" s="565"/>
      <c r="C55" s="565"/>
      <c r="D55" s="565"/>
      <c r="F55" s="114"/>
      <c r="G55" s="68">
        <f>IFERROR(F55*'As-Filed Schedule 1'!$E$103,0)</f>
        <v>0</v>
      </c>
      <c r="H55" s="68">
        <f t="shared" si="0"/>
        <v>0</v>
      </c>
      <c r="J55" s="114"/>
      <c r="K55" s="68">
        <f>IFERROR(J55*'As-Filed Schedule 1'!$E$103,0)</f>
        <v>0</v>
      </c>
      <c r="L55" s="68">
        <f t="shared" si="1"/>
        <v>0</v>
      </c>
      <c r="N55" s="117"/>
      <c r="O55" s="117"/>
    </row>
    <row r="56" spans="1:15" x14ac:dyDescent="0.35">
      <c r="A56" s="24">
        <v>42</v>
      </c>
      <c r="B56" s="565"/>
      <c r="C56" s="565"/>
      <c r="D56" s="565"/>
      <c r="F56" s="114"/>
      <c r="G56" s="68">
        <f>IFERROR(F56*'As-Filed Schedule 1'!$E$103,0)</f>
        <v>0</v>
      </c>
      <c r="H56" s="68">
        <f t="shared" si="0"/>
        <v>0</v>
      </c>
      <c r="J56" s="114"/>
      <c r="K56" s="68">
        <f>IFERROR(J56*'As-Filed Schedule 1'!$E$103,0)</f>
        <v>0</v>
      </c>
      <c r="L56" s="68">
        <f t="shared" si="1"/>
        <v>0</v>
      </c>
      <c r="N56" s="117"/>
      <c r="O56" s="117"/>
    </row>
    <row r="57" spans="1:15" x14ac:dyDescent="0.35">
      <c r="A57" s="24">
        <v>43</v>
      </c>
      <c r="B57" s="565"/>
      <c r="C57" s="565"/>
      <c r="D57" s="565"/>
      <c r="F57" s="114"/>
      <c r="G57" s="68">
        <f>IFERROR(F57*'As-Filed Schedule 1'!$E$103,0)</f>
        <v>0</v>
      </c>
      <c r="H57" s="68">
        <f t="shared" si="0"/>
        <v>0</v>
      </c>
      <c r="J57" s="114"/>
      <c r="K57" s="68">
        <f>IFERROR(J57*'As-Filed Schedule 1'!$E$103,0)</f>
        <v>0</v>
      </c>
      <c r="L57" s="68">
        <f t="shared" si="1"/>
        <v>0</v>
      </c>
      <c r="N57" s="117"/>
      <c r="O57" s="117"/>
    </row>
    <row r="58" spans="1:15" x14ac:dyDescent="0.35">
      <c r="A58" s="24">
        <v>44</v>
      </c>
      <c r="B58" s="565"/>
      <c r="C58" s="565"/>
      <c r="D58" s="565"/>
      <c r="F58" s="114"/>
      <c r="G58" s="68">
        <f>IFERROR(F58*'As-Filed Schedule 1'!$E$103,0)</f>
        <v>0</v>
      </c>
      <c r="H58" s="68">
        <f t="shared" si="0"/>
        <v>0</v>
      </c>
      <c r="J58" s="114"/>
      <c r="K58" s="68">
        <f>IFERROR(J58*'As-Filed Schedule 1'!$E$103,0)</f>
        <v>0</v>
      </c>
      <c r="L58" s="68">
        <f t="shared" si="1"/>
        <v>0</v>
      </c>
      <c r="N58" s="117"/>
      <c r="O58" s="117"/>
    </row>
    <row r="59" spans="1:15" x14ac:dyDescent="0.35">
      <c r="A59" s="24">
        <v>45</v>
      </c>
      <c r="B59" s="565"/>
      <c r="C59" s="565"/>
      <c r="D59" s="565"/>
      <c r="F59" s="114"/>
      <c r="G59" s="68">
        <f>IFERROR(F59*'As-Filed Schedule 1'!$E$103,0)</f>
        <v>0</v>
      </c>
      <c r="H59" s="68">
        <f t="shared" si="0"/>
        <v>0</v>
      </c>
      <c r="J59" s="114"/>
      <c r="K59" s="68">
        <f>IFERROR(J59*'As-Filed Schedule 1'!$E$103,0)</f>
        <v>0</v>
      </c>
      <c r="L59" s="68">
        <f t="shared" si="1"/>
        <v>0</v>
      </c>
      <c r="N59" s="117"/>
      <c r="O59" s="117"/>
    </row>
    <row r="60" spans="1:15" x14ac:dyDescent="0.35">
      <c r="A60" s="24">
        <v>46</v>
      </c>
      <c r="B60" s="565"/>
      <c r="C60" s="565"/>
      <c r="D60" s="565"/>
      <c r="F60" s="114"/>
      <c r="G60" s="68">
        <f>IFERROR(F60*'As-Filed Schedule 1'!$E$103,0)</f>
        <v>0</v>
      </c>
      <c r="H60" s="68">
        <f t="shared" si="0"/>
        <v>0</v>
      </c>
      <c r="J60" s="114"/>
      <c r="K60" s="68">
        <f>IFERROR(J60*'As-Filed Schedule 1'!$E$103,0)</f>
        <v>0</v>
      </c>
      <c r="L60" s="68">
        <f t="shared" si="1"/>
        <v>0</v>
      </c>
      <c r="N60" s="117"/>
      <c r="O60" s="117"/>
    </row>
    <row r="61" spans="1:15" x14ac:dyDescent="0.35">
      <c r="A61" s="24">
        <v>47</v>
      </c>
      <c r="B61" s="565"/>
      <c r="C61" s="565"/>
      <c r="D61" s="565"/>
      <c r="F61" s="114"/>
      <c r="G61" s="68">
        <f>IFERROR(F61*'As-Filed Schedule 1'!$E$103,0)</f>
        <v>0</v>
      </c>
      <c r="H61" s="68">
        <f t="shared" si="0"/>
        <v>0</v>
      </c>
      <c r="J61" s="114"/>
      <c r="K61" s="68">
        <f>IFERROR(J61*'As-Filed Schedule 1'!$E$103,0)</f>
        <v>0</v>
      </c>
      <c r="L61" s="68">
        <f t="shared" si="1"/>
        <v>0</v>
      </c>
      <c r="N61" s="117"/>
      <c r="O61" s="117"/>
    </row>
    <row r="62" spans="1:15" x14ac:dyDescent="0.35">
      <c r="A62" s="24">
        <v>48</v>
      </c>
      <c r="B62" s="565"/>
      <c r="C62" s="565"/>
      <c r="D62" s="565"/>
      <c r="F62" s="114"/>
      <c r="G62" s="68">
        <f>IFERROR(F62*'As-Filed Schedule 1'!$E$103,0)</f>
        <v>0</v>
      </c>
      <c r="H62" s="68">
        <f t="shared" si="0"/>
        <v>0</v>
      </c>
      <c r="J62" s="114"/>
      <c r="K62" s="68">
        <f>IFERROR(J62*'As-Filed Schedule 1'!$E$103,0)</f>
        <v>0</v>
      </c>
      <c r="L62" s="68">
        <f t="shared" si="1"/>
        <v>0</v>
      </c>
      <c r="N62" s="117"/>
      <c r="O62" s="117"/>
    </row>
    <row r="63" spans="1:15" x14ac:dyDescent="0.35">
      <c r="A63" s="24">
        <v>49</v>
      </c>
      <c r="B63" s="565"/>
      <c r="C63" s="565"/>
      <c r="D63" s="565"/>
      <c r="F63" s="114"/>
      <c r="G63" s="68">
        <f>IFERROR(F63*'As-Filed Schedule 1'!$E$103,0)</f>
        <v>0</v>
      </c>
      <c r="H63" s="68">
        <f t="shared" si="0"/>
        <v>0</v>
      </c>
      <c r="J63" s="114"/>
      <c r="K63" s="68">
        <f>IFERROR(J63*'As-Filed Schedule 1'!$E$103,0)</f>
        <v>0</v>
      </c>
      <c r="L63" s="68">
        <f t="shared" si="1"/>
        <v>0</v>
      </c>
      <c r="N63" s="117"/>
      <c r="O63" s="117"/>
    </row>
    <row r="64" spans="1:15" x14ac:dyDescent="0.35">
      <c r="A64" s="24">
        <v>50</v>
      </c>
      <c r="B64" s="565"/>
      <c r="C64" s="565"/>
      <c r="D64" s="565"/>
      <c r="F64" s="114"/>
      <c r="G64" s="68">
        <f>IFERROR(F64*'As-Filed Schedule 1'!$E$103,0)</f>
        <v>0</v>
      </c>
      <c r="H64" s="68">
        <f t="shared" si="0"/>
        <v>0</v>
      </c>
      <c r="J64" s="114"/>
      <c r="K64" s="68">
        <f>IFERROR(J64*'As-Filed Schedule 1'!$E$103,0)</f>
        <v>0</v>
      </c>
      <c r="L64" s="68">
        <f t="shared" si="1"/>
        <v>0</v>
      </c>
      <c r="N64" s="117"/>
      <c r="O64" s="117"/>
    </row>
    <row r="65" spans="1:15" x14ac:dyDescent="0.35">
      <c r="A65" s="24">
        <v>51</v>
      </c>
      <c r="B65" s="565"/>
      <c r="C65" s="565"/>
      <c r="D65" s="565"/>
      <c r="F65" s="114"/>
      <c r="G65" s="68">
        <f>IFERROR(F65*'As-Filed Schedule 1'!$E$103,0)</f>
        <v>0</v>
      </c>
      <c r="H65" s="68">
        <f t="shared" si="0"/>
        <v>0</v>
      </c>
      <c r="J65" s="114"/>
      <c r="K65" s="68">
        <f>IFERROR(J65*'As-Filed Schedule 1'!$E$103,0)</f>
        <v>0</v>
      </c>
      <c r="L65" s="68">
        <f t="shared" si="1"/>
        <v>0</v>
      </c>
      <c r="N65" s="117"/>
      <c r="O65" s="117"/>
    </row>
    <row r="66" spans="1:15" x14ac:dyDescent="0.35">
      <c r="A66" s="24">
        <v>52</v>
      </c>
      <c r="B66" s="565"/>
      <c r="C66" s="565"/>
      <c r="D66" s="565"/>
      <c r="F66" s="114"/>
      <c r="G66" s="68">
        <f>IFERROR(F66*'As-Filed Schedule 1'!$E$103,0)</f>
        <v>0</v>
      </c>
      <c r="H66" s="68">
        <f t="shared" si="0"/>
        <v>0</v>
      </c>
      <c r="J66" s="114"/>
      <c r="K66" s="68">
        <f>IFERROR(J66*'As-Filed Schedule 1'!$E$103,0)</f>
        <v>0</v>
      </c>
      <c r="L66" s="68">
        <f t="shared" si="1"/>
        <v>0</v>
      </c>
      <c r="N66" s="117"/>
      <c r="O66" s="117"/>
    </row>
    <row r="67" spans="1:15" x14ac:dyDescent="0.35">
      <c r="A67" s="24">
        <v>53</v>
      </c>
      <c r="B67" s="565"/>
      <c r="C67" s="565"/>
      <c r="D67" s="565"/>
      <c r="F67" s="114"/>
      <c r="G67" s="68">
        <f>IFERROR(F67*'As-Filed Schedule 1'!$E$103,0)</f>
        <v>0</v>
      </c>
      <c r="H67" s="68">
        <f t="shared" si="0"/>
        <v>0</v>
      </c>
      <c r="J67" s="114"/>
      <c r="K67" s="68">
        <f>IFERROR(J67*'As-Filed Schedule 1'!$E$103,0)</f>
        <v>0</v>
      </c>
      <c r="L67" s="68">
        <f t="shared" si="1"/>
        <v>0</v>
      </c>
      <c r="N67" s="117"/>
      <c r="O67" s="117"/>
    </row>
    <row r="68" spans="1:15" x14ac:dyDescent="0.35">
      <c r="A68" s="24">
        <v>54</v>
      </c>
      <c r="B68" s="565"/>
      <c r="C68" s="565"/>
      <c r="D68" s="565"/>
      <c r="F68" s="114"/>
      <c r="G68" s="68">
        <f>IFERROR(F68*'As-Filed Schedule 1'!$E$103,0)</f>
        <v>0</v>
      </c>
      <c r="H68" s="68">
        <f t="shared" si="0"/>
        <v>0</v>
      </c>
      <c r="J68" s="114"/>
      <c r="K68" s="68">
        <f>IFERROR(J68*'As-Filed Schedule 1'!$E$103,0)</f>
        <v>0</v>
      </c>
      <c r="L68" s="68">
        <f t="shared" si="1"/>
        <v>0</v>
      </c>
      <c r="N68" s="117"/>
      <c r="O68" s="117"/>
    </row>
    <row r="69" spans="1:15" x14ac:dyDescent="0.35">
      <c r="A69" s="24">
        <v>55</v>
      </c>
      <c r="B69" s="565"/>
      <c r="C69" s="565"/>
      <c r="D69" s="565"/>
      <c r="F69" s="114"/>
      <c r="G69" s="68">
        <f>IFERROR(F69*'As-Filed Schedule 1'!$E$103,0)</f>
        <v>0</v>
      </c>
      <c r="H69" s="68">
        <f t="shared" si="0"/>
        <v>0</v>
      </c>
      <c r="J69" s="114"/>
      <c r="K69" s="68">
        <f>IFERROR(J69*'As-Filed Schedule 1'!$E$103,0)</f>
        <v>0</v>
      </c>
      <c r="L69" s="68">
        <f t="shared" si="1"/>
        <v>0</v>
      </c>
      <c r="N69" s="117"/>
      <c r="O69" s="117"/>
    </row>
    <row r="70" spans="1:15" x14ac:dyDescent="0.35">
      <c r="A70" s="24">
        <v>56</v>
      </c>
      <c r="B70" s="565"/>
      <c r="C70" s="565"/>
      <c r="D70" s="565"/>
      <c r="F70" s="114"/>
      <c r="G70" s="68">
        <f>IFERROR(F70*'As-Filed Schedule 1'!$E$103,0)</f>
        <v>0</v>
      </c>
      <c r="H70" s="68">
        <f t="shared" si="0"/>
        <v>0</v>
      </c>
      <c r="J70" s="114"/>
      <c r="K70" s="68">
        <f>IFERROR(J70*'As-Filed Schedule 1'!$E$103,0)</f>
        <v>0</v>
      </c>
      <c r="L70" s="68">
        <f t="shared" si="1"/>
        <v>0</v>
      </c>
      <c r="N70" s="117"/>
      <c r="O70" s="117"/>
    </row>
    <row r="71" spans="1:15" x14ac:dyDescent="0.35">
      <c r="A71" s="24">
        <v>57</v>
      </c>
      <c r="B71" s="565"/>
      <c r="C71" s="565"/>
      <c r="D71" s="565"/>
      <c r="F71" s="114"/>
      <c r="G71" s="68">
        <f>IFERROR(F71*'As-Filed Schedule 1'!$E$103,0)</f>
        <v>0</v>
      </c>
      <c r="H71" s="68">
        <f t="shared" si="0"/>
        <v>0</v>
      </c>
      <c r="J71" s="114"/>
      <c r="K71" s="68">
        <f>IFERROR(J71*'As-Filed Schedule 1'!$E$103,0)</f>
        <v>0</v>
      </c>
      <c r="L71" s="68">
        <f t="shared" si="1"/>
        <v>0</v>
      </c>
      <c r="N71" s="117"/>
      <c r="O71" s="117"/>
    </row>
    <row r="72" spans="1:15" x14ac:dyDescent="0.35">
      <c r="A72" s="24">
        <v>58</v>
      </c>
      <c r="B72" s="565"/>
      <c r="C72" s="565"/>
      <c r="D72" s="565"/>
      <c r="F72" s="114"/>
      <c r="G72" s="68">
        <f>IFERROR(F72*'As-Filed Schedule 1'!$E$103,0)</f>
        <v>0</v>
      </c>
      <c r="H72" s="68">
        <f t="shared" si="0"/>
        <v>0</v>
      </c>
      <c r="J72" s="114"/>
      <c r="K72" s="68">
        <f>IFERROR(J72*'As-Filed Schedule 1'!$E$103,0)</f>
        <v>0</v>
      </c>
      <c r="L72" s="68">
        <f t="shared" si="1"/>
        <v>0</v>
      </c>
      <c r="N72" s="117"/>
      <c r="O72" s="117"/>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829</v>
      </c>
      <c r="F75" s="75">
        <f>H73+L73</f>
        <v>0</v>
      </c>
      <c r="H75" s="74"/>
      <c r="I75" s="74"/>
      <c r="J75" s="74"/>
      <c r="K75" s="74"/>
    </row>
  </sheetData>
  <sheetProtection sheet="1" objects="1" scenarios="1"/>
  <customSheetViews>
    <customSheetView guid="{17302493-42B1-4877-869E-E424A97AE78B}" state="hidden">
      <selection activeCell="F17" sqref="F17"/>
      <pageMargins left="0.7" right="0.7" top="0.75" bottom="0.75" header="0.3" footer="0.3"/>
    </customSheetView>
    <customSheetView guid="{5C0BA3A5-859C-46C2-B685-44D9A90065E4}">
      <selection activeCell="N15" sqref="N15:O22"/>
      <pageMargins left="0.7" right="0.7" top="0.75" bottom="0.75" header="0.3" footer="0.3"/>
    </customSheetView>
  </customSheetViews>
  <mergeCells count="64">
    <mergeCell ref="B18:D18"/>
    <mergeCell ref="B20:D20"/>
    <mergeCell ref="B21:D21"/>
    <mergeCell ref="O13:O14"/>
    <mergeCell ref="B12:D12"/>
    <mergeCell ref="B13:D14"/>
    <mergeCell ref="F13:H13"/>
    <mergeCell ref="J13:L13"/>
    <mergeCell ref="N13:N14"/>
    <mergeCell ref="B19:D19"/>
    <mergeCell ref="B15:D15"/>
    <mergeCell ref="B16:D16"/>
    <mergeCell ref="B17:D17"/>
    <mergeCell ref="B26:D26"/>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tabColor rgb="FF9CC5CA"/>
  </sheetPr>
  <dimension ref="A1:O75"/>
  <sheetViews>
    <sheetView workbookViewId="0">
      <selection activeCell="F17" sqref="F17"/>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 t="s">
        <v>833</v>
      </c>
      <c r="B3" s="5"/>
      <c r="C3" s="5"/>
      <c r="D3" s="5"/>
      <c r="E3" s="5"/>
      <c r="F3" s="5"/>
      <c r="G3" s="5"/>
      <c r="H3" s="5"/>
    </row>
    <row r="5" spans="1:15" x14ac:dyDescent="0.35">
      <c r="A5" s="1" t="s">
        <v>776</v>
      </c>
      <c r="C5" s="413" t="str">
        <f>'As-Filed Schedule 1'!C5</f>
        <v>WellPower</v>
      </c>
    </row>
    <row r="6" spans="1:15" x14ac:dyDescent="0.35">
      <c r="A6" s="1" t="s">
        <v>0</v>
      </c>
      <c r="C6" s="406">
        <f>'As-Filed Schedule 1'!C6</f>
        <v>45473</v>
      </c>
      <c r="F6" s="35"/>
    </row>
    <row r="8" spans="1:15" x14ac:dyDescent="0.35">
      <c r="A8" s="1" t="s">
        <v>253</v>
      </c>
      <c r="B8" s="1" t="s">
        <v>831</v>
      </c>
      <c r="C8" s="1"/>
      <c r="F8" s="116" t="s">
        <v>177</v>
      </c>
      <c r="G8" s="41" t="s">
        <v>259</v>
      </c>
    </row>
    <row r="10" spans="1:15" x14ac:dyDescent="0.35">
      <c r="A10" s="1" t="s">
        <v>254</v>
      </c>
      <c r="B10" s="1" t="s">
        <v>256</v>
      </c>
      <c r="C10" s="1"/>
    </row>
    <row r="12" spans="1:15" x14ac:dyDescent="0.35">
      <c r="B12" s="560">
        <v>1</v>
      </c>
      <c r="C12" s="560"/>
      <c r="D12" s="560"/>
      <c r="F12" s="23">
        <v>2</v>
      </c>
      <c r="G12" s="23">
        <v>3</v>
      </c>
      <c r="H12" s="23">
        <v>4</v>
      </c>
      <c r="J12" s="23">
        <v>5</v>
      </c>
      <c r="K12" s="23">
        <v>6</v>
      </c>
      <c r="L12" s="23">
        <v>7</v>
      </c>
      <c r="N12" s="23">
        <v>8</v>
      </c>
      <c r="O12" s="23">
        <v>9</v>
      </c>
    </row>
    <row r="13" spans="1:15" x14ac:dyDescent="0.35">
      <c r="B13" s="561" t="s">
        <v>255</v>
      </c>
      <c r="C13" s="561"/>
      <c r="D13" s="561"/>
      <c r="F13" s="563" t="s">
        <v>261</v>
      </c>
      <c r="G13" s="568"/>
      <c r="H13" s="564"/>
      <c r="J13" s="563" t="s">
        <v>262</v>
      </c>
      <c r="K13" s="568"/>
      <c r="L13" s="564"/>
      <c r="N13" s="562" t="s">
        <v>250</v>
      </c>
      <c r="O13" s="562" t="s">
        <v>312</v>
      </c>
    </row>
    <row r="14" spans="1:15" ht="55.5" customHeight="1" x14ac:dyDescent="0.35">
      <c r="B14" s="561"/>
      <c r="C14" s="561"/>
      <c r="D14" s="561"/>
      <c r="E14" s="48"/>
      <c r="F14" s="10" t="s">
        <v>214</v>
      </c>
      <c r="G14" s="142" t="s">
        <v>493</v>
      </c>
      <c r="H14" s="142" t="s">
        <v>215</v>
      </c>
      <c r="I14" s="99"/>
      <c r="J14" s="142" t="s">
        <v>214</v>
      </c>
      <c r="K14" s="142" t="s">
        <v>493</v>
      </c>
      <c r="L14" s="10" t="s">
        <v>215</v>
      </c>
      <c r="M14" s="48"/>
      <c r="N14" s="562"/>
      <c r="O14" s="562"/>
    </row>
    <row r="15" spans="1:15" x14ac:dyDescent="0.35">
      <c r="A15" s="24">
        <v>1</v>
      </c>
      <c r="B15" s="565"/>
      <c r="C15" s="565"/>
      <c r="D15" s="565"/>
      <c r="F15" s="114"/>
      <c r="G15" s="68">
        <f>IFERROR(F15*'As-Filed Schedule 1'!$E$103,0)</f>
        <v>0</v>
      </c>
      <c r="H15" s="68">
        <f>SUM(F15:G15)</f>
        <v>0</v>
      </c>
      <c r="J15" s="114"/>
      <c r="K15" s="68">
        <f>IFERROR(J15*'As-Filed Schedule 1'!$E$103,0)</f>
        <v>0</v>
      </c>
      <c r="L15" s="68">
        <f>SUM(J15:K15)</f>
        <v>0</v>
      </c>
      <c r="N15" s="117"/>
      <c r="O15" s="117"/>
    </row>
    <row r="16" spans="1:15" x14ac:dyDescent="0.35">
      <c r="A16" s="24">
        <v>2</v>
      </c>
      <c r="B16" s="565"/>
      <c r="C16" s="565"/>
      <c r="D16" s="565"/>
      <c r="F16" s="114"/>
      <c r="G16" s="68">
        <f>IFERROR(F16*'As-Filed Schedule 1'!$E$103,0)</f>
        <v>0</v>
      </c>
      <c r="H16" s="68">
        <f t="shared" ref="H16:H72" si="0">SUM(F16:G16)</f>
        <v>0</v>
      </c>
      <c r="J16" s="114"/>
      <c r="K16" s="68">
        <f>IFERROR(J16*'As-Filed Schedule 1'!$E$103,0)</f>
        <v>0</v>
      </c>
      <c r="L16" s="68">
        <f t="shared" ref="L16:L72" si="1">SUM(J16:K16)</f>
        <v>0</v>
      </c>
      <c r="N16" s="117"/>
      <c r="O16" s="117"/>
    </row>
    <row r="17" spans="1:15" x14ac:dyDescent="0.35">
      <c r="A17" s="24">
        <v>3</v>
      </c>
      <c r="B17" s="565"/>
      <c r="C17" s="565"/>
      <c r="D17" s="565"/>
      <c r="F17" s="114"/>
      <c r="G17" s="68">
        <f>IFERROR(F17*'As-Filed Schedule 1'!$E$103,0)</f>
        <v>0</v>
      </c>
      <c r="H17" s="68">
        <f t="shared" si="0"/>
        <v>0</v>
      </c>
      <c r="J17" s="114"/>
      <c r="K17" s="68">
        <f>IFERROR(J17*'As-Filed Schedule 1'!$E$103,0)</f>
        <v>0</v>
      </c>
      <c r="L17" s="68">
        <f t="shared" si="1"/>
        <v>0</v>
      </c>
      <c r="N17" s="117"/>
      <c r="O17" s="117"/>
    </row>
    <row r="18" spans="1:15" x14ac:dyDescent="0.35">
      <c r="A18" s="24">
        <v>4</v>
      </c>
      <c r="B18" s="565"/>
      <c r="C18" s="565"/>
      <c r="D18" s="565"/>
      <c r="F18" s="114"/>
      <c r="G18" s="68">
        <f>IFERROR(F18*'As-Filed Schedule 1'!$E$103,0)</f>
        <v>0</v>
      </c>
      <c r="H18" s="68">
        <f t="shared" si="0"/>
        <v>0</v>
      </c>
      <c r="J18" s="114"/>
      <c r="K18" s="68">
        <f>IFERROR(J18*'As-Filed Schedule 1'!$E$103,0)</f>
        <v>0</v>
      </c>
      <c r="L18" s="68">
        <f t="shared" si="1"/>
        <v>0</v>
      </c>
      <c r="N18" s="117"/>
      <c r="O18" s="117"/>
    </row>
    <row r="19" spans="1:15" x14ac:dyDescent="0.35">
      <c r="A19" s="24">
        <v>5</v>
      </c>
      <c r="B19" s="565"/>
      <c r="C19" s="565"/>
      <c r="D19" s="565"/>
      <c r="F19" s="114"/>
      <c r="G19" s="68">
        <f>IFERROR(F19*'As-Filed Schedule 1'!$E$103,0)</f>
        <v>0</v>
      </c>
      <c r="H19" s="68">
        <f t="shared" si="0"/>
        <v>0</v>
      </c>
      <c r="J19" s="114"/>
      <c r="K19" s="68">
        <f>IFERROR(J19*'As-Filed Schedule 1'!$E$103,0)</f>
        <v>0</v>
      </c>
      <c r="L19" s="68">
        <f t="shared" si="1"/>
        <v>0</v>
      </c>
      <c r="N19" s="117"/>
      <c r="O19" s="117"/>
    </row>
    <row r="20" spans="1:15" x14ac:dyDescent="0.35">
      <c r="A20" s="24">
        <v>6</v>
      </c>
      <c r="B20" s="565"/>
      <c r="C20" s="565"/>
      <c r="D20" s="565"/>
      <c r="F20" s="114"/>
      <c r="G20" s="68">
        <f>IFERROR(F20*'As-Filed Schedule 1'!$E$103,0)</f>
        <v>0</v>
      </c>
      <c r="H20" s="68">
        <f t="shared" si="0"/>
        <v>0</v>
      </c>
      <c r="J20" s="114"/>
      <c r="K20" s="68">
        <f>IFERROR(J20*'As-Filed Schedule 1'!$E$103,0)</f>
        <v>0</v>
      </c>
      <c r="L20" s="68">
        <f t="shared" si="1"/>
        <v>0</v>
      </c>
      <c r="N20" s="117"/>
      <c r="O20" s="117"/>
    </row>
    <row r="21" spans="1:15" x14ac:dyDescent="0.35">
      <c r="A21" s="24">
        <v>7</v>
      </c>
      <c r="B21" s="565"/>
      <c r="C21" s="565"/>
      <c r="D21" s="565"/>
      <c r="F21" s="114"/>
      <c r="G21" s="68">
        <f>IFERROR(F21*'As-Filed Schedule 1'!$E$103,0)</f>
        <v>0</v>
      </c>
      <c r="H21" s="68">
        <f t="shared" si="0"/>
        <v>0</v>
      </c>
      <c r="J21" s="114"/>
      <c r="K21" s="68">
        <f>IFERROR(J21*'As-Filed Schedule 1'!$E$103,0)</f>
        <v>0</v>
      </c>
      <c r="L21" s="68">
        <f t="shared" si="1"/>
        <v>0</v>
      </c>
      <c r="N21" s="117"/>
      <c r="O21" s="117"/>
    </row>
    <row r="22" spans="1:15" x14ac:dyDescent="0.35">
      <c r="A22" s="24">
        <v>8</v>
      </c>
      <c r="B22" s="565"/>
      <c r="C22" s="565"/>
      <c r="D22" s="565"/>
      <c r="F22" s="114"/>
      <c r="G22" s="68">
        <f>IFERROR(F22*'As-Filed Schedule 1'!$E$103,0)</f>
        <v>0</v>
      </c>
      <c r="H22" s="68">
        <f t="shared" si="0"/>
        <v>0</v>
      </c>
      <c r="J22" s="114"/>
      <c r="K22" s="68">
        <f>IFERROR(J22*'As-Filed Schedule 1'!$E$103,0)</f>
        <v>0</v>
      </c>
      <c r="L22" s="68">
        <f t="shared" si="1"/>
        <v>0</v>
      </c>
      <c r="N22" s="117"/>
      <c r="O22" s="117"/>
    </row>
    <row r="23" spans="1:15" x14ac:dyDescent="0.35">
      <c r="A23" s="24">
        <v>9</v>
      </c>
      <c r="B23" s="565"/>
      <c r="C23" s="565"/>
      <c r="D23" s="565"/>
      <c r="F23" s="114"/>
      <c r="G23" s="68">
        <f>IFERROR(F23*'As-Filed Schedule 1'!$E$103,0)</f>
        <v>0</v>
      </c>
      <c r="H23" s="68">
        <f t="shared" si="0"/>
        <v>0</v>
      </c>
      <c r="J23" s="114"/>
      <c r="K23" s="68">
        <f>IFERROR(J23*'As-Filed Schedule 1'!$E$103,0)</f>
        <v>0</v>
      </c>
      <c r="L23" s="68">
        <f t="shared" si="1"/>
        <v>0</v>
      </c>
      <c r="N23" s="117"/>
      <c r="O23" s="117"/>
    </row>
    <row r="24" spans="1:15" x14ac:dyDescent="0.35">
      <c r="A24" s="24">
        <v>10</v>
      </c>
      <c r="B24" s="565"/>
      <c r="C24" s="565"/>
      <c r="D24" s="565"/>
      <c r="F24" s="114"/>
      <c r="G24" s="68">
        <f>IFERROR(F24*'As-Filed Schedule 1'!$E$103,0)</f>
        <v>0</v>
      </c>
      <c r="H24" s="68">
        <f t="shared" si="0"/>
        <v>0</v>
      </c>
      <c r="J24" s="114"/>
      <c r="K24" s="68">
        <f>IFERROR(J24*'As-Filed Schedule 1'!$E$103,0)</f>
        <v>0</v>
      </c>
      <c r="L24" s="68">
        <f t="shared" si="1"/>
        <v>0</v>
      </c>
      <c r="N24" s="117"/>
      <c r="O24" s="117"/>
    </row>
    <row r="25" spans="1:15" x14ac:dyDescent="0.35">
      <c r="A25" s="24">
        <v>11</v>
      </c>
      <c r="B25" s="565"/>
      <c r="C25" s="565"/>
      <c r="D25" s="565"/>
      <c r="F25" s="114"/>
      <c r="G25" s="68">
        <f>IFERROR(F25*'As-Filed Schedule 1'!$E$103,0)</f>
        <v>0</v>
      </c>
      <c r="H25" s="68">
        <f t="shared" si="0"/>
        <v>0</v>
      </c>
      <c r="J25" s="114"/>
      <c r="K25" s="68">
        <f>IFERROR(J25*'As-Filed Schedule 1'!$E$103,0)</f>
        <v>0</v>
      </c>
      <c r="L25" s="68">
        <f t="shared" si="1"/>
        <v>0</v>
      </c>
      <c r="N25" s="117"/>
      <c r="O25" s="117"/>
    </row>
    <row r="26" spans="1:15" x14ac:dyDescent="0.35">
      <c r="A26" s="24">
        <v>12</v>
      </c>
      <c r="B26" s="565"/>
      <c r="C26" s="565"/>
      <c r="D26" s="565"/>
      <c r="F26" s="114"/>
      <c r="G26" s="68">
        <f>IFERROR(F26*'As-Filed Schedule 1'!$E$103,0)</f>
        <v>0</v>
      </c>
      <c r="H26" s="68">
        <f t="shared" si="0"/>
        <v>0</v>
      </c>
      <c r="J26" s="114"/>
      <c r="K26" s="68">
        <f>IFERROR(J26*'As-Filed Schedule 1'!$E$103,0)</f>
        <v>0</v>
      </c>
      <c r="L26" s="68">
        <f t="shared" si="1"/>
        <v>0</v>
      </c>
      <c r="N26" s="117"/>
      <c r="O26" s="117"/>
    </row>
    <row r="27" spans="1:15" x14ac:dyDescent="0.35">
      <c r="A27" s="24">
        <v>13</v>
      </c>
      <c r="B27" s="565"/>
      <c r="C27" s="565"/>
      <c r="D27" s="565"/>
      <c r="F27" s="114"/>
      <c r="G27" s="68">
        <f>IFERROR(F27*'As-Filed Schedule 1'!$E$103,0)</f>
        <v>0</v>
      </c>
      <c r="H27" s="68">
        <f t="shared" si="0"/>
        <v>0</v>
      </c>
      <c r="J27" s="114"/>
      <c r="K27" s="68">
        <f>IFERROR(J27*'As-Filed Schedule 1'!$E$103,0)</f>
        <v>0</v>
      </c>
      <c r="L27" s="68">
        <f t="shared" si="1"/>
        <v>0</v>
      </c>
      <c r="N27" s="117"/>
      <c r="O27" s="117"/>
    </row>
    <row r="28" spans="1:15" x14ac:dyDescent="0.35">
      <c r="A28" s="24">
        <v>14</v>
      </c>
      <c r="B28" s="565"/>
      <c r="C28" s="565"/>
      <c r="D28" s="565"/>
      <c r="F28" s="114"/>
      <c r="G28" s="68">
        <f>IFERROR(F28*'As-Filed Schedule 1'!$E$103,0)</f>
        <v>0</v>
      </c>
      <c r="H28" s="68">
        <f t="shared" si="0"/>
        <v>0</v>
      </c>
      <c r="J28" s="114"/>
      <c r="K28" s="68">
        <f>IFERROR(J28*'As-Filed Schedule 1'!$E$103,0)</f>
        <v>0</v>
      </c>
      <c r="L28" s="68">
        <f t="shared" si="1"/>
        <v>0</v>
      </c>
      <c r="N28" s="117"/>
      <c r="O28" s="117"/>
    </row>
    <row r="29" spans="1:15" x14ac:dyDescent="0.35">
      <c r="A29" s="24">
        <v>15</v>
      </c>
      <c r="B29" s="565"/>
      <c r="C29" s="565"/>
      <c r="D29" s="565"/>
      <c r="F29" s="114"/>
      <c r="G29" s="68">
        <f>IFERROR(F29*'As-Filed Schedule 1'!$E$103,0)</f>
        <v>0</v>
      </c>
      <c r="H29" s="68">
        <f t="shared" si="0"/>
        <v>0</v>
      </c>
      <c r="J29" s="114"/>
      <c r="K29" s="68">
        <f>IFERROR(J29*'As-Filed Schedule 1'!$E$103,0)</f>
        <v>0</v>
      </c>
      <c r="L29" s="68">
        <f t="shared" si="1"/>
        <v>0</v>
      </c>
      <c r="N29" s="117"/>
      <c r="O29" s="117"/>
    </row>
    <row r="30" spans="1:15" x14ac:dyDescent="0.35">
      <c r="A30" s="24">
        <v>16</v>
      </c>
      <c r="B30" s="565"/>
      <c r="C30" s="565"/>
      <c r="D30" s="565"/>
      <c r="F30" s="114"/>
      <c r="G30" s="68">
        <f>IFERROR(F30*'As-Filed Schedule 1'!$E$103,0)</f>
        <v>0</v>
      </c>
      <c r="H30" s="68">
        <f t="shared" si="0"/>
        <v>0</v>
      </c>
      <c r="J30" s="114"/>
      <c r="K30" s="68">
        <f>IFERROR(J30*'As-Filed Schedule 1'!$E$103,0)</f>
        <v>0</v>
      </c>
      <c r="L30" s="68">
        <f t="shared" si="1"/>
        <v>0</v>
      </c>
      <c r="N30" s="117"/>
      <c r="O30" s="117"/>
    </row>
    <row r="31" spans="1:15" x14ac:dyDescent="0.35">
      <c r="A31" s="24">
        <v>17</v>
      </c>
      <c r="B31" s="565"/>
      <c r="C31" s="565"/>
      <c r="D31" s="565"/>
      <c r="F31" s="114"/>
      <c r="G31" s="68">
        <f>IFERROR(F31*'As-Filed Schedule 1'!$E$103,0)</f>
        <v>0</v>
      </c>
      <c r="H31" s="68">
        <f t="shared" si="0"/>
        <v>0</v>
      </c>
      <c r="J31" s="114"/>
      <c r="K31" s="68">
        <f>IFERROR(J31*'As-Filed Schedule 1'!$E$103,0)</f>
        <v>0</v>
      </c>
      <c r="L31" s="68">
        <f t="shared" si="1"/>
        <v>0</v>
      </c>
      <c r="N31" s="117"/>
      <c r="O31" s="117"/>
    </row>
    <row r="32" spans="1:15" x14ac:dyDescent="0.35">
      <c r="A32" s="24">
        <v>18</v>
      </c>
      <c r="B32" s="565"/>
      <c r="C32" s="565"/>
      <c r="D32" s="565"/>
      <c r="F32" s="114"/>
      <c r="G32" s="68">
        <f>IFERROR(F32*'As-Filed Schedule 1'!$E$103,0)</f>
        <v>0</v>
      </c>
      <c r="H32" s="68">
        <f t="shared" si="0"/>
        <v>0</v>
      </c>
      <c r="J32" s="114"/>
      <c r="K32" s="68">
        <f>IFERROR(J32*'As-Filed Schedule 1'!$E$103,0)</f>
        <v>0</v>
      </c>
      <c r="L32" s="68">
        <f t="shared" si="1"/>
        <v>0</v>
      </c>
      <c r="N32" s="117"/>
      <c r="O32" s="117"/>
    </row>
    <row r="33" spans="1:15" x14ac:dyDescent="0.35">
      <c r="A33" s="24">
        <v>19</v>
      </c>
      <c r="B33" s="565"/>
      <c r="C33" s="565"/>
      <c r="D33" s="565"/>
      <c r="F33" s="114"/>
      <c r="G33" s="68">
        <f>IFERROR(F33*'As-Filed Schedule 1'!$E$103,0)</f>
        <v>0</v>
      </c>
      <c r="H33" s="68">
        <f t="shared" si="0"/>
        <v>0</v>
      </c>
      <c r="J33" s="114"/>
      <c r="K33" s="68">
        <f>IFERROR(J33*'As-Filed Schedule 1'!$E$103,0)</f>
        <v>0</v>
      </c>
      <c r="L33" s="68">
        <f t="shared" si="1"/>
        <v>0</v>
      </c>
      <c r="N33" s="117"/>
      <c r="O33" s="117"/>
    </row>
    <row r="34" spans="1:15" x14ac:dyDescent="0.35">
      <c r="A34" s="24">
        <v>20</v>
      </c>
      <c r="B34" s="565"/>
      <c r="C34" s="565"/>
      <c r="D34" s="565"/>
      <c r="F34" s="114"/>
      <c r="G34" s="68">
        <f>IFERROR(F34*'As-Filed Schedule 1'!$E$103,0)</f>
        <v>0</v>
      </c>
      <c r="H34" s="68">
        <f t="shared" si="0"/>
        <v>0</v>
      </c>
      <c r="J34" s="114"/>
      <c r="K34" s="68">
        <f>IFERROR(J34*'As-Filed Schedule 1'!$E$103,0)</f>
        <v>0</v>
      </c>
      <c r="L34" s="68">
        <f t="shared" si="1"/>
        <v>0</v>
      </c>
      <c r="N34" s="117"/>
      <c r="O34" s="117"/>
    </row>
    <row r="35" spans="1:15" x14ac:dyDescent="0.35">
      <c r="A35" s="24">
        <v>21</v>
      </c>
      <c r="B35" s="565"/>
      <c r="C35" s="565"/>
      <c r="D35" s="565"/>
      <c r="F35" s="114"/>
      <c r="G35" s="68">
        <f>IFERROR(F35*'As-Filed Schedule 1'!$E$103,0)</f>
        <v>0</v>
      </c>
      <c r="H35" s="68">
        <f t="shared" si="0"/>
        <v>0</v>
      </c>
      <c r="J35" s="114"/>
      <c r="K35" s="68">
        <f>IFERROR(J35*'As-Filed Schedule 1'!$E$103,0)</f>
        <v>0</v>
      </c>
      <c r="L35" s="68">
        <f t="shared" si="1"/>
        <v>0</v>
      </c>
      <c r="N35" s="117"/>
      <c r="O35" s="117"/>
    </row>
    <row r="36" spans="1:15" x14ac:dyDescent="0.35">
      <c r="A36" s="24">
        <v>22</v>
      </c>
      <c r="B36" s="565"/>
      <c r="C36" s="565"/>
      <c r="D36" s="565"/>
      <c r="F36" s="114"/>
      <c r="G36" s="68">
        <f>IFERROR(F36*'As-Filed Schedule 1'!$E$103,0)</f>
        <v>0</v>
      </c>
      <c r="H36" s="68">
        <f t="shared" si="0"/>
        <v>0</v>
      </c>
      <c r="J36" s="114"/>
      <c r="K36" s="68">
        <f>IFERROR(J36*'As-Filed Schedule 1'!$E$103,0)</f>
        <v>0</v>
      </c>
      <c r="L36" s="68">
        <f t="shared" si="1"/>
        <v>0</v>
      </c>
      <c r="N36" s="117"/>
      <c r="O36" s="117"/>
    </row>
    <row r="37" spans="1:15" x14ac:dyDescent="0.35">
      <c r="A37" s="24">
        <v>23</v>
      </c>
      <c r="B37" s="565"/>
      <c r="C37" s="565"/>
      <c r="D37" s="565"/>
      <c r="F37" s="114"/>
      <c r="G37" s="68">
        <f>IFERROR(F37*'As-Filed Schedule 1'!$E$103,0)</f>
        <v>0</v>
      </c>
      <c r="H37" s="68">
        <f t="shared" si="0"/>
        <v>0</v>
      </c>
      <c r="J37" s="114"/>
      <c r="K37" s="68">
        <f>IFERROR(J37*'As-Filed Schedule 1'!$E$103,0)</f>
        <v>0</v>
      </c>
      <c r="L37" s="68">
        <f t="shared" si="1"/>
        <v>0</v>
      </c>
      <c r="N37" s="117"/>
      <c r="O37" s="117"/>
    </row>
    <row r="38" spans="1:15" x14ac:dyDescent="0.35">
      <c r="A38" s="24">
        <v>24</v>
      </c>
      <c r="B38" s="565"/>
      <c r="C38" s="565"/>
      <c r="D38" s="565"/>
      <c r="F38" s="114"/>
      <c r="G38" s="68">
        <f>IFERROR(F38*'As-Filed Schedule 1'!$E$103,0)</f>
        <v>0</v>
      </c>
      <c r="H38" s="68">
        <f t="shared" si="0"/>
        <v>0</v>
      </c>
      <c r="J38" s="114"/>
      <c r="K38" s="68">
        <f>IFERROR(J38*'As-Filed Schedule 1'!$E$103,0)</f>
        <v>0</v>
      </c>
      <c r="L38" s="68">
        <f t="shared" si="1"/>
        <v>0</v>
      </c>
      <c r="N38" s="117"/>
      <c r="O38" s="117"/>
    </row>
    <row r="39" spans="1:15" x14ac:dyDescent="0.35">
      <c r="A39" s="24">
        <v>25</v>
      </c>
      <c r="B39" s="565"/>
      <c r="C39" s="565"/>
      <c r="D39" s="565"/>
      <c r="F39" s="114"/>
      <c r="G39" s="68">
        <f>IFERROR(F39*'As-Filed Schedule 1'!$E$103,0)</f>
        <v>0</v>
      </c>
      <c r="H39" s="68">
        <f t="shared" si="0"/>
        <v>0</v>
      </c>
      <c r="J39" s="114"/>
      <c r="K39" s="68">
        <f>IFERROR(J39*'As-Filed Schedule 1'!$E$103,0)</f>
        <v>0</v>
      </c>
      <c r="L39" s="68">
        <f t="shared" si="1"/>
        <v>0</v>
      </c>
      <c r="N39" s="117"/>
      <c r="O39" s="117"/>
    </row>
    <row r="40" spans="1:15" x14ac:dyDescent="0.35">
      <c r="A40" s="24">
        <v>26</v>
      </c>
      <c r="B40" s="565"/>
      <c r="C40" s="565"/>
      <c r="D40" s="565"/>
      <c r="F40" s="114"/>
      <c r="G40" s="68">
        <f>IFERROR(F40*'As-Filed Schedule 1'!$E$103,0)</f>
        <v>0</v>
      </c>
      <c r="H40" s="68">
        <f t="shared" si="0"/>
        <v>0</v>
      </c>
      <c r="J40" s="114"/>
      <c r="K40" s="68">
        <f>IFERROR(J40*'As-Filed Schedule 1'!$E$103,0)</f>
        <v>0</v>
      </c>
      <c r="L40" s="68">
        <f t="shared" si="1"/>
        <v>0</v>
      </c>
      <c r="N40" s="117"/>
      <c r="O40" s="117"/>
    </row>
    <row r="41" spans="1:15" x14ac:dyDescent="0.35">
      <c r="A41" s="24">
        <v>27</v>
      </c>
      <c r="B41" s="565"/>
      <c r="C41" s="565"/>
      <c r="D41" s="565"/>
      <c r="F41" s="114"/>
      <c r="G41" s="68">
        <f>IFERROR(F41*'As-Filed Schedule 1'!$E$103,0)</f>
        <v>0</v>
      </c>
      <c r="H41" s="68">
        <f t="shared" si="0"/>
        <v>0</v>
      </c>
      <c r="J41" s="114"/>
      <c r="K41" s="68">
        <f>IFERROR(J41*'As-Filed Schedule 1'!$E$103,0)</f>
        <v>0</v>
      </c>
      <c r="L41" s="68">
        <f t="shared" si="1"/>
        <v>0</v>
      </c>
      <c r="N41" s="117"/>
      <c r="O41" s="117"/>
    </row>
    <row r="42" spans="1:15" x14ac:dyDescent="0.35">
      <c r="A42" s="24">
        <v>28</v>
      </c>
      <c r="B42" s="565"/>
      <c r="C42" s="565"/>
      <c r="D42" s="565"/>
      <c r="F42" s="114"/>
      <c r="G42" s="68">
        <f>IFERROR(F42*'As-Filed Schedule 1'!$E$103,0)</f>
        <v>0</v>
      </c>
      <c r="H42" s="68">
        <f t="shared" si="0"/>
        <v>0</v>
      </c>
      <c r="J42" s="114"/>
      <c r="K42" s="68">
        <f>IFERROR(J42*'As-Filed Schedule 1'!$E$103,0)</f>
        <v>0</v>
      </c>
      <c r="L42" s="68">
        <f t="shared" si="1"/>
        <v>0</v>
      </c>
      <c r="N42" s="117"/>
      <c r="O42" s="117"/>
    </row>
    <row r="43" spans="1:15" x14ac:dyDescent="0.35">
      <c r="A43" s="24">
        <v>29</v>
      </c>
      <c r="B43" s="565"/>
      <c r="C43" s="565"/>
      <c r="D43" s="565"/>
      <c r="F43" s="114"/>
      <c r="G43" s="68">
        <f>IFERROR(F43*'As-Filed Schedule 1'!$E$103,0)</f>
        <v>0</v>
      </c>
      <c r="H43" s="68">
        <f t="shared" si="0"/>
        <v>0</v>
      </c>
      <c r="J43" s="114"/>
      <c r="K43" s="68">
        <f>IFERROR(J43*'As-Filed Schedule 1'!$E$103,0)</f>
        <v>0</v>
      </c>
      <c r="L43" s="68">
        <f t="shared" si="1"/>
        <v>0</v>
      </c>
      <c r="N43" s="117"/>
      <c r="O43" s="117"/>
    </row>
    <row r="44" spans="1:15" x14ac:dyDescent="0.35">
      <c r="A44" s="24">
        <v>30</v>
      </c>
      <c r="B44" s="565"/>
      <c r="C44" s="565"/>
      <c r="D44" s="565"/>
      <c r="F44" s="114"/>
      <c r="G44" s="68">
        <f>IFERROR(F44*'As-Filed Schedule 1'!$E$103,0)</f>
        <v>0</v>
      </c>
      <c r="H44" s="68">
        <f t="shared" si="0"/>
        <v>0</v>
      </c>
      <c r="J44" s="114"/>
      <c r="K44" s="68">
        <f>IFERROR(J44*'As-Filed Schedule 1'!$E$103,0)</f>
        <v>0</v>
      </c>
      <c r="L44" s="68">
        <f t="shared" si="1"/>
        <v>0</v>
      </c>
      <c r="N44" s="117"/>
      <c r="O44" s="117"/>
    </row>
    <row r="45" spans="1:15" x14ac:dyDescent="0.35">
      <c r="A45" s="24">
        <v>31</v>
      </c>
      <c r="B45" s="565"/>
      <c r="C45" s="565"/>
      <c r="D45" s="565"/>
      <c r="F45" s="114"/>
      <c r="G45" s="68">
        <f>IFERROR(F45*'As-Filed Schedule 1'!$E$103,0)</f>
        <v>0</v>
      </c>
      <c r="H45" s="68">
        <f t="shared" si="0"/>
        <v>0</v>
      </c>
      <c r="J45" s="114"/>
      <c r="K45" s="68">
        <f>IFERROR(J45*'As-Filed Schedule 1'!$E$103,0)</f>
        <v>0</v>
      </c>
      <c r="L45" s="68">
        <f t="shared" si="1"/>
        <v>0</v>
      </c>
      <c r="N45" s="117"/>
      <c r="O45" s="117"/>
    </row>
    <row r="46" spans="1:15" x14ac:dyDescent="0.35">
      <c r="A46" s="24">
        <v>32</v>
      </c>
      <c r="B46" s="565"/>
      <c r="C46" s="565"/>
      <c r="D46" s="565"/>
      <c r="F46" s="114"/>
      <c r="G46" s="68">
        <f>IFERROR(F46*'As-Filed Schedule 1'!$E$103,0)</f>
        <v>0</v>
      </c>
      <c r="H46" s="68">
        <f t="shared" si="0"/>
        <v>0</v>
      </c>
      <c r="J46" s="114"/>
      <c r="K46" s="68">
        <f>IFERROR(J46*'As-Filed Schedule 1'!$E$103,0)</f>
        <v>0</v>
      </c>
      <c r="L46" s="68">
        <f t="shared" si="1"/>
        <v>0</v>
      </c>
      <c r="N46" s="117"/>
      <c r="O46" s="117"/>
    </row>
    <row r="47" spans="1:15" x14ac:dyDescent="0.35">
      <c r="A47" s="24">
        <v>33</v>
      </c>
      <c r="B47" s="565"/>
      <c r="C47" s="565"/>
      <c r="D47" s="565"/>
      <c r="F47" s="114"/>
      <c r="G47" s="68">
        <f>IFERROR(F47*'As-Filed Schedule 1'!$E$103,0)</f>
        <v>0</v>
      </c>
      <c r="H47" s="68">
        <f t="shared" si="0"/>
        <v>0</v>
      </c>
      <c r="J47" s="114"/>
      <c r="K47" s="68">
        <f>IFERROR(J47*'As-Filed Schedule 1'!$E$103,0)</f>
        <v>0</v>
      </c>
      <c r="L47" s="68">
        <f t="shared" si="1"/>
        <v>0</v>
      </c>
      <c r="N47" s="117"/>
      <c r="O47" s="117"/>
    </row>
    <row r="48" spans="1:15" x14ac:dyDescent="0.35">
      <c r="A48" s="24">
        <v>34</v>
      </c>
      <c r="B48" s="565"/>
      <c r="C48" s="565"/>
      <c r="D48" s="565"/>
      <c r="F48" s="114"/>
      <c r="G48" s="68">
        <f>IFERROR(F48*'As-Filed Schedule 1'!$E$103,0)</f>
        <v>0</v>
      </c>
      <c r="H48" s="68">
        <f t="shared" si="0"/>
        <v>0</v>
      </c>
      <c r="J48" s="114"/>
      <c r="K48" s="68">
        <f>IFERROR(J48*'As-Filed Schedule 1'!$E$103,0)</f>
        <v>0</v>
      </c>
      <c r="L48" s="68">
        <f t="shared" si="1"/>
        <v>0</v>
      </c>
      <c r="N48" s="117"/>
      <c r="O48" s="117"/>
    </row>
    <row r="49" spans="1:15" x14ac:dyDescent="0.35">
      <c r="A49" s="24">
        <v>35</v>
      </c>
      <c r="B49" s="565"/>
      <c r="C49" s="565"/>
      <c r="D49" s="565"/>
      <c r="F49" s="114"/>
      <c r="G49" s="68">
        <f>IFERROR(F49*'As-Filed Schedule 1'!$E$103,0)</f>
        <v>0</v>
      </c>
      <c r="H49" s="68">
        <f t="shared" si="0"/>
        <v>0</v>
      </c>
      <c r="J49" s="114"/>
      <c r="K49" s="68">
        <f>IFERROR(J49*'As-Filed Schedule 1'!$E$103,0)</f>
        <v>0</v>
      </c>
      <c r="L49" s="68">
        <f t="shared" si="1"/>
        <v>0</v>
      </c>
      <c r="N49" s="117"/>
      <c r="O49" s="117"/>
    </row>
    <row r="50" spans="1:15" x14ac:dyDescent="0.35">
      <c r="A50" s="24">
        <v>36</v>
      </c>
      <c r="B50" s="565"/>
      <c r="C50" s="565"/>
      <c r="D50" s="565"/>
      <c r="F50" s="114"/>
      <c r="G50" s="68">
        <f>IFERROR(F50*'As-Filed Schedule 1'!$E$103,0)</f>
        <v>0</v>
      </c>
      <c r="H50" s="68">
        <f t="shared" si="0"/>
        <v>0</v>
      </c>
      <c r="J50" s="114"/>
      <c r="K50" s="68">
        <f>IFERROR(J50*'As-Filed Schedule 1'!$E$103,0)</f>
        <v>0</v>
      </c>
      <c r="L50" s="68">
        <f t="shared" si="1"/>
        <v>0</v>
      </c>
      <c r="N50" s="117"/>
      <c r="O50" s="117"/>
    </row>
    <row r="51" spans="1:15" x14ac:dyDescent="0.35">
      <c r="A51" s="24">
        <v>37</v>
      </c>
      <c r="B51" s="565"/>
      <c r="C51" s="565"/>
      <c r="D51" s="565"/>
      <c r="F51" s="114"/>
      <c r="G51" s="68">
        <f>IFERROR(F51*'As-Filed Schedule 1'!$E$103,0)</f>
        <v>0</v>
      </c>
      <c r="H51" s="68">
        <f t="shared" si="0"/>
        <v>0</v>
      </c>
      <c r="J51" s="114"/>
      <c r="K51" s="68">
        <f>IFERROR(J51*'As-Filed Schedule 1'!$E$103,0)</f>
        <v>0</v>
      </c>
      <c r="L51" s="68">
        <f t="shared" si="1"/>
        <v>0</v>
      </c>
      <c r="N51" s="117"/>
      <c r="O51" s="117"/>
    </row>
    <row r="52" spans="1:15" x14ac:dyDescent="0.35">
      <c r="A52" s="24">
        <v>38</v>
      </c>
      <c r="B52" s="565"/>
      <c r="C52" s="565"/>
      <c r="D52" s="565"/>
      <c r="F52" s="114"/>
      <c r="G52" s="68">
        <f>IFERROR(F52*'As-Filed Schedule 1'!$E$103,0)</f>
        <v>0</v>
      </c>
      <c r="H52" s="68">
        <f t="shared" si="0"/>
        <v>0</v>
      </c>
      <c r="J52" s="114"/>
      <c r="K52" s="68">
        <f>IFERROR(J52*'As-Filed Schedule 1'!$E$103,0)</f>
        <v>0</v>
      </c>
      <c r="L52" s="68">
        <f t="shared" si="1"/>
        <v>0</v>
      </c>
      <c r="N52" s="117"/>
      <c r="O52" s="117"/>
    </row>
    <row r="53" spans="1:15" x14ac:dyDescent="0.35">
      <c r="A53" s="24">
        <v>39</v>
      </c>
      <c r="B53" s="565"/>
      <c r="C53" s="565"/>
      <c r="D53" s="565"/>
      <c r="F53" s="114"/>
      <c r="G53" s="68">
        <f>IFERROR(F53*'As-Filed Schedule 1'!$E$103,0)</f>
        <v>0</v>
      </c>
      <c r="H53" s="68">
        <f t="shared" si="0"/>
        <v>0</v>
      </c>
      <c r="J53" s="114"/>
      <c r="K53" s="68">
        <f>IFERROR(J53*'As-Filed Schedule 1'!$E$103,0)</f>
        <v>0</v>
      </c>
      <c r="L53" s="68">
        <f t="shared" si="1"/>
        <v>0</v>
      </c>
      <c r="N53" s="117"/>
      <c r="O53" s="117"/>
    </row>
    <row r="54" spans="1:15" x14ac:dyDescent="0.35">
      <c r="A54" s="24">
        <v>40</v>
      </c>
      <c r="B54" s="565"/>
      <c r="C54" s="565"/>
      <c r="D54" s="565"/>
      <c r="F54" s="114"/>
      <c r="G54" s="68">
        <f>IFERROR(F54*'As-Filed Schedule 1'!$E$103,0)</f>
        <v>0</v>
      </c>
      <c r="H54" s="68">
        <f t="shared" si="0"/>
        <v>0</v>
      </c>
      <c r="J54" s="114"/>
      <c r="K54" s="68">
        <f>IFERROR(J54*'As-Filed Schedule 1'!$E$103,0)</f>
        <v>0</v>
      </c>
      <c r="L54" s="68">
        <f t="shared" si="1"/>
        <v>0</v>
      </c>
      <c r="N54" s="117"/>
      <c r="O54" s="117"/>
    </row>
    <row r="55" spans="1:15" x14ac:dyDescent="0.35">
      <c r="A55" s="24">
        <v>41</v>
      </c>
      <c r="B55" s="565"/>
      <c r="C55" s="565"/>
      <c r="D55" s="565"/>
      <c r="F55" s="114"/>
      <c r="G55" s="68">
        <f>IFERROR(F55*'As-Filed Schedule 1'!$E$103,0)</f>
        <v>0</v>
      </c>
      <c r="H55" s="68">
        <f t="shared" si="0"/>
        <v>0</v>
      </c>
      <c r="J55" s="114"/>
      <c r="K55" s="68">
        <f>IFERROR(J55*'As-Filed Schedule 1'!$E$103,0)</f>
        <v>0</v>
      </c>
      <c r="L55" s="68">
        <f t="shared" si="1"/>
        <v>0</v>
      </c>
      <c r="N55" s="117"/>
      <c r="O55" s="117"/>
    </row>
    <row r="56" spans="1:15" x14ac:dyDescent="0.35">
      <c r="A56" s="24">
        <v>42</v>
      </c>
      <c r="B56" s="565"/>
      <c r="C56" s="565"/>
      <c r="D56" s="565"/>
      <c r="F56" s="114"/>
      <c r="G56" s="68">
        <f>IFERROR(F56*'As-Filed Schedule 1'!$E$103,0)</f>
        <v>0</v>
      </c>
      <c r="H56" s="68">
        <f t="shared" si="0"/>
        <v>0</v>
      </c>
      <c r="J56" s="114"/>
      <c r="K56" s="68">
        <f>IFERROR(J56*'As-Filed Schedule 1'!$E$103,0)</f>
        <v>0</v>
      </c>
      <c r="L56" s="68">
        <f t="shared" si="1"/>
        <v>0</v>
      </c>
      <c r="N56" s="117"/>
      <c r="O56" s="117"/>
    </row>
    <row r="57" spans="1:15" x14ac:dyDescent="0.35">
      <c r="A57" s="24">
        <v>43</v>
      </c>
      <c r="B57" s="565"/>
      <c r="C57" s="565"/>
      <c r="D57" s="565"/>
      <c r="F57" s="114"/>
      <c r="G57" s="68">
        <f>IFERROR(F57*'As-Filed Schedule 1'!$E$103,0)</f>
        <v>0</v>
      </c>
      <c r="H57" s="68">
        <f t="shared" si="0"/>
        <v>0</v>
      </c>
      <c r="J57" s="114"/>
      <c r="K57" s="68">
        <f>IFERROR(J57*'As-Filed Schedule 1'!$E$103,0)</f>
        <v>0</v>
      </c>
      <c r="L57" s="68">
        <f t="shared" si="1"/>
        <v>0</v>
      </c>
      <c r="N57" s="117"/>
      <c r="O57" s="117"/>
    </row>
    <row r="58" spans="1:15" x14ac:dyDescent="0.35">
      <c r="A58" s="24">
        <v>44</v>
      </c>
      <c r="B58" s="565"/>
      <c r="C58" s="565"/>
      <c r="D58" s="565"/>
      <c r="F58" s="114"/>
      <c r="G58" s="68">
        <f>IFERROR(F58*'As-Filed Schedule 1'!$E$103,0)</f>
        <v>0</v>
      </c>
      <c r="H58" s="68">
        <f t="shared" si="0"/>
        <v>0</v>
      </c>
      <c r="J58" s="114"/>
      <c r="K58" s="68">
        <f>IFERROR(J58*'As-Filed Schedule 1'!$E$103,0)</f>
        <v>0</v>
      </c>
      <c r="L58" s="68">
        <f t="shared" si="1"/>
        <v>0</v>
      </c>
      <c r="N58" s="117"/>
      <c r="O58" s="117"/>
    </row>
    <row r="59" spans="1:15" x14ac:dyDescent="0.35">
      <c r="A59" s="24">
        <v>45</v>
      </c>
      <c r="B59" s="565"/>
      <c r="C59" s="565"/>
      <c r="D59" s="565"/>
      <c r="F59" s="114"/>
      <c r="G59" s="68">
        <f>IFERROR(F59*'As-Filed Schedule 1'!$E$103,0)</f>
        <v>0</v>
      </c>
      <c r="H59" s="68">
        <f t="shared" si="0"/>
        <v>0</v>
      </c>
      <c r="J59" s="114"/>
      <c r="K59" s="68">
        <f>IFERROR(J59*'As-Filed Schedule 1'!$E$103,0)</f>
        <v>0</v>
      </c>
      <c r="L59" s="68">
        <f t="shared" si="1"/>
        <v>0</v>
      </c>
      <c r="N59" s="117"/>
      <c r="O59" s="117"/>
    </row>
    <row r="60" spans="1:15" x14ac:dyDescent="0.35">
      <c r="A60" s="24">
        <v>46</v>
      </c>
      <c r="B60" s="565"/>
      <c r="C60" s="565"/>
      <c r="D60" s="565"/>
      <c r="F60" s="114"/>
      <c r="G60" s="68">
        <f>IFERROR(F60*'As-Filed Schedule 1'!$E$103,0)</f>
        <v>0</v>
      </c>
      <c r="H60" s="68">
        <f t="shared" si="0"/>
        <v>0</v>
      </c>
      <c r="J60" s="114"/>
      <c r="K60" s="68">
        <f>IFERROR(J60*'As-Filed Schedule 1'!$E$103,0)</f>
        <v>0</v>
      </c>
      <c r="L60" s="68">
        <f t="shared" si="1"/>
        <v>0</v>
      </c>
      <c r="N60" s="117"/>
      <c r="O60" s="117"/>
    </row>
    <row r="61" spans="1:15" x14ac:dyDescent="0.35">
      <c r="A61" s="24">
        <v>47</v>
      </c>
      <c r="B61" s="565"/>
      <c r="C61" s="565"/>
      <c r="D61" s="565"/>
      <c r="F61" s="114"/>
      <c r="G61" s="68">
        <f>IFERROR(F61*'As-Filed Schedule 1'!$E$103,0)</f>
        <v>0</v>
      </c>
      <c r="H61" s="68">
        <f t="shared" si="0"/>
        <v>0</v>
      </c>
      <c r="J61" s="114"/>
      <c r="K61" s="68">
        <f>IFERROR(J61*'As-Filed Schedule 1'!$E$103,0)</f>
        <v>0</v>
      </c>
      <c r="L61" s="68">
        <f t="shared" si="1"/>
        <v>0</v>
      </c>
      <c r="N61" s="117"/>
      <c r="O61" s="117"/>
    </row>
    <row r="62" spans="1:15" x14ac:dyDescent="0.35">
      <c r="A62" s="24">
        <v>48</v>
      </c>
      <c r="B62" s="565"/>
      <c r="C62" s="565"/>
      <c r="D62" s="565"/>
      <c r="F62" s="114"/>
      <c r="G62" s="68">
        <f>IFERROR(F62*'As-Filed Schedule 1'!$E$103,0)</f>
        <v>0</v>
      </c>
      <c r="H62" s="68">
        <f t="shared" si="0"/>
        <v>0</v>
      </c>
      <c r="J62" s="114"/>
      <c r="K62" s="68">
        <f>IFERROR(J62*'As-Filed Schedule 1'!$E$103,0)</f>
        <v>0</v>
      </c>
      <c r="L62" s="68">
        <f t="shared" si="1"/>
        <v>0</v>
      </c>
      <c r="N62" s="117"/>
      <c r="O62" s="117"/>
    </row>
    <row r="63" spans="1:15" x14ac:dyDescent="0.35">
      <c r="A63" s="24">
        <v>49</v>
      </c>
      <c r="B63" s="565"/>
      <c r="C63" s="565"/>
      <c r="D63" s="565"/>
      <c r="F63" s="114"/>
      <c r="G63" s="68">
        <f>IFERROR(F63*'As-Filed Schedule 1'!$E$103,0)</f>
        <v>0</v>
      </c>
      <c r="H63" s="68">
        <f t="shared" si="0"/>
        <v>0</v>
      </c>
      <c r="J63" s="114"/>
      <c r="K63" s="68">
        <f>IFERROR(J63*'As-Filed Schedule 1'!$E$103,0)</f>
        <v>0</v>
      </c>
      <c r="L63" s="68">
        <f t="shared" si="1"/>
        <v>0</v>
      </c>
      <c r="N63" s="117"/>
      <c r="O63" s="117"/>
    </row>
    <row r="64" spans="1:15" x14ac:dyDescent="0.35">
      <c r="A64" s="24">
        <v>50</v>
      </c>
      <c r="B64" s="565"/>
      <c r="C64" s="565"/>
      <c r="D64" s="565"/>
      <c r="F64" s="114"/>
      <c r="G64" s="68">
        <f>IFERROR(F64*'As-Filed Schedule 1'!$E$103,0)</f>
        <v>0</v>
      </c>
      <c r="H64" s="68">
        <f t="shared" si="0"/>
        <v>0</v>
      </c>
      <c r="J64" s="114"/>
      <c r="K64" s="68">
        <f>IFERROR(J64*'As-Filed Schedule 1'!$E$103,0)</f>
        <v>0</v>
      </c>
      <c r="L64" s="68">
        <f t="shared" si="1"/>
        <v>0</v>
      </c>
      <c r="N64" s="117"/>
      <c r="O64" s="117"/>
    </row>
    <row r="65" spans="1:15" x14ac:dyDescent="0.35">
      <c r="A65" s="24">
        <v>51</v>
      </c>
      <c r="B65" s="565"/>
      <c r="C65" s="565"/>
      <c r="D65" s="565"/>
      <c r="F65" s="114"/>
      <c r="G65" s="68">
        <f>IFERROR(F65*'As-Filed Schedule 1'!$E$103,0)</f>
        <v>0</v>
      </c>
      <c r="H65" s="68">
        <f t="shared" si="0"/>
        <v>0</v>
      </c>
      <c r="J65" s="114"/>
      <c r="K65" s="68">
        <f>IFERROR(J65*'As-Filed Schedule 1'!$E$103,0)</f>
        <v>0</v>
      </c>
      <c r="L65" s="68">
        <f t="shared" si="1"/>
        <v>0</v>
      </c>
      <c r="N65" s="117"/>
      <c r="O65" s="117"/>
    </row>
    <row r="66" spans="1:15" x14ac:dyDescent="0.35">
      <c r="A66" s="24">
        <v>52</v>
      </c>
      <c r="B66" s="565"/>
      <c r="C66" s="565"/>
      <c r="D66" s="565"/>
      <c r="F66" s="114"/>
      <c r="G66" s="68">
        <f>IFERROR(F66*'As-Filed Schedule 1'!$E$103,0)</f>
        <v>0</v>
      </c>
      <c r="H66" s="68">
        <f t="shared" si="0"/>
        <v>0</v>
      </c>
      <c r="J66" s="114"/>
      <c r="K66" s="68">
        <f>IFERROR(J66*'As-Filed Schedule 1'!$E$103,0)</f>
        <v>0</v>
      </c>
      <c r="L66" s="68">
        <f t="shared" si="1"/>
        <v>0</v>
      </c>
      <c r="N66" s="117"/>
      <c r="O66" s="117"/>
    </row>
    <row r="67" spans="1:15" x14ac:dyDescent="0.35">
      <c r="A67" s="24">
        <v>53</v>
      </c>
      <c r="B67" s="565"/>
      <c r="C67" s="565"/>
      <c r="D67" s="565"/>
      <c r="F67" s="114"/>
      <c r="G67" s="68">
        <f>IFERROR(F67*'As-Filed Schedule 1'!$E$103,0)</f>
        <v>0</v>
      </c>
      <c r="H67" s="68">
        <f t="shared" si="0"/>
        <v>0</v>
      </c>
      <c r="J67" s="114"/>
      <c r="K67" s="68">
        <f>IFERROR(J67*'As-Filed Schedule 1'!$E$103,0)</f>
        <v>0</v>
      </c>
      <c r="L67" s="68">
        <f t="shared" si="1"/>
        <v>0</v>
      </c>
      <c r="N67" s="117"/>
      <c r="O67" s="117"/>
    </row>
    <row r="68" spans="1:15" x14ac:dyDescent="0.35">
      <c r="A68" s="24">
        <v>54</v>
      </c>
      <c r="B68" s="565"/>
      <c r="C68" s="565"/>
      <c r="D68" s="565"/>
      <c r="F68" s="114"/>
      <c r="G68" s="68">
        <f>IFERROR(F68*'As-Filed Schedule 1'!$E$103,0)</f>
        <v>0</v>
      </c>
      <c r="H68" s="68">
        <f t="shared" si="0"/>
        <v>0</v>
      </c>
      <c r="J68" s="114"/>
      <c r="K68" s="68">
        <f>IFERROR(J68*'As-Filed Schedule 1'!$E$103,0)</f>
        <v>0</v>
      </c>
      <c r="L68" s="68">
        <f t="shared" si="1"/>
        <v>0</v>
      </c>
      <c r="N68" s="117"/>
      <c r="O68" s="117"/>
    </row>
    <row r="69" spans="1:15" x14ac:dyDescent="0.35">
      <c r="A69" s="24">
        <v>55</v>
      </c>
      <c r="B69" s="565"/>
      <c r="C69" s="565"/>
      <c r="D69" s="565"/>
      <c r="F69" s="114"/>
      <c r="G69" s="68">
        <f>IFERROR(F69*'As-Filed Schedule 1'!$E$103,0)</f>
        <v>0</v>
      </c>
      <c r="H69" s="68">
        <f t="shared" si="0"/>
        <v>0</v>
      </c>
      <c r="J69" s="114"/>
      <c r="K69" s="68">
        <f>IFERROR(J69*'As-Filed Schedule 1'!$E$103,0)</f>
        <v>0</v>
      </c>
      <c r="L69" s="68">
        <f t="shared" si="1"/>
        <v>0</v>
      </c>
      <c r="N69" s="117"/>
      <c r="O69" s="117"/>
    </row>
    <row r="70" spans="1:15" x14ac:dyDescent="0.35">
      <c r="A70" s="24">
        <v>56</v>
      </c>
      <c r="B70" s="565"/>
      <c r="C70" s="565"/>
      <c r="D70" s="565"/>
      <c r="F70" s="114"/>
      <c r="G70" s="68">
        <f>IFERROR(F70*'As-Filed Schedule 1'!$E$103,0)</f>
        <v>0</v>
      </c>
      <c r="H70" s="68">
        <f t="shared" si="0"/>
        <v>0</v>
      </c>
      <c r="J70" s="114"/>
      <c r="K70" s="68">
        <f>IFERROR(J70*'As-Filed Schedule 1'!$E$103,0)</f>
        <v>0</v>
      </c>
      <c r="L70" s="68">
        <f t="shared" si="1"/>
        <v>0</v>
      </c>
      <c r="N70" s="117"/>
      <c r="O70" s="117"/>
    </row>
    <row r="71" spans="1:15" x14ac:dyDescent="0.35">
      <c r="A71" s="24">
        <v>57</v>
      </c>
      <c r="B71" s="565"/>
      <c r="C71" s="565"/>
      <c r="D71" s="565"/>
      <c r="F71" s="114"/>
      <c r="G71" s="68">
        <f>IFERROR(F71*'As-Filed Schedule 1'!$E$103,0)</f>
        <v>0</v>
      </c>
      <c r="H71" s="68">
        <f t="shared" si="0"/>
        <v>0</v>
      </c>
      <c r="J71" s="114"/>
      <c r="K71" s="68">
        <f>IFERROR(J71*'As-Filed Schedule 1'!$E$103,0)</f>
        <v>0</v>
      </c>
      <c r="L71" s="68">
        <f t="shared" si="1"/>
        <v>0</v>
      </c>
      <c r="N71" s="117"/>
      <c r="O71" s="117"/>
    </row>
    <row r="72" spans="1:15" x14ac:dyDescent="0.35">
      <c r="A72" s="24">
        <v>58</v>
      </c>
      <c r="B72" s="565"/>
      <c r="C72" s="565"/>
      <c r="D72" s="565"/>
      <c r="F72" s="114"/>
      <c r="G72" s="68">
        <f>IFERROR(F72*'As-Filed Schedule 1'!$E$103,0)</f>
        <v>0</v>
      </c>
      <c r="H72" s="68">
        <f t="shared" si="0"/>
        <v>0</v>
      </c>
      <c r="J72" s="114"/>
      <c r="K72" s="68">
        <f>IFERROR(J72*'As-Filed Schedule 1'!$E$103,0)</f>
        <v>0</v>
      </c>
      <c r="L72" s="68">
        <f t="shared" si="1"/>
        <v>0</v>
      </c>
      <c r="N72" s="117"/>
      <c r="O72" s="117"/>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832</v>
      </c>
      <c r="F75" s="75">
        <f>H73+L73</f>
        <v>0</v>
      </c>
      <c r="G75" s="74"/>
      <c r="H75" s="74"/>
      <c r="I75" s="74"/>
      <c r="J75" s="74"/>
      <c r="K75" s="74"/>
    </row>
  </sheetData>
  <sheetProtection sheet="1" objects="1" scenarios="1"/>
  <customSheetViews>
    <customSheetView guid="{17302493-42B1-4877-869E-E424A97AE78B}" state="hidden">
      <selection activeCell="F17" sqref="F17"/>
      <pageMargins left="0.7" right="0.7" top="0.75" bottom="0.75" header="0.3" footer="0.3"/>
    </customSheetView>
    <customSheetView guid="{5C0BA3A5-859C-46C2-B685-44D9A90065E4}">
      <selection activeCell="B15" sqref="B15:F1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tabColor rgb="FF9CC5CA"/>
  </sheetPr>
  <dimension ref="A1:O75"/>
  <sheetViews>
    <sheetView topLeftCell="H1" workbookViewId="0">
      <selection activeCell="F17" sqref="F17"/>
    </sheetView>
  </sheetViews>
  <sheetFormatPr defaultColWidth="9.1796875" defaultRowHeight="14.5" x14ac:dyDescent="0.35"/>
  <cols>
    <col min="1" max="1" width="9.54296875" customWidth="1"/>
    <col min="2" max="2" width="16" customWidth="1"/>
    <col min="3" max="3" width="21.26953125" customWidth="1"/>
    <col min="4" max="4" width="20.269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 t="s">
        <v>836</v>
      </c>
      <c r="B3" s="5"/>
      <c r="C3" s="5"/>
      <c r="D3" s="5"/>
      <c r="E3" s="5"/>
      <c r="F3" s="5"/>
      <c r="G3" s="5"/>
      <c r="H3" s="5"/>
    </row>
    <row r="5" spans="1:15" x14ac:dyDescent="0.35">
      <c r="A5" s="1" t="s">
        <v>776</v>
      </c>
      <c r="C5" s="413" t="str">
        <f>'As-Filed Schedule 1'!C5</f>
        <v>WellPower</v>
      </c>
    </row>
    <row r="6" spans="1:15" x14ac:dyDescent="0.35">
      <c r="A6" s="1" t="s">
        <v>0</v>
      </c>
      <c r="C6" s="406">
        <f>'As-Filed Schedule 1'!C6</f>
        <v>45473</v>
      </c>
      <c r="F6" s="35"/>
    </row>
    <row r="8" spans="1:15" x14ac:dyDescent="0.35">
      <c r="A8" s="1" t="s">
        <v>253</v>
      </c>
      <c r="B8" s="1" t="s">
        <v>834</v>
      </c>
      <c r="C8" s="1"/>
      <c r="F8" s="116" t="s">
        <v>177</v>
      </c>
      <c r="G8" s="41" t="s">
        <v>259</v>
      </c>
    </row>
    <row r="10" spans="1:15" x14ac:dyDescent="0.35">
      <c r="A10" s="1" t="s">
        <v>254</v>
      </c>
      <c r="B10" s="1" t="s">
        <v>256</v>
      </c>
      <c r="C10" s="1"/>
    </row>
    <row r="12" spans="1:15" x14ac:dyDescent="0.35">
      <c r="B12" s="560">
        <v>1</v>
      </c>
      <c r="C12" s="560"/>
      <c r="D12" s="560"/>
      <c r="F12" s="23">
        <v>2</v>
      </c>
      <c r="G12" s="23">
        <v>3</v>
      </c>
      <c r="H12" s="23">
        <v>4</v>
      </c>
      <c r="J12" s="23">
        <v>5</v>
      </c>
      <c r="K12" s="23">
        <v>6</v>
      </c>
      <c r="L12" s="23">
        <v>7</v>
      </c>
      <c r="N12" s="23">
        <v>8</v>
      </c>
      <c r="O12" s="23">
        <v>9</v>
      </c>
    </row>
    <row r="13" spans="1:15" x14ac:dyDescent="0.35">
      <c r="B13" s="561" t="s">
        <v>255</v>
      </c>
      <c r="C13" s="561"/>
      <c r="D13" s="561"/>
      <c r="F13" s="563" t="s">
        <v>261</v>
      </c>
      <c r="G13" s="568"/>
      <c r="H13" s="564"/>
      <c r="J13" s="563" t="s">
        <v>262</v>
      </c>
      <c r="K13" s="568"/>
      <c r="L13" s="564"/>
      <c r="N13" s="562" t="s">
        <v>250</v>
      </c>
      <c r="O13" s="562" t="s">
        <v>312</v>
      </c>
    </row>
    <row r="14" spans="1:15" ht="55.5" customHeight="1" x14ac:dyDescent="0.35">
      <c r="B14" s="561"/>
      <c r="C14" s="561"/>
      <c r="D14" s="561"/>
      <c r="E14" s="48"/>
      <c r="F14" s="10" t="s">
        <v>214</v>
      </c>
      <c r="G14" s="142" t="s">
        <v>493</v>
      </c>
      <c r="H14" s="142" t="s">
        <v>215</v>
      </c>
      <c r="I14" s="99"/>
      <c r="J14" s="142" t="s">
        <v>214</v>
      </c>
      <c r="K14" s="142" t="s">
        <v>493</v>
      </c>
      <c r="L14" s="10" t="s">
        <v>215</v>
      </c>
      <c r="M14" s="48"/>
      <c r="N14" s="562"/>
      <c r="O14" s="562"/>
    </row>
    <row r="15" spans="1:15" x14ac:dyDescent="0.35">
      <c r="A15" s="24">
        <v>1</v>
      </c>
      <c r="B15" s="565"/>
      <c r="C15" s="565"/>
      <c r="D15" s="565"/>
      <c r="F15" s="114"/>
      <c r="G15" s="68">
        <f>IFERROR(F15*'As-Filed Schedule 1'!$E$103,0)</f>
        <v>0</v>
      </c>
      <c r="H15" s="68">
        <f>SUM(F15:G15)</f>
        <v>0</v>
      </c>
      <c r="J15" s="114"/>
      <c r="K15" s="68">
        <f>IFERROR(J15*'As-Filed Schedule 1'!$E$103,0)</f>
        <v>0</v>
      </c>
      <c r="L15" s="68">
        <f>SUM(J15:K15)</f>
        <v>0</v>
      </c>
      <c r="N15" s="117"/>
      <c r="O15" s="117"/>
    </row>
    <row r="16" spans="1:15" x14ac:dyDescent="0.35">
      <c r="A16" s="24">
        <v>2</v>
      </c>
      <c r="B16" s="565"/>
      <c r="C16" s="565"/>
      <c r="D16" s="565"/>
      <c r="F16" s="114"/>
      <c r="G16" s="68">
        <f>IFERROR(F16*'As-Filed Schedule 1'!$E$103,0)</f>
        <v>0</v>
      </c>
      <c r="H16" s="68">
        <f t="shared" ref="H16:H72" si="0">SUM(F16:G16)</f>
        <v>0</v>
      </c>
      <c r="J16" s="114"/>
      <c r="K16" s="68">
        <f>IFERROR(J16*'As-Filed Schedule 1'!$E$103,0)</f>
        <v>0</v>
      </c>
      <c r="L16" s="68">
        <f t="shared" ref="L16:L72" si="1">SUM(J16:K16)</f>
        <v>0</v>
      </c>
      <c r="N16" s="117"/>
      <c r="O16" s="117"/>
    </row>
    <row r="17" spans="1:15" x14ac:dyDescent="0.35">
      <c r="A17" s="24">
        <v>3</v>
      </c>
      <c r="B17" s="565"/>
      <c r="C17" s="565"/>
      <c r="D17" s="565"/>
      <c r="F17" s="114"/>
      <c r="G17" s="68">
        <f>IFERROR(F17*'As-Filed Schedule 1'!$E$103,0)</f>
        <v>0</v>
      </c>
      <c r="H17" s="68">
        <f t="shared" si="0"/>
        <v>0</v>
      </c>
      <c r="J17" s="114"/>
      <c r="K17" s="68">
        <f>IFERROR(J17*'As-Filed Schedule 1'!$E$103,0)</f>
        <v>0</v>
      </c>
      <c r="L17" s="68">
        <f t="shared" si="1"/>
        <v>0</v>
      </c>
      <c r="N17" s="117"/>
      <c r="O17" s="117"/>
    </row>
    <row r="18" spans="1:15" x14ac:dyDescent="0.35">
      <c r="A18" s="24">
        <v>4</v>
      </c>
      <c r="B18" s="565"/>
      <c r="C18" s="565"/>
      <c r="D18" s="565"/>
      <c r="F18" s="114"/>
      <c r="G18" s="68">
        <f>IFERROR(F18*'As-Filed Schedule 1'!$E$103,0)</f>
        <v>0</v>
      </c>
      <c r="H18" s="68">
        <f t="shared" si="0"/>
        <v>0</v>
      </c>
      <c r="J18" s="114"/>
      <c r="K18" s="68">
        <f>IFERROR(J18*'As-Filed Schedule 1'!$E$103,0)</f>
        <v>0</v>
      </c>
      <c r="L18" s="68">
        <f t="shared" si="1"/>
        <v>0</v>
      </c>
      <c r="N18" s="117"/>
      <c r="O18" s="117"/>
    </row>
    <row r="19" spans="1:15" x14ac:dyDescent="0.35">
      <c r="A19" s="24">
        <v>5</v>
      </c>
      <c r="B19" s="565"/>
      <c r="C19" s="565"/>
      <c r="D19" s="565"/>
      <c r="F19" s="114"/>
      <c r="G19" s="68">
        <f>IFERROR(F19*'As-Filed Schedule 1'!$E$103,0)</f>
        <v>0</v>
      </c>
      <c r="H19" s="68">
        <f t="shared" si="0"/>
        <v>0</v>
      </c>
      <c r="J19" s="114"/>
      <c r="K19" s="68">
        <f>IFERROR(J19*'As-Filed Schedule 1'!$E$103,0)</f>
        <v>0</v>
      </c>
      <c r="L19" s="68">
        <f t="shared" si="1"/>
        <v>0</v>
      </c>
      <c r="N19" s="117"/>
      <c r="O19" s="117"/>
    </row>
    <row r="20" spans="1:15" x14ac:dyDescent="0.35">
      <c r="A20" s="24">
        <v>6</v>
      </c>
      <c r="B20" s="565"/>
      <c r="C20" s="565"/>
      <c r="D20" s="565"/>
      <c r="F20" s="114"/>
      <c r="G20" s="68">
        <f>IFERROR(F20*'As-Filed Schedule 1'!$E$103,0)</f>
        <v>0</v>
      </c>
      <c r="H20" s="68">
        <f t="shared" si="0"/>
        <v>0</v>
      </c>
      <c r="J20" s="114"/>
      <c r="K20" s="68">
        <f>IFERROR(J20*'As-Filed Schedule 1'!$E$103,0)</f>
        <v>0</v>
      </c>
      <c r="L20" s="68">
        <f t="shared" si="1"/>
        <v>0</v>
      </c>
      <c r="N20" s="117"/>
      <c r="O20" s="117"/>
    </row>
    <row r="21" spans="1:15" x14ac:dyDescent="0.35">
      <c r="A21" s="24">
        <v>7</v>
      </c>
      <c r="B21" s="565"/>
      <c r="C21" s="565"/>
      <c r="D21" s="565"/>
      <c r="F21" s="114"/>
      <c r="G21" s="68">
        <f>IFERROR(F21*'As-Filed Schedule 1'!$E$103,0)</f>
        <v>0</v>
      </c>
      <c r="H21" s="68">
        <f t="shared" si="0"/>
        <v>0</v>
      </c>
      <c r="J21" s="114"/>
      <c r="K21" s="68">
        <f>IFERROR(J21*'As-Filed Schedule 1'!$E$103,0)</f>
        <v>0</v>
      </c>
      <c r="L21" s="68">
        <f t="shared" si="1"/>
        <v>0</v>
      </c>
      <c r="N21" s="117"/>
      <c r="O21" s="117"/>
    </row>
    <row r="22" spans="1:15" x14ac:dyDescent="0.35">
      <c r="A22" s="24">
        <v>8</v>
      </c>
      <c r="B22" s="565"/>
      <c r="C22" s="565"/>
      <c r="D22" s="565"/>
      <c r="F22" s="114"/>
      <c r="G22" s="68">
        <f>IFERROR(F22*'As-Filed Schedule 1'!$E$103,0)</f>
        <v>0</v>
      </c>
      <c r="H22" s="68">
        <f t="shared" si="0"/>
        <v>0</v>
      </c>
      <c r="J22" s="114"/>
      <c r="K22" s="68">
        <f>IFERROR(J22*'As-Filed Schedule 1'!$E$103,0)</f>
        <v>0</v>
      </c>
      <c r="L22" s="68">
        <f t="shared" si="1"/>
        <v>0</v>
      </c>
      <c r="N22" s="117"/>
      <c r="O22" s="117"/>
    </row>
    <row r="23" spans="1:15" x14ac:dyDescent="0.35">
      <c r="A23" s="24">
        <v>9</v>
      </c>
      <c r="B23" s="565"/>
      <c r="C23" s="565"/>
      <c r="D23" s="565"/>
      <c r="F23" s="114"/>
      <c r="G23" s="68">
        <f>IFERROR(F23*'As-Filed Schedule 1'!$E$103,0)</f>
        <v>0</v>
      </c>
      <c r="H23" s="68">
        <f t="shared" si="0"/>
        <v>0</v>
      </c>
      <c r="J23" s="114"/>
      <c r="K23" s="68">
        <f>IFERROR(J23*'As-Filed Schedule 1'!$E$103,0)</f>
        <v>0</v>
      </c>
      <c r="L23" s="68">
        <f t="shared" si="1"/>
        <v>0</v>
      </c>
      <c r="N23" s="117"/>
      <c r="O23" s="117"/>
    </row>
    <row r="24" spans="1:15" x14ac:dyDescent="0.35">
      <c r="A24" s="24">
        <v>10</v>
      </c>
      <c r="B24" s="565"/>
      <c r="C24" s="565"/>
      <c r="D24" s="565"/>
      <c r="F24" s="114"/>
      <c r="G24" s="68">
        <f>IFERROR(F24*'As-Filed Schedule 1'!$E$103,0)</f>
        <v>0</v>
      </c>
      <c r="H24" s="68">
        <f t="shared" si="0"/>
        <v>0</v>
      </c>
      <c r="J24" s="114"/>
      <c r="K24" s="68">
        <f>IFERROR(J24*'As-Filed Schedule 1'!$E$103,0)</f>
        <v>0</v>
      </c>
      <c r="L24" s="68">
        <f t="shared" si="1"/>
        <v>0</v>
      </c>
      <c r="N24" s="117"/>
      <c r="O24" s="117"/>
    </row>
    <row r="25" spans="1:15" x14ac:dyDescent="0.35">
      <c r="A25" s="24">
        <v>11</v>
      </c>
      <c r="B25" s="565"/>
      <c r="C25" s="565"/>
      <c r="D25" s="565"/>
      <c r="F25" s="114"/>
      <c r="G25" s="68">
        <f>IFERROR(F25*'As-Filed Schedule 1'!$E$103,0)</f>
        <v>0</v>
      </c>
      <c r="H25" s="68">
        <f t="shared" si="0"/>
        <v>0</v>
      </c>
      <c r="J25" s="114"/>
      <c r="K25" s="68">
        <f>IFERROR(J25*'As-Filed Schedule 1'!$E$103,0)</f>
        <v>0</v>
      </c>
      <c r="L25" s="68">
        <f t="shared" si="1"/>
        <v>0</v>
      </c>
      <c r="N25" s="117"/>
      <c r="O25" s="117"/>
    </row>
    <row r="26" spans="1:15" x14ac:dyDescent="0.35">
      <c r="A26" s="24">
        <v>12</v>
      </c>
      <c r="B26" s="565"/>
      <c r="C26" s="565"/>
      <c r="D26" s="565"/>
      <c r="F26" s="114"/>
      <c r="G26" s="68">
        <f>IFERROR(F26*'As-Filed Schedule 1'!$E$103,0)</f>
        <v>0</v>
      </c>
      <c r="H26" s="68">
        <f t="shared" si="0"/>
        <v>0</v>
      </c>
      <c r="J26" s="114"/>
      <c r="K26" s="68">
        <f>IFERROR(J26*'As-Filed Schedule 1'!$E$103,0)</f>
        <v>0</v>
      </c>
      <c r="L26" s="68">
        <f t="shared" si="1"/>
        <v>0</v>
      </c>
      <c r="N26" s="117"/>
      <c r="O26" s="117"/>
    </row>
    <row r="27" spans="1:15" x14ac:dyDescent="0.35">
      <c r="A27" s="24">
        <v>13</v>
      </c>
      <c r="B27" s="565"/>
      <c r="C27" s="565"/>
      <c r="D27" s="565"/>
      <c r="F27" s="114"/>
      <c r="G27" s="68">
        <f>IFERROR(F27*'As-Filed Schedule 1'!$E$103,0)</f>
        <v>0</v>
      </c>
      <c r="H27" s="68">
        <f t="shared" si="0"/>
        <v>0</v>
      </c>
      <c r="J27" s="114"/>
      <c r="K27" s="68">
        <f>IFERROR(J27*'As-Filed Schedule 1'!$E$103,0)</f>
        <v>0</v>
      </c>
      <c r="L27" s="68">
        <f t="shared" si="1"/>
        <v>0</v>
      </c>
      <c r="N27" s="117"/>
      <c r="O27" s="117"/>
    </row>
    <row r="28" spans="1:15" x14ac:dyDescent="0.35">
      <c r="A28" s="24">
        <v>14</v>
      </c>
      <c r="B28" s="565"/>
      <c r="C28" s="565"/>
      <c r="D28" s="565"/>
      <c r="F28" s="114"/>
      <c r="G28" s="68">
        <f>IFERROR(F28*'As-Filed Schedule 1'!$E$103,0)</f>
        <v>0</v>
      </c>
      <c r="H28" s="68">
        <f t="shared" si="0"/>
        <v>0</v>
      </c>
      <c r="J28" s="114"/>
      <c r="K28" s="68">
        <f>IFERROR(J28*'As-Filed Schedule 1'!$E$103,0)</f>
        <v>0</v>
      </c>
      <c r="L28" s="68">
        <f t="shared" si="1"/>
        <v>0</v>
      </c>
      <c r="N28" s="117"/>
      <c r="O28" s="117"/>
    </row>
    <row r="29" spans="1:15" x14ac:dyDescent="0.35">
      <c r="A29" s="24">
        <v>15</v>
      </c>
      <c r="B29" s="565"/>
      <c r="C29" s="565"/>
      <c r="D29" s="565"/>
      <c r="F29" s="114"/>
      <c r="G29" s="68">
        <f>IFERROR(F29*'As-Filed Schedule 1'!$E$103,0)</f>
        <v>0</v>
      </c>
      <c r="H29" s="68">
        <f t="shared" si="0"/>
        <v>0</v>
      </c>
      <c r="J29" s="114"/>
      <c r="K29" s="68">
        <f>IFERROR(J29*'As-Filed Schedule 1'!$E$103,0)</f>
        <v>0</v>
      </c>
      <c r="L29" s="68">
        <f t="shared" si="1"/>
        <v>0</v>
      </c>
      <c r="N29" s="117"/>
      <c r="O29" s="117"/>
    </row>
    <row r="30" spans="1:15" x14ac:dyDescent="0.35">
      <c r="A30" s="24">
        <v>16</v>
      </c>
      <c r="B30" s="565"/>
      <c r="C30" s="565"/>
      <c r="D30" s="565"/>
      <c r="F30" s="114"/>
      <c r="G30" s="68">
        <f>IFERROR(F30*'As-Filed Schedule 1'!$E$103,0)</f>
        <v>0</v>
      </c>
      <c r="H30" s="68">
        <f t="shared" si="0"/>
        <v>0</v>
      </c>
      <c r="J30" s="114"/>
      <c r="K30" s="68">
        <f>IFERROR(J30*'As-Filed Schedule 1'!$E$103,0)</f>
        <v>0</v>
      </c>
      <c r="L30" s="68">
        <f t="shared" si="1"/>
        <v>0</v>
      </c>
      <c r="N30" s="117"/>
      <c r="O30" s="117"/>
    </row>
    <row r="31" spans="1:15" x14ac:dyDescent="0.35">
      <c r="A31" s="24">
        <v>17</v>
      </c>
      <c r="B31" s="565"/>
      <c r="C31" s="565"/>
      <c r="D31" s="565"/>
      <c r="F31" s="114"/>
      <c r="G31" s="68">
        <f>IFERROR(F31*'As-Filed Schedule 1'!$E$103,0)</f>
        <v>0</v>
      </c>
      <c r="H31" s="68">
        <f t="shared" si="0"/>
        <v>0</v>
      </c>
      <c r="J31" s="114"/>
      <c r="K31" s="68">
        <f>IFERROR(J31*'As-Filed Schedule 1'!$E$103,0)</f>
        <v>0</v>
      </c>
      <c r="L31" s="68">
        <f t="shared" si="1"/>
        <v>0</v>
      </c>
      <c r="N31" s="117"/>
      <c r="O31" s="117"/>
    </row>
    <row r="32" spans="1:15" x14ac:dyDescent="0.35">
      <c r="A32" s="24">
        <v>18</v>
      </c>
      <c r="B32" s="565"/>
      <c r="C32" s="565"/>
      <c r="D32" s="565"/>
      <c r="F32" s="114"/>
      <c r="G32" s="68">
        <f>IFERROR(F32*'As-Filed Schedule 1'!$E$103,0)</f>
        <v>0</v>
      </c>
      <c r="H32" s="68">
        <f t="shared" si="0"/>
        <v>0</v>
      </c>
      <c r="J32" s="114"/>
      <c r="K32" s="68">
        <f>IFERROR(J32*'As-Filed Schedule 1'!$E$103,0)</f>
        <v>0</v>
      </c>
      <c r="L32" s="68">
        <f t="shared" si="1"/>
        <v>0</v>
      </c>
      <c r="N32" s="117"/>
      <c r="O32" s="117"/>
    </row>
    <row r="33" spans="1:15" x14ac:dyDescent="0.35">
      <c r="A33" s="24">
        <v>19</v>
      </c>
      <c r="B33" s="565"/>
      <c r="C33" s="565"/>
      <c r="D33" s="565"/>
      <c r="F33" s="114"/>
      <c r="G33" s="68">
        <f>IFERROR(F33*'As-Filed Schedule 1'!$E$103,0)</f>
        <v>0</v>
      </c>
      <c r="H33" s="68">
        <f t="shared" si="0"/>
        <v>0</v>
      </c>
      <c r="J33" s="114"/>
      <c r="K33" s="68">
        <f>IFERROR(J33*'As-Filed Schedule 1'!$E$103,0)</f>
        <v>0</v>
      </c>
      <c r="L33" s="68">
        <f t="shared" si="1"/>
        <v>0</v>
      </c>
      <c r="N33" s="117"/>
      <c r="O33" s="117"/>
    </row>
    <row r="34" spans="1:15" x14ac:dyDescent="0.35">
      <c r="A34" s="24">
        <v>20</v>
      </c>
      <c r="B34" s="565"/>
      <c r="C34" s="565"/>
      <c r="D34" s="565"/>
      <c r="F34" s="114"/>
      <c r="G34" s="68">
        <f>IFERROR(F34*'As-Filed Schedule 1'!$E$103,0)</f>
        <v>0</v>
      </c>
      <c r="H34" s="68">
        <f t="shared" si="0"/>
        <v>0</v>
      </c>
      <c r="J34" s="114"/>
      <c r="K34" s="68">
        <f>IFERROR(J34*'As-Filed Schedule 1'!$E$103,0)</f>
        <v>0</v>
      </c>
      <c r="L34" s="68">
        <f t="shared" si="1"/>
        <v>0</v>
      </c>
      <c r="N34" s="117"/>
      <c r="O34" s="117"/>
    </row>
    <row r="35" spans="1:15" x14ac:dyDescent="0.35">
      <c r="A35" s="24">
        <v>21</v>
      </c>
      <c r="B35" s="565"/>
      <c r="C35" s="565"/>
      <c r="D35" s="565"/>
      <c r="F35" s="114"/>
      <c r="G35" s="68">
        <f>IFERROR(F35*'As-Filed Schedule 1'!$E$103,0)</f>
        <v>0</v>
      </c>
      <c r="H35" s="68">
        <f t="shared" si="0"/>
        <v>0</v>
      </c>
      <c r="J35" s="114"/>
      <c r="K35" s="68">
        <f>IFERROR(J35*'As-Filed Schedule 1'!$E$103,0)</f>
        <v>0</v>
      </c>
      <c r="L35" s="68">
        <f t="shared" si="1"/>
        <v>0</v>
      </c>
      <c r="N35" s="117"/>
      <c r="O35" s="117"/>
    </row>
    <row r="36" spans="1:15" x14ac:dyDescent="0.35">
      <c r="A36" s="24">
        <v>22</v>
      </c>
      <c r="B36" s="565"/>
      <c r="C36" s="565"/>
      <c r="D36" s="565"/>
      <c r="F36" s="114"/>
      <c r="G36" s="68">
        <f>IFERROR(F36*'As-Filed Schedule 1'!$E$103,0)</f>
        <v>0</v>
      </c>
      <c r="H36" s="68">
        <f t="shared" si="0"/>
        <v>0</v>
      </c>
      <c r="J36" s="114"/>
      <c r="K36" s="68">
        <f>IFERROR(J36*'As-Filed Schedule 1'!$E$103,0)</f>
        <v>0</v>
      </c>
      <c r="L36" s="68">
        <f t="shared" si="1"/>
        <v>0</v>
      </c>
      <c r="N36" s="117"/>
      <c r="O36" s="117"/>
    </row>
    <row r="37" spans="1:15" x14ac:dyDescent="0.35">
      <c r="A37" s="24">
        <v>23</v>
      </c>
      <c r="B37" s="565"/>
      <c r="C37" s="565"/>
      <c r="D37" s="565"/>
      <c r="F37" s="114"/>
      <c r="G37" s="68">
        <f>IFERROR(F37*'As-Filed Schedule 1'!$E$103,0)</f>
        <v>0</v>
      </c>
      <c r="H37" s="68">
        <f t="shared" si="0"/>
        <v>0</v>
      </c>
      <c r="J37" s="114"/>
      <c r="K37" s="68">
        <f>IFERROR(J37*'As-Filed Schedule 1'!$E$103,0)</f>
        <v>0</v>
      </c>
      <c r="L37" s="68">
        <f t="shared" si="1"/>
        <v>0</v>
      </c>
      <c r="N37" s="117"/>
      <c r="O37" s="117"/>
    </row>
    <row r="38" spans="1:15" x14ac:dyDescent="0.35">
      <c r="A38" s="24">
        <v>24</v>
      </c>
      <c r="B38" s="565"/>
      <c r="C38" s="565"/>
      <c r="D38" s="565"/>
      <c r="F38" s="114"/>
      <c r="G38" s="68">
        <f>IFERROR(F38*'As-Filed Schedule 1'!$E$103,0)</f>
        <v>0</v>
      </c>
      <c r="H38" s="68">
        <f t="shared" si="0"/>
        <v>0</v>
      </c>
      <c r="J38" s="114"/>
      <c r="K38" s="68">
        <f>IFERROR(J38*'As-Filed Schedule 1'!$E$103,0)</f>
        <v>0</v>
      </c>
      <c r="L38" s="68">
        <f t="shared" si="1"/>
        <v>0</v>
      </c>
      <c r="N38" s="117"/>
      <c r="O38" s="117"/>
    </row>
    <row r="39" spans="1:15" x14ac:dyDescent="0.35">
      <c r="A39" s="24">
        <v>25</v>
      </c>
      <c r="B39" s="565"/>
      <c r="C39" s="565"/>
      <c r="D39" s="565"/>
      <c r="F39" s="114"/>
      <c r="G39" s="68">
        <f>IFERROR(F39*'As-Filed Schedule 1'!$E$103,0)</f>
        <v>0</v>
      </c>
      <c r="H39" s="68">
        <f t="shared" si="0"/>
        <v>0</v>
      </c>
      <c r="J39" s="114"/>
      <c r="K39" s="68">
        <f>IFERROR(J39*'As-Filed Schedule 1'!$E$103,0)</f>
        <v>0</v>
      </c>
      <c r="L39" s="68">
        <f t="shared" si="1"/>
        <v>0</v>
      </c>
      <c r="N39" s="117"/>
      <c r="O39" s="117"/>
    </row>
    <row r="40" spans="1:15" x14ac:dyDescent="0.35">
      <c r="A40" s="24">
        <v>26</v>
      </c>
      <c r="B40" s="565"/>
      <c r="C40" s="565"/>
      <c r="D40" s="565"/>
      <c r="F40" s="114"/>
      <c r="G40" s="68">
        <f>IFERROR(F40*'As-Filed Schedule 1'!$E$103,0)</f>
        <v>0</v>
      </c>
      <c r="H40" s="68">
        <f t="shared" si="0"/>
        <v>0</v>
      </c>
      <c r="J40" s="114"/>
      <c r="K40" s="68">
        <f>IFERROR(J40*'As-Filed Schedule 1'!$E$103,0)</f>
        <v>0</v>
      </c>
      <c r="L40" s="68">
        <f t="shared" si="1"/>
        <v>0</v>
      </c>
      <c r="N40" s="117"/>
      <c r="O40" s="117"/>
    </row>
    <row r="41" spans="1:15" x14ac:dyDescent="0.35">
      <c r="A41" s="24">
        <v>27</v>
      </c>
      <c r="B41" s="565"/>
      <c r="C41" s="565"/>
      <c r="D41" s="565"/>
      <c r="F41" s="114"/>
      <c r="G41" s="68">
        <f>IFERROR(F41*'As-Filed Schedule 1'!$E$103,0)</f>
        <v>0</v>
      </c>
      <c r="H41" s="68">
        <f t="shared" si="0"/>
        <v>0</v>
      </c>
      <c r="J41" s="114"/>
      <c r="K41" s="68">
        <f>IFERROR(J41*'As-Filed Schedule 1'!$E$103,0)</f>
        <v>0</v>
      </c>
      <c r="L41" s="68">
        <f t="shared" si="1"/>
        <v>0</v>
      </c>
      <c r="N41" s="117"/>
      <c r="O41" s="117"/>
    </row>
    <row r="42" spans="1:15" x14ac:dyDescent="0.35">
      <c r="A42" s="24">
        <v>28</v>
      </c>
      <c r="B42" s="565"/>
      <c r="C42" s="565"/>
      <c r="D42" s="565"/>
      <c r="F42" s="114"/>
      <c r="G42" s="68">
        <f>IFERROR(F42*'As-Filed Schedule 1'!$E$103,0)</f>
        <v>0</v>
      </c>
      <c r="H42" s="68">
        <f t="shared" si="0"/>
        <v>0</v>
      </c>
      <c r="J42" s="114"/>
      <c r="K42" s="68">
        <f>IFERROR(J42*'As-Filed Schedule 1'!$E$103,0)</f>
        <v>0</v>
      </c>
      <c r="L42" s="68">
        <f t="shared" si="1"/>
        <v>0</v>
      </c>
      <c r="N42" s="117"/>
      <c r="O42" s="117"/>
    </row>
    <row r="43" spans="1:15" x14ac:dyDescent="0.35">
      <c r="A43" s="24">
        <v>29</v>
      </c>
      <c r="B43" s="565"/>
      <c r="C43" s="565"/>
      <c r="D43" s="565"/>
      <c r="F43" s="114"/>
      <c r="G43" s="68">
        <f>IFERROR(F43*'As-Filed Schedule 1'!$E$103,0)</f>
        <v>0</v>
      </c>
      <c r="H43" s="68">
        <f t="shared" si="0"/>
        <v>0</v>
      </c>
      <c r="J43" s="114"/>
      <c r="K43" s="68">
        <f>IFERROR(J43*'As-Filed Schedule 1'!$E$103,0)</f>
        <v>0</v>
      </c>
      <c r="L43" s="68">
        <f t="shared" si="1"/>
        <v>0</v>
      </c>
      <c r="N43" s="117"/>
      <c r="O43" s="117"/>
    </row>
    <row r="44" spans="1:15" x14ac:dyDescent="0.35">
      <c r="A44" s="24">
        <v>30</v>
      </c>
      <c r="B44" s="565"/>
      <c r="C44" s="565"/>
      <c r="D44" s="565"/>
      <c r="F44" s="114"/>
      <c r="G44" s="68">
        <f>IFERROR(F44*'As-Filed Schedule 1'!$E$103,0)</f>
        <v>0</v>
      </c>
      <c r="H44" s="68">
        <f t="shared" si="0"/>
        <v>0</v>
      </c>
      <c r="J44" s="114"/>
      <c r="K44" s="68">
        <f>IFERROR(J44*'As-Filed Schedule 1'!$E$103,0)</f>
        <v>0</v>
      </c>
      <c r="L44" s="68">
        <f t="shared" si="1"/>
        <v>0</v>
      </c>
      <c r="N44" s="117"/>
      <c r="O44" s="117"/>
    </row>
    <row r="45" spans="1:15" x14ac:dyDescent="0.35">
      <c r="A45" s="24">
        <v>31</v>
      </c>
      <c r="B45" s="565"/>
      <c r="C45" s="565"/>
      <c r="D45" s="565"/>
      <c r="F45" s="114"/>
      <c r="G45" s="68">
        <f>IFERROR(F45*'As-Filed Schedule 1'!$E$103,0)</f>
        <v>0</v>
      </c>
      <c r="H45" s="68">
        <f t="shared" si="0"/>
        <v>0</v>
      </c>
      <c r="J45" s="114"/>
      <c r="K45" s="68">
        <f>IFERROR(J45*'As-Filed Schedule 1'!$E$103,0)</f>
        <v>0</v>
      </c>
      <c r="L45" s="68">
        <f t="shared" si="1"/>
        <v>0</v>
      </c>
      <c r="N45" s="117"/>
      <c r="O45" s="117"/>
    </row>
    <row r="46" spans="1:15" x14ac:dyDescent="0.35">
      <c r="A46" s="24">
        <v>32</v>
      </c>
      <c r="B46" s="565"/>
      <c r="C46" s="565"/>
      <c r="D46" s="565"/>
      <c r="F46" s="114"/>
      <c r="G46" s="68">
        <f>IFERROR(F46*'As-Filed Schedule 1'!$E$103,0)</f>
        <v>0</v>
      </c>
      <c r="H46" s="68">
        <f t="shared" si="0"/>
        <v>0</v>
      </c>
      <c r="J46" s="114"/>
      <c r="K46" s="68">
        <f>IFERROR(J46*'As-Filed Schedule 1'!$E$103,0)</f>
        <v>0</v>
      </c>
      <c r="L46" s="68">
        <f t="shared" si="1"/>
        <v>0</v>
      </c>
      <c r="N46" s="117"/>
      <c r="O46" s="117"/>
    </row>
    <row r="47" spans="1:15" x14ac:dyDescent="0.35">
      <c r="A47" s="24">
        <v>33</v>
      </c>
      <c r="B47" s="565"/>
      <c r="C47" s="565"/>
      <c r="D47" s="565"/>
      <c r="F47" s="114"/>
      <c r="G47" s="68">
        <f>IFERROR(F47*'As-Filed Schedule 1'!$E$103,0)</f>
        <v>0</v>
      </c>
      <c r="H47" s="68">
        <f t="shared" si="0"/>
        <v>0</v>
      </c>
      <c r="J47" s="114"/>
      <c r="K47" s="68">
        <f>IFERROR(J47*'As-Filed Schedule 1'!$E$103,0)</f>
        <v>0</v>
      </c>
      <c r="L47" s="68">
        <f t="shared" si="1"/>
        <v>0</v>
      </c>
      <c r="N47" s="117"/>
      <c r="O47" s="117"/>
    </row>
    <row r="48" spans="1:15" x14ac:dyDescent="0.35">
      <c r="A48" s="24">
        <v>34</v>
      </c>
      <c r="B48" s="565"/>
      <c r="C48" s="565"/>
      <c r="D48" s="565"/>
      <c r="F48" s="114"/>
      <c r="G48" s="68">
        <f>IFERROR(F48*'As-Filed Schedule 1'!$E$103,0)</f>
        <v>0</v>
      </c>
      <c r="H48" s="68">
        <f t="shared" si="0"/>
        <v>0</v>
      </c>
      <c r="J48" s="114"/>
      <c r="K48" s="68">
        <f>IFERROR(J48*'As-Filed Schedule 1'!$E$103,0)</f>
        <v>0</v>
      </c>
      <c r="L48" s="68">
        <f t="shared" si="1"/>
        <v>0</v>
      </c>
      <c r="N48" s="117"/>
      <c r="O48" s="117"/>
    </row>
    <row r="49" spans="1:15" x14ac:dyDescent="0.35">
      <c r="A49" s="24">
        <v>35</v>
      </c>
      <c r="B49" s="565"/>
      <c r="C49" s="565"/>
      <c r="D49" s="565"/>
      <c r="F49" s="114"/>
      <c r="G49" s="68">
        <f>IFERROR(F49*'As-Filed Schedule 1'!$E$103,0)</f>
        <v>0</v>
      </c>
      <c r="H49" s="68">
        <f t="shared" si="0"/>
        <v>0</v>
      </c>
      <c r="J49" s="114"/>
      <c r="K49" s="68">
        <f>IFERROR(J49*'As-Filed Schedule 1'!$E$103,0)</f>
        <v>0</v>
      </c>
      <c r="L49" s="68">
        <f t="shared" si="1"/>
        <v>0</v>
      </c>
      <c r="N49" s="117"/>
      <c r="O49" s="117"/>
    </row>
    <row r="50" spans="1:15" x14ac:dyDescent="0.35">
      <c r="A50" s="24">
        <v>36</v>
      </c>
      <c r="B50" s="565"/>
      <c r="C50" s="565"/>
      <c r="D50" s="565"/>
      <c r="F50" s="114"/>
      <c r="G50" s="68">
        <f>IFERROR(F50*'As-Filed Schedule 1'!$E$103,0)</f>
        <v>0</v>
      </c>
      <c r="H50" s="68">
        <f t="shared" si="0"/>
        <v>0</v>
      </c>
      <c r="J50" s="114"/>
      <c r="K50" s="68">
        <f>IFERROR(J50*'As-Filed Schedule 1'!$E$103,0)</f>
        <v>0</v>
      </c>
      <c r="L50" s="68">
        <f t="shared" si="1"/>
        <v>0</v>
      </c>
      <c r="N50" s="117"/>
      <c r="O50" s="117"/>
    </row>
    <row r="51" spans="1:15" x14ac:dyDescent="0.35">
      <c r="A51" s="24">
        <v>37</v>
      </c>
      <c r="B51" s="565"/>
      <c r="C51" s="565"/>
      <c r="D51" s="565"/>
      <c r="F51" s="114"/>
      <c r="G51" s="68">
        <f>IFERROR(F51*'As-Filed Schedule 1'!$E$103,0)</f>
        <v>0</v>
      </c>
      <c r="H51" s="68">
        <f t="shared" si="0"/>
        <v>0</v>
      </c>
      <c r="J51" s="114"/>
      <c r="K51" s="68">
        <f>IFERROR(J51*'As-Filed Schedule 1'!$E$103,0)</f>
        <v>0</v>
      </c>
      <c r="L51" s="68">
        <f t="shared" si="1"/>
        <v>0</v>
      </c>
      <c r="N51" s="117"/>
      <c r="O51" s="117"/>
    </row>
    <row r="52" spans="1:15" x14ac:dyDescent="0.35">
      <c r="A52" s="24">
        <v>38</v>
      </c>
      <c r="B52" s="565"/>
      <c r="C52" s="565"/>
      <c r="D52" s="565"/>
      <c r="F52" s="114"/>
      <c r="G52" s="68">
        <f>IFERROR(F52*'As-Filed Schedule 1'!$E$103,0)</f>
        <v>0</v>
      </c>
      <c r="H52" s="68">
        <f t="shared" si="0"/>
        <v>0</v>
      </c>
      <c r="J52" s="114"/>
      <c r="K52" s="68">
        <f>IFERROR(J52*'As-Filed Schedule 1'!$E$103,0)</f>
        <v>0</v>
      </c>
      <c r="L52" s="68">
        <f t="shared" si="1"/>
        <v>0</v>
      </c>
      <c r="N52" s="117"/>
      <c r="O52" s="117"/>
    </row>
    <row r="53" spans="1:15" x14ac:dyDescent="0.35">
      <c r="A53" s="24">
        <v>39</v>
      </c>
      <c r="B53" s="565"/>
      <c r="C53" s="565"/>
      <c r="D53" s="565"/>
      <c r="F53" s="114"/>
      <c r="G53" s="68">
        <f>IFERROR(F53*'As-Filed Schedule 1'!$E$103,0)</f>
        <v>0</v>
      </c>
      <c r="H53" s="68">
        <f t="shared" si="0"/>
        <v>0</v>
      </c>
      <c r="J53" s="114"/>
      <c r="K53" s="68">
        <f>IFERROR(J53*'As-Filed Schedule 1'!$E$103,0)</f>
        <v>0</v>
      </c>
      <c r="L53" s="68">
        <f t="shared" si="1"/>
        <v>0</v>
      </c>
      <c r="N53" s="117"/>
      <c r="O53" s="117"/>
    </row>
    <row r="54" spans="1:15" x14ac:dyDescent="0.35">
      <c r="A54" s="24">
        <v>40</v>
      </c>
      <c r="B54" s="565"/>
      <c r="C54" s="565"/>
      <c r="D54" s="565"/>
      <c r="F54" s="114"/>
      <c r="G54" s="68">
        <f>IFERROR(F54*'As-Filed Schedule 1'!$E$103,0)</f>
        <v>0</v>
      </c>
      <c r="H54" s="68">
        <f t="shared" si="0"/>
        <v>0</v>
      </c>
      <c r="J54" s="114"/>
      <c r="K54" s="68">
        <f>IFERROR(J54*'As-Filed Schedule 1'!$E$103,0)</f>
        <v>0</v>
      </c>
      <c r="L54" s="68">
        <f t="shared" si="1"/>
        <v>0</v>
      </c>
      <c r="N54" s="117"/>
      <c r="O54" s="117"/>
    </row>
    <row r="55" spans="1:15" x14ac:dyDescent="0.35">
      <c r="A55" s="24">
        <v>41</v>
      </c>
      <c r="B55" s="565"/>
      <c r="C55" s="565"/>
      <c r="D55" s="565"/>
      <c r="F55" s="114"/>
      <c r="G55" s="68">
        <f>IFERROR(F55*'As-Filed Schedule 1'!$E$103,0)</f>
        <v>0</v>
      </c>
      <c r="H55" s="68">
        <f t="shared" si="0"/>
        <v>0</v>
      </c>
      <c r="J55" s="114"/>
      <c r="K55" s="68">
        <f>IFERROR(J55*'As-Filed Schedule 1'!$E$103,0)</f>
        <v>0</v>
      </c>
      <c r="L55" s="68">
        <f t="shared" si="1"/>
        <v>0</v>
      </c>
      <c r="N55" s="117"/>
      <c r="O55" s="117"/>
    </row>
    <row r="56" spans="1:15" x14ac:dyDescent="0.35">
      <c r="A56" s="24">
        <v>42</v>
      </c>
      <c r="B56" s="565"/>
      <c r="C56" s="565"/>
      <c r="D56" s="565"/>
      <c r="F56" s="114"/>
      <c r="G56" s="68">
        <f>IFERROR(F56*'As-Filed Schedule 1'!$E$103,0)</f>
        <v>0</v>
      </c>
      <c r="H56" s="68">
        <f t="shared" si="0"/>
        <v>0</v>
      </c>
      <c r="J56" s="114"/>
      <c r="K56" s="68">
        <f>IFERROR(J56*'As-Filed Schedule 1'!$E$103,0)</f>
        <v>0</v>
      </c>
      <c r="L56" s="68">
        <f t="shared" si="1"/>
        <v>0</v>
      </c>
      <c r="N56" s="117"/>
      <c r="O56" s="117"/>
    </row>
    <row r="57" spans="1:15" x14ac:dyDescent="0.35">
      <c r="A57" s="24">
        <v>43</v>
      </c>
      <c r="B57" s="565"/>
      <c r="C57" s="565"/>
      <c r="D57" s="565"/>
      <c r="F57" s="114"/>
      <c r="G57" s="68">
        <f>IFERROR(F57*'As-Filed Schedule 1'!$E$103,0)</f>
        <v>0</v>
      </c>
      <c r="H57" s="68">
        <f t="shared" si="0"/>
        <v>0</v>
      </c>
      <c r="J57" s="114"/>
      <c r="K57" s="68">
        <f>IFERROR(J57*'As-Filed Schedule 1'!$E$103,0)</f>
        <v>0</v>
      </c>
      <c r="L57" s="68">
        <f t="shared" si="1"/>
        <v>0</v>
      </c>
      <c r="N57" s="117"/>
      <c r="O57" s="117"/>
    </row>
    <row r="58" spans="1:15" x14ac:dyDescent="0.35">
      <c r="A58" s="24">
        <v>44</v>
      </c>
      <c r="B58" s="565"/>
      <c r="C58" s="565"/>
      <c r="D58" s="565"/>
      <c r="F58" s="114"/>
      <c r="G58" s="68">
        <f>IFERROR(F58*'As-Filed Schedule 1'!$E$103,0)</f>
        <v>0</v>
      </c>
      <c r="H58" s="68">
        <f t="shared" si="0"/>
        <v>0</v>
      </c>
      <c r="J58" s="114"/>
      <c r="K58" s="68">
        <f>IFERROR(J58*'As-Filed Schedule 1'!$E$103,0)</f>
        <v>0</v>
      </c>
      <c r="L58" s="68">
        <f t="shared" si="1"/>
        <v>0</v>
      </c>
      <c r="N58" s="117"/>
      <c r="O58" s="117"/>
    </row>
    <row r="59" spans="1:15" x14ac:dyDescent="0.35">
      <c r="A59" s="24">
        <v>45</v>
      </c>
      <c r="B59" s="565"/>
      <c r="C59" s="565"/>
      <c r="D59" s="565"/>
      <c r="F59" s="114"/>
      <c r="G59" s="68">
        <f>IFERROR(F59*'As-Filed Schedule 1'!$E$103,0)</f>
        <v>0</v>
      </c>
      <c r="H59" s="68">
        <f t="shared" si="0"/>
        <v>0</v>
      </c>
      <c r="J59" s="114"/>
      <c r="K59" s="68">
        <f>IFERROR(J59*'As-Filed Schedule 1'!$E$103,0)</f>
        <v>0</v>
      </c>
      <c r="L59" s="68">
        <f t="shared" si="1"/>
        <v>0</v>
      </c>
      <c r="N59" s="117"/>
      <c r="O59" s="117"/>
    </row>
    <row r="60" spans="1:15" x14ac:dyDescent="0.35">
      <c r="A60" s="24">
        <v>46</v>
      </c>
      <c r="B60" s="565"/>
      <c r="C60" s="565"/>
      <c r="D60" s="565"/>
      <c r="F60" s="114"/>
      <c r="G60" s="68">
        <f>IFERROR(F60*'As-Filed Schedule 1'!$E$103,0)</f>
        <v>0</v>
      </c>
      <c r="H60" s="68">
        <f t="shared" si="0"/>
        <v>0</v>
      </c>
      <c r="J60" s="114"/>
      <c r="K60" s="68">
        <f>IFERROR(J60*'As-Filed Schedule 1'!$E$103,0)</f>
        <v>0</v>
      </c>
      <c r="L60" s="68">
        <f t="shared" si="1"/>
        <v>0</v>
      </c>
      <c r="N60" s="117"/>
      <c r="O60" s="117"/>
    </row>
    <row r="61" spans="1:15" x14ac:dyDescent="0.35">
      <c r="A61" s="24">
        <v>47</v>
      </c>
      <c r="B61" s="565"/>
      <c r="C61" s="565"/>
      <c r="D61" s="565"/>
      <c r="F61" s="114"/>
      <c r="G61" s="68">
        <f>IFERROR(F61*'As-Filed Schedule 1'!$E$103,0)</f>
        <v>0</v>
      </c>
      <c r="H61" s="68">
        <f t="shared" si="0"/>
        <v>0</v>
      </c>
      <c r="J61" s="114"/>
      <c r="K61" s="68">
        <f>IFERROR(J61*'As-Filed Schedule 1'!$E$103,0)</f>
        <v>0</v>
      </c>
      <c r="L61" s="68">
        <f t="shared" si="1"/>
        <v>0</v>
      </c>
      <c r="N61" s="117"/>
      <c r="O61" s="117"/>
    </row>
    <row r="62" spans="1:15" x14ac:dyDescent="0.35">
      <c r="A62" s="24">
        <v>48</v>
      </c>
      <c r="B62" s="565"/>
      <c r="C62" s="565"/>
      <c r="D62" s="565"/>
      <c r="F62" s="114"/>
      <c r="G62" s="68">
        <f>IFERROR(F62*'As-Filed Schedule 1'!$E$103,0)</f>
        <v>0</v>
      </c>
      <c r="H62" s="68">
        <f t="shared" si="0"/>
        <v>0</v>
      </c>
      <c r="J62" s="114"/>
      <c r="K62" s="68">
        <f>IFERROR(J62*'As-Filed Schedule 1'!$E$103,0)</f>
        <v>0</v>
      </c>
      <c r="L62" s="68">
        <f t="shared" si="1"/>
        <v>0</v>
      </c>
      <c r="N62" s="117"/>
      <c r="O62" s="117"/>
    </row>
    <row r="63" spans="1:15" x14ac:dyDescent="0.35">
      <c r="A63" s="24">
        <v>49</v>
      </c>
      <c r="B63" s="565"/>
      <c r="C63" s="565"/>
      <c r="D63" s="565"/>
      <c r="F63" s="114"/>
      <c r="G63" s="68">
        <f>IFERROR(F63*'As-Filed Schedule 1'!$E$103,0)</f>
        <v>0</v>
      </c>
      <c r="H63" s="68">
        <f t="shared" si="0"/>
        <v>0</v>
      </c>
      <c r="J63" s="114"/>
      <c r="K63" s="68">
        <f>IFERROR(J63*'As-Filed Schedule 1'!$E$103,0)</f>
        <v>0</v>
      </c>
      <c r="L63" s="68">
        <f t="shared" si="1"/>
        <v>0</v>
      </c>
      <c r="N63" s="117"/>
      <c r="O63" s="117"/>
    </row>
    <row r="64" spans="1:15" x14ac:dyDescent="0.35">
      <c r="A64" s="24">
        <v>50</v>
      </c>
      <c r="B64" s="565"/>
      <c r="C64" s="565"/>
      <c r="D64" s="565"/>
      <c r="F64" s="114"/>
      <c r="G64" s="68">
        <f>IFERROR(F64*'As-Filed Schedule 1'!$E$103,0)</f>
        <v>0</v>
      </c>
      <c r="H64" s="68">
        <f t="shared" si="0"/>
        <v>0</v>
      </c>
      <c r="J64" s="114"/>
      <c r="K64" s="68">
        <f>IFERROR(J64*'As-Filed Schedule 1'!$E$103,0)</f>
        <v>0</v>
      </c>
      <c r="L64" s="68">
        <f t="shared" si="1"/>
        <v>0</v>
      </c>
      <c r="N64" s="117"/>
      <c r="O64" s="117"/>
    </row>
    <row r="65" spans="1:15" x14ac:dyDescent="0.35">
      <c r="A65" s="24">
        <v>51</v>
      </c>
      <c r="B65" s="565"/>
      <c r="C65" s="565"/>
      <c r="D65" s="565"/>
      <c r="F65" s="114"/>
      <c r="G65" s="68">
        <f>IFERROR(F65*'As-Filed Schedule 1'!$E$103,0)</f>
        <v>0</v>
      </c>
      <c r="H65" s="68">
        <f t="shared" si="0"/>
        <v>0</v>
      </c>
      <c r="J65" s="114"/>
      <c r="K65" s="68">
        <f>IFERROR(J65*'As-Filed Schedule 1'!$E$103,0)</f>
        <v>0</v>
      </c>
      <c r="L65" s="68">
        <f>SUM(J65:K65)</f>
        <v>0</v>
      </c>
      <c r="N65" s="117"/>
      <c r="O65" s="117"/>
    </row>
    <row r="66" spans="1:15" x14ac:dyDescent="0.35">
      <c r="A66" s="24">
        <v>52</v>
      </c>
      <c r="B66" s="565"/>
      <c r="C66" s="565"/>
      <c r="D66" s="565"/>
      <c r="F66" s="114"/>
      <c r="G66" s="68">
        <f>IFERROR(F66*'As-Filed Schedule 1'!$E$103,0)</f>
        <v>0</v>
      </c>
      <c r="H66" s="68">
        <f t="shared" si="0"/>
        <v>0</v>
      </c>
      <c r="J66" s="114"/>
      <c r="K66" s="68">
        <f>IFERROR(J66*'As-Filed Schedule 1'!$E$103,0)</f>
        <v>0</v>
      </c>
      <c r="L66" s="68">
        <f t="shared" si="1"/>
        <v>0</v>
      </c>
      <c r="N66" s="117"/>
      <c r="O66" s="117"/>
    </row>
    <row r="67" spans="1:15" x14ac:dyDescent="0.35">
      <c r="A67" s="24">
        <v>53</v>
      </c>
      <c r="B67" s="565"/>
      <c r="C67" s="565"/>
      <c r="D67" s="565"/>
      <c r="F67" s="114"/>
      <c r="G67" s="68">
        <f>IFERROR(F67*'As-Filed Schedule 1'!$E$103,0)</f>
        <v>0</v>
      </c>
      <c r="H67" s="68">
        <f t="shared" si="0"/>
        <v>0</v>
      </c>
      <c r="J67" s="114"/>
      <c r="K67" s="68">
        <f>IFERROR(J67*'As-Filed Schedule 1'!$E$103,0)</f>
        <v>0</v>
      </c>
      <c r="L67" s="68">
        <f t="shared" si="1"/>
        <v>0</v>
      </c>
      <c r="N67" s="117"/>
      <c r="O67" s="117"/>
    </row>
    <row r="68" spans="1:15" x14ac:dyDescent="0.35">
      <c r="A68" s="24">
        <v>54</v>
      </c>
      <c r="B68" s="565"/>
      <c r="C68" s="565"/>
      <c r="D68" s="565"/>
      <c r="F68" s="114"/>
      <c r="G68" s="68">
        <f>IFERROR(F68*'As-Filed Schedule 1'!$E$103,0)</f>
        <v>0</v>
      </c>
      <c r="H68" s="68">
        <f t="shared" si="0"/>
        <v>0</v>
      </c>
      <c r="J68" s="114"/>
      <c r="K68" s="68">
        <f>IFERROR(J68*'As-Filed Schedule 1'!$E$103,0)</f>
        <v>0</v>
      </c>
      <c r="L68" s="68">
        <f t="shared" si="1"/>
        <v>0</v>
      </c>
      <c r="N68" s="117"/>
      <c r="O68" s="117"/>
    </row>
    <row r="69" spans="1:15" x14ac:dyDescent="0.35">
      <c r="A69" s="24">
        <v>55</v>
      </c>
      <c r="B69" s="565"/>
      <c r="C69" s="565"/>
      <c r="D69" s="565"/>
      <c r="F69" s="114"/>
      <c r="G69" s="68">
        <f>IFERROR(F69*'As-Filed Schedule 1'!$E$103,0)</f>
        <v>0</v>
      </c>
      <c r="H69" s="68">
        <f t="shared" si="0"/>
        <v>0</v>
      </c>
      <c r="J69" s="114"/>
      <c r="K69" s="68">
        <f>IFERROR(J69*'As-Filed Schedule 1'!$E$103,0)</f>
        <v>0</v>
      </c>
      <c r="L69" s="68">
        <f t="shared" si="1"/>
        <v>0</v>
      </c>
      <c r="N69" s="117"/>
      <c r="O69" s="117"/>
    </row>
    <row r="70" spans="1:15" x14ac:dyDescent="0.35">
      <c r="A70" s="24">
        <v>56</v>
      </c>
      <c r="B70" s="565"/>
      <c r="C70" s="565"/>
      <c r="D70" s="565"/>
      <c r="F70" s="114"/>
      <c r="G70" s="68">
        <f>IFERROR(F70*'As-Filed Schedule 1'!$E$103,0)</f>
        <v>0</v>
      </c>
      <c r="H70" s="68">
        <f t="shared" si="0"/>
        <v>0</v>
      </c>
      <c r="J70" s="114"/>
      <c r="K70" s="68">
        <f>IFERROR(J70*'As-Filed Schedule 1'!$E$103,0)</f>
        <v>0</v>
      </c>
      <c r="L70" s="68">
        <f t="shared" si="1"/>
        <v>0</v>
      </c>
      <c r="N70" s="117"/>
      <c r="O70" s="117"/>
    </row>
    <row r="71" spans="1:15" x14ac:dyDescent="0.35">
      <c r="A71" s="24">
        <v>57</v>
      </c>
      <c r="B71" s="565"/>
      <c r="C71" s="565"/>
      <c r="D71" s="565"/>
      <c r="F71" s="114"/>
      <c r="G71" s="68">
        <f>IFERROR(F71*'As-Filed Schedule 1'!$E$103,0)</f>
        <v>0</v>
      </c>
      <c r="H71" s="68">
        <f t="shared" si="0"/>
        <v>0</v>
      </c>
      <c r="J71" s="114"/>
      <c r="K71" s="68">
        <f>IFERROR(J71*'As-Filed Schedule 1'!$E$103,0)</f>
        <v>0</v>
      </c>
      <c r="L71" s="68">
        <f t="shared" si="1"/>
        <v>0</v>
      </c>
      <c r="N71" s="117"/>
      <c r="O71" s="117"/>
    </row>
    <row r="72" spans="1:15" x14ac:dyDescent="0.35">
      <c r="A72" s="24">
        <v>58</v>
      </c>
      <c r="B72" s="565"/>
      <c r="C72" s="565"/>
      <c r="D72" s="565"/>
      <c r="F72" s="114"/>
      <c r="G72" s="68">
        <f>IFERROR(F72*'As-Filed Schedule 1'!$E$103,0)</f>
        <v>0</v>
      </c>
      <c r="H72" s="68">
        <f t="shared" si="0"/>
        <v>0</v>
      </c>
      <c r="J72" s="114"/>
      <c r="K72" s="68">
        <f>IFERROR(J72*'As-Filed Schedule 1'!$E$103,0)</f>
        <v>0</v>
      </c>
      <c r="L72" s="68">
        <f t="shared" si="1"/>
        <v>0</v>
      </c>
      <c r="N72" s="117"/>
      <c r="O72" s="117"/>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835</v>
      </c>
      <c r="F75" s="75">
        <f>H73+L73</f>
        <v>0</v>
      </c>
      <c r="G75" s="74"/>
      <c r="H75" s="74"/>
      <c r="I75" s="74"/>
      <c r="J75" s="74"/>
      <c r="K75" s="74"/>
    </row>
  </sheetData>
  <sheetProtection sheet="1" objects="1" scenarios="1"/>
  <customSheetViews>
    <customSheetView guid="{17302493-42B1-4877-869E-E424A97AE78B}" state="hidden" topLeftCell="H1">
      <selection activeCell="F17" sqref="F17"/>
      <pageMargins left="0.7" right="0.7" top="0.75" bottom="0.75" header="0.3" footer="0.3"/>
    </customSheetView>
    <customSheetView guid="{5C0BA3A5-859C-46C2-B685-44D9A90065E4}" topLeftCell="H1">
      <selection activeCell="N15" sqref="N15:O1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tabColor rgb="FF9CC5CA"/>
  </sheetPr>
  <dimension ref="A1:O75"/>
  <sheetViews>
    <sheetView view="pageBreakPreview" topLeftCell="H1" zoomScale="60" zoomScaleNormal="100" workbookViewId="0">
      <selection activeCell="F17" sqref="F17"/>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777</v>
      </c>
    </row>
    <row r="2" spans="1:15" ht="21" x14ac:dyDescent="0.5">
      <c r="A2" s="2" t="s">
        <v>775</v>
      </c>
    </row>
    <row r="3" spans="1:15" ht="25" customHeight="1" x14ac:dyDescent="0.5">
      <c r="A3" s="5" t="s">
        <v>840</v>
      </c>
      <c r="B3" s="5"/>
      <c r="C3" s="5"/>
      <c r="D3" s="5"/>
      <c r="E3" s="5"/>
      <c r="F3" s="5"/>
      <c r="G3" s="5"/>
      <c r="H3" s="5"/>
    </row>
    <row r="4" spans="1:15" ht="21" x14ac:dyDescent="0.5">
      <c r="A4" s="234" t="s">
        <v>837</v>
      </c>
    </row>
    <row r="5" spans="1:15" x14ac:dyDescent="0.35">
      <c r="A5" s="1" t="s">
        <v>776</v>
      </c>
      <c r="C5" s="413" t="str">
        <f>'As-Filed Schedule 1'!C5</f>
        <v>WellPower</v>
      </c>
    </row>
    <row r="6" spans="1:15" x14ac:dyDescent="0.35">
      <c r="A6" s="1" t="s">
        <v>0</v>
      </c>
      <c r="C6" s="406">
        <f>'As-Filed Schedule 1'!C6</f>
        <v>45473</v>
      </c>
      <c r="F6" s="35"/>
    </row>
    <row r="8" spans="1:15" x14ac:dyDescent="0.35">
      <c r="A8" s="1" t="s">
        <v>253</v>
      </c>
      <c r="B8" s="1" t="s">
        <v>838</v>
      </c>
      <c r="C8" s="1"/>
      <c r="K8" s="116" t="s">
        <v>177</v>
      </c>
      <c r="L8" s="41" t="s">
        <v>259</v>
      </c>
    </row>
    <row r="10" spans="1:15" x14ac:dyDescent="0.35">
      <c r="A10" s="1" t="s">
        <v>254</v>
      </c>
      <c r="B10" s="1" t="s">
        <v>256</v>
      </c>
      <c r="C10" s="1"/>
    </row>
    <row r="12" spans="1:15" x14ac:dyDescent="0.35">
      <c r="B12" s="560">
        <v>1</v>
      </c>
      <c r="C12" s="560"/>
      <c r="D12" s="560"/>
      <c r="F12" s="23">
        <v>2</v>
      </c>
      <c r="G12" s="23">
        <v>3</v>
      </c>
      <c r="H12" s="23">
        <v>4</v>
      </c>
      <c r="J12" s="23">
        <v>5</v>
      </c>
      <c r="K12" s="23">
        <v>6</v>
      </c>
      <c r="L12" s="23">
        <v>7</v>
      </c>
      <c r="N12" s="23">
        <v>8</v>
      </c>
      <c r="O12" s="23">
        <v>9</v>
      </c>
    </row>
    <row r="13" spans="1:15" x14ac:dyDescent="0.35">
      <c r="B13" s="561" t="s">
        <v>255</v>
      </c>
      <c r="C13" s="561"/>
      <c r="D13" s="561"/>
      <c r="F13" s="563" t="s">
        <v>261</v>
      </c>
      <c r="G13" s="568"/>
      <c r="H13" s="564"/>
      <c r="J13" s="563" t="s">
        <v>262</v>
      </c>
      <c r="K13" s="568"/>
      <c r="L13" s="564"/>
      <c r="N13" s="562" t="s">
        <v>250</v>
      </c>
      <c r="O13" s="562" t="s">
        <v>312</v>
      </c>
    </row>
    <row r="14" spans="1:15" ht="55.5" customHeight="1" x14ac:dyDescent="0.35">
      <c r="B14" s="561"/>
      <c r="C14" s="561"/>
      <c r="D14" s="561"/>
      <c r="E14" s="48"/>
      <c r="F14" s="10" t="s">
        <v>214</v>
      </c>
      <c r="G14" s="142" t="s">
        <v>493</v>
      </c>
      <c r="H14" s="142" t="s">
        <v>215</v>
      </c>
      <c r="I14" s="99"/>
      <c r="J14" s="142" t="s">
        <v>214</v>
      </c>
      <c r="K14" s="142" t="s">
        <v>493</v>
      </c>
      <c r="L14" s="10" t="s">
        <v>215</v>
      </c>
      <c r="M14" s="48"/>
      <c r="N14" s="562"/>
      <c r="O14" s="562"/>
    </row>
    <row r="15" spans="1:15" x14ac:dyDescent="0.35">
      <c r="A15" s="24">
        <v>1</v>
      </c>
      <c r="B15" s="565"/>
      <c r="C15" s="565"/>
      <c r="D15" s="565"/>
      <c r="F15" s="114"/>
      <c r="G15" s="68">
        <f>IFERROR(F15*'As-Filed Schedule 1'!$E$103,0)</f>
        <v>0</v>
      </c>
      <c r="H15" s="68">
        <f>SUM(F15:G15)</f>
        <v>0</v>
      </c>
      <c r="J15" s="114"/>
      <c r="K15" s="68">
        <f>IFERROR(J15*'As-Filed Schedule 1'!$E$103,0)</f>
        <v>0</v>
      </c>
      <c r="L15" s="68">
        <f>SUM(J15:K15)</f>
        <v>0</v>
      </c>
      <c r="N15" s="117"/>
      <c r="O15" s="117"/>
    </row>
    <row r="16" spans="1:15" x14ac:dyDescent="0.35">
      <c r="A16" s="24">
        <v>2</v>
      </c>
      <c r="B16" s="565"/>
      <c r="C16" s="565"/>
      <c r="D16" s="565"/>
      <c r="F16" s="114"/>
      <c r="G16" s="68">
        <f>IFERROR(F16*'As-Filed Schedule 1'!$E$103,0)</f>
        <v>0</v>
      </c>
      <c r="H16" s="68">
        <f t="shared" ref="H16:H72" si="0">SUM(F16:G16)</f>
        <v>0</v>
      </c>
      <c r="J16" s="114"/>
      <c r="K16" s="68">
        <f>IFERROR(J16*'As-Filed Schedule 1'!$E$103,0)</f>
        <v>0</v>
      </c>
      <c r="L16" s="68">
        <f t="shared" ref="L16:L72" si="1">SUM(J16:K16)</f>
        <v>0</v>
      </c>
      <c r="N16" s="117"/>
      <c r="O16" s="117"/>
    </row>
    <row r="17" spans="1:15" x14ac:dyDescent="0.35">
      <c r="A17" s="24">
        <v>3</v>
      </c>
      <c r="B17" s="565"/>
      <c r="C17" s="565"/>
      <c r="D17" s="565"/>
      <c r="F17" s="114"/>
      <c r="G17" s="68">
        <f>IFERROR(F17*'As-Filed Schedule 1'!$E$103,0)</f>
        <v>0</v>
      </c>
      <c r="H17" s="68">
        <f t="shared" si="0"/>
        <v>0</v>
      </c>
      <c r="J17" s="114"/>
      <c r="K17" s="68">
        <f>IFERROR(J17*'As-Filed Schedule 1'!$E$103,0)</f>
        <v>0</v>
      </c>
      <c r="L17" s="68">
        <f t="shared" si="1"/>
        <v>0</v>
      </c>
      <c r="N17" s="117"/>
      <c r="O17" s="117"/>
    </row>
    <row r="18" spans="1:15" x14ac:dyDescent="0.35">
      <c r="A18" s="24">
        <v>4</v>
      </c>
      <c r="B18" s="565"/>
      <c r="C18" s="565"/>
      <c r="D18" s="565"/>
      <c r="F18" s="114"/>
      <c r="G18" s="68">
        <f>IFERROR(F18*'As-Filed Schedule 1'!$E$103,0)</f>
        <v>0</v>
      </c>
      <c r="H18" s="68">
        <f t="shared" si="0"/>
        <v>0</v>
      </c>
      <c r="J18" s="114"/>
      <c r="K18" s="68">
        <f>IFERROR(J18*'As-Filed Schedule 1'!$E$103,0)</f>
        <v>0</v>
      </c>
      <c r="L18" s="68">
        <f t="shared" si="1"/>
        <v>0</v>
      </c>
      <c r="N18" s="117"/>
      <c r="O18" s="117"/>
    </row>
    <row r="19" spans="1:15" x14ac:dyDescent="0.35">
      <c r="A19" s="24">
        <v>5</v>
      </c>
      <c r="B19" s="565"/>
      <c r="C19" s="565"/>
      <c r="D19" s="565"/>
      <c r="F19" s="114"/>
      <c r="G19" s="68">
        <f>IFERROR(F19*'As-Filed Schedule 1'!$E$103,0)</f>
        <v>0</v>
      </c>
      <c r="H19" s="68">
        <f t="shared" si="0"/>
        <v>0</v>
      </c>
      <c r="J19" s="114"/>
      <c r="K19" s="68">
        <f>IFERROR(J19*'As-Filed Schedule 1'!$E$103,0)</f>
        <v>0</v>
      </c>
      <c r="L19" s="68">
        <f t="shared" si="1"/>
        <v>0</v>
      </c>
      <c r="N19" s="117"/>
      <c r="O19" s="117"/>
    </row>
    <row r="20" spans="1:15" x14ac:dyDescent="0.35">
      <c r="A20" s="24">
        <v>6</v>
      </c>
      <c r="B20" s="565"/>
      <c r="C20" s="565"/>
      <c r="D20" s="565"/>
      <c r="F20" s="114"/>
      <c r="G20" s="68">
        <f>IFERROR(F20*'As-Filed Schedule 1'!$E$103,0)</f>
        <v>0</v>
      </c>
      <c r="H20" s="68">
        <f t="shared" si="0"/>
        <v>0</v>
      </c>
      <c r="J20" s="114"/>
      <c r="K20" s="68">
        <f>IFERROR(J20*'As-Filed Schedule 1'!$E$103,0)</f>
        <v>0</v>
      </c>
      <c r="L20" s="68">
        <f t="shared" si="1"/>
        <v>0</v>
      </c>
      <c r="N20" s="117"/>
      <c r="O20" s="117"/>
    </row>
    <row r="21" spans="1:15" x14ac:dyDescent="0.35">
      <c r="A21" s="24">
        <v>7</v>
      </c>
      <c r="B21" s="565"/>
      <c r="C21" s="565"/>
      <c r="D21" s="565"/>
      <c r="F21" s="114"/>
      <c r="G21" s="68">
        <f>IFERROR(F21*'As-Filed Schedule 1'!$E$103,0)</f>
        <v>0</v>
      </c>
      <c r="H21" s="68">
        <f t="shared" si="0"/>
        <v>0</v>
      </c>
      <c r="J21" s="114"/>
      <c r="K21" s="68">
        <f>IFERROR(J21*'As-Filed Schedule 1'!$E$103,0)</f>
        <v>0</v>
      </c>
      <c r="L21" s="68">
        <f t="shared" si="1"/>
        <v>0</v>
      </c>
      <c r="N21" s="117"/>
      <c r="O21" s="117"/>
    </row>
    <row r="22" spans="1:15" x14ac:dyDescent="0.35">
      <c r="A22" s="24">
        <v>8</v>
      </c>
      <c r="B22" s="565"/>
      <c r="C22" s="565"/>
      <c r="D22" s="565"/>
      <c r="F22" s="114"/>
      <c r="G22" s="68">
        <f>IFERROR(F22*'As-Filed Schedule 1'!$E$103,0)</f>
        <v>0</v>
      </c>
      <c r="H22" s="68">
        <f t="shared" si="0"/>
        <v>0</v>
      </c>
      <c r="J22" s="114"/>
      <c r="K22" s="68">
        <f>IFERROR(J22*'As-Filed Schedule 1'!$E$103,0)</f>
        <v>0</v>
      </c>
      <c r="L22" s="68">
        <f t="shared" si="1"/>
        <v>0</v>
      </c>
      <c r="N22" s="117"/>
      <c r="O22" s="117"/>
    </row>
    <row r="23" spans="1:15" x14ac:dyDescent="0.35">
      <c r="A23" s="24">
        <v>9</v>
      </c>
      <c r="B23" s="565"/>
      <c r="C23" s="565"/>
      <c r="D23" s="565"/>
      <c r="F23" s="114"/>
      <c r="G23" s="68">
        <f>IFERROR(F23*'As-Filed Schedule 1'!$E$103,0)</f>
        <v>0</v>
      </c>
      <c r="H23" s="68">
        <f t="shared" si="0"/>
        <v>0</v>
      </c>
      <c r="J23" s="114"/>
      <c r="K23" s="68">
        <f>IFERROR(J23*'As-Filed Schedule 1'!$E$103,0)</f>
        <v>0</v>
      </c>
      <c r="L23" s="68">
        <f t="shared" si="1"/>
        <v>0</v>
      </c>
      <c r="N23" s="117"/>
      <c r="O23" s="117"/>
    </row>
    <row r="24" spans="1:15" x14ac:dyDescent="0.35">
      <c r="A24" s="24">
        <v>10</v>
      </c>
      <c r="B24" s="565"/>
      <c r="C24" s="565"/>
      <c r="D24" s="565"/>
      <c r="F24" s="114"/>
      <c r="G24" s="68">
        <f>IFERROR(F24*'As-Filed Schedule 1'!$E$103,0)</f>
        <v>0</v>
      </c>
      <c r="H24" s="68">
        <f t="shared" si="0"/>
        <v>0</v>
      </c>
      <c r="J24" s="114"/>
      <c r="K24" s="68">
        <f>IFERROR(J24*'As-Filed Schedule 1'!$E$103,0)</f>
        <v>0</v>
      </c>
      <c r="L24" s="68">
        <f t="shared" si="1"/>
        <v>0</v>
      </c>
      <c r="N24" s="117"/>
      <c r="O24" s="117"/>
    </row>
    <row r="25" spans="1:15" x14ac:dyDescent="0.35">
      <c r="A25" s="24">
        <v>11</v>
      </c>
      <c r="B25" s="565"/>
      <c r="C25" s="565"/>
      <c r="D25" s="565"/>
      <c r="F25" s="114"/>
      <c r="G25" s="68">
        <f>IFERROR(F25*'As-Filed Schedule 1'!$E$103,0)</f>
        <v>0</v>
      </c>
      <c r="H25" s="68">
        <f t="shared" si="0"/>
        <v>0</v>
      </c>
      <c r="J25" s="114"/>
      <c r="K25" s="68">
        <f>IFERROR(J25*'As-Filed Schedule 1'!$E$103,0)</f>
        <v>0</v>
      </c>
      <c r="L25" s="68">
        <f t="shared" si="1"/>
        <v>0</v>
      </c>
      <c r="N25" s="117"/>
      <c r="O25" s="117"/>
    </row>
    <row r="26" spans="1:15" x14ac:dyDescent="0.35">
      <c r="A26" s="24">
        <v>12</v>
      </c>
      <c r="B26" s="565"/>
      <c r="C26" s="565"/>
      <c r="D26" s="565"/>
      <c r="F26" s="114"/>
      <c r="G26" s="68">
        <f>IFERROR(F26*'As-Filed Schedule 1'!$E$103,0)</f>
        <v>0</v>
      </c>
      <c r="H26" s="68">
        <f t="shared" si="0"/>
        <v>0</v>
      </c>
      <c r="J26" s="114"/>
      <c r="K26" s="68">
        <f>IFERROR(J26*'As-Filed Schedule 1'!$E$103,0)</f>
        <v>0</v>
      </c>
      <c r="L26" s="68">
        <f t="shared" si="1"/>
        <v>0</v>
      </c>
      <c r="N26" s="117"/>
      <c r="O26" s="117"/>
    </row>
    <row r="27" spans="1:15" x14ac:dyDescent="0.35">
      <c r="A27" s="24">
        <v>13</v>
      </c>
      <c r="B27" s="565"/>
      <c r="C27" s="565"/>
      <c r="D27" s="565"/>
      <c r="F27" s="114"/>
      <c r="G27" s="68">
        <f>IFERROR(F27*'As-Filed Schedule 1'!$E$103,0)</f>
        <v>0</v>
      </c>
      <c r="H27" s="68">
        <f t="shared" si="0"/>
        <v>0</v>
      </c>
      <c r="J27" s="114"/>
      <c r="K27" s="68">
        <f>IFERROR(J27*'As-Filed Schedule 1'!$E$103,0)</f>
        <v>0</v>
      </c>
      <c r="L27" s="68">
        <f t="shared" si="1"/>
        <v>0</v>
      </c>
      <c r="N27" s="117"/>
      <c r="O27" s="117"/>
    </row>
    <row r="28" spans="1:15" x14ac:dyDescent="0.35">
      <c r="A28" s="24">
        <v>14</v>
      </c>
      <c r="B28" s="565"/>
      <c r="C28" s="565"/>
      <c r="D28" s="565"/>
      <c r="F28" s="114"/>
      <c r="G28" s="68">
        <f>IFERROR(F28*'As-Filed Schedule 1'!$E$103,0)</f>
        <v>0</v>
      </c>
      <c r="H28" s="68">
        <f t="shared" si="0"/>
        <v>0</v>
      </c>
      <c r="J28" s="114"/>
      <c r="K28" s="68">
        <f>IFERROR(J28*'As-Filed Schedule 1'!$E$103,0)</f>
        <v>0</v>
      </c>
      <c r="L28" s="68">
        <f t="shared" si="1"/>
        <v>0</v>
      </c>
      <c r="N28" s="117"/>
      <c r="O28" s="117"/>
    </row>
    <row r="29" spans="1:15" x14ac:dyDescent="0.35">
      <c r="A29" s="24">
        <v>15</v>
      </c>
      <c r="B29" s="565"/>
      <c r="C29" s="565"/>
      <c r="D29" s="565"/>
      <c r="F29" s="114"/>
      <c r="G29" s="68">
        <f>IFERROR(F29*'As-Filed Schedule 1'!$E$103,0)</f>
        <v>0</v>
      </c>
      <c r="H29" s="68">
        <f t="shared" si="0"/>
        <v>0</v>
      </c>
      <c r="J29" s="114"/>
      <c r="K29" s="68">
        <f>IFERROR(J29*'As-Filed Schedule 1'!$E$103,0)</f>
        <v>0</v>
      </c>
      <c r="L29" s="68">
        <f t="shared" si="1"/>
        <v>0</v>
      </c>
      <c r="N29" s="117"/>
      <c r="O29" s="117"/>
    </row>
    <row r="30" spans="1:15" x14ac:dyDescent="0.35">
      <c r="A30" s="24">
        <v>16</v>
      </c>
      <c r="B30" s="565"/>
      <c r="C30" s="565"/>
      <c r="D30" s="565"/>
      <c r="F30" s="114"/>
      <c r="G30" s="68">
        <f>IFERROR(F30*'As-Filed Schedule 1'!$E$103,0)</f>
        <v>0</v>
      </c>
      <c r="H30" s="68">
        <f t="shared" si="0"/>
        <v>0</v>
      </c>
      <c r="J30" s="114"/>
      <c r="K30" s="68">
        <f>IFERROR(J30*'As-Filed Schedule 1'!$E$103,0)</f>
        <v>0</v>
      </c>
      <c r="L30" s="68">
        <f t="shared" si="1"/>
        <v>0</v>
      </c>
      <c r="N30" s="117"/>
      <c r="O30" s="117"/>
    </row>
    <row r="31" spans="1:15" x14ac:dyDescent="0.35">
      <c r="A31" s="24">
        <v>17</v>
      </c>
      <c r="B31" s="565"/>
      <c r="C31" s="565"/>
      <c r="D31" s="565"/>
      <c r="F31" s="114"/>
      <c r="G31" s="68">
        <f>IFERROR(F31*'As-Filed Schedule 1'!$E$103,0)</f>
        <v>0</v>
      </c>
      <c r="H31" s="68">
        <f t="shared" si="0"/>
        <v>0</v>
      </c>
      <c r="J31" s="114"/>
      <c r="K31" s="68">
        <f>IFERROR(J31*'As-Filed Schedule 1'!$E$103,0)</f>
        <v>0</v>
      </c>
      <c r="L31" s="68">
        <f t="shared" si="1"/>
        <v>0</v>
      </c>
      <c r="N31" s="117"/>
      <c r="O31" s="117"/>
    </row>
    <row r="32" spans="1:15" x14ac:dyDescent="0.35">
      <c r="A32" s="24">
        <v>18</v>
      </c>
      <c r="B32" s="565"/>
      <c r="C32" s="565"/>
      <c r="D32" s="565"/>
      <c r="F32" s="114"/>
      <c r="G32" s="68">
        <f>IFERROR(F32*'As-Filed Schedule 1'!$E$103,0)</f>
        <v>0</v>
      </c>
      <c r="H32" s="68">
        <f t="shared" si="0"/>
        <v>0</v>
      </c>
      <c r="J32" s="114"/>
      <c r="K32" s="68">
        <f>IFERROR(J32*'As-Filed Schedule 1'!$E$103,0)</f>
        <v>0</v>
      </c>
      <c r="L32" s="68">
        <f t="shared" si="1"/>
        <v>0</v>
      </c>
      <c r="N32" s="117"/>
      <c r="O32" s="117"/>
    </row>
    <row r="33" spans="1:15" x14ac:dyDescent="0.35">
      <c r="A33" s="24">
        <v>19</v>
      </c>
      <c r="B33" s="565"/>
      <c r="C33" s="565"/>
      <c r="D33" s="565"/>
      <c r="F33" s="114"/>
      <c r="G33" s="68">
        <f>IFERROR(F33*'As-Filed Schedule 1'!$E$103,0)</f>
        <v>0</v>
      </c>
      <c r="H33" s="68">
        <f t="shared" si="0"/>
        <v>0</v>
      </c>
      <c r="J33" s="114"/>
      <c r="K33" s="68">
        <f>IFERROR(J33*'As-Filed Schedule 1'!$E$103,0)</f>
        <v>0</v>
      </c>
      <c r="L33" s="68">
        <f t="shared" si="1"/>
        <v>0</v>
      </c>
      <c r="N33" s="117"/>
      <c r="O33" s="117"/>
    </row>
    <row r="34" spans="1:15" x14ac:dyDescent="0.35">
      <c r="A34" s="24">
        <v>20</v>
      </c>
      <c r="B34" s="565"/>
      <c r="C34" s="565"/>
      <c r="D34" s="565"/>
      <c r="F34" s="114"/>
      <c r="G34" s="68">
        <f>IFERROR(F34*'As-Filed Schedule 1'!$E$103,0)</f>
        <v>0</v>
      </c>
      <c r="H34" s="68">
        <f t="shared" si="0"/>
        <v>0</v>
      </c>
      <c r="J34" s="114"/>
      <c r="K34" s="68">
        <f>IFERROR(J34*'As-Filed Schedule 1'!$E$103,0)</f>
        <v>0</v>
      </c>
      <c r="L34" s="68">
        <f t="shared" si="1"/>
        <v>0</v>
      </c>
      <c r="N34" s="117"/>
      <c r="O34" s="117"/>
    </row>
    <row r="35" spans="1:15" x14ac:dyDescent="0.35">
      <c r="A35" s="24">
        <v>21</v>
      </c>
      <c r="B35" s="565"/>
      <c r="C35" s="565"/>
      <c r="D35" s="565"/>
      <c r="F35" s="114"/>
      <c r="G35" s="68">
        <f>IFERROR(F35*'As-Filed Schedule 1'!$E$103,0)</f>
        <v>0</v>
      </c>
      <c r="H35" s="68">
        <f t="shared" si="0"/>
        <v>0</v>
      </c>
      <c r="J35" s="114"/>
      <c r="K35" s="68">
        <f>IFERROR(J35*'As-Filed Schedule 1'!$E$103,0)</f>
        <v>0</v>
      </c>
      <c r="L35" s="68">
        <f t="shared" si="1"/>
        <v>0</v>
      </c>
      <c r="N35" s="117"/>
      <c r="O35" s="117"/>
    </row>
    <row r="36" spans="1:15" x14ac:dyDescent="0.35">
      <c r="A36" s="24">
        <v>22</v>
      </c>
      <c r="B36" s="565"/>
      <c r="C36" s="565"/>
      <c r="D36" s="565"/>
      <c r="F36" s="114"/>
      <c r="G36" s="68">
        <f>IFERROR(F36*'As-Filed Schedule 1'!$E$103,0)</f>
        <v>0</v>
      </c>
      <c r="H36" s="68">
        <f t="shared" si="0"/>
        <v>0</v>
      </c>
      <c r="J36" s="114"/>
      <c r="K36" s="68">
        <f>IFERROR(J36*'As-Filed Schedule 1'!$E$103,0)</f>
        <v>0</v>
      </c>
      <c r="L36" s="68">
        <f t="shared" si="1"/>
        <v>0</v>
      </c>
      <c r="N36" s="117"/>
      <c r="O36" s="117"/>
    </row>
    <row r="37" spans="1:15" x14ac:dyDescent="0.35">
      <c r="A37" s="24">
        <v>23</v>
      </c>
      <c r="B37" s="565"/>
      <c r="C37" s="565"/>
      <c r="D37" s="565"/>
      <c r="F37" s="114"/>
      <c r="G37" s="68">
        <f>IFERROR(F37*'As-Filed Schedule 1'!$E$103,0)</f>
        <v>0</v>
      </c>
      <c r="H37" s="68">
        <f t="shared" si="0"/>
        <v>0</v>
      </c>
      <c r="J37" s="114"/>
      <c r="K37" s="68">
        <f>IFERROR(J37*'As-Filed Schedule 1'!$E$103,0)</f>
        <v>0</v>
      </c>
      <c r="L37" s="68">
        <f t="shared" si="1"/>
        <v>0</v>
      </c>
      <c r="N37" s="117"/>
      <c r="O37" s="117"/>
    </row>
    <row r="38" spans="1:15" x14ac:dyDescent="0.35">
      <c r="A38" s="24">
        <v>24</v>
      </c>
      <c r="B38" s="565"/>
      <c r="C38" s="565"/>
      <c r="D38" s="565"/>
      <c r="F38" s="114"/>
      <c r="G38" s="68">
        <f>IFERROR(F38*'As-Filed Schedule 1'!$E$103,0)</f>
        <v>0</v>
      </c>
      <c r="H38" s="68">
        <f t="shared" si="0"/>
        <v>0</v>
      </c>
      <c r="J38" s="114"/>
      <c r="K38" s="68">
        <f>IFERROR(J38*'As-Filed Schedule 1'!$E$103,0)</f>
        <v>0</v>
      </c>
      <c r="L38" s="68">
        <f t="shared" si="1"/>
        <v>0</v>
      </c>
      <c r="N38" s="117"/>
      <c r="O38" s="117"/>
    </row>
    <row r="39" spans="1:15" x14ac:dyDescent="0.35">
      <c r="A39" s="24">
        <v>25</v>
      </c>
      <c r="B39" s="565"/>
      <c r="C39" s="565"/>
      <c r="D39" s="565"/>
      <c r="F39" s="114"/>
      <c r="G39" s="68">
        <f>IFERROR(F39*'As-Filed Schedule 1'!$E$103,0)</f>
        <v>0</v>
      </c>
      <c r="H39" s="68">
        <f t="shared" si="0"/>
        <v>0</v>
      </c>
      <c r="J39" s="114"/>
      <c r="K39" s="68">
        <f>IFERROR(J39*'As-Filed Schedule 1'!$E$103,0)</f>
        <v>0</v>
      </c>
      <c r="L39" s="68">
        <f t="shared" si="1"/>
        <v>0</v>
      </c>
      <c r="N39" s="117"/>
      <c r="O39" s="117"/>
    </row>
    <row r="40" spans="1:15" x14ac:dyDescent="0.35">
      <c r="A40" s="24">
        <v>26</v>
      </c>
      <c r="B40" s="565"/>
      <c r="C40" s="565"/>
      <c r="D40" s="565"/>
      <c r="F40" s="114"/>
      <c r="G40" s="68">
        <f>IFERROR(F40*'As-Filed Schedule 1'!$E$103,0)</f>
        <v>0</v>
      </c>
      <c r="H40" s="68">
        <f t="shared" si="0"/>
        <v>0</v>
      </c>
      <c r="J40" s="114"/>
      <c r="K40" s="68">
        <f>IFERROR(J40*'As-Filed Schedule 1'!$E$103,0)</f>
        <v>0</v>
      </c>
      <c r="L40" s="68">
        <f t="shared" si="1"/>
        <v>0</v>
      </c>
      <c r="N40" s="117"/>
      <c r="O40" s="117"/>
    </row>
    <row r="41" spans="1:15" x14ac:dyDescent="0.35">
      <c r="A41" s="24">
        <v>27</v>
      </c>
      <c r="B41" s="565"/>
      <c r="C41" s="565"/>
      <c r="D41" s="565"/>
      <c r="F41" s="114"/>
      <c r="G41" s="68">
        <f>IFERROR(F41*'As-Filed Schedule 1'!$E$103,0)</f>
        <v>0</v>
      </c>
      <c r="H41" s="68">
        <f t="shared" si="0"/>
        <v>0</v>
      </c>
      <c r="J41" s="114"/>
      <c r="K41" s="68">
        <f>IFERROR(J41*'As-Filed Schedule 1'!$E$103,0)</f>
        <v>0</v>
      </c>
      <c r="L41" s="68">
        <f t="shared" si="1"/>
        <v>0</v>
      </c>
      <c r="N41" s="117"/>
      <c r="O41" s="117"/>
    </row>
    <row r="42" spans="1:15" x14ac:dyDescent="0.35">
      <c r="A42" s="24">
        <v>28</v>
      </c>
      <c r="B42" s="565"/>
      <c r="C42" s="565"/>
      <c r="D42" s="565"/>
      <c r="F42" s="114"/>
      <c r="G42" s="68">
        <f>IFERROR(F42*'As-Filed Schedule 1'!$E$103,0)</f>
        <v>0</v>
      </c>
      <c r="H42" s="68">
        <f t="shared" si="0"/>
        <v>0</v>
      </c>
      <c r="J42" s="114"/>
      <c r="K42" s="68">
        <f>IFERROR(J42*'As-Filed Schedule 1'!$E$103,0)</f>
        <v>0</v>
      </c>
      <c r="L42" s="68">
        <f t="shared" si="1"/>
        <v>0</v>
      </c>
      <c r="N42" s="117"/>
      <c r="O42" s="117"/>
    </row>
    <row r="43" spans="1:15" x14ac:dyDescent="0.35">
      <c r="A43" s="24">
        <v>29</v>
      </c>
      <c r="B43" s="565"/>
      <c r="C43" s="565"/>
      <c r="D43" s="565"/>
      <c r="F43" s="114"/>
      <c r="G43" s="68">
        <f>IFERROR(F43*'As-Filed Schedule 1'!$E$103,0)</f>
        <v>0</v>
      </c>
      <c r="H43" s="68">
        <f t="shared" si="0"/>
        <v>0</v>
      </c>
      <c r="J43" s="114"/>
      <c r="K43" s="68">
        <f>IFERROR(J43*'As-Filed Schedule 1'!$E$103,0)</f>
        <v>0</v>
      </c>
      <c r="L43" s="68">
        <f t="shared" si="1"/>
        <v>0</v>
      </c>
      <c r="N43" s="117"/>
      <c r="O43" s="117"/>
    </row>
    <row r="44" spans="1:15" x14ac:dyDescent="0.35">
      <c r="A44" s="24">
        <v>30</v>
      </c>
      <c r="B44" s="565"/>
      <c r="C44" s="565"/>
      <c r="D44" s="565"/>
      <c r="F44" s="114"/>
      <c r="G44" s="68">
        <f>IFERROR(F44*'As-Filed Schedule 1'!$E$103,0)</f>
        <v>0</v>
      </c>
      <c r="H44" s="68">
        <f t="shared" si="0"/>
        <v>0</v>
      </c>
      <c r="J44" s="114"/>
      <c r="K44" s="68">
        <f>IFERROR(J44*'As-Filed Schedule 1'!$E$103,0)</f>
        <v>0</v>
      </c>
      <c r="L44" s="68">
        <f t="shared" si="1"/>
        <v>0</v>
      </c>
      <c r="N44" s="117"/>
      <c r="O44" s="117"/>
    </row>
    <row r="45" spans="1:15" x14ac:dyDescent="0.35">
      <c r="A45" s="24">
        <v>31</v>
      </c>
      <c r="B45" s="565"/>
      <c r="C45" s="565"/>
      <c r="D45" s="565"/>
      <c r="F45" s="114"/>
      <c r="G45" s="68">
        <f>IFERROR(F45*'As-Filed Schedule 1'!$E$103,0)</f>
        <v>0</v>
      </c>
      <c r="H45" s="68">
        <f t="shared" si="0"/>
        <v>0</v>
      </c>
      <c r="J45" s="114"/>
      <c r="K45" s="68">
        <f>IFERROR(J45*'As-Filed Schedule 1'!$E$103,0)</f>
        <v>0</v>
      </c>
      <c r="L45" s="68">
        <f t="shared" si="1"/>
        <v>0</v>
      </c>
      <c r="N45" s="117"/>
      <c r="O45" s="117"/>
    </row>
    <row r="46" spans="1:15" x14ac:dyDescent="0.35">
      <c r="A46" s="24">
        <v>32</v>
      </c>
      <c r="B46" s="565"/>
      <c r="C46" s="565"/>
      <c r="D46" s="565"/>
      <c r="F46" s="114"/>
      <c r="G46" s="68">
        <f>IFERROR(F46*'As-Filed Schedule 1'!$E$103,0)</f>
        <v>0</v>
      </c>
      <c r="H46" s="68">
        <f t="shared" si="0"/>
        <v>0</v>
      </c>
      <c r="J46" s="114"/>
      <c r="K46" s="68">
        <f>IFERROR(J46*'As-Filed Schedule 1'!$E$103,0)</f>
        <v>0</v>
      </c>
      <c r="L46" s="68">
        <f t="shared" si="1"/>
        <v>0</v>
      </c>
      <c r="N46" s="117"/>
      <c r="O46" s="117"/>
    </row>
    <row r="47" spans="1:15" x14ac:dyDescent="0.35">
      <c r="A47" s="24">
        <v>33</v>
      </c>
      <c r="B47" s="565"/>
      <c r="C47" s="565"/>
      <c r="D47" s="565"/>
      <c r="F47" s="114"/>
      <c r="G47" s="68">
        <f>IFERROR(F47*'As-Filed Schedule 1'!$E$103,0)</f>
        <v>0</v>
      </c>
      <c r="H47" s="68">
        <f t="shared" si="0"/>
        <v>0</v>
      </c>
      <c r="J47" s="114"/>
      <c r="K47" s="68">
        <f>IFERROR(J47*'As-Filed Schedule 1'!$E$103,0)</f>
        <v>0</v>
      </c>
      <c r="L47" s="68">
        <f t="shared" si="1"/>
        <v>0</v>
      </c>
      <c r="N47" s="117"/>
      <c r="O47" s="117"/>
    </row>
    <row r="48" spans="1:15" x14ac:dyDescent="0.35">
      <c r="A48" s="24">
        <v>34</v>
      </c>
      <c r="B48" s="565"/>
      <c r="C48" s="565"/>
      <c r="D48" s="565"/>
      <c r="F48" s="114"/>
      <c r="G48" s="68">
        <f>IFERROR(F48*'As-Filed Schedule 1'!$E$103,0)</f>
        <v>0</v>
      </c>
      <c r="H48" s="68">
        <f t="shared" si="0"/>
        <v>0</v>
      </c>
      <c r="J48" s="114"/>
      <c r="K48" s="68">
        <f>IFERROR(J48*'As-Filed Schedule 1'!$E$103,0)</f>
        <v>0</v>
      </c>
      <c r="L48" s="68">
        <f t="shared" si="1"/>
        <v>0</v>
      </c>
      <c r="N48" s="117"/>
      <c r="O48" s="117"/>
    </row>
    <row r="49" spans="1:15" x14ac:dyDescent="0.35">
      <c r="A49" s="24">
        <v>35</v>
      </c>
      <c r="B49" s="565"/>
      <c r="C49" s="565"/>
      <c r="D49" s="565"/>
      <c r="F49" s="114"/>
      <c r="G49" s="68">
        <f>IFERROR(F49*'As-Filed Schedule 1'!$E$103,0)</f>
        <v>0</v>
      </c>
      <c r="H49" s="68">
        <f t="shared" si="0"/>
        <v>0</v>
      </c>
      <c r="J49" s="114"/>
      <c r="K49" s="68">
        <f>IFERROR(J49*'As-Filed Schedule 1'!$E$103,0)</f>
        <v>0</v>
      </c>
      <c r="L49" s="68">
        <f t="shared" si="1"/>
        <v>0</v>
      </c>
      <c r="N49" s="117"/>
      <c r="O49" s="117"/>
    </row>
    <row r="50" spans="1:15" x14ac:dyDescent="0.35">
      <c r="A50" s="24">
        <v>36</v>
      </c>
      <c r="B50" s="565"/>
      <c r="C50" s="565"/>
      <c r="D50" s="565"/>
      <c r="F50" s="114"/>
      <c r="G50" s="68">
        <f>IFERROR(F50*'As-Filed Schedule 1'!$E$103,0)</f>
        <v>0</v>
      </c>
      <c r="H50" s="68">
        <f t="shared" si="0"/>
        <v>0</v>
      </c>
      <c r="J50" s="114"/>
      <c r="K50" s="68">
        <f>IFERROR(J50*'As-Filed Schedule 1'!$E$103,0)</f>
        <v>0</v>
      </c>
      <c r="L50" s="68">
        <f t="shared" si="1"/>
        <v>0</v>
      </c>
      <c r="N50" s="117"/>
      <c r="O50" s="117"/>
    </row>
    <row r="51" spans="1:15" x14ac:dyDescent="0.35">
      <c r="A51" s="24">
        <v>37</v>
      </c>
      <c r="B51" s="565"/>
      <c r="C51" s="565"/>
      <c r="D51" s="565"/>
      <c r="F51" s="114"/>
      <c r="G51" s="68">
        <f>IFERROR(F51*'As-Filed Schedule 1'!$E$103,0)</f>
        <v>0</v>
      </c>
      <c r="H51" s="68">
        <f t="shared" si="0"/>
        <v>0</v>
      </c>
      <c r="J51" s="114"/>
      <c r="K51" s="68">
        <f>IFERROR(J51*'As-Filed Schedule 1'!$E$103,0)</f>
        <v>0</v>
      </c>
      <c r="L51" s="68">
        <f t="shared" si="1"/>
        <v>0</v>
      </c>
      <c r="N51" s="117"/>
      <c r="O51" s="117"/>
    </row>
    <row r="52" spans="1:15" x14ac:dyDescent="0.35">
      <c r="A52" s="24">
        <v>38</v>
      </c>
      <c r="B52" s="565"/>
      <c r="C52" s="565"/>
      <c r="D52" s="565"/>
      <c r="F52" s="114"/>
      <c r="G52" s="68">
        <f>IFERROR(F52*'As-Filed Schedule 1'!$E$103,0)</f>
        <v>0</v>
      </c>
      <c r="H52" s="68">
        <f t="shared" si="0"/>
        <v>0</v>
      </c>
      <c r="J52" s="114"/>
      <c r="K52" s="68">
        <f>IFERROR(J52*'As-Filed Schedule 1'!$E$103,0)</f>
        <v>0</v>
      </c>
      <c r="L52" s="68">
        <f t="shared" si="1"/>
        <v>0</v>
      </c>
      <c r="N52" s="117"/>
      <c r="O52" s="117"/>
    </row>
    <row r="53" spans="1:15" x14ac:dyDescent="0.35">
      <c r="A53" s="24">
        <v>39</v>
      </c>
      <c r="B53" s="565"/>
      <c r="C53" s="565"/>
      <c r="D53" s="565"/>
      <c r="F53" s="114"/>
      <c r="G53" s="68">
        <f>IFERROR(F53*'As-Filed Schedule 1'!$E$103,0)</f>
        <v>0</v>
      </c>
      <c r="H53" s="68">
        <f t="shared" si="0"/>
        <v>0</v>
      </c>
      <c r="J53" s="114"/>
      <c r="K53" s="68">
        <f>IFERROR(J53*'As-Filed Schedule 1'!$E$103,0)</f>
        <v>0</v>
      </c>
      <c r="L53" s="68">
        <f t="shared" si="1"/>
        <v>0</v>
      </c>
      <c r="N53" s="117"/>
      <c r="O53" s="117"/>
    </row>
    <row r="54" spans="1:15" x14ac:dyDescent="0.35">
      <c r="A54" s="24">
        <v>40</v>
      </c>
      <c r="B54" s="565"/>
      <c r="C54" s="565"/>
      <c r="D54" s="565"/>
      <c r="F54" s="114"/>
      <c r="G54" s="68">
        <f>IFERROR(F54*'As-Filed Schedule 1'!$E$103,0)</f>
        <v>0</v>
      </c>
      <c r="H54" s="68">
        <f t="shared" si="0"/>
        <v>0</v>
      </c>
      <c r="J54" s="114"/>
      <c r="K54" s="68">
        <f>IFERROR(J54*'As-Filed Schedule 1'!$E$103,0)</f>
        <v>0</v>
      </c>
      <c r="L54" s="68">
        <f t="shared" si="1"/>
        <v>0</v>
      </c>
      <c r="N54" s="117"/>
      <c r="O54" s="117"/>
    </row>
    <row r="55" spans="1:15" x14ac:dyDescent="0.35">
      <c r="A55" s="24">
        <v>41</v>
      </c>
      <c r="B55" s="565"/>
      <c r="C55" s="565"/>
      <c r="D55" s="565"/>
      <c r="F55" s="114"/>
      <c r="G55" s="68">
        <f>IFERROR(F55*'As-Filed Schedule 1'!$E$103,0)</f>
        <v>0</v>
      </c>
      <c r="H55" s="68">
        <f t="shared" si="0"/>
        <v>0</v>
      </c>
      <c r="J55" s="114"/>
      <c r="K55" s="68">
        <f>IFERROR(J55*'As-Filed Schedule 1'!$E$103,0)</f>
        <v>0</v>
      </c>
      <c r="L55" s="68">
        <f t="shared" si="1"/>
        <v>0</v>
      </c>
      <c r="N55" s="117"/>
      <c r="O55" s="117"/>
    </row>
    <row r="56" spans="1:15" x14ac:dyDescent="0.35">
      <c r="A56" s="24">
        <v>42</v>
      </c>
      <c r="B56" s="565"/>
      <c r="C56" s="565"/>
      <c r="D56" s="565"/>
      <c r="F56" s="114"/>
      <c r="G56" s="68">
        <f>IFERROR(F56*'As-Filed Schedule 1'!$E$103,0)</f>
        <v>0</v>
      </c>
      <c r="H56" s="68">
        <f t="shared" si="0"/>
        <v>0</v>
      </c>
      <c r="J56" s="114"/>
      <c r="K56" s="68">
        <f>IFERROR(J56*'As-Filed Schedule 1'!$E$103,0)</f>
        <v>0</v>
      </c>
      <c r="L56" s="68">
        <f t="shared" si="1"/>
        <v>0</v>
      </c>
      <c r="N56" s="117"/>
      <c r="O56" s="117"/>
    </row>
    <row r="57" spans="1:15" x14ac:dyDescent="0.35">
      <c r="A57" s="24">
        <v>43</v>
      </c>
      <c r="B57" s="565"/>
      <c r="C57" s="565"/>
      <c r="D57" s="565"/>
      <c r="F57" s="114"/>
      <c r="G57" s="68">
        <f>IFERROR(F57*'As-Filed Schedule 1'!$E$103,0)</f>
        <v>0</v>
      </c>
      <c r="H57" s="68">
        <f t="shared" si="0"/>
        <v>0</v>
      </c>
      <c r="J57" s="114"/>
      <c r="K57" s="68">
        <f>IFERROR(J57*'As-Filed Schedule 1'!$E$103,0)</f>
        <v>0</v>
      </c>
      <c r="L57" s="68">
        <f t="shared" si="1"/>
        <v>0</v>
      </c>
      <c r="N57" s="117"/>
      <c r="O57" s="117"/>
    </row>
    <row r="58" spans="1:15" x14ac:dyDescent="0.35">
      <c r="A58" s="24">
        <v>44</v>
      </c>
      <c r="B58" s="565"/>
      <c r="C58" s="565"/>
      <c r="D58" s="565"/>
      <c r="F58" s="114"/>
      <c r="G58" s="68">
        <f>IFERROR(F58*'As-Filed Schedule 1'!$E$103,0)</f>
        <v>0</v>
      </c>
      <c r="H58" s="68">
        <f t="shared" si="0"/>
        <v>0</v>
      </c>
      <c r="J58" s="114"/>
      <c r="K58" s="68">
        <f>IFERROR(J58*'As-Filed Schedule 1'!$E$103,0)</f>
        <v>0</v>
      </c>
      <c r="L58" s="68">
        <f t="shared" si="1"/>
        <v>0</v>
      </c>
      <c r="N58" s="117"/>
      <c r="O58" s="117"/>
    </row>
    <row r="59" spans="1:15" x14ac:dyDescent="0.35">
      <c r="A59" s="24">
        <v>45</v>
      </c>
      <c r="B59" s="565"/>
      <c r="C59" s="565"/>
      <c r="D59" s="565"/>
      <c r="F59" s="114"/>
      <c r="G59" s="68">
        <f>IFERROR(F59*'As-Filed Schedule 1'!$E$103,0)</f>
        <v>0</v>
      </c>
      <c r="H59" s="68">
        <f t="shared" si="0"/>
        <v>0</v>
      </c>
      <c r="J59" s="114"/>
      <c r="K59" s="68">
        <f>IFERROR(J59*'As-Filed Schedule 1'!$E$103,0)</f>
        <v>0</v>
      </c>
      <c r="L59" s="68">
        <f t="shared" si="1"/>
        <v>0</v>
      </c>
      <c r="N59" s="117"/>
      <c r="O59" s="117"/>
    </row>
    <row r="60" spans="1:15" x14ac:dyDescent="0.35">
      <c r="A60" s="24">
        <v>46</v>
      </c>
      <c r="B60" s="565"/>
      <c r="C60" s="565"/>
      <c r="D60" s="565"/>
      <c r="F60" s="114"/>
      <c r="G60" s="68">
        <f>IFERROR(F60*'As-Filed Schedule 1'!$E$103,0)</f>
        <v>0</v>
      </c>
      <c r="H60" s="68">
        <f t="shared" si="0"/>
        <v>0</v>
      </c>
      <c r="J60" s="114"/>
      <c r="K60" s="68">
        <f>IFERROR(J60*'As-Filed Schedule 1'!$E$103,0)</f>
        <v>0</v>
      </c>
      <c r="L60" s="68">
        <f t="shared" si="1"/>
        <v>0</v>
      </c>
      <c r="N60" s="117"/>
      <c r="O60" s="117"/>
    </row>
    <row r="61" spans="1:15" x14ac:dyDescent="0.35">
      <c r="A61" s="24">
        <v>47</v>
      </c>
      <c r="B61" s="565"/>
      <c r="C61" s="565"/>
      <c r="D61" s="565"/>
      <c r="F61" s="114"/>
      <c r="G61" s="68">
        <f>IFERROR(F61*'As-Filed Schedule 1'!$E$103,0)</f>
        <v>0</v>
      </c>
      <c r="H61" s="68">
        <f t="shared" si="0"/>
        <v>0</v>
      </c>
      <c r="J61" s="114"/>
      <c r="K61" s="68">
        <f>IFERROR(J61*'As-Filed Schedule 1'!$E$103,0)</f>
        <v>0</v>
      </c>
      <c r="L61" s="68">
        <f t="shared" si="1"/>
        <v>0</v>
      </c>
      <c r="N61" s="117"/>
      <c r="O61" s="117"/>
    </row>
    <row r="62" spans="1:15" x14ac:dyDescent="0.35">
      <c r="A62" s="24">
        <v>48</v>
      </c>
      <c r="B62" s="565"/>
      <c r="C62" s="565"/>
      <c r="D62" s="565"/>
      <c r="F62" s="114"/>
      <c r="G62" s="68">
        <f>IFERROR(F62*'As-Filed Schedule 1'!$E$103,0)</f>
        <v>0</v>
      </c>
      <c r="H62" s="68">
        <f t="shared" si="0"/>
        <v>0</v>
      </c>
      <c r="J62" s="114"/>
      <c r="K62" s="68">
        <f>IFERROR(J62*'As-Filed Schedule 1'!$E$103,0)</f>
        <v>0</v>
      </c>
      <c r="L62" s="68">
        <f t="shared" si="1"/>
        <v>0</v>
      </c>
      <c r="N62" s="117"/>
      <c r="O62" s="117"/>
    </row>
    <row r="63" spans="1:15" x14ac:dyDescent="0.35">
      <c r="A63" s="24">
        <v>49</v>
      </c>
      <c r="B63" s="565"/>
      <c r="C63" s="565"/>
      <c r="D63" s="565"/>
      <c r="F63" s="114"/>
      <c r="G63" s="68">
        <f>IFERROR(F63*'As-Filed Schedule 1'!$E$103,0)</f>
        <v>0</v>
      </c>
      <c r="H63" s="68">
        <f t="shared" si="0"/>
        <v>0</v>
      </c>
      <c r="J63" s="114"/>
      <c r="K63" s="68">
        <f>IFERROR(J63*'As-Filed Schedule 1'!$E$103,0)</f>
        <v>0</v>
      </c>
      <c r="L63" s="68">
        <f t="shared" si="1"/>
        <v>0</v>
      </c>
      <c r="N63" s="117"/>
      <c r="O63" s="117"/>
    </row>
    <row r="64" spans="1:15" x14ac:dyDescent="0.35">
      <c r="A64" s="24">
        <v>50</v>
      </c>
      <c r="B64" s="565"/>
      <c r="C64" s="565"/>
      <c r="D64" s="565"/>
      <c r="F64" s="114"/>
      <c r="G64" s="68">
        <f>IFERROR(F64*'As-Filed Schedule 1'!$E$103,0)</f>
        <v>0</v>
      </c>
      <c r="H64" s="68">
        <f t="shared" si="0"/>
        <v>0</v>
      </c>
      <c r="J64" s="114"/>
      <c r="K64" s="68">
        <f>IFERROR(J64*'As-Filed Schedule 1'!$E$103,0)</f>
        <v>0</v>
      </c>
      <c r="L64" s="68">
        <f t="shared" si="1"/>
        <v>0</v>
      </c>
      <c r="N64" s="117"/>
      <c r="O64" s="117"/>
    </row>
    <row r="65" spans="1:15" x14ac:dyDescent="0.35">
      <c r="A65" s="24">
        <v>51</v>
      </c>
      <c r="B65" s="565"/>
      <c r="C65" s="565"/>
      <c r="D65" s="565"/>
      <c r="F65" s="114"/>
      <c r="G65" s="68">
        <f>IFERROR(F65*'As-Filed Schedule 1'!$E$103,0)</f>
        <v>0</v>
      </c>
      <c r="H65" s="68">
        <f t="shared" si="0"/>
        <v>0</v>
      </c>
      <c r="J65" s="114"/>
      <c r="K65" s="68">
        <f>IFERROR(J65*'As-Filed Schedule 1'!$E$103,0)</f>
        <v>0</v>
      </c>
      <c r="L65" s="68">
        <f t="shared" si="1"/>
        <v>0</v>
      </c>
      <c r="N65" s="117"/>
      <c r="O65" s="117"/>
    </row>
    <row r="66" spans="1:15" x14ac:dyDescent="0.35">
      <c r="A66" s="24">
        <v>52</v>
      </c>
      <c r="B66" s="565"/>
      <c r="C66" s="565"/>
      <c r="D66" s="565"/>
      <c r="F66" s="114"/>
      <c r="G66" s="68">
        <f>IFERROR(F66*'As-Filed Schedule 1'!$E$103,0)</f>
        <v>0</v>
      </c>
      <c r="H66" s="68">
        <f t="shared" si="0"/>
        <v>0</v>
      </c>
      <c r="J66" s="114"/>
      <c r="K66" s="68">
        <f>IFERROR(J66*'As-Filed Schedule 1'!$E$103,0)</f>
        <v>0</v>
      </c>
      <c r="L66" s="68">
        <f t="shared" si="1"/>
        <v>0</v>
      </c>
      <c r="N66" s="117"/>
      <c r="O66" s="117"/>
    </row>
    <row r="67" spans="1:15" x14ac:dyDescent="0.35">
      <c r="A67" s="24">
        <v>53</v>
      </c>
      <c r="B67" s="565"/>
      <c r="C67" s="565"/>
      <c r="D67" s="565"/>
      <c r="F67" s="114"/>
      <c r="G67" s="68">
        <f>IFERROR(F67*'As-Filed Schedule 1'!$E$103,0)</f>
        <v>0</v>
      </c>
      <c r="H67" s="68">
        <f t="shared" si="0"/>
        <v>0</v>
      </c>
      <c r="J67" s="114"/>
      <c r="K67" s="68">
        <f>IFERROR(J67*'As-Filed Schedule 1'!$E$103,0)</f>
        <v>0</v>
      </c>
      <c r="L67" s="68">
        <f t="shared" si="1"/>
        <v>0</v>
      </c>
      <c r="N67" s="117"/>
      <c r="O67" s="117"/>
    </row>
    <row r="68" spans="1:15" x14ac:dyDescent="0.35">
      <c r="A68" s="24">
        <v>54</v>
      </c>
      <c r="B68" s="565"/>
      <c r="C68" s="565"/>
      <c r="D68" s="565"/>
      <c r="F68" s="114"/>
      <c r="G68" s="68">
        <f>IFERROR(F68*'As-Filed Schedule 1'!$E$103,0)</f>
        <v>0</v>
      </c>
      <c r="H68" s="68">
        <f t="shared" si="0"/>
        <v>0</v>
      </c>
      <c r="J68" s="114"/>
      <c r="K68" s="68">
        <f>IFERROR(J68*'As-Filed Schedule 1'!$E$103,0)</f>
        <v>0</v>
      </c>
      <c r="L68" s="68">
        <f t="shared" si="1"/>
        <v>0</v>
      </c>
      <c r="N68" s="117"/>
      <c r="O68" s="117"/>
    </row>
    <row r="69" spans="1:15" x14ac:dyDescent="0.35">
      <c r="A69" s="24">
        <v>55</v>
      </c>
      <c r="B69" s="565"/>
      <c r="C69" s="565"/>
      <c r="D69" s="565"/>
      <c r="F69" s="114"/>
      <c r="G69" s="68">
        <f>IFERROR(F69*'As-Filed Schedule 1'!$E$103,0)</f>
        <v>0</v>
      </c>
      <c r="H69" s="68">
        <f t="shared" si="0"/>
        <v>0</v>
      </c>
      <c r="J69" s="114"/>
      <c r="K69" s="68">
        <f>IFERROR(J69*'As-Filed Schedule 1'!$E$103,0)</f>
        <v>0</v>
      </c>
      <c r="L69" s="68">
        <f t="shared" si="1"/>
        <v>0</v>
      </c>
      <c r="N69" s="117"/>
      <c r="O69" s="117"/>
    </row>
    <row r="70" spans="1:15" x14ac:dyDescent="0.35">
      <c r="A70" s="24">
        <v>56</v>
      </c>
      <c r="B70" s="565"/>
      <c r="C70" s="565"/>
      <c r="D70" s="565"/>
      <c r="F70" s="114"/>
      <c r="G70" s="68">
        <f>IFERROR(F70*'As-Filed Schedule 1'!$E$103,0)</f>
        <v>0</v>
      </c>
      <c r="H70" s="68">
        <f t="shared" si="0"/>
        <v>0</v>
      </c>
      <c r="J70" s="114"/>
      <c r="K70" s="68">
        <f>IFERROR(J70*'As-Filed Schedule 1'!$E$103,0)</f>
        <v>0</v>
      </c>
      <c r="L70" s="68">
        <f t="shared" si="1"/>
        <v>0</v>
      </c>
      <c r="N70" s="117"/>
      <c r="O70" s="117"/>
    </row>
    <row r="71" spans="1:15" x14ac:dyDescent="0.35">
      <c r="A71" s="24">
        <v>57</v>
      </c>
      <c r="B71" s="565"/>
      <c r="C71" s="565"/>
      <c r="D71" s="565"/>
      <c r="F71" s="114"/>
      <c r="G71" s="68">
        <f>IFERROR(F71*'As-Filed Schedule 1'!$E$103,0)</f>
        <v>0</v>
      </c>
      <c r="H71" s="68">
        <f t="shared" si="0"/>
        <v>0</v>
      </c>
      <c r="J71" s="114"/>
      <c r="K71" s="68">
        <f>IFERROR(J71*'As-Filed Schedule 1'!$E$103,0)</f>
        <v>0</v>
      </c>
      <c r="L71" s="68">
        <f t="shared" si="1"/>
        <v>0</v>
      </c>
      <c r="N71" s="117"/>
      <c r="O71" s="117"/>
    </row>
    <row r="72" spans="1:15" x14ac:dyDescent="0.35">
      <c r="A72" s="24">
        <v>58</v>
      </c>
      <c r="B72" s="565"/>
      <c r="C72" s="565"/>
      <c r="D72" s="565"/>
      <c r="F72" s="114"/>
      <c r="G72" s="68">
        <f>IFERROR(F72*'As-Filed Schedule 1'!$E$103,0)</f>
        <v>0</v>
      </c>
      <c r="H72" s="68">
        <f t="shared" si="0"/>
        <v>0</v>
      </c>
      <c r="J72" s="114"/>
      <c r="K72" s="68">
        <f>IFERROR(J72*'As-Filed Schedule 1'!$E$103,0)</f>
        <v>0</v>
      </c>
      <c r="L72" s="68">
        <f t="shared" si="1"/>
        <v>0</v>
      </c>
      <c r="N72" s="117"/>
      <c r="O72" s="117"/>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839</v>
      </c>
      <c r="G75" s="74"/>
      <c r="H75" s="74"/>
      <c r="I75" s="74"/>
      <c r="J75" s="74"/>
      <c r="K75" s="74"/>
      <c r="L75" s="75">
        <f>H73+L73</f>
        <v>0</v>
      </c>
    </row>
  </sheetData>
  <sheetProtection sheet="1" objects="1" scenarios="1"/>
  <customSheetViews>
    <customSheetView guid="{17302493-42B1-4877-869E-E424A97AE78B}" scale="60" showPageBreaks="1" state="hidden" view="pageBreakPreview" topLeftCell="H1">
      <selection activeCell="F17" sqref="F17"/>
      <pageMargins left="0.7" right="0.7" top="0.75" bottom="0.75" header="0.3" footer="0.3"/>
      <pageSetup orientation="portrait" horizontalDpi="1200" verticalDpi="1200" r:id="rId1"/>
    </customSheetView>
    <customSheetView guid="{5C0BA3A5-859C-46C2-B685-44D9A90065E4}" scale="60" showPageBreaks="1" view="pageBreakPreview" topLeftCell="H1">
      <selection activeCell="K8" sqref="K8"/>
      <pageMargins left="0.7" right="0.7" top="0.75" bottom="0.75" header="0.3" footer="0.3"/>
      <pageSetup orientation="portrait" horizontalDpi="1200" verticalDpi="1200" r:id="rId2"/>
    </customSheetView>
  </customSheetViews>
  <mergeCells count="64">
    <mergeCell ref="O13:O14"/>
    <mergeCell ref="B12:D12"/>
    <mergeCell ref="B13:D14"/>
    <mergeCell ref="F13:H13"/>
    <mergeCell ref="J13:L13"/>
    <mergeCell ref="N13:N14"/>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pageSetup orientation="portrait" horizontalDpi="1200" verticalDpi="1200"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CC5CA"/>
  </sheetPr>
  <dimension ref="A1:V261"/>
  <sheetViews>
    <sheetView topLeftCell="A133" zoomScale="60" workbookViewId="0">
      <selection activeCell="A17" sqref="A17:V165"/>
    </sheetView>
  </sheetViews>
  <sheetFormatPr defaultRowHeight="14.5" x14ac:dyDescent="0.35"/>
  <cols>
    <col min="2" max="2" width="15.7265625" customWidth="1"/>
    <col min="3" max="3" width="20.7265625" customWidth="1"/>
    <col min="4" max="5" width="17.453125" customWidth="1"/>
    <col min="6" max="6" width="10.81640625" customWidth="1"/>
    <col min="7" max="7" width="16.7265625" style="129" customWidth="1"/>
    <col min="8" max="8" width="14.81640625" style="129"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777</v>
      </c>
      <c r="C1" s="11"/>
      <c r="D1" s="4"/>
      <c r="E1" s="13"/>
      <c r="F1" s="13"/>
      <c r="G1" s="128"/>
      <c r="H1" s="128"/>
      <c r="I1" s="13"/>
      <c r="J1" s="13"/>
    </row>
    <row r="2" spans="1:22" ht="21" x14ac:dyDescent="0.5">
      <c r="A2" s="2" t="s">
        <v>775</v>
      </c>
      <c r="C2" s="11"/>
      <c r="D2" s="4"/>
      <c r="E2" s="13"/>
      <c r="F2" s="13"/>
      <c r="G2" s="128"/>
      <c r="H2" s="128"/>
      <c r="I2" s="13"/>
      <c r="J2" s="13"/>
    </row>
    <row r="3" spans="1:22" ht="25" customHeight="1" x14ac:dyDescent="0.5">
      <c r="A3" s="5" t="s">
        <v>770</v>
      </c>
      <c r="B3" s="5"/>
      <c r="C3" s="12"/>
      <c r="D3" s="7"/>
      <c r="E3" s="14"/>
      <c r="F3" s="13"/>
      <c r="G3" s="128"/>
      <c r="H3" s="128"/>
      <c r="I3" s="13"/>
      <c r="J3" s="14"/>
    </row>
    <row r="4" spans="1:22" x14ac:dyDescent="0.35">
      <c r="C4" s="11"/>
      <c r="D4" s="4"/>
      <c r="E4" s="13"/>
      <c r="F4" s="13"/>
      <c r="G4" s="128"/>
      <c r="H4" s="128"/>
      <c r="I4" s="13"/>
      <c r="J4" s="50"/>
      <c r="T4" s="122"/>
      <c r="U4" s="122"/>
      <c r="V4" s="122"/>
    </row>
    <row r="5" spans="1:22" x14ac:dyDescent="0.35">
      <c r="A5" s="1" t="s">
        <v>776</v>
      </c>
      <c r="C5" s="413" t="str">
        <f>'As-Filed Schedule 1'!C5</f>
        <v>WellPower</v>
      </c>
      <c r="D5" s="233"/>
      <c r="E5" s="13"/>
      <c r="F5" s="13"/>
      <c r="G5" s="128"/>
      <c r="H5" s="128"/>
      <c r="I5" s="13"/>
      <c r="J5" s="50"/>
      <c r="T5" s="40"/>
      <c r="U5" s="40"/>
      <c r="V5" s="40"/>
    </row>
    <row r="6" spans="1:22" x14ac:dyDescent="0.35">
      <c r="A6" s="1" t="s">
        <v>0</v>
      </c>
      <c r="C6" s="406">
        <f>'As-Filed Schedule 1'!C6</f>
        <v>45473</v>
      </c>
      <c r="D6" s="35"/>
      <c r="E6" s="50"/>
      <c r="F6" s="13"/>
      <c r="G6" s="128"/>
      <c r="H6" s="128"/>
      <c r="I6" s="13"/>
      <c r="J6" s="50"/>
      <c r="T6" s="40"/>
      <c r="U6" s="40"/>
    </row>
    <row r="7" spans="1:22" x14ac:dyDescent="0.35">
      <c r="A7" s="196"/>
      <c r="B7" s="99"/>
      <c r="C7" s="197"/>
      <c r="D7" s="197"/>
      <c r="E7" s="198"/>
      <c r="F7" s="198"/>
      <c r="G7" s="199"/>
      <c r="H7" s="199"/>
      <c r="I7" s="198"/>
      <c r="J7" s="198"/>
      <c r="K7" s="99"/>
      <c r="L7" s="99"/>
      <c r="T7" s="40"/>
      <c r="U7" s="40"/>
      <c r="V7" s="40"/>
    </row>
    <row r="8" spans="1:22" x14ac:dyDescent="0.35">
      <c r="A8" s="196" t="s">
        <v>479</v>
      </c>
      <c r="B8" s="99"/>
      <c r="C8" s="99"/>
      <c r="D8" s="99"/>
      <c r="E8" s="99"/>
      <c r="F8" s="99"/>
      <c r="G8" s="196"/>
      <c r="H8" s="112"/>
      <c r="I8" s="99"/>
      <c r="J8" s="198"/>
      <c r="K8" s="99"/>
      <c r="L8" s="99"/>
      <c r="T8" s="40"/>
      <c r="U8" s="40"/>
      <c r="V8" s="40"/>
    </row>
    <row r="9" spans="1:22" ht="15" customHeight="1" x14ac:dyDescent="0.35">
      <c r="A9" s="554" t="s">
        <v>480</v>
      </c>
      <c r="B9" s="554"/>
      <c r="C9" s="554"/>
      <c r="D9" s="554"/>
      <c r="E9" s="554"/>
      <c r="F9" s="554"/>
      <c r="G9" s="554"/>
      <c r="H9" s="554"/>
      <c r="I9" s="554"/>
      <c r="J9" s="554"/>
      <c r="K9" s="554"/>
      <c r="L9" s="99"/>
      <c r="T9" s="40"/>
      <c r="U9" s="40"/>
      <c r="V9" s="40"/>
    </row>
    <row r="10" spans="1:22" x14ac:dyDescent="0.35">
      <c r="A10" s="554"/>
      <c r="B10" s="554"/>
      <c r="C10" s="554"/>
      <c r="D10" s="554"/>
      <c r="E10" s="554"/>
      <c r="F10" s="554"/>
      <c r="G10" s="554"/>
      <c r="H10" s="554"/>
      <c r="I10" s="554"/>
      <c r="J10" s="554"/>
      <c r="K10" s="554"/>
      <c r="L10" s="99"/>
      <c r="T10" s="40"/>
      <c r="U10" s="40"/>
      <c r="V10" s="40"/>
    </row>
    <row r="11" spans="1:22" x14ac:dyDescent="0.35">
      <c r="A11" s="554"/>
      <c r="B11" s="554"/>
      <c r="C11" s="554"/>
      <c r="D11" s="554"/>
      <c r="E11" s="554"/>
      <c r="F11" s="554"/>
      <c r="G11" s="554"/>
      <c r="H11" s="554"/>
      <c r="I11" s="554"/>
      <c r="J11" s="554"/>
      <c r="K11" s="554"/>
      <c r="L11" s="99"/>
      <c r="T11" s="40"/>
      <c r="U11" s="40"/>
      <c r="V11" s="40"/>
    </row>
    <row r="12" spans="1:22" x14ac:dyDescent="0.35">
      <c r="A12" s="196"/>
      <c r="B12" s="99"/>
      <c r="C12" s="197"/>
      <c r="D12" s="197"/>
      <c r="E12" s="198"/>
      <c r="F12" s="198"/>
      <c r="G12" s="199"/>
      <c r="H12" s="199"/>
      <c r="I12" s="198"/>
      <c r="J12" s="198"/>
      <c r="K12" s="99"/>
      <c r="L12" s="99"/>
      <c r="T12" s="40"/>
      <c r="U12" s="40"/>
      <c r="V12" s="40"/>
    </row>
    <row r="13" spans="1:22" x14ac:dyDescent="0.35">
      <c r="A13" s="99"/>
      <c r="B13" s="548">
        <v>1</v>
      </c>
      <c r="C13" s="549"/>
      <c r="D13" s="167">
        <v>2</v>
      </c>
      <c r="E13" s="167">
        <v>3</v>
      </c>
      <c r="F13" s="167">
        <v>4</v>
      </c>
      <c r="G13" s="167">
        <v>5</v>
      </c>
      <c r="H13" s="167">
        <v>6</v>
      </c>
      <c r="I13" s="167">
        <v>7</v>
      </c>
      <c r="J13" s="167">
        <v>8</v>
      </c>
      <c r="K13" s="167">
        <v>9</v>
      </c>
      <c r="L13" s="167">
        <v>10</v>
      </c>
      <c r="M13" s="23">
        <v>11</v>
      </c>
      <c r="N13" s="23">
        <v>12</v>
      </c>
      <c r="O13" s="23">
        <v>13</v>
      </c>
      <c r="P13" s="23">
        <v>14</v>
      </c>
      <c r="Q13" s="23">
        <v>15</v>
      </c>
      <c r="R13" s="23">
        <v>16</v>
      </c>
    </row>
    <row r="14" spans="1:22" x14ac:dyDescent="0.35">
      <c r="A14" s="99"/>
      <c r="B14" s="582" t="s">
        <v>158</v>
      </c>
      <c r="C14" s="583"/>
      <c r="D14" s="579" t="s">
        <v>464</v>
      </c>
      <c r="E14" s="579" t="s">
        <v>437</v>
      </c>
      <c r="F14" s="579" t="s">
        <v>441</v>
      </c>
      <c r="G14" s="586" t="s">
        <v>494</v>
      </c>
      <c r="H14" s="586" t="s">
        <v>495</v>
      </c>
      <c r="I14" s="200"/>
      <c r="J14" s="200"/>
      <c r="K14" s="579" t="s">
        <v>160</v>
      </c>
      <c r="L14" s="579" t="s">
        <v>161</v>
      </c>
      <c r="M14" s="581" t="s">
        <v>168</v>
      </c>
      <c r="N14" s="581"/>
      <c r="O14" s="581" t="s">
        <v>34</v>
      </c>
      <c r="P14" s="581"/>
      <c r="Q14" s="581" t="s">
        <v>169</v>
      </c>
      <c r="R14" s="581"/>
    </row>
    <row r="15" spans="1:22" ht="60" customHeight="1" x14ac:dyDescent="0.35">
      <c r="A15" s="99"/>
      <c r="B15" s="584"/>
      <c r="C15" s="585"/>
      <c r="D15" s="580"/>
      <c r="E15" s="580"/>
      <c r="F15" s="580"/>
      <c r="G15" s="587"/>
      <c r="H15" s="587"/>
      <c r="I15" s="201" t="s">
        <v>454</v>
      </c>
      <c r="J15" s="201" t="s">
        <v>496</v>
      </c>
      <c r="K15" s="580"/>
      <c r="L15" s="580"/>
      <c r="M15" s="10" t="s">
        <v>162</v>
      </c>
      <c r="N15" s="10" t="s">
        <v>163</v>
      </c>
      <c r="O15" s="10" t="s">
        <v>164</v>
      </c>
      <c r="P15" s="10" t="s">
        <v>165</v>
      </c>
      <c r="Q15" s="10" t="s">
        <v>166</v>
      </c>
      <c r="R15" s="10" t="s">
        <v>167</v>
      </c>
    </row>
    <row r="16" spans="1:22" ht="10" customHeight="1" x14ac:dyDescent="0.35">
      <c r="A16" s="99"/>
      <c r="B16" s="202"/>
      <c r="C16" s="202"/>
      <c r="D16" s="97"/>
      <c r="E16" s="97"/>
      <c r="F16" s="97"/>
      <c r="G16" s="203"/>
      <c r="H16" s="203"/>
      <c r="I16" s="97"/>
      <c r="J16" s="97"/>
      <c r="K16" s="97"/>
      <c r="L16" s="97"/>
      <c r="M16" s="6"/>
      <c r="N16" s="6"/>
      <c r="O16" s="6"/>
      <c r="P16" s="6"/>
      <c r="Q16" s="6"/>
      <c r="R16" s="6"/>
    </row>
    <row r="17" spans="1:18" s="34" customFormat="1" x14ac:dyDescent="0.35">
      <c r="A17" s="204">
        <v>1</v>
      </c>
      <c r="B17" s="608" t="s">
        <v>996</v>
      </c>
      <c r="C17" s="609"/>
      <c r="D17" s="463" t="s">
        <v>175</v>
      </c>
      <c r="E17" s="463"/>
      <c r="F17" s="464">
        <v>16</v>
      </c>
      <c r="G17" s="465"/>
      <c r="H17" s="465"/>
      <c r="I17" s="205">
        <v>365</v>
      </c>
      <c r="J17" s="98"/>
      <c r="K17" s="206">
        <v>2335</v>
      </c>
      <c r="L17" s="207">
        <v>0.39982876712328769</v>
      </c>
      <c r="M17" s="118">
        <v>6708926.889866353</v>
      </c>
      <c r="N17" s="85">
        <v>2873.202094161179</v>
      </c>
      <c r="O17" s="118">
        <v>119836.27538423194</v>
      </c>
      <c r="P17" s="85">
        <v>51.321745346566139</v>
      </c>
      <c r="Q17" s="86">
        <v>6589090.6144821215</v>
      </c>
      <c r="R17" s="85">
        <v>2821.8803488146132</v>
      </c>
    </row>
    <row r="18" spans="1:18" x14ac:dyDescent="0.35">
      <c r="A18" s="208" t="s">
        <v>447</v>
      </c>
      <c r="B18" s="209"/>
      <c r="C18" s="209"/>
      <c r="D18" s="209"/>
      <c r="E18" s="209"/>
      <c r="F18" s="210"/>
      <c r="G18" s="211"/>
      <c r="H18" s="211"/>
      <c r="I18" s="212"/>
      <c r="J18" s="454" t="s">
        <v>52</v>
      </c>
      <c r="K18" s="213">
        <v>2335</v>
      </c>
      <c r="L18" s="214"/>
      <c r="M18" s="87"/>
      <c r="N18" s="87"/>
      <c r="O18" s="87"/>
      <c r="P18" s="87"/>
      <c r="Q18" s="87"/>
      <c r="R18" s="87"/>
    </row>
    <row r="19" spans="1:18" x14ac:dyDescent="0.35">
      <c r="A19" s="215" t="s">
        <v>448</v>
      </c>
      <c r="B19" s="216"/>
      <c r="C19" s="216"/>
      <c r="D19" s="216"/>
      <c r="E19" s="216"/>
      <c r="F19" s="217"/>
      <c r="G19" s="218"/>
      <c r="H19" s="218"/>
      <c r="I19" s="219"/>
      <c r="J19" s="455"/>
      <c r="K19" s="220"/>
      <c r="L19" s="221"/>
      <c r="M19" s="88"/>
      <c r="N19" s="88"/>
      <c r="O19" s="88"/>
      <c r="P19" s="88"/>
      <c r="Q19" s="88"/>
      <c r="R19" s="88"/>
    </row>
    <row r="20" spans="1:18" x14ac:dyDescent="0.35">
      <c r="A20" s="222" t="s">
        <v>449</v>
      </c>
      <c r="B20" s="216"/>
      <c r="C20" s="216"/>
      <c r="D20" s="216"/>
      <c r="E20" s="216"/>
      <c r="F20" s="217"/>
      <c r="G20" s="218"/>
      <c r="H20" s="218"/>
      <c r="I20" s="219"/>
      <c r="J20" s="456"/>
      <c r="K20" s="223"/>
      <c r="L20" s="221"/>
      <c r="M20" s="88"/>
      <c r="N20" s="88"/>
      <c r="O20" s="88"/>
      <c r="P20" s="88"/>
      <c r="Q20" s="88"/>
      <c r="R20" s="88"/>
    </row>
    <row r="21" spans="1:18" x14ac:dyDescent="0.35">
      <c r="G21"/>
      <c r="H21"/>
      <c r="J21" s="99"/>
      <c r="L21" s="28"/>
    </row>
    <row r="22" spans="1:18" s="34" customFormat="1" x14ac:dyDescent="0.35">
      <c r="A22" s="84">
        <v>2</v>
      </c>
      <c r="B22" s="606" t="s">
        <v>997</v>
      </c>
      <c r="C22" s="607"/>
      <c r="D22" s="457" t="s">
        <v>170</v>
      </c>
      <c r="E22" s="457" t="s">
        <v>159</v>
      </c>
      <c r="F22" s="458">
        <v>8</v>
      </c>
      <c r="G22" s="462"/>
      <c r="H22" s="462"/>
      <c r="I22" s="130">
        <v>365</v>
      </c>
      <c r="J22" s="98"/>
      <c r="K22" s="8">
        <v>2321</v>
      </c>
      <c r="L22" s="91">
        <v>0.79486301369863011</v>
      </c>
      <c r="M22" s="118">
        <v>860085.82522861415</v>
      </c>
      <c r="N22" s="85">
        <v>370.56692168402162</v>
      </c>
      <c r="O22" s="118">
        <v>90213.141881695235</v>
      </c>
      <c r="P22" s="85">
        <v>38.86822140529739</v>
      </c>
      <c r="Q22" s="86">
        <v>769872.6833469189</v>
      </c>
      <c r="R22" s="85">
        <v>331.69870027872423</v>
      </c>
    </row>
    <row r="23" spans="1:18" x14ac:dyDescent="0.35">
      <c r="A23" s="100" t="s">
        <v>447</v>
      </c>
      <c r="B23" s="87"/>
      <c r="C23" s="87"/>
      <c r="D23" s="87"/>
      <c r="E23" s="87"/>
      <c r="F23" s="124"/>
      <c r="G23" s="126"/>
      <c r="H23" s="126"/>
      <c r="I23" s="103"/>
      <c r="J23" s="454" t="s">
        <v>53</v>
      </c>
      <c r="K23" s="459">
        <v>2321</v>
      </c>
      <c r="L23" s="89"/>
      <c r="M23" s="87"/>
      <c r="N23" s="87"/>
      <c r="O23" s="87"/>
      <c r="P23" s="87"/>
      <c r="Q23" s="87"/>
      <c r="R23" s="87"/>
    </row>
    <row r="24" spans="1:18" x14ac:dyDescent="0.35">
      <c r="A24" s="101" t="s">
        <v>448</v>
      </c>
      <c r="B24" s="88"/>
      <c r="C24" s="88"/>
      <c r="D24" s="88"/>
      <c r="E24" s="88"/>
      <c r="F24" s="125"/>
      <c r="G24" s="127"/>
      <c r="H24" s="127"/>
      <c r="I24" s="104"/>
      <c r="J24" s="455"/>
      <c r="K24" s="460"/>
      <c r="L24" s="90"/>
      <c r="M24" s="88"/>
      <c r="N24" s="88"/>
      <c r="O24" s="88"/>
      <c r="P24" s="88"/>
      <c r="Q24" s="88"/>
      <c r="R24" s="88"/>
    </row>
    <row r="25" spans="1:18" x14ac:dyDescent="0.35">
      <c r="A25" s="102" t="s">
        <v>449</v>
      </c>
      <c r="B25" s="88"/>
      <c r="C25" s="88"/>
      <c r="D25" s="88"/>
      <c r="E25" s="88"/>
      <c r="F25" s="125"/>
      <c r="G25" s="127"/>
      <c r="H25" s="127"/>
      <c r="I25" s="104"/>
      <c r="J25" s="456"/>
      <c r="K25" s="461"/>
      <c r="L25" s="90"/>
      <c r="M25" s="88"/>
      <c r="N25" s="88"/>
      <c r="O25" s="88"/>
      <c r="P25" s="88"/>
      <c r="Q25" s="88"/>
      <c r="R25" s="88"/>
    </row>
    <row r="26" spans="1:18" x14ac:dyDescent="0.35">
      <c r="G26"/>
      <c r="H26"/>
      <c r="J26" s="99"/>
      <c r="L26" s="28"/>
    </row>
    <row r="27" spans="1:18" s="34" customFormat="1" x14ac:dyDescent="0.35">
      <c r="A27" s="84">
        <v>3</v>
      </c>
      <c r="B27" s="606" t="s">
        <v>998</v>
      </c>
      <c r="C27" s="607"/>
      <c r="D27" s="457" t="s">
        <v>170</v>
      </c>
      <c r="E27" s="457" t="s">
        <v>159</v>
      </c>
      <c r="F27" s="458">
        <v>12</v>
      </c>
      <c r="G27" s="462"/>
      <c r="H27" s="462"/>
      <c r="I27" s="130">
        <v>365</v>
      </c>
      <c r="J27" s="98"/>
      <c r="K27" s="8">
        <v>3654</v>
      </c>
      <c r="L27" s="91">
        <v>0.83424657534246571</v>
      </c>
      <c r="M27" s="118">
        <v>1448893.9400124617</v>
      </c>
      <c r="N27" s="85">
        <v>396.52269841610882</v>
      </c>
      <c r="O27" s="118">
        <v>132954.37419592525</v>
      </c>
      <c r="P27" s="85">
        <v>36.385980896531265</v>
      </c>
      <c r="Q27" s="86">
        <v>1315939.5658165365</v>
      </c>
      <c r="R27" s="85">
        <v>360.13671751957759</v>
      </c>
    </row>
    <row r="28" spans="1:18" x14ac:dyDescent="0.35">
      <c r="A28" s="100" t="s">
        <v>447</v>
      </c>
      <c r="B28" s="87"/>
      <c r="C28" s="87"/>
      <c r="D28" s="87"/>
      <c r="E28" s="87"/>
      <c r="F28" s="124"/>
      <c r="G28" s="126"/>
      <c r="H28" s="126"/>
      <c r="I28" s="103"/>
      <c r="J28" s="454" t="s">
        <v>53</v>
      </c>
      <c r="K28" s="459">
        <v>3654</v>
      </c>
      <c r="L28" s="89"/>
      <c r="M28" s="87"/>
      <c r="N28" s="87"/>
      <c r="O28" s="87"/>
      <c r="P28" s="87"/>
      <c r="Q28" s="87"/>
      <c r="R28" s="87"/>
    </row>
    <row r="29" spans="1:18" x14ac:dyDescent="0.35">
      <c r="A29" s="101" t="s">
        <v>448</v>
      </c>
      <c r="B29" s="88"/>
      <c r="C29" s="88"/>
      <c r="D29" s="88"/>
      <c r="E29" s="88"/>
      <c r="F29" s="125"/>
      <c r="G29" s="127"/>
      <c r="H29" s="127"/>
      <c r="I29" s="104"/>
      <c r="J29" s="455"/>
      <c r="K29" s="460"/>
      <c r="L29" s="90"/>
      <c r="M29" s="88"/>
      <c r="N29" s="88"/>
      <c r="O29" s="88"/>
      <c r="P29" s="88"/>
      <c r="Q29" s="88"/>
      <c r="R29" s="88"/>
    </row>
    <row r="30" spans="1:18" x14ac:dyDescent="0.35">
      <c r="A30" s="102" t="s">
        <v>449</v>
      </c>
      <c r="B30" s="88"/>
      <c r="C30" s="88"/>
      <c r="D30" s="88"/>
      <c r="E30" s="88"/>
      <c r="F30" s="125"/>
      <c r="G30" s="127"/>
      <c r="H30" s="127"/>
      <c r="I30" s="104"/>
      <c r="J30" s="456"/>
      <c r="K30" s="461"/>
      <c r="L30" s="90"/>
      <c r="M30" s="88"/>
      <c r="N30" s="88"/>
      <c r="O30" s="88"/>
      <c r="P30" s="88"/>
      <c r="Q30" s="88"/>
      <c r="R30" s="88"/>
    </row>
    <row r="31" spans="1:18" x14ac:dyDescent="0.35">
      <c r="G31"/>
      <c r="H31"/>
      <c r="J31" s="99"/>
      <c r="L31" s="28"/>
    </row>
    <row r="32" spans="1:18" s="34" customFormat="1" x14ac:dyDescent="0.35">
      <c r="A32" s="84">
        <v>4</v>
      </c>
      <c r="B32" s="606" t="s">
        <v>999</v>
      </c>
      <c r="C32" s="607"/>
      <c r="D32" s="457" t="s">
        <v>170</v>
      </c>
      <c r="E32" s="457" t="s">
        <v>159</v>
      </c>
      <c r="F32" s="458">
        <v>8</v>
      </c>
      <c r="G32" s="462"/>
      <c r="H32" s="462"/>
      <c r="I32" s="130">
        <v>365</v>
      </c>
      <c r="J32" s="98"/>
      <c r="K32" s="8">
        <v>2191</v>
      </c>
      <c r="L32" s="91">
        <v>0.75034246575342467</v>
      </c>
      <c r="M32" s="118">
        <v>672333.08350408101</v>
      </c>
      <c r="N32" s="85">
        <v>306.86128868283021</v>
      </c>
      <c r="O32" s="118">
        <v>65359.143796033713</v>
      </c>
      <c r="P32" s="85">
        <v>29.830736556838755</v>
      </c>
      <c r="Q32" s="86">
        <v>606973.93970804731</v>
      </c>
      <c r="R32" s="85">
        <v>277.03055212599145</v>
      </c>
    </row>
    <row r="33" spans="1:18" x14ac:dyDescent="0.35">
      <c r="A33" s="100" t="s">
        <v>447</v>
      </c>
      <c r="B33" s="87"/>
      <c r="C33" s="87"/>
      <c r="D33" s="87"/>
      <c r="E33" s="87"/>
      <c r="F33" s="124"/>
      <c r="G33" s="126"/>
      <c r="H33" s="126"/>
      <c r="I33" s="103"/>
      <c r="J33" s="454" t="s">
        <v>53</v>
      </c>
      <c r="K33" s="459">
        <v>2191</v>
      </c>
      <c r="L33" s="89"/>
      <c r="M33" s="87"/>
      <c r="N33" s="87"/>
      <c r="O33" s="87"/>
      <c r="P33" s="87"/>
      <c r="Q33" s="87"/>
      <c r="R33" s="87"/>
    </row>
    <row r="34" spans="1:18" x14ac:dyDescent="0.35">
      <c r="A34" s="101" t="s">
        <v>448</v>
      </c>
      <c r="B34" s="88"/>
      <c r="C34" s="88"/>
      <c r="D34" s="88"/>
      <c r="E34" s="88"/>
      <c r="F34" s="125"/>
      <c r="G34" s="127"/>
      <c r="H34" s="127"/>
      <c r="I34" s="104"/>
      <c r="J34" s="455"/>
      <c r="K34" s="460"/>
      <c r="L34" s="90"/>
      <c r="M34" s="88"/>
      <c r="N34" s="88"/>
      <c r="O34" s="88"/>
      <c r="P34" s="88"/>
      <c r="Q34" s="88"/>
      <c r="R34" s="88"/>
    </row>
    <row r="35" spans="1:18" x14ac:dyDescent="0.35">
      <c r="A35" s="102" t="s">
        <v>449</v>
      </c>
      <c r="B35" s="88"/>
      <c r="C35" s="88"/>
      <c r="D35" s="88"/>
      <c r="E35" s="88"/>
      <c r="F35" s="125"/>
      <c r="G35" s="127"/>
      <c r="H35" s="127"/>
      <c r="I35" s="104"/>
      <c r="J35" s="456"/>
      <c r="K35" s="461"/>
      <c r="L35" s="90"/>
      <c r="M35" s="88"/>
      <c r="N35" s="88"/>
      <c r="O35" s="88"/>
      <c r="P35" s="88"/>
      <c r="Q35" s="88"/>
      <c r="R35" s="88"/>
    </row>
    <row r="36" spans="1:18" x14ac:dyDescent="0.35">
      <c r="G36"/>
      <c r="H36"/>
      <c r="J36" s="99"/>
      <c r="L36" s="28"/>
    </row>
    <row r="37" spans="1:18" s="34" customFormat="1" x14ac:dyDescent="0.35">
      <c r="A37" s="84">
        <v>5</v>
      </c>
      <c r="B37" s="606" t="s">
        <v>1000</v>
      </c>
      <c r="C37" s="607"/>
      <c r="D37" s="457" t="s">
        <v>170</v>
      </c>
      <c r="E37" s="457" t="s">
        <v>159</v>
      </c>
      <c r="F37" s="458">
        <v>8</v>
      </c>
      <c r="G37" s="462"/>
      <c r="H37" s="462"/>
      <c r="I37" s="130">
        <v>365</v>
      </c>
      <c r="J37" s="98"/>
      <c r="K37" s="8">
        <v>2291</v>
      </c>
      <c r="L37" s="91">
        <v>0.78458904109589045</v>
      </c>
      <c r="M37" s="118">
        <v>852133.16824688774</v>
      </c>
      <c r="N37" s="85">
        <v>371.94813105494882</v>
      </c>
      <c r="O37" s="118">
        <v>99994.449243235897</v>
      </c>
      <c r="P37" s="85">
        <v>43.646638691940595</v>
      </c>
      <c r="Q37" s="86">
        <v>752138.71900365187</v>
      </c>
      <c r="R37" s="85">
        <v>328.30149236300826</v>
      </c>
    </row>
    <row r="38" spans="1:18" x14ac:dyDescent="0.35">
      <c r="A38" s="100" t="s">
        <v>447</v>
      </c>
      <c r="B38" s="87"/>
      <c r="C38" s="87"/>
      <c r="D38" s="87"/>
      <c r="E38" s="87"/>
      <c r="F38" s="124"/>
      <c r="G38" s="126"/>
      <c r="H38" s="126"/>
      <c r="I38" s="103"/>
      <c r="J38" s="454" t="s">
        <v>53</v>
      </c>
      <c r="K38" s="459">
        <v>2291</v>
      </c>
      <c r="L38" s="89"/>
      <c r="M38" s="87"/>
      <c r="N38" s="87"/>
      <c r="O38" s="87"/>
      <c r="P38" s="87"/>
      <c r="Q38" s="87"/>
      <c r="R38" s="87"/>
    </row>
    <row r="39" spans="1:18" x14ac:dyDescent="0.35">
      <c r="A39" s="101" t="s">
        <v>448</v>
      </c>
      <c r="B39" s="88"/>
      <c r="C39" s="88"/>
      <c r="D39" s="88"/>
      <c r="E39" s="88"/>
      <c r="F39" s="125"/>
      <c r="G39" s="127"/>
      <c r="H39" s="127"/>
      <c r="I39" s="104"/>
      <c r="J39" s="455"/>
      <c r="K39" s="460"/>
      <c r="L39" s="90"/>
      <c r="M39" s="88"/>
      <c r="N39" s="88"/>
      <c r="O39" s="88"/>
      <c r="P39" s="88"/>
      <c r="Q39" s="88"/>
      <c r="R39" s="88"/>
    </row>
    <row r="40" spans="1:18" x14ac:dyDescent="0.35">
      <c r="A40" s="102" t="s">
        <v>449</v>
      </c>
      <c r="B40" s="88"/>
      <c r="C40" s="88"/>
      <c r="D40" s="88"/>
      <c r="E40" s="88"/>
      <c r="F40" s="125"/>
      <c r="G40" s="127"/>
      <c r="H40" s="127"/>
      <c r="I40" s="104"/>
      <c r="J40" s="456"/>
      <c r="K40" s="461"/>
      <c r="L40" s="90"/>
      <c r="M40" s="88"/>
      <c r="N40" s="88"/>
      <c r="O40" s="88"/>
      <c r="P40" s="88"/>
      <c r="Q40" s="88"/>
      <c r="R40" s="88"/>
    </row>
    <row r="41" spans="1:18" x14ac:dyDescent="0.35">
      <c r="G41"/>
      <c r="H41"/>
      <c r="J41" s="99"/>
      <c r="L41" s="28"/>
    </row>
    <row r="42" spans="1:18" s="34" customFormat="1" x14ac:dyDescent="0.35">
      <c r="A42" s="84">
        <v>6</v>
      </c>
      <c r="B42" s="606" t="s">
        <v>1001</v>
      </c>
      <c r="C42" s="607"/>
      <c r="D42" s="457" t="s">
        <v>170</v>
      </c>
      <c r="E42" s="457" t="s">
        <v>159</v>
      </c>
      <c r="F42" s="458">
        <v>11</v>
      </c>
      <c r="G42" s="462"/>
      <c r="H42" s="462"/>
      <c r="I42" s="130">
        <v>365</v>
      </c>
      <c r="J42" s="98"/>
      <c r="K42" s="8">
        <v>3115</v>
      </c>
      <c r="L42" s="91">
        <v>0.77584059775840597</v>
      </c>
      <c r="M42" s="118">
        <v>897484.74637888628</v>
      </c>
      <c r="N42" s="85">
        <v>288.11709354057342</v>
      </c>
      <c r="O42" s="118">
        <v>113982.9352477061</v>
      </c>
      <c r="P42" s="85">
        <v>36.591632503276436</v>
      </c>
      <c r="Q42" s="86">
        <v>783501.81113118015</v>
      </c>
      <c r="R42" s="85">
        <v>251.52546103729699</v>
      </c>
    </row>
    <row r="43" spans="1:18" x14ac:dyDescent="0.35">
      <c r="A43" s="100" t="s">
        <v>447</v>
      </c>
      <c r="B43" s="87"/>
      <c r="C43" s="87"/>
      <c r="D43" s="87"/>
      <c r="E43" s="87"/>
      <c r="F43" s="124"/>
      <c r="G43" s="126"/>
      <c r="H43" s="126"/>
      <c r="I43" s="103"/>
      <c r="J43" s="454" t="s">
        <v>53</v>
      </c>
      <c r="K43" s="459">
        <v>3115</v>
      </c>
      <c r="L43" s="89"/>
      <c r="M43" s="87"/>
      <c r="N43" s="87"/>
      <c r="O43" s="87"/>
      <c r="P43" s="87"/>
      <c r="Q43" s="87"/>
      <c r="R43" s="87"/>
    </row>
    <row r="44" spans="1:18" x14ac:dyDescent="0.35">
      <c r="A44" s="101" t="s">
        <v>448</v>
      </c>
      <c r="B44" s="88"/>
      <c r="C44" s="88"/>
      <c r="D44" s="88"/>
      <c r="E44" s="88"/>
      <c r="F44" s="125"/>
      <c r="G44" s="127"/>
      <c r="H44" s="127"/>
      <c r="I44" s="104"/>
      <c r="J44" s="455"/>
      <c r="K44" s="460"/>
      <c r="L44" s="90"/>
      <c r="M44" s="88"/>
      <c r="N44" s="88"/>
      <c r="O44" s="88"/>
      <c r="P44" s="88"/>
      <c r="Q44" s="88"/>
      <c r="R44" s="88"/>
    </row>
    <row r="45" spans="1:18" x14ac:dyDescent="0.35">
      <c r="A45" s="102" t="s">
        <v>449</v>
      </c>
      <c r="B45" s="88"/>
      <c r="C45" s="88"/>
      <c r="D45" s="88"/>
      <c r="E45" s="88"/>
      <c r="F45" s="125"/>
      <c r="G45" s="127"/>
      <c r="H45" s="127"/>
      <c r="I45" s="104"/>
      <c r="J45" s="456"/>
      <c r="K45" s="461"/>
      <c r="L45" s="90"/>
      <c r="M45" s="88"/>
      <c r="N45" s="88"/>
      <c r="O45" s="88"/>
      <c r="P45" s="88"/>
      <c r="Q45" s="88"/>
      <c r="R45" s="88"/>
    </row>
    <row r="46" spans="1:18" x14ac:dyDescent="0.35">
      <c r="G46"/>
      <c r="H46"/>
      <c r="J46" s="99"/>
      <c r="L46" s="28"/>
    </row>
    <row r="47" spans="1:18" s="34" customFormat="1" x14ac:dyDescent="0.35">
      <c r="A47" s="84">
        <v>7</v>
      </c>
      <c r="B47" s="606" t="s">
        <v>1002</v>
      </c>
      <c r="C47" s="607"/>
      <c r="D47" s="457" t="s">
        <v>170</v>
      </c>
      <c r="E47" s="457" t="s">
        <v>159</v>
      </c>
      <c r="F47" s="458">
        <v>8</v>
      </c>
      <c r="G47" s="462"/>
      <c r="H47" s="462"/>
      <c r="I47" s="130">
        <v>365</v>
      </c>
      <c r="J47" s="98"/>
      <c r="K47" s="8">
        <v>1870</v>
      </c>
      <c r="L47" s="91">
        <v>0.6404109589041096</v>
      </c>
      <c r="M47" s="118">
        <v>720819.88429848151</v>
      </c>
      <c r="N47" s="85">
        <v>385.46517876924145</v>
      </c>
      <c r="O47" s="118">
        <v>63032.212856927166</v>
      </c>
      <c r="P47" s="85">
        <v>33.707065698891533</v>
      </c>
      <c r="Q47" s="86">
        <v>657787.67144155432</v>
      </c>
      <c r="R47" s="85">
        <v>351.75811307034991</v>
      </c>
    </row>
    <row r="48" spans="1:18" x14ac:dyDescent="0.35">
      <c r="A48" s="100" t="s">
        <v>447</v>
      </c>
      <c r="B48" s="87"/>
      <c r="C48" s="87"/>
      <c r="D48" s="87"/>
      <c r="E48" s="87"/>
      <c r="F48" s="124"/>
      <c r="G48" s="126"/>
      <c r="H48" s="126"/>
      <c r="I48" s="103"/>
      <c r="J48" s="454" t="s">
        <v>53</v>
      </c>
      <c r="K48" s="459">
        <v>1870</v>
      </c>
      <c r="L48" s="89"/>
      <c r="M48" s="87"/>
      <c r="N48" s="87"/>
      <c r="O48" s="87"/>
      <c r="P48" s="87"/>
      <c r="Q48" s="87"/>
      <c r="R48" s="87"/>
    </row>
    <row r="49" spans="1:18" x14ac:dyDescent="0.35">
      <c r="A49" s="101" t="s">
        <v>448</v>
      </c>
      <c r="B49" s="88"/>
      <c r="C49" s="88"/>
      <c r="D49" s="88"/>
      <c r="E49" s="88"/>
      <c r="F49" s="125"/>
      <c r="G49" s="127"/>
      <c r="H49" s="127"/>
      <c r="I49" s="104"/>
      <c r="J49" s="455"/>
      <c r="K49" s="460"/>
      <c r="L49" s="90"/>
      <c r="M49" s="88"/>
      <c r="N49" s="88"/>
      <c r="O49" s="88"/>
      <c r="P49" s="88"/>
      <c r="Q49" s="88"/>
      <c r="R49" s="88"/>
    </row>
    <row r="50" spans="1:18" x14ac:dyDescent="0.35">
      <c r="A50" s="102" t="s">
        <v>449</v>
      </c>
      <c r="B50" s="88"/>
      <c r="C50" s="88"/>
      <c r="D50" s="88"/>
      <c r="E50" s="88"/>
      <c r="F50" s="125"/>
      <c r="G50" s="127"/>
      <c r="H50" s="127"/>
      <c r="I50" s="104"/>
      <c r="J50" s="456"/>
      <c r="K50" s="461"/>
      <c r="L50" s="90"/>
      <c r="M50" s="88"/>
      <c r="N50" s="88"/>
      <c r="O50" s="88"/>
      <c r="P50" s="88"/>
      <c r="Q50" s="88"/>
      <c r="R50" s="88"/>
    </row>
    <row r="51" spans="1:18" x14ac:dyDescent="0.35">
      <c r="G51"/>
      <c r="H51"/>
      <c r="J51" s="99"/>
      <c r="L51" s="28"/>
    </row>
    <row r="52" spans="1:18" s="34" customFormat="1" x14ac:dyDescent="0.35">
      <c r="A52" s="84">
        <v>8</v>
      </c>
      <c r="B52" s="606" t="s">
        <v>1003</v>
      </c>
      <c r="C52" s="607"/>
      <c r="D52" s="457" t="s">
        <v>170</v>
      </c>
      <c r="E52" s="457" t="s">
        <v>159</v>
      </c>
      <c r="F52" s="458">
        <v>15</v>
      </c>
      <c r="G52" s="462"/>
      <c r="H52" s="462"/>
      <c r="I52" s="130">
        <v>365</v>
      </c>
      <c r="J52" s="98"/>
      <c r="K52" s="8">
        <v>4087</v>
      </c>
      <c r="L52" s="91">
        <v>0.74648401826484023</v>
      </c>
      <c r="M52" s="118">
        <v>1448183.1465178435</v>
      </c>
      <c r="N52" s="85">
        <v>354.33891522335296</v>
      </c>
      <c r="O52" s="118">
        <v>205072.48514038994</v>
      </c>
      <c r="P52" s="85">
        <v>50.176776398431599</v>
      </c>
      <c r="Q52" s="86">
        <v>1243110.6613774535</v>
      </c>
      <c r="R52" s="85">
        <v>304.16213882492133</v>
      </c>
    </row>
    <row r="53" spans="1:18" x14ac:dyDescent="0.35">
      <c r="A53" s="100" t="s">
        <v>447</v>
      </c>
      <c r="B53" s="87"/>
      <c r="C53" s="87"/>
      <c r="D53" s="87"/>
      <c r="E53" s="87"/>
      <c r="F53" s="124"/>
      <c r="G53" s="126"/>
      <c r="H53" s="126"/>
      <c r="I53" s="103"/>
      <c r="J53" s="454" t="s">
        <v>53</v>
      </c>
      <c r="K53" s="459">
        <v>2187</v>
      </c>
      <c r="L53" s="89"/>
      <c r="M53" s="87"/>
      <c r="N53" s="87"/>
      <c r="O53" s="87"/>
      <c r="P53" s="87"/>
      <c r="Q53" s="87"/>
      <c r="R53" s="87"/>
    </row>
    <row r="54" spans="1:18" x14ac:dyDescent="0.35">
      <c r="A54" s="101" t="s">
        <v>448</v>
      </c>
      <c r="B54" s="88"/>
      <c r="C54" s="88"/>
      <c r="D54" s="88"/>
      <c r="E54" s="88"/>
      <c r="F54" s="125"/>
      <c r="G54" s="127"/>
      <c r="H54" s="127"/>
      <c r="I54" s="104"/>
      <c r="J54" s="455" t="s">
        <v>438</v>
      </c>
      <c r="K54" s="460">
        <v>1900</v>
      </c>
      <c r="L54" s="90"/>
      <c r="M54" s="88"/>
      <c r="N54" s="88"/>
      <c r="O54" s="88"/>
      <c r="P54" s="88"/>
      <c r="Q54" s="88"/>
      <c r="R54" s="88"/>
    </row>
    <row r="55" spans="1:18" x14ac:dyDescent="0.35">
      <c r="A55" s="102" t="s">
        <v>449</v>
      </c>
      <c r="B55" s="88"/>
      <c r="C55" s="88"/>
      <c r="D55" s="88"/>
      <c r="E55" s="88"/>
      <c r="F55" s="125"/>
      <c r="G55" s="127"/>
      <c r="H55" s="127"/>
      <c r="I55" s="104"/>
      <c r="J55" s="456"/>
      <c r="K55" s="461"/>
      <c r="L55" s="90"/>
      <c r="M55" s="88"/>
      <c r="N55" s="88"/>
      <c r="O55" s="88"/>
      <c r="P55" s="88"/>
      <c r="Q55" s="88"/>
      <c r="R55" s="88"/>
    </row>
    <row r="56" spans="1:18" x14ac:dyDescent="0.35">
      <c r="G56"/>
      <c r="H56"/>
      <c r="J56" s="99"/>
      <c r="L56" s="28"/>
    </row>
    <row r="57" spans="1:18" s="34" customFormat="1" x14ac:dyDescent="0.35">
      <c r="A57" s="84">
        <v>9</v>
      </c>
      <c r="B57" s="606" t="s">
        <v>1004</v>
      </c>
      <c r="C57" s="607"/>
      <c r="D57" s="457" t="s">
        <v>170</v>
      </c>
      <c r="E57" s="457" t="s">
        <v>159</v>
      </c>
      <c r="F57" s="458">
        <v>16</v>
      </c>
      <c r="G57" s="462"/>
      <c r="H57" s="462"/>
      <c r="I57" s="130">
        <v>365</v>
      </c>
      <c r="J57" s="98"/>
      <c r="K57" s="8">
        <v>4325</v>
      </c>
      <c r="L57" s="91">
        <v>0.74058219178082196</v>
      </c>
      <c r="M57" s="118">
        <v>1748821.7820320721</v>
      </c>
      <c r="N57" s="85">
        <v>404.3518571172421</v>
      </c>
      <c r="O57" s="118">
        <v>180574.38645861091</v>
      </c>
      <c r="P57" s="85">
        <v>41.751303227424486</v>
      </c>
      <c r="Q57" s="86">
        <v>1568247.3955734612</v>
      </c>
      <c r="R57" s="85">
        <v>362.6005538898176</v>
      </c>
    </row>
    <row r="58" spans="1:18" x14ac:dyDescent="0.35">
      <c r="A58" s="100" t="s">
        <v>447</v>
      </c>
      <c r="B58" s="87"/>
      <c r="C58" s="87"/>
      <c r="D58" s="87"/>
      <c r="E58" s="87"/>
      <c r="F58" s="124"/>
      <c r="G58" s="126"/>
      <c r="H58" s="126"/>
      <c r="I58" s="103"/>
      <c r="J58" s="454" t="s">
        <v>52</v>
      </c>
      <c r="K58" s="459">
        <v>4325</v>
      </c>
      <c r="L58" s="89"/>
      <c r="M58" s="87"/>
      <c r="N58" s="87"/>
      <c r="O58" s="87"/>
      <c r="P58" s="87"/>
      <c r="Q58" s="87"/>
      <c r="R58" s="87"/>
    </row>
    <row r="59" spans="1:18" x14ac:dyDescent="0.35">
      <c r="A59" s="101" t="s">
        <v>448</v>
      </c>
      <c r="B59" s="88"/>
      <c r="C59" s="88"/>
      <c r="D59" s="88"/>
      <c r="E59" s="88"/>
      <c r="F59" s="125"/>
      <c r="G59" s="127"/>
      <c r="H59" s="127"/>
      <c r="I59" s="104"/>
      <c r="J59" s="455"/>
      <c r="K59" s="460"/>
      <c r="L59" s="90"/>
      <c r="M59" s="88"/>
      <c r="N59" s="88"/>
      <c r="O59" s="88"/>
      <c r="P59" s="88"/>
      <c r="Q59" s="88"/>
      <c r="R59" s="88"/>
    </row>
    <row r="60" spans="1:18" x14ac:dyDescent="0.35">
      <c r="A60" s="102" t="s">
        <v>449</v>
      </c>
      <c r="B60" s="88"/>
      <c r="C60" s="88"/>
      <c r="D60" s="88"/>
      <c r="E60" s="88"/>
      <c r="F60" s="125"/>
      <c r="G60" s="127"/>
      <c r="H60" s="127"/>
      <c r="I60" s="104"/>
      <c r="J60" s="456"/>
      <c r="K60" s="461"/>
      <c r="L60" s="90"/>
      <c r="M60" s="88"/>
      <c r="N60" s="88"/>
      <c r="O60" s="88"/>
      <c r="P60" s="88"/>
      <c r="Q60" s="88"/>
      <c r="R60" s="88"/>
    </row>
    <row r="61" spans="1:18" x14ac:dyDescent="0.35">
      <c r="G61"/>
      <c r="H61"/>
      <c r="J61" s="99"/>
      <c r="L61" s="28"/>
    </row>
    <row r="62" spans="1:18" s="34" customFormat="1" x14ac:dyDescent="0.35">
      <c r="A62" s="84">
        <v>10</v>
      </c>
      <c r="B62" s="606" t="s">
        <v>1005</v>
      </c>
      <c r="C62" s="607"/>
      <c r="D62" s="457" t="s">
        <v>170</v>
      </c>
      <c r="E62" s="457" t="s">
        <v>159</v>
      </c>
      <c r="F62" s="458">
        <v>8</v>
      </c>
      <c r="G62" s="462"/>
      <c r="H62" s="462"/>
      <c r="I62" s="130">
        <v>365</v>
      </c>
      <c r="J62" s="98"/>
      <c r="K62" s="8">
        <v>2425</v>
      </c>
      <c r="L62" s="91">
        <v>0.83047945205479456</v>
      </c>
      <c r="M62" s="118">
        <v>1114301.9126722368</v>
      </c>
      <c r="N62" s="85">
        <v>459.50594336999455</v>
      </c>
      <c r="O62" s="118">
        <v>106694.97208810414</v>
      </c>
      <c r="P62" s="85">
        <v>43.997926634269753</v>
      </c>
      <c r="Q62" s="86">
        <v>1007606.9405841327</v>
      </c>
      <c r="R62" s="85">
        <v>415.50801673572482</v>
      </c>
    </row>
    <row r="63" spans="1:18" x14ac:dyDescent="0.35">
      <c r="A63" s="100" t="s">
        <v>447</v>
      </c>
      <c r="B63" s="87"/>
      <c r="C63" s="87"/>
      <c r="D63" s="87"/>
      <c r="E63" s="87"/>
      <c r="F63" s="124"/>
      <c r="G63" s="126"/>
      <c r="H63" s="126"/>
      <c r="I63" s="103"/>
      <c r="J63" s="454" t="s">
        <v>53</v>
      </c>
      <c r="K63" s="459">
        <v>1231</v>
      </c>
      <c r="L63" s="89"/>
      <c r="M63" s="87"/>
      <c r="N63" s="87"/>
      <c r="O63" s="87"/>
      <c r="P63" s="87"/>
      <c r="Q63" s="87"/>
      <c r="R63" s="87"/>
    </row>
    <row r="64" spans="1:18" x14ac:dyDescent="0.35">
      <c r="A64" s="101" t="s">
        <v>448</v>
      </c>
      <c r="B64" s="88"/>
      <c r="C64" s="88"/>
      <c r="D64" s="88"/>
      <c r="E64" s="88"/>
      <c r="F64" s="125"/>
      <c r="G64" s="127"/>
      <c r="H64" s="127"/>
      <c r="I64" s="104"/>
      <c r="J64" s="455" t="s">
        <v>438</v>
      </c>
      <c r="K64" s="460">
        <v>1194</v>
      </c>
      <c r="L64" s="90"/>
      <c r="M64" s="88"/>
      <c r="N64" s="88"/>
      <c r="O64" s="88"/>
      <c r="P64" s="88"/>
      <c r="Q64" s="88"/>
      <c r="R64" s="88"/>
    </row>
    <row r="65" spans="1:18" x14ac:dyDescent="0.35">
      <c r="A65" s="102" t="s">
        <v>449</v>
      </c>
      <c r="B65" s="88"/>
      <c r="C65" s="88"/>
      <c r="D65" s="88"/>
      <c r="E65" s="88"/>
      <c r="F65" s="125"/>
      <c r="G65" s="127"/>
      <c r="H65" s="127"/>
      <c r="I65" s="104"/>
      <c r="J65" s="456"/>
      <c r="K65" s="461"/>
      <c r="L65" s="90"/>
      <c r="M65" s="88"/>
      <c r="N65" s="88"/>
      <c r="O65" s="88"/>
      <c r="P65" s="88"/>
      <c r="Q65" s="88"/>
      <c r="R65" s="88"/>
    </row>
    <row r="66" spans="1:18" x14ac:dyDescent="0.35">
      <c r="G66"/>
      <c r="H66"/>
      <c r="J66" s="99"/>
      <c r="L66" s="28"/>
    </row>
    <row r="67" spans="1:18" s="34" customFormat="1" x14ac:dyDescent="0.35">
      <c r="A67" s="84">
        <v>11</v>
      </c>
      <c r="B67" s="606" t="s">
        <v>1006</v>
      </c>
      <c r="C67" s="607"/>
      <c r="D67" s="457" t="s">
        <v>170</v>
      </c>
      <c r="E67" s="457" t="s">
        <v>159</v>
      </c>
      <c r="F67" s="458">
        <v>8</v>
      </c>
      <c r="G67" s="462"/>
      <c r="H67" s="462"/>
      <c r="I67" s="130">
        <v>365</v>
      </c>
      <c r="J67" s="98"/>
      <c r="K67" s="8">
        <v>2388</v>
      </c>
      <c r="L67" s="91">
        <v>0.81780821917808222</v>
      </c>
      <c r="M67" s="118">
        <v>841932.28507519246</v>
      </c>
      <c r="N67" s="85">
        <v>352.56795857420121</v>
      </c>
      <c r="O67" s="118">
        <v>112513.63253184987</v>
      </c>
      <c r="P67" s="85">
        <v>47.116261529250366</v>
      </c>
      <c r="Q67" s="86">
        <v>729418.65254334256</v>
      </c>
      <c r="R67" s="85">
        <v>305.45169704495083</v>
      </c>
    </row>
    <row r="68" spans="1:18" x14ac:dyDescent="0.35">
      <c r="A68" s="100" t="s">
        <v>447</v>
      </c>
      <c r="B68" s="87"/>
      <c r="C68" s="87"/>
      <c r="D68" s="87"/>
      <c r="E68" s="87"/>
      <c r="F68" s="124"/>
      <c r="G68" s="126"/>
      <c r="H68" s="126"/>
      <c r="I68" s="103"/>
      <c r="J68" s="454" t="s">
        <v>53</v>
      </c>
      <c r="K68" s="459">
        <v>2388</v>
      </c>
      <c r="L68" s="89"/>
      <c r="M68" s="87"/>
      <c r="N68" s="87"/>
      <c r="O68" s="87"/>
      <c r="P68" s="87"/>
      <c r="Q68" s="87"/>
      <c r="R68" s="87"/>
    </row>
    <row r="69" spans="1:18" x14ac:dyDescent="0.35">
      <c r="A69" s="101" t="s">
        <v>448</v>
      </c>
      <c r="B69" s="88"/>
      <c r="C69" s="88"/>
      <c r="D69" s="88"/>
      <c r="E69" s="88"/>
      <c r="F69" s="125"/>
      <c r="G69" s="127"/>
      <c r="H69" s="127"/>
      <c r="I69" s="104"/>
      <c r="J69" s="455"/>
      <c r="K69" s="460"/>
      <c r="L69" s="90"/>
      <c r="M69" s="88"/>
      <c r="N69" s="88"/>
      <c r="O69" s="88"/>
      <c r="P69" s="88"/>
      <c r="Q69" s="88"/>
      <c r="R69" s="88"/>
    </row>
    <row r="70" spans="1:18" x14ac:dyDescent="0.35">
      <c r="A70" s="102" t="s">
        <v>449</v>
      </c>
      <c r="B70" s="88"/>
      <c r="C70" s="88"/>
      <c r="D70" s="88"/>
      <c r="E70" s="88"/>
      <c r="F70" s="125"/>
      <c r="G70" s="127"/>
      <c r="H70" s="127"/>
      <c r="I70" s="104"/>
      <c r="J70" s="456"/>
      <c r="K70" s="461"/>
      <c r="L70" s="90"/>
      <c r="M70" s="88"/>
      <c r="N70" s="88"/>
      <c r="O70" s="88"/>
      <c r="P70" s="88"/>
      <c r="Q70" s="88"/>
      <c r="R70" s="88"/>
    </row>
    <row r="71" spans="1:18" x14ac:dyDescent="0.35">
      <c r="G71"/>
      <c r="H71"/>
      <c r="J71" s="99"/>
      <c r="L71" s="28"/>
    </row>
    <row r="72" spans="1:18" s="34" customFormat="1" x14ac:dyDescent="0.35">
      <c r="A72" s="84">
        <v>12</v>
      </c>
      <c r="B72" s="606" t="s">
        <v>1007</v>
      </c>
      <c r="C72" s="607"/>
      <c r="D72" s="457" t="s">
        <v>170</v>
      </c>
      <c r="E72" s="457" t="s">
        <v>159</v>
      </c>
      <c r="F72" s="458">
        <v>10</v>
      </c>
      <c r="G72" s="462"/>
      <c r="H72" s="462"/>
      <c r="I72" s="130">
        <v>365</v>
      </c>
      <c r="J72" s="98"/>
      <c r="K72" s="8">
        <v>3162</v>
      </c>
      <c r="L72" s="91">
        <v>0.86630136986301365</v>
      </c>
      <c r="M72" s="118">
        <v>1042920.1595276883</v>
      </c>
      <c r="N72" s="85">
        <v>329.8292724628995</v>
      </c>
      <c r="O72" s="118">
        <v>181963.3767863416</v>
      </c>
      <c r="P72" s="85">
        <v>57.546924979867676</v>
      </c>
      <c r="Q72" s="86">
        <v>860956.78274134663</v>
      </c>
      <c r="R72" s="85">
        <v>272.2823474830318</v>
      </c>
    </row>
    <row r="73" spans="1:18" x14ac:dyDescent="0.35">
      <c r="A73" s="100" t="s">
        <v>447</v>
      </c>
      <c r="B73" s="87"/>
      <c r="C73" s="87"/>
      <c r="D73" s="87"/>
      <c r="E73" s="87"/>
      <c r="F73" s="124"/>
      <c r="G73" s="126"/>
      <c r="H73" s="126"/>
      <c r="I73" s="103"/>
      <c r="J73" s="454" t="s">
        <v>53</v>
      </c>
      <c r="K73" s="459">
        <v>3162</v>
      </c>
      <c r="L73" s="89"/>
      <c r="M73" s="87"/>
      <c r="N73" s="87"/>
      <c r="O73" s="87"/>
      <c r="P73" s="87"/>
      <c r="Q73" s="87"/>
      <c r="R73" s="87"/>
    </row>
    <row r="74" spans="1:18" x14ac:dyDescent="0.35">
      <c r="A74" s="101" t="s">
        <v>448</v>
      </c>
      <c r="B74" s="88"/>
      <c r="C74" s="88"/>
      <c r="D74" s="88"/>
      <c r="E74" s="88"/>
      <c r="F74" s="125"/>
      <c r="G74" s="127"/>
      <c r="H74" s="127"/>
      <c r="I74" s="104"/>
      <c r="J74" s="455"/>
      <c r="K74" s="460"/>
      <c r="L74" s="90"/>
      <c r="M74" s="88"/>
      <c r="N74" s="88"/>
      <c r="O74" s="88"/>
      <c r="P74" s="88"/>
      <c r="Q74" s="88"/>
      <c r="R74" s="88"/>
    </row>
    <row r="75" spans="1:18" x14ac:dyDescent="0.35">
      <c r="A75" s="102" t="s">
        <v>449</v>
      </c>
      <c r="B75" s="88"/>
      <c r="C75" s="88"/>
      <c r="D75" s="88"/>
      <c r="E75" s="88"/>
      <c r="F75" s="125"/>
      <c r="G75" s="127"/>
      <c r="H75" s="127"/>
      <c r="I75" s="104"/>
      <c r="J75" s="456"/>
      <c r="K75" s="461"/>
      <c r="L75" s="90"/>
      <c r="M75" s="88"/>
      <c r="N75" s="88"/>
      <c r="O75" s="88"/>
      <c r="P75" s="88"/>
      <c r="Q75" s="88"/>
      <c r="R75" s="88"/>
    </row>
    <row r="76" spans="1:18" x14ac:dyDescent="0.35">
      <c r="G76"/>
      <c r="H76"/>
      <c r="J76" s="99"/>
      <c r="L76" s="28"/>
    </row>
    <row r="77" spans="1:18" s="34" customFormat="1" x14ac:dyDescent="0.35">
      <c r="A77" s="84">
        <v>13</v>
      </c>
      <c r="B77" s="606" t="s">
        <v>1008</v>
      </c>
      <c r="C77" s="607"/>
      <c r="D77" s="457" t="s">
        <v>456</v>
      </c>
      <c r="E77" s="457"/>
      <c r="F77" s="458"/>
      <c r="G77" s="462"/>
      <c r="H77" s="462"/>
      <c r="I77" s="130">
        <v>365</v>
      </c>
      <c r="J77" s="98"/>
      <c r="K77" s="8">
        <v>0</v>
      </c>
      <c r="L77" s="91" t="s">
        <v>1009</v>
      </c>
      <c r="M77" s="118">
        <v>242820.01644591751</v>
      </c>
      <c r="N77" s="85" t="s">
        <v>1009</v>
      </c>
      <c r="O77" s="118"/>
      <c r="P77" s="85" t="s">
        <v>1009</v>
      </c>
      <c r="Q77" s="86">
        <v>242820.01644591751</v>
      </c>
      <c r="R77" s="85" t="s">
        <v>1009</v>
      </c>
    </row>
    <row r="78" spans="1:18" x14ac:dyDescent="0.35">
      <c r="A78" s="100" t="s">
        <v>447</v>
      </c>
      <c r="B78" s="87"/>
      <c r="C78" s="87"/>
      <c r="D78" s="87"/>
      <c r="E78" s="87"/>
      <c r="F78" s="124"/>
      <c r="G78" s="126"/>
      <c r="H78" s="126"/>
      <c r="I78" s="103"/>
      <c r="J78" s="454"/>
      <c r="K78" s="459"/>
      <c r="L78" s="89"/>
      <c r="M78" s="87"/>
      <c r="N78" s="87"/>
      <c r="O78" s="87"/>
      <c r="P78" s="87"/>
      <c r="Q78" s="87"/>
      <c r="R78" s="87"/>
    </row>
    <row r="79" spans="1:18" x14ac:dyDescent="0.35">
      <c r="A79" s="101" t="s">
        <v>448</v>
      </c>
      <c r="B79" s="88"/>
      <c r="C79" s="88"/>
      <c r="D79" s="88"/>
      <c r="E79" s="88"/>
      <c r="F79" s="125"/>
      <c r="G79" s="127"/>
      <c r="H79" s="127"/>
      <c r="I79" s="104"/>
      <c r="J79" s="455"/>
      <c r="K79" s="460"/>
      <c r="L79" s="90"/>
      <c r="M79" s="88"/>
      <c r="N79" s="88"/>
      <c r="O79" s="88"/>
      <c r="P79" s="88"/>
      <c r="Q79" s="88"/>
      <c r="R79" s="88"/>
    </row>
    <row r="80" spans="1:18" x14ac:dyDescent="0.35">
      <c r="A80" s="102" t="s">
        <v>449</v>
      </c>
      <c r="B80" s="88"/>
      <c r="C80" s="88"/>
      <c r="D80" s="88"/>
      <c r="E80" s="88"/>
      <c r="F80" s="125"/>
      <c r="G80" s="127"/>
      <c r="H80" s="127"/>
      <c r="I80" s="104"/>
      <c r="J80" s="456"/>
      <c r="K80" s="461"/>
      <c r="L80" s="90"/>
      <c r="M80" s="88"/>
      <c r="N80" s="88"/>
      <c r="O80" s="88"/>
      <c r="P80" s="88"/>
      <c r="Q80" s="88"/>
      <c r="R80" s="88"/>
    </row>
    <row r="81" spans="1:18" x14ac:dyDescent="0.35">
      <c r="G81"/>
      <c r="H81"/>
      <c r="J81" s="99"/>
      <c r="L81" s="28"/>
    </row>
    <row r="82" spans="1:18" s="34" customFormat="1" x14ac:dyDescent="0.35">
      <c r="A82" s="84">
        <v>14</v>
      </c>
      <c r="B82" s="606" t="s">
        <v>1010</v>
      </c>
      <c r="C82" s="607"/>
      <c r="D82" s="457" t="s">
        <v>456</v>
      </c>
      <c r="E82" s="457"/>
      <c r="F82" s="458"/>
      <c r="G82" s="462"/>
      <c r="H82" s="462"/>
      <c r="I82" s="130">
        <v>365</v>
      </c>
      <c r="J82" s="98"/>
      <c r="K82" s="8">
        <v>0</v>
      </c>
      <c r="L82" s="91" t="s">
        <v>1009</v>
      </c>
      <c r="M82" s="118">
        <v>108935.4</v>
      </c>
      <c r="N82" s="85" t="s">
        <v>1009</v>
      </c>
      <c r="O82" s="118"/>
      <c r="P82" s="85" t="s">
        <v>1009</v>
      </c>
      <c r="Q82" s="86">
        <v>108935.4</v>
      </c>
      <c r="R82" s="85" t="s">
        <v>1009</v>
      </c>
    </row>
    <row r="83" spans="1:18" x14ac:dyDescent="0.35">
      <c r="A83" s="100" t="s">
        <v>447</v>
      </c>
      <c r="B83" s="87"/>
      <c r="C83" s="87"/>
      <c r="D83" s="87"/>
      <c r="E83" s="87"/>
      <c r="F83" s="124"/>
      <c r="G83" s="126"/>
      <c r="H83" s="126"/>
      <c r="I83" s="103"/>
      <c r="J83" s="454"/>
      <c r="K83" s="459"/>
      <c r="L83" s="89"/>
      <c r="M83" s="87"/>
      <c r="N83" s="87"/>
      <c r="O83" s="87"/>
      <c r="P83" s="87"/>
      <c r="Q83" s="87"/>
      <c r="R83" s="87"/>
    </row>
    <row r="84" spans="1:18" x14ac:dyDescent="0.35">
      <c r="A84" s="101" t="s">
        <v>448</v>
      </c>
      <c r="B84" s="88"/>
      <c r="C84" s="88"/>
      <c r="D84" s="88"/>
      <c r="E84" s="88"/>
      <c r="F84" s="125"/>
      <c r="G84" s="127"/>
      <c r="H84" s="127"/>
      <c r="I84" s="104"/>
      <c r="J84" s="455"/>
      <c r="K84" s="460"/>
      <c r="L84" s="90"/>
      <c r="M84" s="88"/>
      <c r="N84" s="88"/>
      <c r="O84" s="88"/>
      <c r="P84" s="88"/>
      <c r="Q84" s="88"/>
      <c r="R84" s="88"/>
    </row>
    <row r="85" spans="1:18" x14ac:dyDescent="0.35">
      <c r="A85" s="102" t="s">
        <v>449</v>
      </c>
      <c r="B85" s="88"/>
      <c r="C85" s="88"/>
      <c r="D85" s="88"/>
      <c r="E85" s="88"/>
      <c r="F85" s="125"/>
      <c r="G85" s="127"/>
      <c r="H85" s="127"/>
      <c r="I85" s="104"/>
      <c r="J85" s="456"/>
      <c r="K85" s="461"/>
      <c r="L85" s="90"/>
      <c r="M85" s="88"/>
      <c r="N85" s="88"/>
      <c r="O85" s="88"/>
      <c r="P85" s="88"/>
      <c r="Q85" s="88"/>
      <c r="R85" s="88"/>
    </row>
    <row r="86" spans="1:18" x14ac:dyDescent="0.35">
      <c r="G86"/>
      <c r="H86"/>
      <c r="J86" s="99"/>
      <c r="L86" s="28"/>
    </row>
    <row r="87" spans="1:18" s="34" customFormat="1" x14ac:dyDescent="0.35">
      <c r="A87" s="84">
        <v>15</v>
      </c>
      <c r="B87" s="606" t="s">
        <v>1011</v>
      </c>
      <c r="C87" s="607"/>
      <c r="D87" s="457" t="s">
        <v>170</v>
      </c>
      <c r="E87" s="457" t="s">
        <v>159</v>
      </c>
      <c r="F87" s="458">
        <v>6</v>
      </c>
      <c r="G87" s="462"/>
      <c r="H87" s="462"/>
      <c r="I87" s="130">
        <v>365</v>
      </c>
      <c r="J87" s="98"/>
      <c r="K87" s="8">
        <v>2022</v>
      </c>
      <c r="L87" s="91">
        <v>0.92328767123287669</v>
      </c>
      <c r="M87" s="118">
        <v>695206.86879630492</v>
      </c>
      <c r="N87" s="85">
        <v>343.82139900905287</v>
      </c>
      <c r="O87" s="118">
        <v>98068.57660649193</v>
      </c>
      <c r="P87" s="85">
        <v>48.500779726257136</v>
      </c>
      <c r="Q87" s="86">
        <v>597138.29218981299</v>
      </c>
      <c r="R87" s="85">
        <v>295.32061928279575</v>
      </c>
    </row>
    <row r="88" spans="1:18" x14ac:dyDescent="0.35">
      <c r="A88" s="100" t="s">
        <v>447</v>
      </c>
      <c r="B88" s="87"/>
      <c r="C88" s="87"/>
      <c r="D88" s="87"/>
      <c r="E88" s="87"/>
      <c r="F88" s="124"/>
      <c r="G88" s="126"/>
      <c r="H88" s="126"/>
      <c r="I88" s="103"/>
      <c r="J88" s="454" t="s">
        <v>53</v>
      </c>
      <c r="K88" s="459">
        <v>2022</v>
      </c>
      <c r="L88" s="89"/>
      <c r="M88" s="87"/>
      <c r="N88" s="87"/>
      <c r="O88" s="87"/>
      <c r="P88" s="87"/>
      <c r="Q88" s="87"/>
      <c r="R88" s="87"/>
    </row>
    <row r="89" spans="1:18" x14ac:dyDescent="0.35">
      <c r="A89" s="101" t="s">
        <v>448</v>
      </c>
      <c r="B89" s="88"/>
      <c r="C89" s="88"/>
      <c r="D89" s="88"/>
      <c r="E89" s="88"/>
      <c r="F89" s="125"/>
      <c r="G89" s="127"/>
      <c r="H89" s="127"/>
      <c r="I89" s="104"/>
      <c r="J89" s="455"/>
      <c r="K89" s="460"/>
      <c r="L89" s="90"/>
      <c r="M89" s="88"/>
      <c r="N89" s="88"/>
      <c r="O89" s="88"/>
      <c r="P89" s="88"/>
      <c r="Q89" s="88"/>
      <c r="R89" s="88"/>
    </row>
    <row r="90" spans="1:18" x14ac:dyDescent="0.35">
      <c r="A90" s="102" t="s">
        <v>449</v>
      </c>
      <c r="B90" s="88"/>
      <c r="C90" s="88"/>
      <c r="D90" s="88"/>
      <c r="E90" s="88"/>
      <c r="F90" s="125"/>
      <c r="G90" s="127"/>
      <c r="H90" s="127"/>
      <c r="I90" s="104"/>
      <c r="J90" s="456"/>
      <c r="K90" s="461"/>
      <c r="L90" s="90"/>
      <c r="M90" s="88"/>
      <c r="N90" s="88"/>
      <c r="O90" s="88"/>
      <c r="P90" s="88"/>
      <c r="Q90" s="88"/>
      <c r="R90" s="88"/>
    </row>
    <row r="91" spans="1:18" x14ac:dyDescent="0.35">
      <c r="G91"/>
      <c r="H91"/>
      <c r="J91" s="99"/>
      <c r="L91" s="28"/>
    </row>
    <row r="92" spans="1:18" s="34" customFormat="1" x14ac:dyDescent="0.35">
      <c r="A92" s="84">
        <v>16</v>
      </c>
      <c r="B92" s="606" t="s">
        <v>1012</v>
      </c>
      <c r="C92" s="607"/>
      <c r="D92" s="457" t="s">
        <v>456</v>
      </c>
      <c r="E92" s="457"/>
      <c r="F92" s="458"/>
      <c r="G92" s="462"/>
      <c r="H92" s="462"/>
      <c r="I92" s="130">
        <v>365</v>
      </c>
      <c r="J92" s="98"/>
      <c r="K92" s="8">
        <v>0</v>
      </c>
      <c r="L92" s="91" t="s">
        <v>1009</v>
      </c>
      <c r="M92" s="118">
        <v>102551.39999999998</v>
      </c>
      <c r="N92" s="85" t="s">
        <v>1009</v>
      </c>
      <c r="O92" s="118"/>
      <c r="P92" s="85" t="s">
        <v>1009</v>
      </c>
      <c r="Q92" s="86">
        <v>102551.39999999998</v>
      </c>
      <c r="R92" s="85" t="s">
        <v>1009</v>
      </c>
    </row>
    <row r="93" spans="1:18" x14ac:dyDescent="0.35">
      <c r="A93" s="100" t="s">
        <v>447</v>
      </c>
      <c r="B93" s="87"/>
      <c r="C93" s="87"/>
      <c r="D93" s="87"/>
      <c r="E93" s="87"/>
      <c r="F93" s="124"/>
      <c r="G93" s="126"/>
      <c r="H93" s="126"/>
      <c r="I93" s="103"/>
      <c r="J93" s="454"/>
      <c r="K93" s="459"/>
      <c r="L93" s="89"/>
      <c r="M93" s="87"/>
      <c r="N93" s="87"/>
      <c r="O93" s="87"/>
      <c r="P93" s="87"/>
      <c r="Q93" s="87"/>
      <c r="R93" s="87"/>
    </row>
    <row r="94" spans="1:18" x14ac:dyDescent="0.35">
      <c r="A94" s="101" t="s">
        <v>448</v>
      </c>
      <c r="B94" s="88"/>
      <c r="C94" s="88"/>
      <c r="D94" s="88"/>
      <c r="E94" s="88"/>
      <c r="F94" s="125"/>
      <c r="G94" s="127"/>
      <c r="H94" s="127"/>
      <c r="I94" s="104"/>
      <c r="J94" s="455"/>
      <c r="K94" s="460"/>
      <c r="L94" s="90"/>
      <c r="M94" s="88"/>
      <c r="N94" s="88"/>
      <c r="O94" s="88"/>
      <c r="P94" s="88"/>
      <c r="Q94" s="88"/>
      <c r="R94" s="88"/>
    </row>
    <row r="95" spans="1:18" x14ac:dyDescent="0.35">
      <c r="A95" s="102" t="s">
        <v>449</v>
      </c>
      <c r="B95" s="88"/>
      <c r="C95" s="88"/>
      <c r="D95" s="88"/>
      <c r="E95" s="88"/>
      <c r="F95" s="125"/>
      <c r="G95" s="127"/>
      <c r="H95" s="127"/>
      <c r="I95" s="104"/>
      <c r="J95" s="456"/>
      <c r="K95" s="461"/>
      <c r="L95" s="90"/>
      <c r="M95" s="88"/>
      <c r="N95" s="88"/>
      <c r="O95" s="88"/>
      <c r="P95" s="88"/>
      <c r="Q95" s="88"/>
      <c r="R95" s="88"/>
    </row>
    <row r="96" spans="1:18" x14ac:dyDescent="0.35">
      <c r="G96"/>
      <c r="H96"/>
      <c r="J96" s="99"/>
      <c r="L96" s="28"/>
    </row>
    <row r="97" spans="1:18" s="34" customFormat="1" x14ac:dyDescent="0.35">
      <c r="A97" s="84">
        <v>17</v>
      </c>
      <c r="B97" s="606" t="s">
        <v>1013</v>
      </c>
      <c r="C97" s="607"/>
      <c r="D97" s="457" t="s">
        <v>456</v>
      </c>
      <c r="E97" s="457"/>
      <c r="F97" s="458"/>
      <c r="G97" s="462"/>
      <c r="H97" s="462"/>
      <c r="I97" s="130">
        <v>365</v>
      </c>
      <c r="J97" s="98"/>
      <c r="K97" s="8">
        <v>0</v>
      </c>
      <c r="L97" s="91" t="s">
        <v>1009</v>
      </c>
      <c r="M97" s="118">
        <v>95335.49000000002</v>
      </c>
      <c r="N97" s="85" t="s">
        <v>1009</v>
      </c>
      <c r="O97" s="118"/>
      <c r="P97" s="85" t="s">
        <v>1009</v>
      </c>
      <c r="Q97" s="86">
        <v>95335.49000000002</v>
      </c>
      <c r="R97" s="85" t="s">
        <v>1009</v>
      </c>
    </row>
    <row r="98" spans="1:18" x14ac:dyDescent="0.35">
      <c r="A98" s="100" t="s">
        <v>447</v>
      </c>
      <c r="B98" s="87"/>
      <c r="C98" s="87"/>
      <c r="D98" s="87"/>
      <c r="E98" s="87"/>
      <c r="F98" s="124"/>
      <c r="G98" s="126"/>
      <c r="H98" s="126"/>
      <c r="I98" s="103"/>
      <c r="J98" s="454"/>
      <c r="K98" s="459"/>
      <c r="L98" s="89"/>
      <c r="M98" s="87"/>
      <c r="N98" s="87"/>
      <c r="O98" s="87"/>
      <c r="P98" s="87"/>
      <c r="Q98" s="87"/>
      <c r="R98" s="87"/>
    </row>
    <row r="99" spans="1:18" x14ac:dyDescent="0.35">
      <c r="A99" s="101" t="s">
        <v>448</v>
      </c>
      <c r="B99" s="88"/>
      <c r="C99" s="88"/>
      <c r="D99" s="88"/>
      <c r="E99" s="88"/>
      <c r="F99" s="125"/>
      <c r="G99" s="127"/>
      <c r="H99" s="127"/>
      <c r="I99" s="104"/>
      <c r="J99" s="455"/>
      <c r="K99" s="460"/>
      <c r="L99" s="90"/>
      <c r="M99" s="88"/>
      <c r="N99" s="88"/>
      <c r="O99" s="88"/>
      <c r="P99" s="88"/>
      <c r="Q99" s="88"/>
      <c r="R99" s="88"/>
    </row>
    <row r="100" spans="1:18" x14ac:dyDescent="0.35">
      <c r="A100" s="102" t="s">
        <v>449</v>
      </c>
      <c r="B100" s="88"/>
      <c r="C100" s="88"/>
      <c r="D100" s="88"/>
      <c r="E100" s="88"/>
      <c r="F100" s="125"/>
      <c r="G100" s="127"/>
      <c r="H100" s="127"/>
      <c r="I100" s="104"/>
      <c r="J100" s="456"/>
      <c r="K100" s="461"/>
      <c r="L100" s="90"/>
      <c r="M100" s="88"/>
      <c r="N100" s="88"/>
      <c r="O100" s="88"/>
      <c r="P100" s="88"/>
      <c r="Q100" s="88"/>
      <c r="R100" s="88"/>
    </row>
    <row r="101" spans="1:18" x14ac:dyDescent="0.35">
      <c r="G101"/>
      <c r="H101"/>
      <c r="J101" s="99"/>
      <c r="L101" s="28"/>
    </row>
    <row r="102" spans="1:18" s="34" customFormat="1" x14ac:dyDescent="0.35">
      <c r="A102" s="84">
        <v>18</v>
      </c>
      <c r="B102" s="606" t="s">
        <v>1014</v>
      </c>
      <c r="C102" s="607"/>
      <c r="D102" s="457" t="s">
        <v>456</v>
      </c>
      <c r="E102" s="457"/>
      <c r="F102" s="458"/>
      <c r="G102" s="462"/>
      <c r="H102" s="462"/>
      <c r="I102" s="130">
        <v>365</v>
      </c>
      <c r="J102" s="98"/>
      <c r="K102" s="8">
        <v>0</v>
      </c>
      <c r="L102" s="91" t="s">
        <v>1009</v>
      </c>
      <c r="M102" s="118">
        <v>163334.32999999999</v>
      </c>
      <c r="N102" s="85" t="s">
        <v>1009</v>
      </c>
      <c r="O102" s="118"/>
      <c r="P102" s="85" t="s">
        <v>1009</v>
      </c>
      <c r="Q102" s="86">
        <v>163334.32999999999</v>
      </c>
      <c r="R102" s="85" t="s">
        <v>1009</v>
      </c>
    </row>
    <row r="103" spans="1:18" x14ac:dyDescent="0.35">
      <c r="A103" s="100" t="s">
        <v>447</v>
      </c>
      <c r="B103" s="87"/>
      <c r="C103" s="87"/>
      <c r="D103" s="87"/>
      <c r="E103" s="87"/>
      <c r="F103" s="124"/>
      <c r="G103" s="126"/>
      <c r="H103" s="126"/>
      <c r="I103" s="103"/>
      <c r="J103" s="454"/>
      <c r="K103" s="459"/>
      <c r="L103" s="89"/>
      <c r="M103" s="87"/>
      <c r="N103" s="87"/>
      <c r="O103" s="87"/>
      <c r="P103" s="87"/>
      <c r="Q103" s="87"/>
      <c r="R103" s="87"/>
    </row>
    <row r="104" spans="1:18" x14ac:dyDescent="0.35">
      <c r="A104" s="101" t="s">
        <v>448</v>
      </c>
      <c r="B104" s="88"/>
      <c r="C104" s="88"/>
      <c r="D104" s="88"/>
      <c r="E104" s="88"/>
      <c r="F104" s="125"/>
      <c r="G104" s="127"/>
      <c r="H104" s="127"/>
      <c r="I104" s="104"/>
      <c r="J104" s="455"/>
      <c r="K104" s="460"/>
      <c r="L104" s="90"/>
      <c r="M104" s="88"/>
      <c r="N104" s="88"/>
      <c r="O104" s="88"/>
      <c r="P104" s="88"/>
      <c r="Q104" s="88"/>
      <c r="R104" s="88"/>
    </row>
    <row r="105" spans="1:18" x14ac:dyDescent="0.35">
      <c r="A105" s="102" t="s">
        <v>449</v>
      </c>
      <c r="B105" s="88"/>
      <c r="C105" s="88"/>
      <c r="D105" s="88"/>
      <c r="E105" s="88"/>
      <c r="F105" s="125"/>
      <c r="G105" s="127"/>
      <c r="H105" s="127"/>
      <c r="I105" s="104"/>
      <c r="J105" s="456"/>
      <c r="K105" s="461"/>
      <c r="L105" s="90"/>
      <c r="M105" s="88"/>
      <c r="N105" s="88"/>
      <c r="O105" s="88"/>
      <c r="P105" s="88"/>
      <c r="Q105" s="88"/>
      <c r="R105" s="88"/>
    </row>
    <row r="106" spans="1:18" x14ac:dyDescent="0.35">
      <c r="G106"/>
      <c r="H106"/>
      <c r="J106" s="99"/>
      <c r="L106" s="28"/>
    </row>
    <row r="107" spans="1:18" s="34" customFormat="1" x14ac:dyDescent="0.35">
      <c r="A107" s="84">
        <v>19</v>
      </c>
      <c r="B107" s="606" t="s">
        <v>1015</v>
      </c>
      <c r="C107" s="607"/>
      <c r="D107" s="457"/>
      <c r="E107" s="457"/>
      <c r="F107" s="458"/>
      <c r="G107" s="462"/>
      <c r="H107" s="462"/>
      <c r="I107" s="130">
        <v>365</v>
      </c>
      <c r="J107" s="98"/>
      <c r="K107" s="8">
        <v>0</v>
      </c>
      <c r="L107" s="91" t="s">
        <v>1009</v>
      </c>
      <c r="M107" s="118">
        <v>1384511.9411448182</v>
      </c>
      <c r="N107" s="85" t="s">
        <v>1009</v>
      </c>
      <c r="O107" s="118"/>
      <c r="P107" s="85" t="s">
        <v>1009</v>
      </c>
      <c r="Q107" s="86">
        <v>1384511.9411448182</v>
      </c>
      <c r="R107" s="85" t="s">
        <v>1009</v>
      </c>
    </row>
    <row r="108" spans="1:18" x14ac:dyDescent="0.35">
      <c r="A108" s="100" t="s">
        <v>447</v>
      </c>
      <c r="B108" s="87"/>
      <c r="C108" s="87"/>
      <c r="D108" s="87"/>
      <c r="E108" s="87"/>
      <c r="F108" s="124"/>
      <c r="G108" s="126"/>
      <c r="H108" s="126"/>
      <c r="I108" s="103"/>
      <c r="J108" s="454"/>
      <c r="K108" s="459"/>
      <c r="L108" s="89"/>
      <c r="M108" s="87"/>
      <c r="N108" s="87"/>
      <c r="O108" s="87"/>
      <c r="P108" s="87"/>
      <c r="Q108" s="87"/>
      <c r="R108" s="87"/>
    </row>
    <row r="109" spans="1:18" x14ac:dyDescent="0.35">
      <c r="A109" s="101" t="s">
        <v>448</v>
      </c>
      <c r="B109" s="88"/>
      <c r="C109" s="88"/>
      <c r="D109" s="88"/>
      <c r="E109" s="88"/>
      <c r="F109" s="125"/>
      <c r="G109" s="127"/>
      <c r="H109" s="127"/>
      <c r="I109" s="104"/>
      <c r="J109" s="455"/>
      <c r="K109" s="460"/>
      <c r="L109" s="90"/>
      <c r="M109" s="88"/>
      <c r="N109" s="88"/>
      <c r="O109" s="88"/>
      <c r="P109" s="88"/>
      <c r="Q109" s="88"/>
      <c r="R109" s="88"/>
    </row>
    <row r="110" spans="1:18" x14ac:dyDescent="0.35">
      <c r="A110" s="102" t="s">
        <v>449</v>
      </c>
      <c r="B110" s="88"/>
      <c r="C110" s="88"/>
      <c r="D110" s="88"/>
      <c r="E110" s="88"/>
      <c r="F110" s="125"/>
      <c r="G110" s="127"/>
      <c r="H110" s="127"/>
      <c r="I110" s="104"/>
      <c r="J110" s="456"/>
      <c r="K110" s="461"/>
      <c r="L110" s="90"/>
      <c r="M110" s="88"/>
      <c r="N110" s="88"/>
      <c r="O110" s="88"/>
      <c r="P110" s="88"/>
      <c r="Q110" s="88"/>
      <c r="R110" s="88"/>
    </row>
    <row r="111" spans="1:18" x14ac:dyDescent="0.35">
      <c r="G111"/>
      <c r="H111"/>
      <c r="J111" s="99"/>
      <c r="L111" s="28"/>
    </row>
    <row r="112" spans="1:18" s="34" customFormat="1" x14ac:dyDescent="0.35">
      <c r="A112" s="84">
        <v>20</v>
      </c>
      <c r="B112" s="606" t="s">
        <v>1016</v>
      </c>
      <c r="C112" s="607"/>
      <c r="D112" s="457"/>
      <c r="E112" s="457"/>
      <c r="F112" s="458"/>
      <c r="G112" s="462"/>
      <c r="H112" s="462"/>
      <c r="I112" s="130">
        <v>365</v>
      </c>
      <c r="J112" s="98"/>
      <c r="K112" s="8">
        <v>0</v>
      </c>
      <c r="L112" s="91" t="s">
        <v>1009</v>
      </c>
      <c r="M112" s="118">
        <v>2059085.3864190921</v>
      </c>
      <c r="N112" s="85" t="s">
        <v>1009</v>
      </c>
      <c r="O112" s="118"/>
      <c r="P112" s="85" t="s">
        <v>1009</v>
      </c>
      <c r="Q112" s="86">
        <v>2059085.3864190921</v>
      </c>
      <c r="R112" s="85" t="s">
        <v>1009</v>
      </c>
    </row>
    <row r="113" spans="1:18" x14ac:dyDescent="0.35">
      <c r="A113" s="100" t="s">
        <v>447</v>
      </c>
      <c r="B113" s="87"/>
      <c r="C113" s="87"/>
      <c r="D113" s="87"/>
      <c r="E113" s="87"/>
      <c r="F113" s="124"/>
      <c r="G113" s="126"/>
      <c r="H113" s="126"/>
      <c r="I113" s="103"/>
      <c r="J113" s="454"/>
      <c r="K113" s="459"/>
      <c r="L113" s="89"/>
      <c r="M113" s="87"/>
      <c r="N113" s="87"/>
      <c r="O113" s="87"/>
      <c r="P113" s="87"/>
      <c r="Q113" s="87"/>
      <c r="R113" s="87"/>
    </row>
    <row r="114" spans="1:18" x14ac:dyDescent="0.35">
      <c r="A114" s="101" t="s">
        <v>448</v>
      </c>
      <c r="B114" s="88"/>
      <c r="C114" s="88"/>
      <c r="D114" s="88"/>
      <c r="E114" s="88"/>
      <c r="F114" s="125"/>
      <c r="G114" s="127"/>
      <c r="H114" s="127"/>
      <c r="I114" s="104"/>
      <c r="J114" s="455"/>
      <c r="K114" s="460"/>
      <c r="L114" s="90"/>
      <c r="M114" s="88"/>
      <c r="N114" s="88"/>
      <c r="O114" s="88"/>
      <c r="P114" s="88"/>
      <c r="Q114" s="88"/>
      <c r="R114" s="88"/>
    </row>
    <row r="115" spans="1:18" x14ac:dyDescent="0.35">
      <c r="A115" s="102" t="s">
        <v>449</v>
      </c>
      <c r="B115" s="88"/>
      <c r="C115" s="88"/>
      <c r="D115" s="88"/>
      <c r="E115" s="88"/>
      <c r="F115" s="125"/>
      <c r="G115" s="127"/>
      <c r="H115" s="127"/>
      <c r="I115" s="104"/>
      <c r="J115" s="456"/>
      <c r="K115" s="461"/>
      <c r="L115" s="90"/>
      <c r="M115" s="88"/>
      <c r="N115" s="88"/>
      <c r="O115" s="88"/>
      <c r="P115" s="88"/>
      <c r="Q115" s="88"/>
      <c r="R115" s="88"/>
    </row>
    <row r="116" spans="1:18" x14ac:dyDescent="0.35">
      <c r="G116"/>
      <c r="H116"/>
      <c r="J116" s="99"/>
      <c r="L116" s="28"/>
    </row>
    <row r="117" spans="1:18" s="34" customFormat="1" x14ac:dyDescent="0.35">
      <c r="A117" s="84">
        <v>21</v>
      </c>
      <c r="B117" s="606" t="s">
        <v>1017</v>
      </c>
      <c r="C117" s="607"/>
      <c r="D117" s="457"/>
      <c r="E117" s="457"/>
      <c r="F117" s="458"/>
      <c r="G117" s="462"/>
      <c r="H117" s="462"/>
      <c r="I117" s="130">
        <v>365</v>
      </c>
      <c r="J117" s="98"/>
      <c r="K117" s="8">
        <v>0</v>
      </c>
      <c r="L117" s="91" t="s">
        <v>1009</v>
      </c>
      <c r="M117" s="118">
        <v>1402944.4</v>
      </c>
      <c r="N117" s="85" t="s">
        <v>1009</v>
      </c>
      <c r="O117" s="118"/>
      <c r="P117" s="85" t="s">
        <v>1009</v>
      </c>
      <c r="Q117" s="86">
        <v>1402944.4</v>
      </c>
      <c r="R117" s="85" t="s">
        <v>1009</v>
      </c>
    </row>
    <row r="118" spans="1:18" x14ac:dyDescent="0.35">
      <c r="A118" s="100" t="s">
        <v>447</v>
      </c>
      <c r="B118" s="87"/>
      <c r="C118" s="87"/>
      <c r="D118" s="87"/>
      <c r="E118" s="87"/>
      <c r="F118" s="124"/>
      <c r="G118" s="126"/>
      <c r="H118" s="126"/>
      <c r="I118" s="103"/>
      <c r="J118" s="454"/>
      <c r="K118" s="459"/>
      <c r="L118" s="89"/>
      <c r="M118" s="87"/>
      <c r="N118" s="87"/>
      <c r="O118" s="87"/>
      <c r="P118" s="87"/>
      <c r="Q118" s="87"/>
      <c r="R118" s="87"/>
    </row>
    <row r="119" spans="1:18" x14ac:dyDescent="0.35">
      <c r="A119" s="101" t="s">
        <v>448</v>
      </c>
      <c r="B119" s="88"/>
      <c r="C119" s="88"/>
      <c r="D119" s="88"/>
      <c r="E119" s="88"/>
      <c r="F119" s="125"/>
      <c r="G119" s="127"/>
      <c r="H119" s="127"/>
      <c r="I119" s="104"/>
      <c r="J119" s="455"/>
      <c r="K119" s="460"/>
      <c r="L119" s="90"/>
      <c r="M119" s="88"/>
      <c r="N119" s="88"/>
      <c r="O119" s="88"/>
      <c r="P119" s="88"/>
      <c r="Q119" s="88"/>
      <c r="R119" s="88"/>
    </row>
    <row r="120" spans="1:18" x14ac:dyDescent="0.35">
      <c r="A120" s="102" t="s">
        <v>449</v>
      </c>
      <c r="B120" s="88"/>
      <c r="C120" s="88"/>
      <c r="D120" s="88"/>
      <c r="E120" s="88"/>
      <c r="F120" s="125"/>
      <c r="G120" s="127"/>
      <c r="H120" s="127"/>
      <c r="I120" s="104"/>
      <c r="J120" s="456"/>
      <c r="K120" s="461"/>
      <c r="L120" s="90"/>
      <c r="M120" s="88"/>
      <c r="N120" s="88"/>
      <c r="O120" s="88"/>
      <c r="P120" s="88"/>
      <c r="Q120" s="88"/>
      <c r="R120" s="88"/>
    </row>
    <row r="121" spans="1:18" x14ac:dyDescent="0.35">
      <c r="G121"/>
      <c r="H121"/>
      <c r="J121" s="99"/>
      <c r="L121" s="28"/>
    </row>
    <row r="122" spans="1:18" s="34" customFormat="1" x14ac:dyDescent="0.35">
      <c r="A122" s="84">
        <v>22</v>
      </c>
      <c r="B122" s="606" t="s">
        <v>1018</v>
      </c>
      <c r="C122" s="607"/>
      <c r="D122" s="457"/>
      <c r="E122" s="457"/>
      <c r="F122" s="458"/>
      <c r="G122" s="462"/>
      <c r="H122" s="462"/>
      <c r="I122" s="130">
        <v>365</v>
      </c>
      <c r="J122" s="98"/>
      <c r="K122" s="8">
        <v>0</v>
      </c>
      <c r="L122" s="91" t="s">
        <v>1009</v>
      </c>
      <c r="M122" s="118">
        <v>1093347.5</v>
      </c>
      <c r="N122" s="85" t="s">
        <v>1009</v>
      </c>
      <c r="O122" s="118"/>
      <c r="P122" s="85" t="s">
        <v>1009</v>
      </c>
      <c r="Q122" s="86">
        <v>1093347.5</v>
      </c>
      <c r="R122" s="85" t="s">
        <v>1009</v>
      </c>
    </row>
    <row r="123" spans="1:18" x14ac:dyDescent="0.35">
      <c r="A123" s="100" t="s">
        <v>447</v>
      </c>
      <c r="B123" s="87"/>
      <c r="C123" s="87"/>
      <c r="D123" s="87"/>
      <c r="E123" s="87"/>
      <c r="F123" s="124"/>
      <c r="G123" s="126"/>
      <c r="H123" s="126"/>
      <c r="I123" s="103"/>
      <c r="J123" s="454"/>
      <c r="K123" s="459"/>
      <c r="L123" s="89"/>
      <c r="M123" s="87"/>
      <c r="N123" s="87"/>
      <c r="O123" s="87"/>
      <c r="P123" s="87"/>
      <c r="Q123" s="87"/>
      <c r="R123" s="87"/>
    </row>
    <row r="124" spans="1:18" x14ac:dyDescent="0.35">
      <c r="A124" s="101" t="s">
        <v>448</v>
      </c>
      <c r="B124" s="88"/>
      <c r="C124" s="88"/>
      <c r="D124" s="88"/>
      <c r="E124" s="88"/>
      <c r="F124" s="125"/>
      <c r="G124" s="127"/>
      <c r="H124" s="127"/>
      <c r="I124" s="104"/>
      <c r="J124" s="455"/>
      <c r="K124" s="460"/>
      <c r="L124" s="90"/>
      <c r="M124" s="88"/>
      <c r="N124" s="88"/>
      <c r="O124" s="88"/>
      <c r="P124" s="88"/>
      <c r="Q124" s="88"/>
      <c r="R124" s="88"/>
    </row>
    <row r="125" spans="1:18" x14ac:dyDescent="0.35">
      <c r="A125" s="102" t="s">
        <v>449</v>
      </c>
      <c r="B125" s="88"/>
      <c r="C125" s="88"/>
      <c r="D125" s="88"/>
      <c r="E125" s="88"/>
      <c r="F125" s="125"/>
      <c r="G125" s="127"/>
      <c r="H125" s="127"/>
      <c r="I125" s="104"/>
      <c r="J125" s="456"/>
      <c r="K125" s="461"/>
      <c r="L125" s="90"/>
      <c r="M125" s="88"/>
      <c r="N125" s="88"/>
      <c r="O125" s="88"/>
      <c r="P125" s="88"/>
      <c r="Q125" s="88"/>
      <c r="R125" s="88"/>
    </row>
    <row r="126" spans="1:18" x14ac:dyDescent="0.35">
      <c r="G126"/>
      <c r="H126"/>
      <c r="J126" s="99"/>
      <c r="L126" s="28"/>
    </row>
    <row r="127" spans="1:18" s="34" customFormat="1" x14ac:dyDescent="0.35">
      <c r="A127" s="84">
        <v>23</v>
      </c>
      <c r="B127" s="606"/>
      <c r="C127" s="607"/>
      <c r="D127" s="457"/>
      <c r="E127" s="457"/>
      <c r="F127" s="458"/>
      <c r="G127" s="462"/>
      <c r="H127" s="462"/>
      <c r="I127" s="130" t="s">
        <v>1009</v>
      </c>
      <c r="J127" s="98"/>
      <c r="K127" s="8">
        <v>0</v>
      </c>
      <c r="L127" s="91" t="s">
        <v>1009</v>
      </c>
      <c r="M127" s="118"/>
      <c r="N127" s="85" t="s">
        <v>1009</v>
      </c>
      <c r="O127" s="118"/>
      <c r="P127" s="85" t="s">
        <v>1009</v>
      </c>
      <c r="Q127" s="86" t="s">
        <v>1009</v>
      </c>
      <c r="R127" s="85" t="s">
        <v>1009</v>
      </c>
    </row>
    <row r="128" spans="1:18" x14ac:dyDescent="0.35">
      <c r="A128" s="100" t="s">
        <v>447</v>
      </c>
      <c r="B128" s="87"/>
      <c r="C128" s="87"/>
      <c r="D128" s="87"/>
      <c r="E128" s="87"/>
      <c r="F128" s="124"/>
      <c r="G128" s="126"/>
      <c r="H128" s="126"/>
      <c r="I128" s="103"/>
      <c r="J128" s="454"/>
      <c r="K128" s="459"/>
      <c r="L128" s="89"/>
      <c r="M128" s="87"/>
      <c r="N128" s="87"/>
      <c r="O128" s="87"/>
      <c r="P128" s="87"/>
      <c r="Q128" s="87"/>
      <c r="R128" s="87"/>
    </row>
    <row r="129" spans="1:18" x14ac:dyDescent="0.35">
      <c r="A129" s="101" t="s">
        <v>448</v>
      </c>
      <c r="B129" s="88"/>
      <c r="C129" s="88"/>
      <c r="D129" s="88"/>
      <c r="E129" s="88"/>
      <c r="F129" s="125"/>
      <c r="G129" s="127"/>
      <c r="H129" s="127"/>
      <c r="I129" s="104"/>
      <c r="J129" s="455"/>
      <c r="K129" s="460"/>
      <c r="L129" s="90"/>
      <c r="M129" s="88"/>
      <c r="N129" s="88"/>
      <c r="O129" s="88"/>
      <c r="P129" s="88"/>
      <c r="Q129" s="88"/>
      <c r="R129" s="88"/>
    </row>
    <row r="130" spans="1:18" x14ac:dyDescent="0.35">
      <c r="A130" s="102" t="s">
        <v>449</v>
      </c>
      <c r="B130" s="88"/>
      <c r="C130" s="88"/>
      <c r="D130" s="88"/>
      <c r="E130" s="88"/>
      <c r="F130" s="125"/>
      <c r="G130" s="127"/>
      <c r="H130" s="127"/>
      <c r="I130" s="104"/>
      <c r="J130" s="456"/>
      <c r="K130" s="461"/>
      <c r="L130" s="90"/>
      <c r="M130" s="88"/>
      <c r="N130" s="88"/>
      <c r="O130" s="88"/>
      <c r="P130" s="88"/>
      <c r="Q130" s="88"/>
      <c r="R130" s="88"/>
    </row>
    <row r="131" spans="1:18" x14ac:dyDescent="0.35">
      <c r="G131"/>
      <c r="H131"/>
      <c r="J131" s="99"/>
      <c r="L131" s="28"/>
    </row>
    <row r="132" spans="1:18" s="34" customFormat="1" x14ac:dyDescent="0.35">
      <c r="A132" s="84">
        <v>24</v>
      </c>
      <c r="B132" s="606"/>
      <c r="C132" s="607"/>
      <c r="D132" s="457"/>
      <c r="E132" s="457"/>
      <c r="F132" s="458"/>
      <c r="G132" s="462"/>
      <c r="H132" s="462"/>
      <c r="I132" s="130" t="s">
        <v>1009</v>
      </c>
      <c r="J132" s="98"/>
      <c r="K132" s="8">
        <v>0</v>
      </c>
      <c r="L132" s="91" t="s">
        <v>1009</v>
      </c>
      <c r="M132" s="118"/>
      <c r="N132" s="85" t="s">
        <v>1009</v>
      </c>
      <c r="O132" s="118"/>
      <c r="P132" s="85" t="s">
        <v>1009</v>
      </c>
      <c r="Q132" s="86" t="s">
        <v>1009</v>
      </c>
      <c r="R132" s="85" t="s">
        <v>1009</v>
      </c>
    </row>
    <row r="133" spans="1:18" x14ac:dyDescent="0.35">
      <c r="A133" s="100" t="s">
        <v>447</v>
      </c>
      <c r="B133" s="87"/>
      <c r="C133" s="87"/>
      <c r="D133" s="87"/>
      <c r="E133" s="87"/>
      <c r="F133" s="124"/>
      <c r="G133" s="126"/>
      <c r="H133" s="126"/>
      <c r="I133" s="103"/>
      <c r="J133" s="454"/>
      <c r="K133" s="459"/>
      <c r="L133" s="89"/>
      <c r="M133" s="87"/>
      <c r="N133" s="87"/>
      <c r="O133" s="87"/>
      <c r="P133" s="87"/>
      <c r="Q133" s="87"/>
      <c r="R133" s="87"/>
    </row>
    <row r="134" spans="1:18" x14ac:dyDescent="0.35">
      <c r="A134" s="101" t="s">
        <v>448</v>
      </c>
      <c r="B134" s="88"/>
      <c r="C134" s="88"/>
      <c r="D134" s="88"/>
      <c r="E134" s="88"/>
      <c r="F134" s="125"/>
      <c r="G134" s="127"/>
      <c r="H134" s="127"/>
      <c r="I134" s="104"/>
      <c r="J134" s="455"/>
      <c r="K134" s="460"/>
      <c r="L134" s="90"/>
      <c r="M134" s="88"/>
      <c r="N134" s="88"/>
      <c r="O134" s="88"/>
      <c r="P134" s="88"/>
      <c r="Q134" s="88"/>
      <c r="R134" s="88"/>
    </row>
    <row r="135" spans="1:18" x14ac:dyDescent="0.35">
      <c r="A135" s="102" t="s">
        <v>449</v>
      </c>
      <c r="B135" s="88"/>
      <c r="C135" s="88"/>
      <c r="D135" s="88"/>
      <c r="E135" s="88"/>
      <c r="F135" s="125"/>
      <c r="G135" s="127"/>
      <c r="H135" s="127"/>
      <c r="I135" s="104"/>
      <c r="J135" s="456"/>
      <c r="K135" s="461"/>
      <c r="L135" s="90"/>
      <c r="M135" s="88"/>
      <c r="N135" s="88"/>
      <c r="O135" s="88"/>
      <c r="P135" s="88"/>
      <c r="Q135" s="88"/>
      <c r="R135" s="88"/>
    </row>
    <row r="136" spans="1:18" x14ac:dyDescent="0.35">
      <c r="G136"/>
      <c r="H136"/>
      <c r="J136" s="99"/>
      <c r="L136" s="28"/>
    </row>
    <row r="137" spans="1:18" s="34" customFormat="1" x14ac:dyDescent="0.35">
      <c r="A137" s="84">
        <v>25</v>
      </c>
      <c r="B137" s="606"/>
      <c r="C137" s="607"/>
      <c r="D137" s="457"/>
      <c r="E137" s="457"/>
      <c r="F137" s="458"/>
      <c r="G137" s="462"/>
      <c r="H137" s="462"/>
      <c r="I137" s="130" t="s">
        <v>1009</v>
      </c>
      <c r="J137" s="98"/>
      <c r="K137" s="8">
        <v>0</v>
      </c>
      <c r="L137" s="91" t="s">
        <v>1009</v>
      </c>
      <c r="M137" s="118"/>
      <c r="N137" s="85" t="s">
        <v>1009</v>
      </c>
      <c r="O137" s="118"/>
      <c r="P137" s="85" t="s">
        <v>1009</v>
      </c>
      <c r="Q137" s="86" t="s">
        <v>1009</v>
      </c>
      <c r="R137" s="85" t="s">
        <v>1009</v>
      </c>
    </row>
    <row r="138" spans="1:18" x14ac:dyDescent="0.35">
      <c r="A138" s="100" t="s">
        <v>447</v>
      </c>
      <c r="B138" s="87"/>
      <c r="C138" s="87"/>
      <c r="D138" s="87"/>
      <c r="E138" s="87"/>
      <c r="F138" s="124"/>
      <c r="G138" s="126"/>
      <c r="H138" s="126"/>
      <c r="I138" s="103"/>
      <c r="J138" s="454"/>
      <c r="K138" s="459"/>
      <c r="L138" s="89"/>
      <c r="M138" s="87"/>
      <c r="N138" s="87"/>
      <c r="O138" s="87"/>
      <c r="P138" s="87"/>
      <c r="Q138" s="87"/>
      <c r="R138" s="87"/>
    </row>
    <row r="139" spans="1:18" x14ac:dyDescent="0.35">
      <c r="A139" s="101" t="s">
        <v>448</v>
      </c>
      <c r="B139" s="88"/>
      <c r="C139" s="88"/>
      <c r="D139" s="88"/>
      <c r="E139" s="88"/>
      <c r="F139" s="125"/>
      <c r="G139" s="127"/>
      <c r="H139" s="127"/>
      <c r="I139" s="104"/>
      <c r="J139" s="455"/>
      <c r="K139" s="460"/>
      <c r="L139" s="90"/>
      <c r="M139" s="88"/>
      <c r="N139" s="88"/>
      <c r="O139" s="88"/>
      <c r="P139" s="88"/>
      <c r="Q139" s="88"/>
      <c r="R139" s="88"/>
    </row>
    <row r="140" spans="1:18" x14ac:dyDescent="0.35">
      <c r="A140" s="102" t="s">
        <v>449</v>
      </c>
      <c r="B140" s="88"/>
      <c r="C140" s="88"/>
      <c r="D140" s="88"/>
      <c r="E140" s="88"/>
      <c r="F140" s="125"/>
      <c r="G140" s="127"/>
      <c r="H140" s="127"/>
      <c r="I140" s="104"/>
      <c r="J140" s="456"/>
      <c r="K140" s="461"/>
      <c r="L140" s="90"/>
      <c r="M140" s="88"/>
      <c r="N140" s="88"/>
      <c r="O140" s="88"/>
      <c r="P140" s="88"/>
      <c r="Q140" s="88"/>
      <c r="R140" s="88"/>
    </row>
    <row r="141" spans="1:18" x14ac:dyDescent="0.35">
      <c r="G141"/>
      <c r="H141"/>
      <c r="J141" s="99"/>
      <c r="L141" s="28"/>
    </row>
    <row r="142" spans="1:18" s="34" customFormat="1" x14ac:dyDescent="0.35">
      <c r="A142" s="84">
        <v>26</v>
      </c>
      <c r="B142" s="606"/>
      <c r="C142" s="607"/>
      <c r="D142" s="457"/>
      <c r="E142" s="457"/>
      <c r="F142" s="458"/>
      <c r="G142" s="462"/>
      <c r="H142" s="462"/>
      <c r="I142" s="130" t="s">
        <v>1009</v>
      </c>
      <c r="J142" s="98"/>
      <c r="K142" s="8">
        <v>0</v>
      </c>
      <c r="L142" s="91" t="s">
        <v>1009</v>
      </c>
      <c r="M142" s="118"/>
      <c r="N142" s="85" t="s">
        <v>1009</v>
      </c>
      <c r="O142" s="118"/>
      <c r="P142" s="85" t="s">
        <v>1009</v>
      </c>
      <c r="Q142" s="86" t="s">
        <v>1009</v>
      </c>
      <c r="R142" s="85" t="s">
        <v>1009</v>
      </c>
    </row>
    <row r="143" spans="1:18" x14ac:dyDescent="0.35">
      <c r="A143" s="100" t="s">
        <v>447</v>
      </c>
      <c r="B143" s="87"/>
      <c r="C143" s="87"/>
      <c r="D143" s="87"/>
      <c r="E143" s="87"/>
      <c r="F143" s="124"/>
      <c r="G143" s="126"/>
      <c r="H143" s="126"/>
      <c r="I143" s="103"/>
      <c r="J143" s="454"/>
      <c r="K143" s="459"/>
      <c r="L143" s="89"/>
      <c r="M143" s="87"/>
      <c r="N143" s="87"/>
      <c r="O143" s="87"/>
      <c r="P143" s="87"/>
      <c r="Q143" s="87"/>
      <c r="R143" s="87"/>
    </row>
    <row r="144" spans="1:18" x14ac:dyDescent="0.35">
      <c r="A144" s="101" t="s">
        <v>448</v>
      </c>
      <c r="B144" s="88"/>
      <c r="C144" s="88"/>
      <c r="D144" s="88"/>
      <c r="E144" s="88"/>
      <c r="F144" s="125"/>
      <c r="G144" s="127"/>
      <c r="H144" s="127"/>
      <c r="I144" s="104"/>
      <c r="J144" s="455"/>
      <c r="K144" s="460"/>
      <c r="L144" s="90"/>
      <c r="M144" s="88"/>
      <c r="N144" s="88"/>
      <c r="O144" s="88"/>
      <c r="P144" s="88"/>
      <c r="Q144" s="88"/>
      <c r="R144" s="88"/>
    </row>
    <row r="145" spans="1:18" x14ac:dyDescent="0.35">
      <c r="A145" s="102" t="s">
        <v>449</v>
      </c>
      <c r="B145" s="88"/>
      <c r="C145" s="88"/>
      <c r="D145" s="88"/>
      <c r="E145" s="88"/>
      <c r="F145" s="125"/>
      <c r="G145" s="127"/>
      <c r="H145" s="127"/>
      <c r="I145" s="104"/>
      <c r="J145" s="456"/>
      <c r="K145" s="461"/>
      <c r="L145" s="90"/>
      <c r="M145" s="88"/>
      <c r="N145" s="88"/>
      <c r="O145" s="88"/>
      <c r="P145" s="88"/>
      <c r="Q145" s="88"/>
      <c r="R145" s="88"/>
    </row>
    <row r="146" spans="1:18" x14ac:dyDescent="0.35">
      <c r="G146"/>
      <c r="H146"/>
      <c r="J146" s="99"/>
      <c r="L146" s="28"/>
    </row>
    <row r="147" spans="1:18" s="34" customFormat="1" x14ac:dyDescent="0.35">
      <c r="A147" s="84">
        <v>27</v>
      </c>
      <c r="B147" s="606"/>
      <c r="C147" s="607"/>
      <c r="D147" s="457"/>
      <c r="E147" s="457"/>
      <c r="F147" s="458"/>
      <c r="G147" s="462"/>
      <c r="H147" s="462"/>
      <c r="I147" s="130" t="s">
        <v>1009</v>
      </c>
      <c r="J147" s="98"/>
      <c r="K147" s="8">
        <v>0</v>
      </c>
      <c r="L147" s="91" t="s">
        <v>1009</v>
      </c>
      <c r="M147" s="118"/>
      <c r="N147" s="85" t="s">
        <v>1009</v>
      </c>
      <c r="O147" s="118"/>
      <c r="P147" s="85" t="s">
        <v>1009</v>
      </c>
      <c r="Q147" s="86" t="s">
        <v>1009</v>
      </c>
      <c r="R147" s="85" t="s">
        <v>1009</v>
      </c>
    </row>
    <row r="148" spans="1:18" x14ac:dyDescent="0.35">
      <c r="A148" s="100" t="s">
        <v>447</v>
      </c>
      <c r="B148" s="87"/>
      <c r="C148" s="87"/>
      <c r="D148" s="87"/>
      <c r="E148" s="87"/>
      <c r="F148" s="124"/>
      <c r="G148" s="126"/>
      <c r="H148" s="126"/>
      <c r="I148" s="103"/>
      <c r="J148" s="454"/>
      <c r="K148" s="459"/>
      <c r="L148" s="89"/>
      <c r="M148" s="87"/>
      <c r="N148" s="87"/>
      <c r="O148" s="87"/>
      <c r="P148" s="87"/>
      <c r="Q148" s="87"/>
      <c r="R148" s="87"/>
    </row>
    <row r="149" spans="1:18" x14ac:dyDescent="0.35">
      <c r="A149" s="101" t="s">
        <v>448</v>
      </c>
      <c r="B149" s="88"/>
      <c r="C149" s="88"/>
      <c r="D149" s="88"/>
      <c r="E149" s="88"/>
      <c r="F149" s="125"/>
      <c r="G149" s="127"/>
      <c r="H149" s="127"/>
      <c r="I149" s="104"/>
      <c r="J149" s="455"/>
      <c r="K149" s="460"/>
      <c r="L149" s="90"/>
      <c r="M149" s="88"/>
      <c r="N149" s="88"/>
      <c r="O149" s="88"/>
      <c r="P149" s="88"/>
      <c r="Q149" s="88"/>
      <c r="R149" s="88"/>
    </row>
    <row r="150" spans="1:18" x14ac:dyDescent="0.35">
      <c r="A150" s="102" t="s">
        <v>449</v>
      </c>
      <c r="B150" s="88"/>
      <c r="C150" s="88"/>
      <c r="D150" s="88"/>
      <c r="E150" s="88"/>
      <c r="F150" s="125"/>
      <c r="G150" s="127"/>
      <c r="H150" s="127"/>
      <c r="I150" s="104"/>
      <c r="J150" s="456"/>
      <c r="K150" s="461"/>
      <c r="L150" s="90"/>
      <c r="M150" s="88"/>
      <c r="N150" s="88"/>
      <c r="O150" s="88"/>
      <c r="P150" s="88"/>
      <c r="Q150" s="88"/>
      <c r="R150" s="88"/>
    </row>
    <row r="151" spans="1:18" x14ac:dyDescent="0.35">
      <c r="G151"/>
      <c r="H151"/>
      <c r="J151" s="99"/>
      <c r="L151" s="28"/>
    </row>
    <row r="152" spans="1:18" s="34" customFormat="1" x14ac:dyDescent="0.35">
      <c r="A152" s="84">
        <v>28</v>
      </c>
      <c r="B152" s="606"/>
      <c r="C152" s="607"/>
      <c r="D152" s="457"/>
      <c r="E152" s="457"/>
      <c r="F152" s="458"/>
      <c r="G152" s="462"/>
      <c r="H152" s="462"/>
      <c r="I152" s="130" t="s">
        <v>1009</v>
      </c>
      <c r="J152" s="98"/>
      <c r="K152" s="8">
        <v>0</v>
      </c>
      <c r="L152" s="91" t="s">
        <v>1009</v>
      </c>
      <c r="M152" s="118"/>
      <c r="N152" s="85" t="s">
        <v>1009</v>
      </c>
      <c r="O152" s="118"/>
      <c r="P152" s="85" t="s">
        <v>1009</v>
      </c>
      <c r="Q152" s="86" t="s">
        <v>1009</v>
      </c>
      <c r="R152" s="85" t="s">
        <v>1009</v>
      </c>
    </row>
    <row r="153" spans="1:18" x14ac:dyDescent="0.35">
      <c r="A153" s="100" t="s">
        <v>447</v>
      </c>
      <c r="B153" s="87"/>
      <c r="C153" s="87"/>
      <c r="D153" s="87"/>
      <c r="E153" s="87"/>
      <c r="F153" s="124"/>
      <c r="G153" s="126"/>
      <c r="H153" s="126"/>
      <c r="I153" s="103"/>
      <c r="J153" s="454"/>
      <c r="K153" s="459"/>
      <c r="L153" s="89"/>
      <c r="M153" s="87"/>
      <c r="N153" s="87"/>
      <c r="O153" s="87"/>
      <c r="P153" s="87"/>
      <c r="Q153" s="87"/>
      <c r="R153" s="87"/>
    </row>
    <row r="154" spans="1:18" x14ac:dyDescent="0.35">
      <c r="A154" s="101" t="s">
        <v>448</v>
      </c>
      <c r="B154" s="88"/>
      <c r="C154" s="88"/>
      <c r="D154" s="88"/>
      <c r="E154" s="88"/>
      <c r="F154" s="125"/>
      <c r="G154" s="127"/>
      <c r="H154" s="127"/>
      <c r="I154" s="104"/>
      <c r="J154" s="455"/>
      <c r="K154" s="460"/>
      <c r="L154" s="90"/>
      <c r="M154" s="88"/>
      <c r="N154" s="88"/>
      <c r="O154" s="88"/>
      <c r="P154" s="88"/>
      <c r="Q154" s="88"/>
      <c r="R154" s="88"/>
    </row>
    <row r="155" spans="1:18" x14ac:dyDescent="0.35">
      <c r="A155" s="102" t="s">
        <v>449</v>
      </c>
      <c r="B155" s="88"/>
      <c r="C155" s="88"/>
      <c r="D155" s="88"/>
      <c r="E155" s="88"/>
      <c r="F155" s="125"/>
      <c r="G155" s="127"/>
      <c r="H155" s="127"/>
      <c r="I155" s="104"/>
      <c r="J155" s="456"/>
      <c r="K155" s="461"/>
      <c r="L155" s="90"/>
      <c r="M155" s="88"/>
      <c r="N155" s="88"/>
      <c r="O155" s="88"/>
      <c r="P155" s="88"/>
      <c r="Q155" s="88"/>
      <c r="R155" s="88"/>
    </row>
    <row r="156" spans="1:18" x14ac:dyDescent="0.35">
      <c r="G156"/>
      <c r="H156"/>
      <c r="J156" s="99"/>
      <c r="L156" s="28"/>
    </row>
    <row r="157" spans="1:18" s="34" customFormat="1" x14ac:dyDescent="0.35">
      <c r="A157" s="84">
        <v>29</v>
      </c>
      <c r="B157" s="606"/>
      <c r="C157" s="607"/>
      <c r="D157" s="457"/>
      <c r="E157" s="457"/>
      <c r="F157" s="458"/>
      <c r="G157" s="462"/>
      <c r="H157" s="462"/>
      <c r="I157" s="130" t="s">
        <v>1009</v>
      </c>
      <c r="J157" s="98"/>
      <c r="K157" s="8">
        <v>0</v>
      </c>
      <c r="L157" s="91" t="s">
        <v>1009</v>
      </c>
      <c r="M157" s="118"/>
      <c r="N157" s="85" t="s">
        <v>1009</v>
      </c>
      <c r="O157" s="118"/>
      <c r="P157" s="85" t="s">
        <v>1009</v>
      </c>
      <c r="Q157" s="86" t="s">
        <v>1009</v>
      </c>
      <c r="R157" s="85" t="s">
        <v>1009</v>
      </c>
    </row>
    <row r="158" spans="1:18" x14ac:dyDescent="0.35">
      <c r="A158" s="100" t="s">
        <v>447</v>
      </c>
      <c r="B158" s="87"/>
      <c r="C158" s="87"/>
      <c r="D158" s="87"/>
      <c r="E158" s="87"/>
      <c r="F158" s="124"/>
      <c r="G158" s="126"/>
      <c r="H158" s="126"/>
      <c r="I158" s="103"/>
      <c r="J158" s="454"/>
      <c r="K158" s="459"/>
      <c r="L158" s="89"/>
      <c r="M158" s="87"/>
      <c r="N158" s="87"/>
      <c r="O158" s="87"/>
      <c r="P158" s="87"/>
      <c r="Q158" s="87"/>
      <c r="R158" s="87"/>
    </row>
    <row r="159" spans="1:18" x14ac:dyDescent="0.35">
      <c r="A159" s="101" t="s">
        <v>448</v>
      </c>
      <c r="B159" s="88"/>
      <c r="C159" s="88"/>
      <c r="D159" s="88"/>
      <c r="E159" s="88"/>
      <c r="F159" s="125"/>
      <c r="G159" s="127"/>
      <c r="H159" s="127"/>
      <c r="I159" s="104"/>
      <c r="J159" s="455"/>
      <c r="K159" s="460"/>
      <c r="L159" s="90"/>
      <c r="M159" s="88"/>
      <c r="N159" s="88"/>
      <c r="O159" s="88"/>
      <c r="P159" s="88"/>
      <c r="Q159" s="88"/>
      <c r="R159" s="88"/>
    </row>
    <row r="160" spans="1:18" x14ac:dyDescent="0.35">
      <c r="A160" s="102" t="s">
        <v>449</v>
      </c>
      <c r="B160" s="88"/>
      <c r="C160" s="88"/>
      <c r="D160" s="88"/>
      <c r="E160" s="88"/>
      <c r="F160" s="125"/>
      <c r="G160" s="127"/>
      <c r="H160" s="127"/>
      <c r="I160" s="104"/>
      <c r="J160" s="456"/>
      <c r="K160" s="461"/>
      <c r="L160" s="90"/>
      <c r="M160" s="88"/>
      <c r="N160" s="88"/>
      <c r="O160" s="88"/>
      <c r="P160" s="88"/>
      <c r="Q160" s="88"/>
      <c r="R160" s="88"/>
    </row>
    <row r="161" spans="1:18" x14ac:dyDescent="0.35">
      <c r="G161"/>
      <c r="H161"/>
      <c r="J161" s="99"/>
      <c r="L161" s="28"/>
    </row>
    <row r="162" spans="1:18" s="34" customFormat="1" x14ac:dyDescent="0.35">
      <c r="A162" s="84">
        <v>30</v>
      </c>
      <c r="B162" s="606"/>
      <c r="C162" s="607"/>
      <c r="D162" s="457"/>
      <c r="E162" s="457"/>
      <c r="F162" s="458"/>
      <c r="G162" s="462"/>
      <c r="H162" s="462"/>
      <c r="I162" s="130" t="s">
        <v>1009</v>
      </c>
      <c r="J162" s="98"/>
      <c r="K162" s="8">
        <v>0</v>
      </c>
      <c r="L162" s="91" t="s">
        <v>1009</v>
      </c>
      <c r="M162" s="118"/>
      <c r="N162" s="85" t="s">
        <v>1009</v>
      </c>
      <c r="O162" s="118"/>
      <c r="P162" s="85" t="s">
        <v>1009</v>
      </c>
      <c r="Q162" s="86" t="s">
        <v>1009</v>
      </c>
      <c r="R162" s="85" t="s">
        <v>1009</v>
      </c>
    </row>
    <row r="163" spans="1:18" x14ac:dyDescent="0.35">
      <c r="A163" s="100" t="s">
        <v>447</v>
      </c>
      <c r="B163" s="87"/>
      <c r="C163" s="87"/>
      <c r="D163" s="87"/>
      <c r="E163" s="87"/>
      <c r="F163" s="124"/>
      <c r="G163" s="126"/>
      <c r="H163" s="126"/>
      <c r="I163" s="103"/>
      <c r="J163" s="454"/>
      <c r="K163" s="459"/>
      <c r="L163" s="89"/>
      <c r="M163" s="87"/>
      <c r="N163" s="87"/>
      <c r="O163" s="87"/>
      <c r="P163" s="87"/>
      <c r="Q163" s="87"/>
      <c r="R163" s="87"/>
    </row>
    <row r="164" spans="1:18" x14ac:dyDescent="0.35">
      <c r="A164" s="101" t="s">
        <v>448</v>
      </c>
      <c r="B164" s="88"/>
      <c r="C164" s="88"/>
      <c r="D164" s="88"/>
      <c r="E164" s="88"/>
      <c r="F164" s="125"/>
      <c r="G164" s="127"/>
      <c r="H164" s="127"/>
      <c r="I164" s="104"/>
      <c r="J164" s="455"/>
      <c r="K164" s="460"/>
      <c r="L164" s="90"/>
      <c r="M164" s="88"/>
      <c r="N164" s="88"/>
      <c r="O164" s="88"/>
      <c r="P164" s="88"/>
      <c r="Q164" s="88"/>
      <c r="R164" s="88"/>
    </row>
    <row r="165" spans="1:18" x14ac:dyDescent="0.35">
      <c r="A165" s="102" t="s">
        <v>449</v>
      </c>
      <c r="B165" s="88"/>
      <c r="C165" s="88"/>
      <c r="D165" s="88"/>
      <c r="E165" s="88"/>
      <c r="F165" s="125"/>
      <c r="G165" s="127"/>
      <c r="H165" s="127"/>
      <c r="I165" s="104"/>
      <c r="J165" s="456"/>
      <c r="K165" s="461"/>
      <c r="L165" s="90"/>
      <c r="M165" s="88"/>
      <c r="N165" s="88"/>
      <c r="O165" s="88"/>
      <c r="P165" s="88"/>
      <c r="Q165" s="88"/>
      <c r="R165" s="88"/>
    </row>
    <row r="166" spans="1:18" x14ac:dyDescent="0.35">
      <c r="J166" s="99"/>
      <c r="L166" s="28"/>
    </row>
    <row r="167" spans="1:18" x14ac:dyDescent="0.35">
      <c r="A167" s="19">
        <v>31</v>
      </c>
      <c r="B167" s="576" t="s">
        <v>173</v>
      </c>
      <c r="C167" s="576"/>
      <c r="D167" s="576"/>
      <c r="E167" s="576"/>
      <c r="F167" s="27">
        <f>F162+F157+F152+F147+F142+F137+F132+F127+F122+F117+F112+F107+F102+F97+F92+F87+F82+F77+F72+F67+F62+F57+F52+F47+F42+F37+F32+F27+F22+F17</f>
        <v>134</v>
      </c>
      <c r="G167" s="32"/>
      <c r="H167" s="32"/>
      <c r="I167" s="32"/>
      <c r="J167" s="32"/>
      <c r="K167" s="27">
        <f>K162+K157+K152+K147+K142+K137+K132+K127+K122+K117+K112+K107+K102+K97+K92+K87+K82+K77+K72+K67+K62+K57+K52+K47+K42+K37+K32+K27+K22+K17</f>
        <v>36186</v>
      </c>
      <c r="L167" s="29">
        <f>IF(K167&gt;0,K167/(F167*365),"")</f>
        <v>0.73984870169699446</v>
      </c>
      <c r="M167" s="27">
        <f>M162+M157+M152+M147+M142+M137+M132+M127+M122+M117+M112+M107+M102+M97+M92+M87+M82+M77+M72+M67+M62+M57+M52+M47+M42+M37+M32+M27+M22+M17</f>
        <v>25704909.556166928</v>
      </c>
      <c r="N167" s="17">
        <f t="shared" ref="N167" si="0">IFERROR(M167/K167,"")</f>
        <v>710.35509744561239</v>
      </c>
      <c r="O167" s="27">
        <f>O162+O157+O152+O147+O142+O137+O132+O127+O122+O117+O112+O107+O102+O97+O92+O87+O82+O77+O72+O67+O62+O57+O52+O47+O42+O37+O32+O27+O22+O17</f>
        <v>1570259.9622175435</v>
      </c>
      <c r="P167" s="17">
        <f t="shared" ref="P167" si="1">IFERROR(O167/K167,"")</f>
        <v>43.394129282527594</v>
      </c>
      <c r="Q167" s="30">
        <f t="shared" ref="Q167" si="2">IF(M167=0,"",M167-O167)</f>
        <v>24134649.593949385</v>
      </c>
      <c r="R167" s="17">
        <f t="shared" ref="R167" si="3">IFERROR(Q167/K167,"")</f>
        <v>666.96096816308477</v>
      </c>
    </row>
    <row r="169" spans="1:18" x14ac:dyDescent="0.35">
      <c r="A169" s="19">
        <v>32</v>
      </c>
      <c r="L169" s="37" t="s">
        <v>199</v>
      </c>
      <c r="M169" s="39">
        <f>'As-Filed Schedule 1'!G91</f>
        <v>19988348.439320475</v>
      </c>
    </row>
    <row r="170" spans="1:18" x14ac:dyDescent="0.35">
      <c r="A170" s="19">
        <v>33</v>
      </c>
      <c r="L170" s="37" t="s">
        <v>186</v>
      </c>
      <c r="M170" s="39">
        <f>'As-Filed Schedule 1'!G93</f>
        <v>5716561.1168464525</v>
      </c>
    </row>
    <row r="171" spans="1:18" x14ac:dyDescent="0.35">
      <c r="A171" s="19">
        <v>34</v>
      </c>
      <c r="L171" s="37" t="s">
        <v>200</v>
      </c>
      <c r="M171" s="18">
        <f>SUM(M169:M170)</f>
        <v>25704909.556166928</v>
      </c>
    </row>
    <row r="172" spans="1:18" x14ac:dyDescent="0.35">
      <c r="A172" s="19">
        <v>35</v>
      </c>
      <c r="L172" s="37" t="s">
        <v>10</v>
      </c>
      <c r="M172" s="18">
        <f>M167-M171</f>
        <v>0</v>
      </c>
    </row>
    <row r="173" spans="1:18" x14ac:dyDescent="0.35">
      <c r="M173" s="38" t="str">
        <f>IF(M172&lt;&gt;0,"ERROR","")</f>
        <v/>
      </c>
    </row>
    <row r="174" spans="1:18" ht="39" customHeight="1" x14ac:dyDescent="0.35">
      <c r="J174" s="6" t="s">
        <v>40</v>
      </c>
      <c r="K174" s="6" t="s">
        <v>446</v>
      </c>
      <c r="L174" s="6" t="s">
        <v>445</v>
      </c>
      <c r="M174" s="78" t="s">
        <v>10</v>
      </c>
    </row>
    <row r="175" spans="1:18" x14ac:dyDescent="0.35">
      <c r="A175" s="19">
        <v>36</v>
      </c>
      <c r="J175" s="93" t="s">
        <v>442</v>
      </c>
      <c r="K175" s="27">
        <f>SUMIF($J$17:$J$167,"H0010 3.2 WM",$K$17:$K$167)</f>
        <v>0</v>
      </c>
      <c r="L175" s="27">
        <f>'As-Filed Schedule 4'!D122+'As-Filed Schedule 4'!H122</f>
        <v>0</v>
      </c>
      <c r="M175" s="27">
        <f>L175-K175</f>
        <v>0</v>
      </c>
      <c r="N175" s="92" t="str">
        <f>IF(M175&lt;&gt;0,"ERROR","")</f>
        <v/>
      </c>
    </row>
    <row r="176" spans="1:18" x14ac:dyDescent="0.35">
      <c r="A176" s="19">
        <v>37</v>
      </c>
      <c r="J176" s="94" t="s">
        <v>443</v>
      </c>
      <c r="K176" s="27">
        <f>SUMIF($J$17:$J$167,"H0011 3.7 WM",$K$17:$K$167)</f>
        <v>0</v>
      </c>
      <c r="L176" s="27">
        <f>'As-Filed Schedule 4'!D123+'As-Filed Schedule 4'!H123</f>
        <v>0</v>
      </c>
      <c r="M176" s="27">
        <f t="shared" ref="M176:M179" si="4">L176-K176</f>
        <v>0</v>
      </c>
      <c r="N176" s="92" t="str">
        <f t="shared" ref="N176:N179" si="5">IF(M176&lt;&gt;0,"ERROR","")</f>
        <v/>
      </c>
    </row>
    <row r="177" spans="1:14" x14ac:dyDescent="0.35">
      <c r="A177" s="19">
        <v>38</v>
      </c>
      <c r="C177" s="224" t="s">
        <v>476</v>
      </c>
      <c r="D177" s="225"/>
      <c r="E177" s="225"/>
      <c r="F177" s="225"/>
      <c r="G177" s="136"/>
      <c r="J177" s="94" t="s">
        <v>51</v>
      </c>
      <c r="K177" s="27">
        <f t="shared" ref="K177:K184" si="6">SUMIF($J$17:$J$167,J177,$K$17:$K$167)</f>
        <v>0</v>
      </c>
      <c r="L177" s="27">
        <f>'As-Filed Schedule 4'!D125+'As-Filed Schedule 4'!H125</f>
        <v>0</v>
      </c>
      <c r="M177" s="27">
        <f t="shared" si="4"/>
        <v>0</v>
      </c>
      <c r="N177" s="92" t="str">
        <f t="shared" si="5"/>
        <v/>
      </c>
    </row>
    <row r="178" spans="1:14" x14ac:dyDescent="0.35">
      <c r="A178" s="19">
        <v>39</v>
      </c>
      <c r="C178" s="226" t="s">
        <v>468</v>
      </c>
      <c r="D178" s="227"/>
      <c r="E178" s="227" t="s">
        <v>472</v>
      </c>
      <c r="F178" s="99"/>
      <c r="G178" s="137"/>
      <c r="J178" s="94" t="s">
        <v>52</v>
      </c>
      <c r="K178" s="27">
        <f t="shared" si="6"/>
        <v>6660</v>
      </c>
      <c r="L178" s="27">
        <f>'As-Filed Schedule 4'!D126+'As-Filed Schedule 4'!H126</f>
        <v>6660</v>
      </c>
      <c r="M178" s="27">
        <f t="shared" si="4"/>
        <v>0</v>
      </c>
      <c r="N178" s="92" t="str">
        <f t="shared" si="5"/>
        <v/>
      </c>
    </row>
    <row r="179" spans="1:14" x14ac:dyDescent="0.35">
      <c r="A179" s="19">
        <v>40</v>
      </c>
      <c r="C179" s="226" t="s">
        <v>477</v>
      </c>
      <c r="D179" s="227"/>
      <c r="E179" s="227" t="s">
        <v>474</v>
      </c>
      <c r="F179" s="99"/>
      <c r="G179" s="137"/>
      <c r="J179" s="94" t="s">
        <v>53</v>
      </c>
      <c r="K179" s="27">
        <f t="shared" si="6"/>
        <v>26432</v>
      </c>
      <c r="L179" s="27">
        <f>'As-Filed Schedule 4'!D127+'As-Filed Schedule 4'!H127</f>
        <v>26432</v>
      </c>
      <c r="M179" s="27">
        <f t="shared" si="4"/>
        <v>0</v>
      </c>
      <c r="N179" s="92" t="str">
        <f t="shared" si="5"/>
        <v/>
      </c>
    </row>
    <row r="180" spans="1:14" x14ac:dyDescent="0.35">
      <c r="A180" s="19">
        <v>41</v>
      </c>
      <c r="C180" s="226" t="s">
        <v>469</v>
      </c>
      <c r="D180" s="227"/>
      <c r="E180" s="227" t="s">
        <v>473</v>
      </c>
      <c r="F180" s="99"/>
      <c r="G180" s="137"/>
      <c r="J180" s="95" t="s">
        <v>440</v>
      </c>
      <c r="K180" s="105">
        <f t="shared" si="6"/>
        <v>0</v>
      </c>
      <c r="L180" s="89"/>
      <c r="M180" s="87"/>
    </row>
    <row r="181" spans="1:14" x14ac:dyDescent="0.35">
      <c r="A181" s="19">
        <v>42</v>
      </c>
      <c r="C181" s="226" t="s">
        <v>470</v>
      </c>
      <c r="D181" s="227"/>
      <c r="E181" s="227" t="s">
        <v>471</v>
      </c>
      <c r="F181" s="99"/>
      <c r="G181" s="137"/>
      <c r="J181" s="95" t="s">
        <v>444</v>
      </c>
      <c r="K181" s="107">
        <f t="shared" si="6"/>
        <v>0</v>
      </c>
      <c r="L181" s="90"/>
      <c r="M181" s="88"/>
    </row>
    <row r="182" spans="1:14" x14ac:dyDescent="0.35">
      <c r="A182" s="19">
        <v>43</v>
      </c>
      <c r="C182" s="228" t="s">
        <v>478</v>
      </c>
      <c r="D182" s="229"/>
      <c r="E182" s="229" t="s">
        <v>475</v>
      </c>
      <c r="F182" s="230"/>
      <c r="G182" s="138"/>
      <c r="J182" s="95" t="s">
        <v>439</v>
      </c>
      <c r="K182" s="107">
        <f t="shared" si="6"/>
        <v>0</v>
      </c>
      <c r="L182" s="108"/>
      <c r="M182" s="109"/>
    </row>
    <row r="183" spans="1:14" x14ac:dyDescent="0.35">
      <c r="A183" s="19">
        <v>44</v>
      </c>
      <c r="C183" s="99"/>
      <c r="D183" s="99"/>
      <c r="E183" s="99"/>
      <c r="F183" s="99"/>
      <c r="J183" s="96" t="s">
        <v>438</v>
      </c>
      <c r="K183" s="106">
        <f t="shared" si="6"/>
        <v>3094</v>
      </c>
      <c r="L183" s="27">
        <f>'As-Filed Schedule 4'!D180+'As-Filed Schedule 4'!H180</f>
        <v>3094</v>
      </c>
      <c r="M183" s="27">
        <f>L183-SUM(K180:K183)</f>
        <v>0</v>
      </c>
      <c r="N183" s="92" t="str">
        <f t="shared" ref="N183" si="7">IF(M183&lt;&gt;0,"ERROR","")</f>
        <v/>
      </c>
    </row>
    <row r="184" spans="1:14" x14ac:dyDescent="0.35">
      <c r="A184" s="19">
        <v>45</v>
      </c>
      <c r="C184" s="99"/>
      <c r="D184" s="99"/>
      <c r="E184" s="99"/>
      <c r="F184" s="99"/>
      <c r="J184" s="94" t="s">
        <v>481</v>
      </c>
      <c r="K184" s="27">
        <f t="shared" si="6"/>
        <v>0</v>
      </c>
      <c r="L184" s="90"/>
      <c r="M184" s="88"/>
    </row>
    <row r="185" spans="1:14" x14ac:dyDescent="0.35">
      <c r="C185" s="99"/>
      <c r="D185" s="99"/>
      <c r="E185" s="99"/>
      <c r="F185" s="99"/>
    </row>
    <row r="249" spans="4:10" ht="17.25" customHeight="1" x14ac:dyDescent="0.35"/>
    <row r="251" spans="4:10" hidden="1" x14ac:dyDescent="0.35">
      <c r="D251" t="s">
        <v>456</v>
      </c>
      <c r="E251" t="s">
        <v>159</v>
      </c>
      <c r="J251" s="110" t="s">
        <v>450</v>
      </c>
    </row>
    <row r="252" spans="4:10" hidden="1" x14ac:dyDescent="0.35">
      <c r="D252" t="s">
        <v>176</v>
      </c>
      <c r="E252" t="s">
        <v>456</v>
      </c>
      <c r="J252" s="111" t="s">
        <v>451</v>
      </c>
    </row>
    <row r="253" spans="4:10" hidden="1" x14ac:dyDescent="0.35">
      <c r="D253" t="s">
        <v>175</v>
      </c>
      <c r="E253" t="s">
        <v>467</v>
      </c>
      <c r="J253" s="111" t="s">
        <v>51</v>
      </c>
    </row>
    <row r="254" spans="4:10" hidden="1" x14ac:dyDescent="0.35">
      <c r="D254" t="s">
        <v>435</v>
      </c>
      <c r="E254" t="s">
        <v>466</v>
      </c>
      <c r="J254" s="111" t="s">
        <v>52</v>
      </c>
    </row>
    <row r="255" spans="4:10" hidden="1" x14ac:dyDescent="0.35">
      <c r="D255" t="s">
        <v>170</v>
      </c>
      <c r="E255" t="s">
        <v>174</v>
      </c>
      <c r="J255" s="111" t="s">
        <v>53</v>
      </c>
    </row>
    <row r="256" spans="4:10" hidden="1" x14ac:dyDescent="0.35">
      <c r="D256" t="s">
        <v>482</v>
      </c>
      <c r="E256" t="s">
        <v>172</v>
      </c>
      <c r="J256" s="111" t="s">
        <v>440</v>
      </c>
    </row>
    <row r="257" spans="5:10" hidden="1" x14ac:dyDescent="0.35">
      <c r="E257" t="s">
        <v>171</v>
      </c>
      <c r="J257" s="111" t="s">
        <v>444</v>
      </c>
    </row>
    <row r="258" spans="5:10" hidden="1" x14ac:dyDescent="0.35">
      <c r="E258" t="s">
        <v>465</v>
      </c>
      <c r="J258" s="111" t="s">
        <v>439</v>
      </c>
    </row>
    <row r="259" spans="5:10" hidden="1" x14ac:dyDescent="0.35">
      <c r="E259" t="s">
        <v>436</v>
      </c>
      <c r="J259" s="112" t="s">
        <v>438</v>
      </c>
    </row>
    <row r="260" spans="5:10" hidden="1" x14ac:dyDescent="0.35">
      <c r="J260" s="112" t="s">
        <v>481</v>
      </c>
    </row>
    <row r="261" spans="5:10" hidden="1" x14ac:dyDescent="0.35">
      <c r="J261" s="112" t="s">
        <v>455</v>
      </c>
    </row>
  </sheetData>
  <sheetProtection sheet="1" objects="1" scenarios="1"/>
  <customSheetViews>
    <customSheetView guid="{17302493-42B1-4877-869E-E424A97AE78B}" scale="60" hiddenRows="1" topLeftCell="D121">
      <selection activeCell="N57" sqref="N57"/>
      <pageMargins left="0.7" right="0.7" top="0.75" bottom="0.75" header="0.3" footer="0.3"/>
      <pageSetup orientation="portrait" horizontalDpi="1200" verticalDpi="1200" r:id="rId1"/>
    </customSheetView>
    <customSheetView guid="{5C0BA3A5-859C-46C2-B685-44D9A90065E4}" scale="60" hiddenRows="1" topLeftCell="D121">
      <selection activeCell="N57" sqref="N57"/>
      <pageMargins left="0.7" right="0.7" top="0.75" bottom="0.75" header="0.3" footer="0.3"/>
      <pageSetup orientation="portrait" horizontalDpi="1200" verticalDpi="1200" r:id="rId2"/>
    </customSheetView>
  </customSheetViews>
  <mergeCells count="44">
    <mergeCell ref="B57:C57"/>
    <mergeCell ref="B62:C62"/>
    <mergeCell ref="B67:C67"/>
    <mergeCell ref="B72:C72"/>
    <mergeCell ref="B17:C17"/>
    <mergeCell ref="B27:C27"/>
    <mergeCell ref="B42:C42"/>
    <mergeCell ref="B52:C52"/>
    <mergeCell ref="B47:C47"/>
    <mergeCell ref="B37:C37"/>
    <mergeCell ref="B32:C32"/>
    <mergeCell ref="B22:C22"/>
    <mergeCell ref="B137:C137"/>
    <mergeCell ref="B142:C142"/>
    <mergeCell ref="B147:C147"/>
    <mergeCell ref="B152:C152"/>
    <mergeCell ref="B77:C77"/>
    <mergeCell ref="B82:C82"/>
    <mergeCell ref="B87:C87"/>
    <mergeCell ref="B167:E167"/>
    <mergeCell ref="A9:K11"/>
    <mergeCell ref="G14:G15"/>
    <mergeCell ref="H14:H15"/>
    <mergeCell ref="B14:C15"/>
    <mergeCell ref="B117:C117"/>
    <mergeCell ref="B122:C122"/>
    <mergeCell ref="B92:C92"/>
    <mergeCell ref="B97:C97"/>
    <mergeCell ref="B102:C102"/>
    <mergeCell ref="B107:C107"/>
    <mergeCell ref="B112:C112"/>
    <mergeCell ref="B127:C127"/>
    <mergeCell ref="B157:C157"/>
    <mergeCell ref="B162:C162"/>
    <mergeCell ref="B132:C132"/>
    <mergeCell ref="Q14:R14"/>
    <mergeCell ref="B13:C13"/>
    <mergeCell ref="M14:N14"/>
    <mergeCell ref="O14:P14"/>
    <mergeCell ref="L14:L15"/>
    <mergeCell ref="K14:K15"/>
    <mergeCell ref="F14:F15"/>
    <mergeCell ref="E14:E15"/>
    <mergeCell ref="D14:D15"/>
  </mergeCells>
  <dataValidations count="3">
    <dataValidation type="list" allowBlank="1" showInputMessage="1" showErrorMessage="1" sqref="D22 D137 D52 D57 D62 D67 D72 D47 D157 D27 D32 D37 D42 D77 D112 D117 D122 D127 D132 D107 D82 D87 D92 D97 D102 D162 D142 D147 D152 D17" xr:uid="{00000000-0002-0000-2A00-000000000000}">
      <formula1>$D$251:$D$256</formula1>
    </dataValidation>
    <dataValidation type="list" allowBlank="1" showInputMessage="1" showErrorMessage="1" sqref="J23:J25 J163:J165 J158:J160 J153:J155 J148:J150 J143:J145 J138:J140 J133:J135 J128:J130 J123:J125 J118:J120 J113:J115 J108:J110 J103:J105 J98:J100 J93:J95 J88:J90 J83:J85 J78:J80 J73:J75 J68:J70 J63:J65 J58:J60 J53:J55 J48:J50 J43:J45 J38:J40 J33:J35 J28:J30 J18:J20" xr:uid="{00000000-0002-0000-2A00-000001000000}">
      <formula1>$J$251:$J$261</formula1>
    </dataValidation>
    <dataValidation type="list" allowBlank="1" showInputMessage="1" showErrorMessage="1" sqref="E22 E137 E52 E57 E62 E67 E72 E47 E157 E27 E32 E37 E42 E77 E112 E117 E122 E127 E132 E107 E82 E87 E92 E97 E102 E162 E142 E147 E152 E17" xr:uid="{00000000-0002-0000-2A00-000002000000}">
      <formula1>$E$251:$E$259</formula1>
    </dataValidation>
  </dataValidations>
  <pageMargins left="0.7" right="0.7" top="0.75" bottom="0.75" header="0.3" footer="0.3"/>
  <pageSetup orientation="portrait" horizontalDpi="1200" verticalDpi="1200"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9CC5CA"/>
  </sheetPr>
  <dimension ref="A1:L197"/>
  <sheetViews>
    <sheetView topLeftCell="H3" workbookViewId="0">
      <selection activeCell="J14" sqref="J14"/>
    </sheetView>
  </sheetViews>
  <sheetFormatPr defaultRowHeight="14.5" x14ac:dyDescent="0.35"/>
  <cols>
    <col min="2" max="2" width="15.54296875" customWidth="1"/>
    <col min="3" max="3" width="77" style="4" customWidth="1"/>
    <col min="4" max="6" width="18.54296875" style="4" customWidth="1"/>
    <col min="7" max="7" width="23.54296875" style="13" customWidth="1"/>
    <col min="8" max="11" width="21" style="13" customWidth="1"/>
    <col min="12" max="12" width="16" customWidth="1"/>
  </cols>
  <sheetData>
    <row r="1" spans="1:12" ht="26" x14ac:dyDescent="0.6">
      <c r="A1" s="3" t="s">
        <v>777</v>
      </c>
      <c r="D1" s="48"/>
      <c r="E1" s="49"/>
      <c r="F1" s="49"/>
      <c r="G1" s="50"/>
      <c r="H1" s="50"/>
    </row>
    <row r="2" spans="1:12" ht="21" x14ac:dyDescent="0.5">
      <c r="A2" s="2" t="s">
        <v>775</v>
      </c>
      <c r="D2" s="54"/>
      <c r="E2" s="49"/>
      <c r="F2" s="49"/>
      <c r="G2" s="50"/>
      <c r="H2" s="50"/>
    </row>
    <row r="3" spans="1:12" ht="25" customHeight="1" x14ac:dyDescent="0.5">
      <c r="A3" s="5" t="s">
        <v>771</v>
      </c>
      <c r="B3" s="5"/>
      <c r="C3" s="7"/>
      <c r="D3" s="54"/>
      <c r="E3" s="51"/>
      <c r="F3" s="51"/>
      <c r="G3" s="52"/>
      <c r="H3" s="52"/>
      <c r="I3" s="14"/>
      <c r="J3" s="14"/>
    </row>
    <row r="4" spans="1:12" x14ac:dyDescent="0.35">
      <c r="D4" s="54"/>
      <c r="E4" s="49"/>
      <c r="F4" s="49"/>
      <c r="G4" s="50"/>
      <c r="H4" s="50"/>
      <c r="K4" s="588"/>
      <c r="L4" s="588"/>
    </row>
    <row r="5" spans="1:12" ht="15" customHeight="1" x14ac:dyDescent="0.35">
      <c r="A5" s="1" t="s">
        <v>776</v>
      </c>
      <c r="C5" s="413" t="str">
        <f>'As-Filed Schedule 1'!C5</f>
        <v>WellPower</v>
      </c>
      <c r="D5" s="55"/>
      <c r="E5" s="53"/>
      <c r="F5" s="53"/>
      <c r="G5" s="50"/>
      <c r="H5" s="50"/>
      <c r="K5" s="588"/>
      <c r="L5" s="588"/>
    </row>
    <row r="6" spans="1:12" x14ac:dyDescent="0.35">
      <c r="A6" s="1" t="s">
        <v>0</v>
      </c>
      <c r="C6" s="406">
        <f>'As-Filed Schedule 1'!C6</f>
        <v>45473</v>
      </c>
      <c r="D6" s="35"/>
      <c r="E6" s="35"/>
      <c r="F6" s="35"/>
      <c r="K6" s="588"/>
      <c r="L6" s="588"/>
    </row>
    <row r="7" spans="1:12" x14ac:dyDescent="0.35">
      <c r="A7" s="1"/>
      <c r="C7" s="35"/>
      <c r="D7" s="23">
        <v>1</v>
      </c>
      <c r="E7" s="35"/>
      <c r="F7" s="23">
        <v>3</v>
      </c>
      <c r="H7" s="197"/>
      <c r="I7" s="167">
        <v>6</v>
      </c>
      <c r="J7" s="197"/>
      <c r="K7" s="167">
        <v>8</v>
      </c>
      <c r="L7" s="81"/>
    </row>
    <row r="8" spans="1:12" x14ac:dyDescent="0.35">
      <c r="A8" s="19">
        <v>1</v>
      </c>
      <c r="C8" s="46" t="s">
        <v>193</v>
      </c>
      <c r="D8" s="26">
        <f>'As-Filed Schedule 1'!F95</f>
        <v>96346182.010182574</v>
      </c>
      <c r="E8" s="46" t="s">
        <v>197</v>
      </c>
      <c r="F8" s="31">
        <f>F197</f>
        <v>406327.73000000016</v>
      </c>
      <c r="H8" s="420" t="s">
        <v>860</v>
      </c>
      <c r="I8" s="26">
        <f>'As-Filed Schedule 1'!F95</f>
        <v>96346182.010182574</v>
      </c>
      <c r="J8" s="420" t="s">
        <v>861</v>
      </c>
      <c r="K8" s="466">
        <v>217443</v>
      </c>
      <c r="L8" s="25"/>
    </row>
    <row r="9" spans="1:12" x14ac:dyDescent="0.35">
      <c r="A9" s="19">
        <v>2</v>
      </c>
      <c r="C9" s="46" t="s">
        <v>251</v>
      </c>
      <c r="D9" s="114">
        <v>0</v>
      </c>
      <c r="E9" s="46" t="s">
        <v>198</v>
      </c>
      <c r="F9" s="31">
        <f>J197</f>
        <v>199367.74</v>
      </c>
      <c r="H9" s="420" t="s">
        <v>862</v>
      </c>
      <c r="I9" s="172">
        <v>0</v>
      </c>
      <c r="J9" s="592"/>
      <c r="K9" s="592"/>
      <c r="L9" s="45"/>
    </row>
    <row r="10" spans="1:12" x14ac:dyDescent="0.35">
      <c r="A10" s="19">
        <v>3</v>
      </c>
      <c r="C10" s="42" t="s">
        <v>194</v>
      </c>
      <c r="D10" s="18">
        <f>D8-D9</f>
        <v>96346182.010182574</v>
      </c>
      <c r="E10" s="42" t="s">
        <v>195</v>
      </c>
      <c r="F10" s="9">
        <f>SUM(F8:F9)</f>
        <v>605695.4700000002</v>
      </c>
      <c r="H10" s="421" t="s">
        <v>863</v>
      </c>
      <c r="I10" s="177">
        <f>I8-I9</f>
        <v>96346182.010182574</v>
      </c>
      <c r="J10" s="592"/>
      <c r="K10" s="592"/>
      <c r="L10" s="45"/>
    </row>
    <row r="11" spans="1:12" x14ac:dyDescent="0.35">
      <c r="A11" s="1"/>
      <c r="H11" s="198"/>
      <c r="I11" s="198"/>
      <c r="J11" s="592"/>
      <c r="K11" s="593"/>
      <c r="L11" s="45"/>
    </row>
    <row r="12" spans="1:12" ht="18.5" x14ac:dyDescent="0.45">
      <c r="A12" s="19">
        <v>4</v>
      </c>
      <c r="E12" s="44" t="s">
        <v>196</v>
      </c>
      <c r="F12" s="43">
        <f>D10/F10</f>
        <v>159.06703414866641</v>
      </c>
      <c r="H12" s="198"/>
      <c r="I12" s="198"/>
      <c r="J12" s="422" t="s">
        <v>864</v>
      </c>
      <c r="K12" s="423">
        <f>I10/K8</f>
        <v>443.08707114132244</v>
      </c>
      <c r="L12" s="45"/>
    </row>
    <row r="13" spans="1:12" x14ac:dyDescent="0.35">
      <c r="A13" s="1"/>
      <c r="C13" s="35"/>
      <c r="D13" s="35"/>
      <c r="E13" s="35"/>
      <c r="F13" s="35"/>
      <c r="I13" s="135"/>
    </row>
    <row r="14" spans="1:12" x14ac:dyDescent="0.35">
      <c r="D14" s="23">
        <v>1</v>
      </c>
      <c r="E14" s="23">
        <v>2</v>
      </c>
      <c r="F14" s="23">
        <v>3</v>
      </c>
      <c r="G14" s="23">
        <v>4</v>
      </c>
      <c r="H14" s="23">
        <v>5</v>
      </c>
      <c r="I14" s="23">
        <v>6</v>
      </c>
      <c r="J14" s="23">
        <v>7</v>
      </c>
      <c r="K14" s="23">
        <v>8</v>
      </c>
    </row>
    <row r="15" spans="1:12" x14ac:dyDescent="0.35">
      <c r="A15" s="1"/>
      <c r="C15" s="35"/>
      <c r="D15" s="589" t="s">
        <v>191</v>
      </c>
      <c r="E15" s="590"/>
      <c r="F15" s="590"/>
      <c r="G15" s="591"/>
      <c r="H15" s="589" t="s">
        <v>192</v>
      </c>
      <c r="I15" s="590"/>
      <c r="J15" s="590"/>
      <c r="K15" s="591"/>
    </row>
    <row r="16" spans="1:12" ht="29" x14ac:dyDescent="0.35">
      <c r="B16" s="200" t="s">
        <v>40</v>
      </c>
      <c r="C16" s="200" t="s">
        <v>11</v>
      </c>
      <c r="D16" s="200" t="s">
        <v>187</v>
      </c>
      <c r="E16" s="231" t="s">
        <v>483</v>
      </c>
      <c r="F16" s="231" t="s">
        <v>189</v>
      </c>
      <c r="G16" s="232" t="s">
        <v>156</v>
      </c>
      <c r="H16" s="232" t="s">
        <v>188</v>
      </c>
      <c r="I16" s="231" t="s">
        <v>484</v>
      </c>
      <c r="J16" s="16" t="s">
        <v>190</v>
      </c>
      <c r="K16" s="15" t="s">
        <v>157</v>
      </c>
    </row>
    <row r="17" spans="1:11" s="22" customFormat="1" x14ac:dyDescent="0.35">
      <c r="A17" s="19">
        <v>5</v>
      </c>
      <c r="B17" s="417" t="s">
        <v>790</v>
      </c>
      <c r="C17" s="20" t="s">
        <v>791</v>
      </c>
      <c r="D17" s="113">
        <v>0</v>
      </c>
      <c r="E17" s="403">
        <v>0</v>
      </c>
      <c r="F17" s="139">
        <f>D17*E17</f>
        <v>0</v>
      </c>
      <c r="G17" s="140">
        <f t="shared" ref="G17" si="0">E17*$F$12</f>
        <v>0</v>
      </c>
      <c r="H17" s="141">
        <v>0</v>
      </c>
      <c r="I17" s="403">
        <v>0</v>
      </c>
      <c r="J17" s="47">
        <f>H17*I17</f>
        <v>0</v>
      </c>
      <c r="K17" s="21">
        <f t="shared" ref="K17" si="1">I17*$F$12</f>
        <v>0</v>
      </c>
    </row>
    <row r="18" spans="1:11" s="22" customFormat="1" x14ac:dyDescent="0.35">
      <c r="A18" s="19">
        <v>6</v>
      </c>
      <c r="B18" s="19">
        <v>80305</v>
      </c>
      <c r="C18" s="20" t="s">
        <v>111</v>
      </c>
      <c r="D18" s="113">
        <v>0</v>
      </c>
      <c r="E18" s="403">
        <v>0</v>
      </c>
      <c r="F18" s="139">
        <f>D18*E18</f>
        <v>0</v>
      </c>
      <c r="G18" s="140">
        <f t="shared" ref="G18:G73" si="2">E18*$F$12</f>
        <v>0</v>
      </c>
      <c r="H18" s="141">
        <v>0</v>
      </c>
      <c r="I18" s="403">
        <v>0</v>
      </c>
      <c r="J18" s="47">
        <f>H18*I18</f>
        <v>0</v>
      </c>
      <c r="K18" s="21">
        <f t="shared" ref="K18:K73" si="3">I18*$F$12</f>
        <v>0</v>
      </c>
    </row>
    <row r="19" spans="1:11" s="22" customFormat="1" x14ac:dyDescent="0.35">
      <c r="A19" s="19">
        <v>7</v>
      </c>
      <c r="B19" s="19">
        <v>80306</v>
      </c>
      <c r="C19" s="20" t="s">
        <v>41</v>
      </c>
      <c r="D19" s="113">
        <v>0</v>
      </c>
      <c r="E19" s="403">
        <v>0</v>
      </c>
      <c r="F19" s="139">
        <f>D19*E19</f>
        <v>0</v>
      </c>
      <c r="G19" s="140">
        <f t="shared" si="2"/>
        <v>0</v>
      </c>
      <c r="H19" s="141">
        <v>0</v>
      </c>
      <c r="I19" s="403">
        <v>0</v>
      </c>
      <c r="J19" s="47">
        <f t="shared" ref="J19:J74" si="4">H19*I19</f>
        <v>0</v>
      </c>
      <c r="K19" s="21">
        <f t="shared" si="3"/>
        <v>0</v>
      </c>
    </row>
    <row r="20" spans="1:11" s="22" customFormat="1" x14ac:dyDescent="0.35">
      <c r="A20" s="19">
        <v>8</v>
      </c>
      <c r="B20" s="19">
        <v>82075</v>
      </c>
      <c r="C20" s="20" t="s">
        <v>112</v>
      </c>
      <c r="D20" s="113">
        <v>0</v>
      </c>
      <c r="E20" s="403">
        <v>0</v>
      </c>
      <c r="F20" s="139">
        <f t="shared" ref="F20:F74" si="5">D20*E20</f>
        <v>0</v>
      </c>
      <c r="G20" s="140">
        <f t="shared" si="2"/>
        <v>0</v>
      </c>
      <c r="H20" s="141">
        <v>0</v>
      </c>
      <c r="I20" s="403">
        <v>0</v>
      </c>
      <c r="J20" s="47">
        <f t="shared" si="4"/>
        <v>0</v>
      </c>
      <c r="K20" s="21">
        <f t="shared" si="3"/>
        <v>0</v>
      </c>
    </row>
    <row r="21" spans="1:11" s="22" customFormat="1" x14ac:dyDescent="0.35">
      <c r="A21" s="19">
        <v>9</v>
      </c>
      <c r="B21" s="19">
        <v>90785</v>
      </c>
      <c r="C21" s="20" t="s">
        <v>319</v>
      </c>
      <c r="D21" s="113">
        <v>1061</v>
      </c>
      <c r="E21" s="403">
        <v>0.44</v>
      </c>
      <c r="F21" s="47">
        <f t="shared" si="5"/>
        <v>466.84</v>
      </c>
      <c r="G21" s="21">
        <f t="shared" si="2"/>
        <v>69.98949502541322</v>
      </c>
      <c r="H21" s="113">
        <v>34</v>
      </c>
      <c r="I21" s="403">
        <v>0.39</v>
      </c>
      <c r="J21" s="47">
        <f t="shared" si="4"/>
        <v>13.26</v>
      </c>
      <c r="K21" s="21">
        <f t="shared" si="3"/>
        <v>62.036143317979899</v>
      </c>
    </row>
    <row r="22" spans="1:11" s="22" customFormat="1" x14ac:dyDescent="0.35">
      <c r="A22" s="19">
        <v>10</v>
      </c>
      <c r="B22" s="19">
        <v>90791</v>
      </c>
      <c r="C22" s="20" t="s">
        <v>320</v>
      </c>
      <c r="D22" s="113">
        <v>1935</v>
      </c>
      <c r="E22" s="403">
        <v>5.17</v>
      </c>
      <c r="F22" s="47">
        <f t="shared" si="5"/>
        <v>10003.950000000001</v>
      </c>
      <c r="G22" s="21">
        <f t="shared" si="2"/>
        <v>822.3765665486053</v>
      </c>
      <c r="H22" s="113">
        <v>783</v>
      </c>
      <c r="I22" s="403">
        <v>4.43</v>
      </c>
      <c r="J22" s="47">
        <f t="shared" si="4"/>
        <v>3468.6899999999996</v>
      </c>
      <c r="K22" s="21">
        <f t="shared" si="3"/>
        <v>704.66696127859211</v>
      </c>
    </row>
    <row r="23" spans="1:11" s="22" customFormat="1" x14ac:dyDescent="0.35">
      <c r="A23" s="19">
        <v>11</v>
      </c>
      <c r="B23" s="19">
        <v>90792</v>
      </c>
      <c r="C23" s="20" t="s">
        <v>321</v>
      </c>
      <c r="D23" s="113">
        <v>92</v>
      </c>
      <c r="E23" s="403">
        <v>5.82</v>
      </c>
      <c r="F23" s="47">
        <f t="shared" si="5"/>
        <v>535.44000000000005</v>
      </c>
      <c r="G23" s="21">
        <f t="shared" si="2"/>
        <v>925.77013874523857</v>
      </c>
      <c r="H23" s="113">
        <v>45</v>
      </c>
      <c r="I23" s="403">
        <v>5.08</v>
      </c>
      <c r="J23" s="47">
        <f t="shared" si="4"/>
        <v>228.6</v>
      </c>
      <c r="K23" s="21">
        <f t="shared" si="3"/>
        <v>808.06053347522538</v>
      </c>
    </row>
    <row r="24" spans="1:11" s="22" customFormat="1" x14ac:dyDescent="0.35">
      <c r="A24" s="19">
        <v>12</v>
      </c>
      <c r="B24" s="19">
        <v>90832</v>
      </c>
      <c r="C24" s="20" t="s">
        <v>325</v>
      </c>
      <c r="D24" s="113">
        <v>6459</v>
      </c>
      <c r="E24" s="403">
        <v>2.35</v>
      </c>
      <c r="F24" s="47">
        <f t="shared" si="5"/>
        <v>15178.650000000001</v>
      </c>
      <c r="G24" s="21">
        <f t="shared" si="2"/>
        <v>373.8075302493661</v>
      </c>
      <c r="H24" s="113">
        <v>627</v>
      </c>
      <c r="I24" s="403">
        <v>2.0499999999999998</v>
      </c>
      <c r="J24" s="47">
        <f t="shared" si="4"/>
        <v>1285.3499999999999</v>
      </c>
      <c r="K24" s="21">
        <f t="shared" si="3"/>
        <v>326.0874200047661</v>
      </c>
    </row>
    <row r="25" spans="1:11" s="22" customFormat="1" x14ac:dyDescent="0.35">
      <c r="A25" s="19">
        <v>13</v>
      </c>
      <c r="B25" s="19">
        <v>90833</v>
      </c>
      <c r="C25" s="20" t="s">
        <v>322</v>
      </c>
      <c r="D25" s="113">
        <v>0</v>
      </c>
      <c r="E25" s="403">
        <v>2.16</v>
      </c>
      <c r="F25" s="47">
        <f t="shared" si="5"/>
        <v>0</v>
      </c>
      <c r="G25" s="21">
        <f t="shared" si="2"/>
        <v>343.58479376111944</v>
      </c>
      <c r="H25" s="113">
        <v>0</v>
      </c>
      <c r="I25" s="403">
        <v>1.92</v>
      </c>
      <c r="J25" s="47">
        <f t="shared" si="4"/>
        <v>0</v>
      </c>
      <c r="K25" s="21">
        <f t="shared" si="3"/>
        <v>305.4087055654395</v>
      </c>
    </row>
    <row r="26" spans="1:11" s="22" customFormat="1" x14ac:dyDescent="0.35">
      <c r="A26" s="19">
        <v>14</v>
      </c>
      <c r="B26" s="19">
        <v>90834</v>
      </c>
      <c r="C26" s="20" t="s">
        <v>323</v>
      </c>
      <c r="D26" s="113">
        <v>7036</v>
      </c>
      <c r="E26" s="403">
        <v>3.1</v>
      </c>
      <c r="F26" s="47">
        <f t="shared" si="5"/>
        <v>21811.600000000002</v>
      </c>
      <c r="G26" s="21">
        <f t="shared" si="2"/>
        <v>493.10780586086588</v>
      </c>
      <c r="H26" s="113">
        <v>2166</v>
      </c>
      <c r="I26" s="403">
        <v>2.71</v>
      </c>
      <c r="J26" s="47">
        <f t="shared" si="4"/>
        <v>5869.86</v>
      </c>
      <c r="K26" s="21">
        <f t="shared" si="3"/>
        <v>431.07166254288597</v>
      </c>
    </row>
    <row r="27" spans="1:11" s="22" customFormat="1" x14ac:dyDescent="0.35">
      <c r="A27" s="19">
        <v>15</v>
      </c>
      <c r="B27" s="19">
        <v>90836</v>
      </c>
      <c r="C27" s="20" t="s">
        <v>326</v>
      </c>
      <c r="D27" s="113">
        <v>0</v>
      </c>
      <c r="E27" s="403">
        <v>2.73</v>
      </c>
      <c r="F27" s="47">
        <f t="shared" si="5"/>
        <v>0</v>
      </c>
      <c r="G27" s="21">
        <f t="shared" si="2"/>
        <v>434.25300322585929</v>
      </c>
      <c r="H27" s="113">
        <v>0</v>
      </c>
      <c r="I27" s="403">
        <v>2.4300000000000002</v>
      </c>
      <c r="J27" s="47">
        <f t="shared" si="4"/>
        <v>0</v>
      </c>
      <c r="K27" s="21">
        <f t="shared" si="3"/>
        <v>386.53289298125941</v>
      </c>
    </row>
    <row r="28" spans="1:11" s="22" customFormat="1" x14ac:dyDescent="0.35">
      <c r="A28" s="19">
        <v>16</v>
      </c>
      <c r="B28" s="19">
        <v>90837</v>
      </c>
      <c r="C28" s="20" t="s">
        <v>324</v>
      </c>
      <c r="D28" s="113">
        <v>25857</v>
      </c>
      <c r="E28" s="403">
        <v>4.57</v>
      </c>
      <c r="F28" s="47">
        <f t="shared" si="5"/>
        <v>118166.49</v>
      </c>
      <c r="G28" s="21">
        <f t="shared" si="2"/>
        <v>726.93634605940554</v>
      </c>
      <c r="H28" s="113">
        <v>11475</v>
      </c>
      <c r="I28" s="403">
        <v>4</v>
      </c>
      <c r="J28" s="47">
        <f t="shared" si="4"/>
        <v>45900</v>
      </c>
      <c r="K28" s="21">
        <f t="shared" si="3"/>
        <v>636.26813659466563</v>
      </c>
    </row>
    <row r="29" spans="1:11" s="22" customFormat="1" x14ac:dyDescent="0.35">
      <c r="A29" s="19">
        <v>17</v>
      </c>
      <c r="B29" s="19">
        <v>90838</v>
      </c>
      <c r="C29" s="20" t="s">
        <v>327</v>
      </c>
      <c r="D29" s="113">
        <v>0</v>
      </c>
      <c r="E29" s="403">
        <v>3.62</v>
      </c>
      <c r="F29" s="47">
        <f t="shared" si="5"/>
        <v>0</v>
      </c>
      <c r="G29" s="21">
        <f t="shared" si="2"/>
        <v>575.82266361817244</v>
      </c>
      <c r="H29" s="113">
        <v>0</v>
      </c>
      <c r="I29" s="403">
        <v>3.22</v>
      </c>
      <c r="J29" s="47">
        <f t="shared" si="4"/>
        <v>0</v>
      </c>
      <c r="K29" s="21">
        <f t="shared" si="3"/>
        <v>512.19584995870582</v>
      </c>
    </row>
    <row r="30" spans="1:11" s="22" customFormat="1" x14ac:dyDescent="0.35">
      <c r="A30" s="19">
        <v>18</v>
      </c>
      <c r="B30" s="19">
        <v>90839</v>
      </c>
      <c r="C30" s="20" t="s">
        <v>329</v>
      </c>
      <c r="D30" s="113">
        <v>17</v>
      </c>
      <c r="E30" s="403">
        <v>4.4000000000000004</v>
      </c>
      <c r="F30" s="47">
        <f t="shared" si="5"/>
        <v>74.800000000000011</v>
      </c>
      <c r="G30" s="21">
        <f t="shared" si="2"/>
        <v>699.89495025413225</v>
      </c>
      <c r="H30" s="113">
        <v>8</v>
      </c>
      <c r="I30" s="403">
        <v>3.87</v>
      </c>
      <c r="J30" s="47">
        <f t="shared" si="4"/>
        <v>30.96</v>
      </c>
      <c r="K30" s="21">
        <f t="shared" si="3"/>
        <v>615.58942215533898</v>
      </c>
    </row>
    <row r="31" spans="1:11" s="22" customFormat="1" x14ac:dyDescent="0.35">
      <c r="A31" s="19">
        <v>19</v>
      </c>
      <c r="B31" s="19">
        <v>90840</v>
      </c>
      <c r="C31" s="20" t="s">
        <v>328</v>
      </c>
      <c r="D31" s="113">
        <v>27</v>
      </c>
      <c r="E31" s="403">
        <v>2.1800000000000002</v>
      </c>
      <c r="F31" s="47">
        <f t="shared" si="5"/>
        <v>58.860000000000007</v>
      </c>
      <c r="G31" s="21">
        <f t="shared" si="2"/>
        <v>346.76613444409281</v>
      </c>
      <c r="H31" s="113">
        <v>0</v>
      </c>
      <c r="I31" s="403">
        <v>1.94</v>
      </c>
      <c r="J31" s="47">
        <f t="shared" si="4"/>
        <v>0</v>
      </c>
      <c r="K31" s="21">
        <f t="shared" si="3"/>
        <v>308.59004624841282</v>
      </c>
    </row>
    <row r="32" spans="1:11" s="22" customFormat="1" x14ac:dyDescent="0.35">
      <c r="A32" s="19">
        <v>20</v>
      </c>
      <c r="B32" s="19">
        <v>90846</v>
      </c>
      <c r="C32" s="20" t="s">
        <v>113</v>
      </c>
      <c r="D32" s="113">
        <v>2207</v>
      </c>
      <c r="E32" s="403">
        <v>2.93</v>
      </c>
      <c r="F32" s="47">
        <f t="shared" si="5"/>
        <v>6466.51</v>
      </c>
      <c r="G32" s="21">
        <f t="shared" si="2"/>
        <v>466.0664100555926</v>
      </c>
      <c r="H32" s="113">
        <v>338</v>
      </c>
      <c r="I32" s="403">
        <v>2.92</v>
      </c>
      <c r="J32" s="47">
        <f t="shared" si="4"/>
        <v>986.95999999999992</v>
      </c>
      <c r="K32" s="21">
        <f t="shared" si="3"/>
        <v>464.47573971410588</v>
      </c>
    </row>
    <row r="33" spans="1:11" s="22" customFormat="1" x14ac:dyDescent="0.35">
      <c r="A33" s="19">
        <v>21</v>
      </c>
      <c r="B33" s="19">
        <v>90847</v>
      </c>
      <c r="C33" s="20" t="s">
        <v>114</v>
      </c>
      <c r="D33" s="113">
        <v>1181</v>
      </c>
      <c r="E33" s="403">
        <v>3.07</v>
      </c>
      <c r="F33" s="47">
        <f t="shared" si="5"/>
        <v>3625.6699999999996</v>
      </c>
      <c r="G33" s="21">
        <f t="shared" si="2"/>
        <v>488.33579483640585</v>
      </c>
      <c r="H33" s="113">
        <v>2528</v>
      </c>
      <c r="I33" s="403">
        <v>3.05</v>
      </c>
      <c r="J33" s="47">
        <f t="shared" si="4"/>
        <v>7710.4</v>
      </c>
      <c r="K33" s="21">
        <f t="shared" si="3"/>
        <v>485.15445415343254</v>
      </c>
    </row>
    <row r="34" spans="1:11" s="22" customFormat="1" x14ac:dyDescent="0.35">
      <c r="A34" s="19">
        <v>22</v>
      </c>
      <c r="B34" s="19">
        <v>90849</v>
      </c>
      <c r="C34" s="20" t="s">
        <v>115</v>
      </c>
      <c r="D34" s="113">
        <v>5</v>
      </c>
      <c r="E34" s="403">
        <v>1.1299999999999999</v>
      </c>
      <c r="F34" s="47">
        <f t="shared" si="5"/>
        <v>5.6499999999999995</v>
      </c>
      <c r="G34" s="21">
        <f t="shared" si="2"/>
        <v>179.74574858799303</v>
      </c>
      <c r="H34" s="113">
        <v>38</v>
      </c>
      <c r="I34" s="403">
        <v>0.88</v>
      </c>
      <c r="J34" s="47">
        <f t="shared" si="4"/>
        <v>33.44</v>
      </c>
      <c r="K34" s="21">
        <f t="shared" si="3"/>
        <v>139.97899005082644</v>
      </c>
    </row>
    <row r="35" spans="1:11" s="22" customFormat="1" x14ac:dyDescent="0.35">
      <c r="A35" s="19">
        <v>23</v>
      </c>
      <c r="B35" s="19">
        <v>90853</v>
      </c>
      <c r="C35" s="20" t="s">
        <v>116</v>
      </c>
      <c r="D35" s="113">
        <v>1943</v>
      </c>
      <c r="E35" s="403">
        <v>0.83</v>
      </c>
      <c r="F35" s="47">
        <f t="shared" si="5"/>
        <v>1612.6899999999998</v>
      </c>
      <c r="G35" s="21">
        <f t="shared" si="2"/>
        <v>132.02563834339313</v>
      </c>
      <c r="H35" s="113">
        <v>750</v>
      </c>
      <c r="I35" s="403">
        <v>0.72</v>
      </c>
      <c r="J35" s="47">
        <f t="shared" si="4"/>
        <v>540</v>
      </c>
      <c r="K35" s="21">
        <f t="shared" si="3"/>
        <v>114.52826458703981</v>
      </c>
    </row>
    <row r="36" spans="1:11" s="22" customFormat="1" x14ac:dyDescent="0.35">
      <c r="A36" s="19">
        <v>24</v>
      </c>
      <c r="B36" s="19">
        <v>90870</v>
      </c>
      <c r="C36" s="20" t="s">
        <v>117</v>
      </c>
      <c r="D36" s="113">
        <v>0</v>
      </c>
      <c r="E36" s="403">
        <v>5.18</v>
      </c>
      <c r="F36" s="47">
        <f t="shared" si="5"/>
        <v>0</v>
      </c>
      <c r="G36" s="21">
        <f t="shared" si="2"/>
        <v>823.96723689009195</v>
      </c>
      <c r="H36" s="113">
        <v>0</v>
      </c>
      <c r="I36" s="403">
        <v>3.12</v>
      </c>
      <c r="J36" s="47">
        <f t="shared" si="4"/>
        <v>0</v>
      </c>
      <c r="K36" s="21">
        <f t="shared" si="3"/>
        <v>496.28914654383919</v>
      </c>
    </row>
    <row r="37" spans="1:11" s="22" customFormat="1" x14ac:dyDescent="0.35">
      <c r="A37" s="19">
        <v>25</v>
      </c>
      <c r="B37" s="19">
        <v>90875</v>
      </c>
      <c r="C37" s="20" t="s">
        <v>152</v>
      </c>
      <c r="D37" s="113">
        <v>0</v>
      </c>
      <c r="E37" s="403">
        <v>1.75</v>
      </c>
      <c r="F37" s="47">
        <f t="shared" si="5"/>
        <v>0</v>
      </c>
      <c r="G37" s="21">
        <f t="shared" si="2"/>
        <v>278.36730976016622</v>
      </c>
      <c r="H37" s="113">
        <v>0</v>
      </c>
      <c r="I37" s="403">
        <v>1.74</v>
      </c>
      <c r="J37" s="47">
        <f t="shared" si="4"/>
        <v>0</v>
      </c>
      <c r="K37" s="21">
        <f t="shared" si="3"/>
        <v>276.77663941867957</v>
      </c>
    </row>
    <row r="38" spans="1:11" s="22" customFormat="1" x14ac:dyDescent="0.35">
      <c r="A38" s="19">
        <v>26</v>
      </c>
      <c r="B38" s="19">
        <v>90876</v>
      </c>
      <c r="C38" s="20" t="s">
        <v>153</v>
      </c>
      <c r="D38" s="113">
        <v>0</v>
      </c>
      <c r="E38" s="403">
        <v>3.08</v>
      </c>
      <c r="F38" s="47">
        <f t="shared" si="5"/>
        <v>0</v>
      </c>
      <c r="G38" s="21">
        <f t="shared" si="2"/>
        <v>489.92646517789257</v>
      </c>
      <c r="H38" s="113">
        <v>0</v>
      </c>
      <c r="I38" s="403">
        <v>2.76</v>
      </c>
      <c r="J38" s="47">
        <f t="shared" si="4"/>
        <v>0</v>
      </c>
      <c r="K38" s="21">
        <f t="shared" si="3"/>
        <v>439.02501425031926</v>
      </c>
    </row>
    <row r="39" spans="1:11" s="22" customFormat="1" x14ac:dyDescent="0.35">
      <c r="A39" s="19">
        <v>27</v>
      </c>
      <c r="B39" s="19">
        <v>90887</v>
      </c>
      <c r="C39" s="20" t="s">
        <v>330</v>
      </c>
      <c r="D39" s="113">
        <v>0</v>
      </c>
      <c r="E39" s="403">
        <v>2.56</v>
      </c>
      <c r="F39" s="47">
        <f t="shared" si="5"/>
        <v>0</v>
      </c>
      <c r="G39" s="21">
        <f t="shared" si="2"/>
        <v>407.21160742058601</v>
      </c>
      <c r="H39" s="113">
        <v>0</v>
      </c>
      <c r="I39" s="403">
        <v>2.14</v>
      </c>
      <c r="J39" s="47">
        <f t="shared" si="4"/>
        <v>0</v>
      </c>
      <c r="K39" s="21">
        <f t="shared" si="3"/>
        <v>340.40345307814613</v>
      </c>
    </row>
    <row r="40" spans="1:11" s="22" customFormat="1" x14ac:dyDescent="0.35">
      <c r="A40" s="19">
        <v>28</v>
      </c>
      <c r="B40" s="19">
        <v>96116</v>
      </c>
      <c r="C40" s="20" t="s">
        <v>341</v>
      </c>
      <c r="D40" s="113">
        <v>1</v>
      </c>
      <c r="E40" s="403">
        <v>2.76</v>
      </c>
      <c r="F40" s="47">
        <f t="shared" si="5"/>
        <v>2.76</v>
      </c>
      <c r="G40" s="21">
        <f t="shared" si="2"/>
        <v>439.02501425031926</v>
      </c>
      <c r="H40" s="113">
        <v>19</v>
      </c>
      <c r="I40" s="403">
        <v>2.37</v>
      </c>
      <c r="J40" s="47">
        <f t="shared" si="4"/>
        <v>45.03</v>
      </c>
      <c r="K40" s="21">
        <f t="shared" si="3"/>
        <v>376.98887093233941</v>
      </c>
    </row>
    <row r="41" spans="1:11" s="22" customFormat="1" x14ac:dyDescent="0.35">
      <c r="A41" s="19">
        <v>29</v>
      </c>
      <c r="B41" s="19">
        <v>96121</v>
      </c>
      <c r="C41" s="20" t="s">
        <v>340</v>
      </c>
      <c r="D41" s="113">
        <v>0</v>
      </c>
      <c r="E41" s="403">
        <v>2.25</v>
      </c>
      <c r="F41" s="47">
        <f t="shared" si="5"/>
        <v>0</v>
      </c>
      <c r="G41" s="21">
        <f t="shared" si="2"/>
        <v>357.90082683449941</v>
      </c>
      <c r="H41" s="113">
        <v>0</v>
      </c>
      <c r="I41" s="403">
        <v>1.97</v>
      </c>
      <c r="J41" s="47">
        <f t="shared" si="4"/>
        <v>0</v>
      </c>
      <c r="K41" s="21">
        <f t="shared" si="3"/>
        <v>313.36205727287285</v>
      </c>
    </row>
    <row r="42" spans="1:11" s="22" customFormat="1" x14ac:dyDescent="0.35">
      <c r="A42" s="19">
        <v>30</v>
      </c>
      <c r="B42" s="19">
        <v>96130</v>
      </c>
      <c r="C42" s="20" t="s">
        <v>338</v>
      </c>
      <c r="D42" s="113">
        <v>45</v>
      </c>
      <c r="E42" s="403">
        <v>3.6</v>
      </c>
      <c r="F42" s="47">
        <f t="shared" si="5"/>
        <v>162</v>
      </c>
      <c r="G42" s="21">
        <f t="shared" si="2"/>
        <v>572.64132293519913</v>
      </c>
      <c r="H42" s="113">
        <v>19</v>
      </c>
      <c r="I42" s="403">
        <v>3.25</v>
      </c>
      <c r="J42" s="47">
        <f t="shared" si="4"/>
        <v>61.75</v>
      </c>
      <c r="K42" s="21">
        <f t="shared" si="3"/>
        <v>516.96786098316579</v>
      </c>
    </row>
    <row r="43" spans="1:11" s="22" customFormat="1" x14ac:dyDescent="0.35">
      <c r="A43" s="19">
        <v>31</v>
      </c>
      <c r="B43" s="19">
        <v>96131</v>
      </c>
      <c r="C43" s="20" t="s">
        <v>339</v>
      </c>
      <c r="D43" s="113">
        <v>0</v>
      </c>
      <c r="E43" s="403">
        <v>2.57</v>
      </c>
      <c r="F43" s="47">
        <f t="shared" si="5"/>
        <v>0</v>
      </c>
      <c r="G43" s="21">
        <f t="shared" si="2"/>
        <v>408.80227776207266</v>
      </c>
      <c r="H43" s="113">
        <v>0</v>
      </c>
      <c r="I43" s="403">
        <v>2.25</v>
      </c>
      <c r="J43" s="47">
        <f t="shared" si="4"/>
        <v>0</v>
      </c>
      <c r="K43" s="21">
        <f t="shared" si="3"/>
        <v>357.90082683449941</v>
      </c>
    </row>
    <row r="44" spans="1:11" s="22" customFormat="1" x14ac:dyDescent="0.35">
      <c r="A44" s="19">
        <v>32</v>
      </c>
      <c r="B44" s="19">
        <v>96132</v>
      </c>
      <c r="C44" s="20" t="s">
        <v>332</v>
      </c>
      <c r="D44" s="113">
        <v>0</v>
      </c>
      <c r="E44" s="403">
        <v>3.85</v>
      </c>
      <c r="F44" s="47">
        <f t="shared" si="5"/>
        <v>0</v>
      </c>
      <c r="G44" s="21">
        <f t="shared" si="2"/>
        <v>612.40808147236567</v>
      </c>
      <c r="H44" s="113">
        <v>56</v>
      </c>
      <c r="I44" s="403">
        <v>3.14</v>
      </c>
      <c r="J44" s="47">
        <f t="shared" si="4"/>
        <v>175.84</v>
      </c>
      <c r="K44" s="21">
        <f t="shared" si="3"/>
        <v>499.47048722681257</v>
      </c>
    </row>
    <row r="45" spans="1:11" s="22" customFormat="1" x14ac:dyDescent="0.35">
      <c r="A45" s="19">
        <v>33</v>
      </c>
      <c r="B45" s="19">
        <v>96133</v>
      </c>
      <c r="C45" s="20" t="s">
        <v>333</v>
      </c>
      <c r="D45" s="113">
        <v>0</v>
      </c>
      <c r="E45" s="403">
        <v>2.92</v>
      </c>
      <c r="F45" s="47">
        <f t="shared" si="5"/>
        <v>0</v>
      </c>
      <c r="G45" s="21">
        <f t="shared" si="2"/>
        <v>464.47573971410588</v>
      </c>
      <c r="H45" s="113">
        <v>0</v>
      </c>
      <c r="I45" s="403">
        <v>2.2599999999999998</v>
      </c>
      <c r="J45" s="47">
        <f t="shared" si="4"/>
        <v>0</v>
      </c>
      <c r="K45" s="21">
        <f t="shared" si="3"/>
        <v>359.49149717598607</v>
      </c>
    </row>
    <row r="46" spans="1:11" s="22" customFormat="1" x14ac:dyDescent="0.35">
      <c r="A46" s="19">
        <v>34</v>
      </c>
      <c r="B46" s="19">
        <v>96136</v>
      </c>
      <c r="C46" s="20" t="s">
        <v>334</v>
      </c>
      <c r="D46" s="113">
        <v>0</v>
      </c>
      <c r="E46" s="403">
        <v>1.25</v>
      </c>
      <c r="F46" s="47">
        <f t="shared" si="5"/>
        <v>0</v>
      </c>
      <c r="G46" s="21">
        <f t="shared" si="2"/>
        <v>198.833792685833</v>
      </c>
      <c r="H46" s="113">
        <v>74</v>
      </c>
      <c r="I46" s="403">
        <v>0.69</v>
      </c>
      <c r="J46" s="47">
        <f t="shared" si="4"/>
        <v>51.059999999999995</v>
      </c>
      <c r="K46" s="21">
        <f t="shared" si="3"/>
        <v>109.75625356257981</v>
      </c>
    </row>
    <row r="47" spans="1:11" s="22" customFormat="1" x14ac:dyDescent="0.35">
      <c r="A47" s="19">
        <v>35</v>
      </c>
      <c r="B47" s="19">
        <v>96137</v>
      </c>
      <c r="C47" s="20" t="s">
        <v>335</v>
      </c>
      <c r="D47" s="113">
        <v>0</v>
      </c>
      <c r="E47" s="403">
        <v>1.1299999999999999</v>
      </c>
      <c r="F47" s="47">
        <f t="shared" si="5"/>
        <v>0</v>
      </c>
      <c r="G47" s="21">
        <f t="shared" si="2"/>
        <v>179.74574858799303</v>
      </c>
      <c r="H47" s="113">
        <v>0</v>
      </c>
      <c r="I47" s="403">
        <v>0.53</v>
      </c>
      <c r="J47" s="47">
        <f t="shared" si="4"/>
        <v>0</v>
      </c>
      <c r="K47" s="21">
        <f t="shared" si="3"/>
        <v>84.305528098793204</v>
      </c>
    </row>
    <row r="48" spans="1:11" s="22" customFormat="1" x14ac:dyDescent="0.35">
      <c r="A48" s="19">
        <v>36</v>
      </c>
      <c r="B48" s="19">
        <v>96138</v>
      </c>
      <c r="C48" s="20" t="s">
        <v>336</v>
      </c>
      <c r="D48" s="113">
        <v>0</v>
      </c>
      <c r="E48" s="403">
        <v>1.03</v>
      </c>
      <c r="F48" s="47">
        <f t="shared" si="5"/>
        <v>0</v>
      </c>
      <c r="G48" s="21">
        <f t="shared" si="2"/>
        <v>163.83904517312641</v>
      </c>
      <c r="H48" s="113">
        <v>55</v>
      </c>
      <c r="I48" s="403">
        <v>0.56999999999999995</v>
      </c>
      <c r="J48" s="47">
        <f t="shared" si="4"/>
        <v>31.349999999999998</v>
      </c>
      <c r="K48" s="21">
        <f t="shared" si="3"/>
        <v>90.668209464739846</v>
      </c>
    </row>
    <row r="49" spans="1:11" s="22" customFormat="1" x14ac:dyDescent="0.35">
      <c r="A49" s="19">
        <v>37</v>
      </c>
      <c r="B49" s="19">
        <v>96139</v>
      </c>
      <c r="C49" s="20" t="s">
        <v>337</v>
      </c>
      <c r="D49" s="113">
        <v>0</v>
      </c>
      <c r="E49" s="403">
        <v>1.06</v>
      </c>
      <c r="F49" s="47">
        <f t="shared" si="5"/>
        <v>0</v>
      </c>
      <c r="G49" s="21">
        <f t="shared" si="2"/>
        <v>168.61105619758641</v>
      </c>
      <c r="H49" s="113">
        <v>0</v>
      </c>
      <c r="I49" s="403">
        <v>0.5</v>
      </c>
      <c r="J49" s="47">
        <f t="shared" si="4"/>
        <v>0</v>
      </c>
      <c r="K49" s="21">
        <f t="shared" si="3"/>
        <v>79.533517074333204</v>
      </c>
    </row>
    <row r="50" spans="1:11" s="22" customFormat="1" x14ac:dyDescent="0.35">
      <c r="A50" s="19">
        <v>38</v>
      </c>
      <c r="B50" s="19">
        <v>96146</v>
      </c>
      <c r="C50" s="20" t="s">
        <v>331</v>
      </c>
      <c r="D50" s="113">
        <v>0</v>
      </c>
      <c r="E50" s="403">
        <v>7.0000000000000007E-2</v>
      </c>
      <c r="F50" s="47">
        <f t="shared" si="5"/>
        <v>0</v>
      </c>
      <c r="G50" s="21">
        <f t="shared" si="2"/>
        <v>11.13469239040665</v>
      </c>
      <c r="H50" s="113">
        <v>0</v>
      </c>
      <c r="I50" s="403">
        <v>7.0000000000000007E-2</v>
      </c>
      <c r="J50" s="47">
        <f t="shared" si="4"/>
        <v>0</v>
      </c>
      <c r="K50" s="21">
        <f t="shared" si="3"/>
        <v>11.13469239040665</v>
      </c>
    </row>
    <row r="51" spans="1:11" s="22" customFormat="1" x14ac:dyDescent="0.35">
      <c r="A51" s="19">
        <v>39</v>
      </c>
      <c r="B51" s="19">
        <v>96372</v>
      </c>
      <c r="C51" s="20" t="s">
        <v>118</v>
      </c>
      <c r="D51" s="113">
        <v>81</v>
      </c>
      <c r="E51" s="403">
        <v>0.43</v>
      </c>
      <c r="F51" s="47">
        <f t="shared" si="5"/>
        <v>34.83</v>
      </c>
      <c r="G51" s="21">
        <f t="shared" si="2"/>
        <v>68.398824683926549</v>
      </c>
      <c r="H51" s="113">
        <v>4550</v>
      </c>
      <c r="I51" s="403">
        <v>0.43</v>
      </c>
      <c r="J51" s="47">
        <f t="shared" si="4"/>
        <v>1956.5</v>
      </c>
      <c r="K51" s="21">
        <f t="shared" si="3"/>
        <v>68.398824683926549</v>
      </c>
    </row>
    <row r="52" spans="1:11" s="22" customFormat="1" x14ac:dyDescent="0.35">
      <c r="A52" s="19">
        <v>40</v>
      </c>
      <c r="B52" s="19">
        <v>97535</v>
      </c>
      <c r="C52" s="20" t="s">
        <v>119</v>
      </c>
      <c r="D52" s="113">
        <v>0</v>
      </c>
      <c r="E52" s="403">
        <v>0.98</v>
      </c>
      <c r="F52" s="47">
        <f t="shared" si="5"/>
        <v>0</v>
      </c>
      <c r="G52" s="21">
        <f t="shared" si="2"/>
        <v>155.88569346569307</v>
      </c>
      <c r="H52" s="113">
        <v>0</v>
      </c>
      <c r="I52" s="403">
        <v>0.98</v>
      </c>
      <c r="J52" s="47">
        <f t="shared" si="4"/>
        <v>0</v>
      </c>
      <c r="K52" s="21">
        <f t="shared" si="3"/>
        <v>155.88569346569307</v>
      </c>
    </row>
    <row r="53" spans="1:11" s="22" customFormat="1" x14ac:dyDescent="0.35">
      <c r="A53" s="19">
        <v>41</v>
      </c>
      <c r="B53" s="19">
        <v>97537</v>
      </c>
      <c r="C53" s="20" t="s">
        <v>120</v>
      </c>
      <c r="D53" s="113">
        <v>252</v>
      </c>
      <c r="E53" s="403">
        <v>0.95</v>
      </c>
      <c r="F53" s="47">
        <f t="shared" si="5"/>
        <v>239.39999999999998</v>
      </c>
      <c r="G53" s="21">
        <f t="shared" si="2"/>
        <v>151.1136824412331</v>
      </c>
      <c r="H53" s="113">
        <v>4</v>
      </c>
      <c r="I53" s="403">
        <v>0.95</v>
      </c>
      <c r="J53" s="47">
        <f t="shared" si="4"/>
        <v>3.8</v>
      </c>
      <c r="K53" s="21">
        <f t="shared" si="3"/>
        <v>151.1136824412331</v>
      </c>
    </row>
    <row r="54" spans="1:11" s="22" customFormat="1" x14ac:dyDescent="0.35">
      <c r="A54" s="19">
        <v>42</v>
      </c>
      <c r="B54" s="19">
        <v>98966</v>
      </c>
      <c r="C54" s="20" t="s">
        <v>342</v>
      </c>
      <c r="D54" s="113">
        <v>0</v>
      </c>
      <c r="E54" s="403">
        <v>0.39</v>
      </c>
      <c r="F54" s="47">
        <f t="shared" si="5"/>
        <v>0</v>
      </c>
      <c r="G54" s="21">
        <f t="shared" si="2"/>
        <v>62.036143317979899</v>
      </c>
      <c r="H54" s="113">
        <v>0</v>
      </c>
      <c r="I54" s="403">
        <v>0.34</v>
      </c>
      <c r="J54" s="47">
        <f t="shared" si="4"/>
        <v>0</v>
      </c>
      <c r="K54" s="21">
        <f t="shared" si="3"/>
        <v>54.082791610546586</v>
      </c>
    </row>
    <row r="55" spans="1:11" s="22" customFormat="1" x14ac:dyDescent="0.35">
      <c r="A55" s="19">
        <v>43</v>
      </c>
      <c r="B55" s="19">
        <v>98967</v>
      </c>
      <c r="C55" s="20" t="s">
        <v>343</v>
      </c>
      <c r="D55" s="113">
        <v>0</v>
      </c>
      <c r="E55" s="403">
        <v>0.72</v>
      </c>
      <c r="F55" s="47">
        <f t="shared" si="5"/>
        <v>0</v>
      </c>
      <c r="G55" s="21">
        <f t="shared" si="2"/>
        <v>114.52826458703981</v>
      </c>
      <c r="H55" s="113">
        <v>0</v>
      </c>
      <c r="I55" s="403">
        <v>0.66</v>
      </c>
      <c r="J55" s="47">
        <f t="shared" si="4"/>
        <v>0</v>
      </c>
      <c r="K55" s="21">
        <f t="shared" si="3"/>
        <v>104.98424253811983</v>
      </c>
    </row>
    <row r="56" spans="1:11" s="22" customFormat="1" x14ac:dyDescent="0.35">
      <c r="A56" s="19">
        <v>44</v>
      </c>
      <c r="B56" s="19">
        <v>98968</v>
      </c>
      <c r="C56" s="20" t="s">
        <v>344</v>
      </c>
      <c r="D56" s="113">
        <v>0</v>
      </c>
      <c r="E56" s="403">
        <v>0.99</v>
      </c>
      <c r="F56" s="47">
        <f t="shared" si="5"/>
        <v>0</v>
      </c>
      <c r="G56" s="21">
        <f t="shared" si="2"/>
        <v>157.47636380717975</v>
      </c>
      <c r="H56" s="113">
        <v>0</v>
      </c>
      <c r="I56" s="403">
        <v>0.92</v>
      </c>
      <c r="J56" s="47">
        <f t="shared" si="4"/>
        <v>0</v>
      </c>
      <c r="K56" s="21">
        <f t="shared" si="3"/>
        <v>146.3416714167731</v>
      </c>
    </row>
    <row r="57" spans="1:11" s="22" customFormat="1" x14ac:dyDescent="0.35">
      <c r="A57" s="19">
        <v>45</v>
      </c>
      <c r="B57" s="19">
        <v>99202</v>
      </c>
      <c r="C57" s="20" t="s">
        <v>154</v>
      </c>
      <c r="D57" s="113">
        <v>5</v>
      </c>
      <c r="E57" s="403">
        <v>2.17</v>
      </c>
      <c r="F57" s="47">
        <f t="shared" si="5"/>
        <v>10.85</v>
      </c>
      <c r="G57" s="21">
        <f t="shared" si="2"/>
        <v>345.1754641026061</v>
      </c>
      <c r="H57" s="113">
        <v>7</v>
      </c>
      <c r="I57" s="403">
        <v>1.41</v>
      </c>
      <c r="J57" s="47">
        <f t="shared" si="4"/>
        <v>9.8699999999999992</v>
      </c>
      <c r="K57" s="21">
        <f t="shared" si="3"/>
        <v>224.28451814961963</v>
      </c>
    </row>
    <row r="58" spans="1:11" s="22" customFormat="1" x14ac:dyDescent="0.35">
      <c r="A58" s="19">
        <v>46</v>
      </c>
      <c r="B58" s="19">
        <v>99203</v>
      </c>
      <c r="C58" s="20" t="s">
        <v>154</v>
      </c>
      <c r="D58" s="113">
        <v>33</v>
      </c>
      <c r="E58" s="403">
        <v>3.35</v>
      </c>
      <c r="F58" s="47">
        <f t="shared" si="5"/>
        <v>110.55</v>
      </c>
      <c r="G58" s="21">
        <f t="shared" si="2"/>
        <v>532.87456439803248</v>
      </c>
      <c r="H58" s="113">
        <v>63</v>
      </c>
      <c r="I58" s="403">
        <v>2.44</v>
      </c>
      <c r="J58" s="47">
        <f t="shared" si="4"/>
        <v>153.72</v>
      </c>
      <c r="K58" s="21">
        <f t="shared" si="3"/>
        <v>388.12356332274601</v>
      </c>
    </row>
    <row r="59" spans="1:11" s="22" customFormat="1" x14ac:dyDescent="0.35">
      <c r="A59" s="19">
        <v>47</v>
      </c>
      <c r="B59" s="19">
        <v>99204</v>
      </c>
      <c r="C59" s="20" t="s">
        <v>154</v>
      </c>
      <c r="D59" s="113">
        <v>331</v>
      </c>
      <c r="E59" s="403">
        <v>5.0199999999999996</v>
      </c>
      <c r="F59" s="47">
        <f t="shared" si="5"/>
        <v>1661.62</v>
      </c>
      <c r="G59" s="21">
        <f t="shared" si="2"/>
        <v>798.51651142630533</v>
      </c>
      <c r="H59" s="113">
        <v>410</v>
      </c>
      <c r="I59" s="403">
        <v>3.97</v>
      </c>
      <c r="J59" s="47">
        <f t="shared" si="4"/>
        <v>1627.7</v>
      </c>
      <c r="K59" s="21">
        <f t="shared" si="3"/>
        <v>631.49612557020566</v>
      </c>
    </row>
    <row r="60" spans="1:11" s="22" customFormat="1" x14ac:dyDescent="0.35">
      <c r="A60" s="19">
        <v>48</v>
      </c>
      <c r="B60" s="19">
        <v>99205</v>
      </c>
      <c r="C60" s="20" t="s">
        <v>154</v>
      </c>
      <c r="D60" s="113">
        <v>489</v>
      </c>
      <c r="E60" s="403">
        <v>6.62</v>
      </c>
      <c r="F60" s="47">
        <f t="shared" si="5"/>
        <v>3237.18</v>
      </c>
      <c r="G60" s="21">
        <f t="shared" si="2"/>
        <v>1053.0237660641717</v>
      </c>
      <c r="H60" s="113">
        <v>546</v>
      </c>
      <c r="I60" s="403">
        <v>5.4</v>
      </c>
      <c r="J60" s="47">
        <f t="shared" si="4"/>
        <v>2948.4</v>
      </c>
      <c r="K60" s="21">
        <f t="shared" si="3"/>
        <v>858.96198440279863</v>
      </c>
    </row>
    <row r="61" spans="1:11" s="22" customFormat="1" ht="43.5" x14ac:dyDescent="0.35">
      <c r="A61" s="19">
        <v>49</v>
      </c>
      <c r="B61" s="19">
        <v>99211</v>
      </c>
      <c r="C61" s="20" t="s">
        <v>345</v>
      </c>
      <c r="D61" s="113">
        <v>0</v>
      </c>
      <c r="E61" s="403">
        <v>0.7</v>
      </c>
      <c r="F61" s="47">
        <f t="shared" si="5"/>
        <v>0</v>
      </c>
      <c r="G61" s="21">
        <f t="shared" si="2"/>
        <v>111.34692390406649</v>
      </c>
      <c r="H61" s="113">
        <v>1745</v>
      </c>
      <c r="I61" s="403">
        <v>0.26</v>
      </c>
      <c r="J61" s="47">
        <f t="shared" si="4"/>
        <v>453.7</v>
      </c>
      <c r="K61" s="21">
        <f t="shared" si="3"/>
        <v>41.357428878653266</v>
      </c>
    </row>
    <row r="62" spans="1:11" s="22" customFormat="1" x14ac:dyDescent="0.35">
      <c r="A62" s="19">
        <v>50</v>
      </c>
      <c r="B62" s="19">
        <v>99212</v>
      </c>
      <c r="C62" s="20" t="s">
        <v>155</v>
      </c>
      <c r="D62" s="113">
        <v>52</v>
      </c>
      <c r="E62" s="403">
        <v>1.7</v>
      </c>
      <c r="F62" s="47">
        <f t="shared" si="5"/>
        <v>88.399999999999991</v>
      </c>
      <c r="G62" s="21">
        <f t="shared" si="2"/>
        <v>270.41395805273288</v>
      </c>
      <c r="H62" s="113">
        <v>23</v>
      </c>
      <c r="I62" s="403">
        <v>1.05</v>
      </c>
      <c r="J62" s="47">
        <f t="shared" si="4"/>
        <v>24.150000000000002</v>
      </c>
      <c r="K62" s="21">
        <f t="shared" si="3"/>
        <v>167.02038585609972</v>
      </c>
    </row>
    <row r="63" spans="1:11" s="22" customFormat="1" x14ac:dyDescent="0.35">
      <c r="A63" s="19">
        <v>51</v>
      </c>
      <c r="B63" s="19">
        <v>99213</v>
      </c>
      <c r="C63" s="20" t="s">
        <v>155</v>
      </c>
      <c r="D63" s="113">
        <v>1628</v>
      </c>
      <c r="E63" s="403">
        <v>2.73</v>
      </c>
      <c r="F63" s="47">
        <f t="shared" si="5"/>
        <v>4444.4399999999996</v>
      </c>
      <c r="G63" s="21">
        <f t="shared" si="2"/>
        <v>434.25300322585929</v>
      </c>
      <c r="H63" s="113">
        <v>615</v>
      </c>
      <c r="I63" s="403">
        <v>1.96</v>
      </c>
      <c r="J63" s="47">
        <f t="shared" si="4"/>
        <v>1205.4000000000001</v>
      </c>
      <c r="K63" s="21">
        <f t="shared" si="3"/>
        <v>311.77138693138613</v>
      </c>
    </row>
    <row r="64" spans="1:11" s="22" customFormat="1" x14ac:dyDescent="0.35">
      <c r="A64" s="19">
        <v>52</v>
      </c>
      <c r="B64" s="19">
        <v>99214</v>
      </c>
      <c r="C64" s="20" t="s">
        <v>155</v>
      </c>
      <c r="D64" s="113">
        <v>16151</v>
      </c>
      <c r="E64" s="403">
        <v>3.85</v>
      </c>
      <c r="F64" s="47">
        <f t="shared" si="5"/>
        <v>62181.35</v>
      </c>
      <c r="G64" s="21">
        <f t="shared" si="2"/>
        <v>612.40808147236567</v>
      </c>
      <c r="H64" s="113">
        <v>6560</v>
      </c>
      <c r="I64" s="403">
        <v>2.89</v>
      </c>
      <c r="J64" s="47">
        <f t="shared" si="4"/>
        <v>18958.400000000001</v>
      </c>
      <c r="K64" s="21">
        <f t="shared" si="3"/>
        <v>459.70372868964591</v>
      </c>
    </row>
    <row r="65" spans="1:11" s="22" customFormat="1" x14ac:dyDescent="0.35">
      <c r="A65" s="19">
        <v>53</v>
      </c>
      <c r="B65" s="19">
        <v>99215</v>
      </c>
      <c r="C65" s="20" t="s">
        <v>155</v>
      </c>
      <c r="D65" s="113">
        <v>1664</v>
      </c>
      <c r="E65" s="403">
        <v>5.42</v>
      </c>
      <c r="F65" s="47">
        <f t="shared" si="5"/>
        <v>9018.8799999999992</v>
      </c>
      <c r="G65" s="21">
        <f t="shared" si="2"/>
        <v>862.14332508577195</v>
      </c>
      <c r="H65" s="113">
        <v>1469</v>
      </c>
      <c r="I65" s="403">
        <v>4.29</v>
      </c>
      <c r="J65" s="47">
        <f t="shared" si="4"/>
        <v>6302.01</v>
      </c>
      <c r="K65" s="21">
        <f t="shared" si="3"/>
        <v>682.39757649777891</v>
      </c>
    </row>
    <row r="66" spans="1:11" s="22" customFormat="1" x14ac:dyDescent="0.35">
      <c r="A66" s="19">
        <v>54</v>
      </c>
      <c r="B66" s="19">
        <v>99221</v>
      </c>
      <c r="C66" s="20" t="s">
        <v>121</v>
      </c>
      <c r="D66" s="113">
        <v>0</v>
      </c>
      <c r="E66" s="403">
        <v>2.46</v>
      </c>
      <c r="F66" s="47">
        <f t="shared" si="5"/>
        <v>0</v>
      </c>
      <c r="G66" s="21">
        <f t="shared" si="2"/>
        <v>391.30490400571938</v>
      </c>
      <c r="H66" s="113">
        <v>0</v>
      </c>
      <c r="I66" s="403">
        <v>2.46</v>
      </c>
      <c r="J66" s="47">
        <f t="shared" si="4"/>
        <v>0</v>
      </c>
      <c r="K66" s="21">
        <f t="shared" si="3"/>
        <v>391.30490400571938</v>
      </c>
    </row>
    <row r="67" spans="1:11" s="22" customFormat="1" x14ac:dyDescent="0.35">
      <c r="A67" s="19">
        <v>55</v>
      </c>
      <c r="B67" s="19">
        <v>99222</v>
      </c>
      <c r="C67" s="20" t="s">
        <v>122</v>
      </c>
      <c r="D67" s="113">
        <v>0</v>
      </c>
      <c r="E67" s="403">
        <v>3.88</v>
      </c>
      <c r="F67" s="47">
        <f t="shared" si="5"/>
        <v>0</v>
      </c>
      <c r="G67" s="21">
        <f t="shared" si="2"/>
        <v>617.18009249682564</v>
      </c>
      <c r="H67" s="113">
        <v>0</v>
      </c>
      <c r="I67" s="403">
        <v>3.88</v>
      </c>
      <c r="J67" s="47">
        <f t="shared" si="4"/>
        <v>0</v>
      </c>
      <c r="K67" s="21">
        <f t="shared" si="3"/>
        <v>617.18009249682564</v>
      </c>
    </row>
    <row r="68" spans="1:11" s="22" customFormat="1" x14ac:dyDescent="0.35">
      <c r="A68" s="19">
        <v>56</v>
      </c>
      <c r="B68" s="19">
        <v>99223</v>
      </c>
      <c r="C68" s="20" t="s">
        <v>123</v>
      </c>
      <c r="D68" s="113">
        <v>0</v>
      </c>
      <c r="E68" s="403">
        <v>5.14</v>
      </c>
      <c r="F68" s="47">
        <f t="shared" si="5"/>
        <v>0</v>
      </c>
      <c r="G68" s="21">
        <f t="shared" si="2"/>
        <v>817.60455552414533</v>
      </c>
      <c r="H68" s="113">
        <v>0</v>
      </c>
      <c r="I68" s="403">
        <v>5.14</v>
      </c>
      <c r="J68" s="47">
        <f t="shared" si="4"/>
        <v>0</v>
      </c>
      <c r="K68" s="21">
        <f t="shared" si="3"/>
        <v>817.60455552414533</v>
      </c>
    </row>
    <row r="69" spans="1:11" s="22" customFormat="1" x14ac:dyDescent="0.35">
      <c r="A69" s="19">
        <v>57</v>
      </c>
      <c r="B69" s="19">
        <v>99231</v>
      </c>
      <c r="C69" s="20" t="s">
        <v>124</v>
      </c>
      <c r="D69" s="113">
        <v>0</v>
      </c>
      <c r="E69" s="403">
        <v>1.47</v>
      </c>
      <c r="F69" s="47">
        <f t="shared" si="5"/>
        <v>0</v>
      </c>
      <c r="G69" s="21">
        <f t="shared" si="2"/>
        <v>233.82854019853963</v>
      </c>
      <c r="H69" s="113">
        <v>0</v>
      </c>
      <c r="I69" s="403">
        <v>1.47</v>
      </c>
      <c r="J69" s="47">
        <f t="shared" si="4"/>
        <v>0</v>
      </c>
      <c r="K69" s="21">
        <f t="shared" si="3"/>
        <v>233.82854019853963</v>
      </c>
    </row>
    <row r="70" spans="1:11" s="22" customFormat="1" x14ac:dyDescent="0.35">
      <c r="A70" s="19">
        <v>58</v>
      </c>
      <c r="B70" s="19">
        <v>99232</v>
      </c>
      <c r="C70" s="20" t="s">
        <v>125</v>
      </c>
      <c r="D70" s="113">
        <v>0</v>
      </c>
      <c r="E70" s="403">
        <v>2.34</v>
      </c>
      <c r="F70" s="47">
        <f t="shared" si="5"/>
        <v>0</v>
      </c>
      <c r="G70" s="21">
        <f t="shared" si="2"/>
        <v>372.21685990787938</v>
      </c>
      <c r="H70" s="113">
        <v>0</v>
      </c>
      <c r="I70" s="403">
        <v>2.34</v>
      </c>
      <c r="J70" s="47">
        <f t="shared" si="4"/>
        <v>0</v>
      </c>
      <c r="K70" s="21">
        <f t="shared" si="3"/>
        <v>372.21685990787938</v>
      </c>
    </row>
    <row r="71" spans="1:11" s="22" customFormat="1" x14ac:dyDescent="0.35">
      <c r="A71" s="19">
        <v>59</v>
      </c>
      <c r="B71" s="19">
        <v>99233</v>
      </c>
      <c r="C71" s="20" t="s">
        <v>126</v>
      </c>
      <c r="D71" s="113">
        <v>0</v>
      </c>
      <c r="E71" s="403">
        <v>3.52</v>
      </c>
      <c r="F71" s="47">
        <f t="shared" si="5"/>
        <v>0</v>
      </c>
      <c r="G71" s="21">
        <f t="shared" si="2"/>
        <v>559.91596020330576</v>
      </c>
      <c r="H71" s="113">
        <v>0</v>
      </c>
      <c r="I71" s="403">
        <v>3.52</v>
      </c>
      <c r="J71" s="47">
        <f t="shared" si="4"/>
        <v>0</v>
      </c>
      <c r="K71" s="21">
        <f t="shared" si="3"/>
        <v>559.91596020330576</v>
      </c>
    </row>
    <row r="72" spans="1:11" s="22" customFormat="1" ht="29" x14ac:dyDescent="0.35">
      <c r="A72" s="19">
        <v>60</v>
      </c>
      <c r="B72" s="19">
        <v>99234</v>
      </c>
      <c r="C72" s="20" t="s">
        <v>360</v>
      </c>
      <c r="D72" s="113">
        <v>0</v>
      </c>
      <c r="E72" s="403">
        <v>2.9</v>
      </c>
      <c r="F72" s="47">
        <f t="shared" si="5"/>
        <v>0</v>
      </c>
      <c r="G72" s="21">
        <f t="shared" si="2"/>
        <v>461.29439903113257</v>
      </c>
      <c r="H72" s="113">
        <v>0</v>
      </c>
      <c r="I72" s="403">
        <v>2.9</v>
      </c>
      <c r="J72" s="47">
        <f t="shared" si="4"/>
        <v>0</v>
      </c>
      <c r="K72" s="21">
        <f t="shared" si="3"/>
        <v>461.29439903113257</v>
      </c>
    </row>
    <row r="73" spans="1:11" s="22" customFormat="1" ht="29" x14ac:dyDescent="0.35">
      <c r="A73" s="19">
        <v>61</v>
      </c>
      <c r="B73" s="19">
        <v>99235</v>
      </c>
      <c r="C73" s="20" t="s">
        <v>361</v>
      </c>
      <c r="D73" s="113">
        <v>0</v>
      </c>
      <c r="E73" s="403">
        <v>4.7300000000000004</v>
      </c>
      <c r="F73" s="47">
        <f t="shared" si="5"/>
        <v>0</v>
      </c>
      <c r="G73" s="21">
        <f t="shared" si="2"/>
        <v>752.38707152319216</v>
      </c>
      <c r="H73" s="113">
        <v>0</v>
      </c>
      <c r="I73" s="403">
        <v>4.7300000000000004</v>
      </c>
      <c r="J73" s="47">
        <f t="shared" si="4"/>
        <v>0</v>
      </c>
      <c r="K73" s="21">
        <f t="shared" si="3"/>
        <v>752.38707152319216</v>
      </c>
    </row>
    <row r="74" spans="1:11" s="22" customFormat="1" ht="29" x14ac:dyDescent="0.35">
      <c r="A74" s="19">
        <v>62</v>
      </c>
      <c r="B74" s="19">
        <v>99236</v>
      </c>
      <c r="C74" s="20" t="s">
        <v>362</v>
      </c>
      <c r="D74" s="113">
        <v>0</v>
      </c>
      <c r="E74" s="403">
        <v>6.18</v>
      </c>
      <c r="F74" s="47">
        <f t="shared" si="5"/>
        <v>0</v>
      </c>
      <c r="G74" s="21">
        <f t="shared" ref="G74:G123" si="6">E74*$F$12</f>
        <v>983.03427103875833</v>
      </c>
      <c r="H74" s="113">
        <v>0</v>
      </c>
      <c r="I74" s="403">
        <v>6.18</v>
      </c>
      <c r="J74" s="47">
        <f t="shared" si="4"/>
        <v>0</v>
      </c>
      <c r="K74" s="21">
        <f t="shared" ref="K74:K123" si="7">I74*$F$12</f>
        <v>983.03427103875833</v>
      </c>
    </row>
    <row r="75" spans="1:11" s="22" customFormat="1" x14ac:dyDescent="0.35">
      <c r="A75" s="19">
        <v>63</v>
      </c>
      <c r="B75" s="19">
        <v>99238</v>
      </c>
      <c r="C75" s="20" t="s">
        <v>346</v>
      </c>
      <c r="D75" s="113">
        <v>0</v>
      </c>
      <c r="E75" s="403">
        <v>2.41</v>
      </c>
      <c r="F75" s="47">
        <f t="shared" ref="F75:F123" si="8">D75*E75</f>
        <v>0</v>
      </c>
      <c r="G75" s="21">
        <f t="shared" si="6"/>
        <v>383.35155229828609</v>
      </c>
      <c r="H75" s="113">
        <v>0</v>
      </c>
      <c r="I75" s="403">
        <v>2.41</v>
      </c>
      <c r="J75" s="47">
        <f t="shared" ref="J75:J123" si="9">H75*I75</f>
        <v>0</v>
      </c>
      <c r="K75" s="21">
        <f t="shared" si="7"/>
        <v>383.35155229828609</v>
      </c>
    </row>
    <row r="76" spans="1:11" s="22" customFormat="1" x14ac:dyDescent="0.35">
      <c r="A76" s="19">
        <v>64</v>
      </c>
      <c r="B76" s="19">
        <v>99239</v>
      </c>
      <c r="C76" s="20" t="s">
        <v>127</v>
      </c>
      <c r="D76" s="113">
        <v>0</v>
      </c>
      <c r="E76" s="403">
        <v>3.4</v>
      </c>
      <c r="F76" s="47">
        <f t="shared" si="8"/>
        <v>0</v>
      </c>
      <c r="G76" s="21">
        <f t="shared" si="6"/>
        <v>540.82791610546576</v>
      </c>
      <c r="H76" s="113">
        <v>0</v>
      </c>
      <c r="I76" s="403">
        <v>3.4</v>
      </c>
      <c r="J76" s="47">
        <f t="shared" si="9"/>
        <v>0</v>
      </c>
      <c r="K76" s="21">
        <f t="shared" si="7"/>
        <v>540.82791610546576</v>
      </c>
    </row>
    <row r="77" spans="1:11" s="22" customFormat="1" x14ac:dyDescent="0.35">
      <c r="A77" s="19">
        <v>65</v>
      </c>
      <c r="B77" s="19">
        <v>99242</v>
      </c>
      <c r="C77" s="20" t="s">
        <v>347</v>
      </c>
      <c r="D77" s="113">
        <v>0</v>
      </c>
      <c r="E77" s="403">
        <v>2.25</v>
      </c>
      <c r="F77" s="139">
        <f t="shared" si="8"/>
        <v>0</v>
      </c>
      <c r="G77" s="140">
        <f t="shared" si="6"/>
        <v>357.90082683449941</v>
      </c>
      <c r="H77" s="141">
        <v>0</v>
      </c>
      <c r="I77" s="403">
        <v>1.66</v>
      </c>
      <c r="J77" s="47">
        <f t="shared" si="9"/>
        <v>0</v>
      </c>
      <c r="K77" s="21">
        <f t="shared" si="7"/>
        <v>264.05127668678625</v>
      </c>
    </row>
    <row r="78" spans="1:11" s="22" customFormat="1" x14ac:dyDescent="0.35">
      <c r="A78" s="19">
        <v>66</v>
      </c>
      <c r="B78" s="19">
        <v>99243</v>
      </c>
      <c r="C78" s="20" t="s">
        <v>348</v>
      </c>
      <c r="D78" s="113">
        <v>0</v>
      </c>
      <c r="E78" s="403">
        <v>3.37</v>
      </c>
      <c r="F78" s="47">
        <f t="shared" si="8"/>
        <v>0</v>
      </c>
      <c r="G78" s="21">
        <f t="shared" si="6"/>
        <v>536.05590508100579</v>
      </c>
      <c r="H78" s="113">
        <v>0</v>
      </c>
      <c r="I78" s="403">
        <v>2.62</v>
      </c>
      <c r="J78" s="47">
        <f t="shared" si="9"/>
        <v>0</v>
      </c>
      <c r="K78" s="21">
        <f t="shared" si="7"/>
        <v>416.755629469506</v>
      </c>
    </row>
    <row r="79" spans="1:11" s="22" customFormat="1" x14ac:dyDescent="0.35">
      <c r="A79" s="19">
        <v>67</v>
      </c>
      <c r="B79" s="19">
        <v>99244</v>
      </c>
      <c r="C79" s="20" t="s">
        <v>349</v>
      </c>
      <c r="D79" s="113">
        <v>0</v>
      </c>
      <c r="E79" s="403">
        <v>4.8099999999999996</v>
      </c>
      <c r="F79" s="47">
        <f t="shared" si="8"/>
        <v>0</v>
      </c>
      <c r="G79" s="21">
        <f t="shared" si="6"/>
        <v>765.11243425508542</v>
      </c>
      <c r="H79" s="113">
        <v>0</v>
      </c>
      <c r="I79" s="403">
        <v>3.99</v>
      </c>
      <c r="J79" s="47">
        <f t="shared" si="9"/>
        <v>0</v>
      </c>
      <c r="K79" s="21">
        <f t="shared" si="7"/>
        <v>634.67746625317898</v>
      </c>
    </row>
    <row r="80" spans="1:11" s="22" customFormat="1" x14ac:dyDescent="0.35">
      <c r="A80" s="19">
        <v>68</v>
      </c>
      <c r="B80" s="19">
        <v>99245</v>
      </c>
      <c r="C80" s="20" t="s">
        <v>350</v>
      </c>
      <c r="D80" s="113">
        <v>0</v>
      </c>
      <c r="E80" s="403">
        <v>6.28</v>
      </c>
      <c r="F80" s="47">
        <f t="shared" si="8"/>
        <v>0</v>
      </c>
      <c r="G80" s="21">
        <f t="shared" si="6"/>
        <v>998.94097445362513</v>
      </c>
      <c r="H80" s="113">
        <v>0</v>
      </c>
      <c r="I80" s="403">
        <v>5.36</v>
      </c>
      <c r="J80" s="47">
        <f t="shared" si="9"/>
        <v>0</v>
      </c>
      <c r="K80" s="21">
        <f t="shared" si="7"/>
        <v>852.59930303685201</v>
      </c>
    </row>
    <row r="81" spans="1:11" s="22" customFormat="1" x14ac:dyDescent="0.35">
      <c r="A81" s="19">
        <v>69</v>
      </c>
      <c r="B81" s="19">
        <v>99252</v>
      </c>
      <c r="C81" s="20" t="s">
        <v>351</v>
      </c>
      <c r="D81" s="113">
        <v>0</v>
      </c>
      <c r="E81" s="403">
        <v>2.11</v>
      </c>
      <c r="F81" s="47">
        <f t="shared" si="8"/>
        <v>0</v>
      </c>
      <c r="G81" s="21">
        <f t="shared" si="6"/>
        <v>335.6314420536861</v>
      </c>
      <c r="H81" s="113">
        <v>0</v>
      </c>
      <c r="I81" s="403">
        <v>2.11</v>
      </c>
      <c r="J81" s="47">
        <f t="shared" si="9"/>
        <v>0</v>
      </c>
      <c r="K81" s="21">
        <f t="shared" si="7"/>
        <v>335.6314420536861</v>
      </c>
    </row>
    <row r="82" spans="1:11" s="22" customFormat="1" x14ac:dyDescent="0.35">
      <c r="A82" s="19">
        <v>70</v>
      </c>
      <c r="B82" s="19">
        <v>99253</v>
      </c>
      <c r="C82" s="20" t="s">
        <v>352</v>
      </c>
      <c r="D82" s="113">
        <v>0</v>
      </c>
      <c r="E82" s="403">
        <v>2.96</v>
      </c>
      <c r="F82" s="47">
        <f t="shared" si="8"/>
        <v>0</v>
      </c>
      <c r="G82" s="21">
        <f t="shared" si="6"/>
        <v>470.83842108005257</v>
      </c>
      <c r="H82" s="113">
        <v>0</v>
      </c>
      <c r="I82" s="403">
        <v>2.96</v>
      </c>
      <c r="J82" s="47">
        <f t="shared" si="9"/>
        <v>0</v>
      </c>
      <c r="K82" s="21">
        <f t="shared" si="7"/>
        <v>470.83842108005257</v>
      </c>
    </row>
    <row r="83" spans="1:11" s="22" customFormat="1" x14ac:dyDescent="0.35">
      <c r="A83" s="19">
        <v>71</v>
      </c>
      <c r="B83" s="19">
        <v>99254</v>
      </c>
      <c r="C83" s="20" t="s">
        <v>353</v>
      </c>
      <c r="D83" s="113">
        <v>0</v>
      </c>
      <c r="E83" s="403">
        <v>4.1100000000000003</v>
      </c>
      <c r="F83" s="47">
        <f t="shared" si="8"/>
        <v>0</v>
      </c>
      <c r="G83" s="21">
        <f t="shared" si="6"/>
        <v>653.76551035101897</v>
      </c>
      <c r="H83" s="113">
        <v>0</v>
      </c>
      <c r="I83" s="403">
        <v>4.1100000000000003</v>
      </c>
      <c r="J83" s="47">
        <f t="shared" si="9"/>
        <v>0</v>
      </c>
      <c r="K83" s="21">
        <f t="shared" si="7"/>
        <v>653.76551035101897</v>
      </c>
    </row>
    <row r="84" spans="1:11" s="22" customFormat="1" x14ac:dyDescent="0.35">
      <c r="A84" s="19">
        <v>72</v>
      </c>
      <c r="B84" s="19">
        <v>99255</v>
      </c>
      <c r="C84" s="20" t="s">
        <v>354</v>
      </c>
      <c r="D84" s="113">
        <v>0</v>
      </c>
      <c r="E84" s="403">
        <v>5.53</v>
      </c>
      <c r="F84" s="47">
        <f t="shared" si="8"/>
        <v>0</v>
      </c>
      <c r="G84" s="21">
        <f t="shared" si="6"/>
        <v>879.64069884212529</v>
      </c>
      <c r="H84" s="113">
        <v>0</v>
      </c>
      <c r="I84" s="403">
        <v>5.53</v>
      </c>
      <c r="J84" s="47">
        <f t="shared" si="9"/>
        <v>0</v>
      </c>
      <c r="K84" s="21">
        <f t="shared" si="7"/>
        <v>879.64069884212529</v>
      </c>
    </row>
    <row r="85" spans="1:11" s="22" customFormat="1" x14ac:dyDescent="0.35">
      <c r="A85" s="19">
        <v>73</v>
      </c>
      <c r="B85" s="19">
        <v>99281</v>
      </c>
      <c r="C85" s="20" t="s">
        <v>355</v>
      </c>
      <c r="D85" s="113">
        <v>0</v>
      </c>
      <c r="E85" s="403">
        <v>0.34</v>
      </c>
      <c r="F85" s="47">
        <f t="shared" si="8"/>
        <v>0</v>
      </c>
      <c r="G85" s="21">
        <f t="shared" si="6"/>
        <v>54.082791610546586</v>
      </c>
      <c r="H85" s="113">
        <v>0</v>
      </c>
      <c r="I85" s="403">
        <v>0.34</v>
      </c>
      <c r="J85" s="47">
        <f t="shared" si="9"/>
        <v>0</v>
      </c>
      <c r="K85" s="21">
        <f t="shared" si="7"/>
        <v>54.082791610546586</v>
      </c>
    </row>
    <row r="86" spans="1:11" s="22" customFormat="1" x14ac:dyDescent="0.35">
      <c r="A86" s="19">
        <v>74</v>
      </c>
      <c r="B86" s="19">
        <v>99282</v>
      </c>
      <c r="C86" s="20" t="s">
        <v>356</v>
      </c>
      <c r="D86" s="113">
        <v>0</v>
      </c>
      <c r="E86" s="403">
        <v>1.24</v>
      </c>
      <c r="F86" s="47">
        <f t="shared" si="8"/>
        <v>0</v>
      </c>
      <c r="G86" s="21">
        <f t="shared" si="6"/>
        <v>197.24312234434635</v>
      </c>
      <c r="H86" s="113">
        <v>0</v>
      </c>
      <c r="I86" s="403">
        <v>1.24</v>
      </c>
      <c r="J86" s="47">
        <f t="shared" si="9"/>
        <v>0</v>
      </c>
      <c r="K86" s="21">
        <f t="shared" si="7"/>
        <v>197.24312234434635</v>
      </c>
    </row>
    <row r="87" spans="1:11" s="22" customFormat="1" x14ac:dyDescent="0.35">
      <c r="A87" s="19">
        <v>75</v>
      </c>
      <c r="B87" s="19">
        <v>99283</v>
      </c>
      <c r="C87" s="20" t="s">
        <v>357</v>
      </c>
      <c r="D87" s="113">
        <v>0</v>
      </c>
      <c r="E87" s="403">
        <v>2.11</v>
      </c>
      <c r="F87" s="47">
        <f t="shared" si="8"/>
        <v>0</v>
      </c>
      <c r="G87" s="21">
        <f t="shared" si="6"/>
        <v>335.6314420536861</v>
      </c>
      <c r="H87" s="113">
        <v>0</v>
      </c>
      <c r="I87" s="403">
        <v>2.11</v>
      </c>
      <c r="J87" s="47">
        <f t="shared" si="9"/>
        <v>0</v>
      </c>
      <c r="K87" s="21">
        <f t="shared" si="7"/>
        <v>335.6314420536861</v>
      </c>
    </row>
    <row r="88" spans="1:11" s="22" customFormat="1" x14ac:dyDescent="0.35">
      <c r="A88" s="19">
        <v>76</v>
      </c>
      <c r="B88" s="19">
        <v>99284</v>
      </c>
      <c r="C88" s="20" t="s">
        <v>358</v>
      </c>
      <c r="D88" s="113">
        <v>0</v>
      </c>
      <c r="E88" s="403">
        <v>3.59</v>
      </c>
      <c r="F88" s="47">
        <f t="shared" si="8"/>
        <v>0</v>
      </c>
      <c r="G88" s="21">
        <f t="shared" si="6"/>
        <v>571.05065259371236</v>
      </c>
      <c r="H88" s="113">
        <v>0</v>
      </c>
      <c r="I88" s="403">
        <v>3.59</v>
      </c>
      <c r="J88" s="47">
        <f t="shared" si="9"/>
        <v>0</v>
      </c>
      <c r="K88" s="21">
        <f t="shared" si="7"/>
        <v>571.05065259371236</v>
      </c>
    </row>
    <row r="89" spans="1:11" s="22" customFormat="1" x14ac:dyDescent="0.35">
      <c r="A89" s="19">
        <v>77</v>
      </c>
      <c r="B89" s="19">
        <v>99285</v>
      </c>
      <c r="C89" s="20" t="s">
        <v>359</v>
      </c>
      <c r="D89" s="113">
        <v>0</v>
      </c>
      <c r="E89" s="403">
        <v>5.2</v>
      </c>
      <c r="F89" s="47">
        <f t="shared" si="8"/>
        <v>0</v>
      </c>
      <c r="G89" s="21">
        <f t="shared" si="6"/>
        <v>827.14857757306538</v>
      </c>
      <c r="H89" s="113">
        <v>0</v>
      </c>
      <c r="I89" s="403">
        <v>5.2</v>
      </c>
      <c r="J89" s="47">
        <f t="shared" si="9"/>
        <v>0</v>
      </c>
      <c r="K89" s="21">
        <f t="shared" si="7"/>
        <v>827.14857757306538</v>
      </c>
    </row>
    <row r="90" spans="1:11" s="22" customFormat="1" x14ac:dyDescent="0.35">
      <c r="A90" s="19">
        <v>78</v>
      </c>
      <c r="B90" s="19">
        <v>99304</v>
      </c>
      <c r="C90" s="20" t="s">
        <v>363</v>
      </c>
      <c r="D90" s="113">
        <v>5</v>
      </c>
      <c r="E90" s="403">
        <v>2.39</v>
      </c>
      <c r="F90" s="47">
        <f t="shared" si="8"/>
        <v>11.950000000000001</v>
      </c>
      <c r="G90" s="21">
        <f t="shared" si="6"/>
        <v>380.17021161531272</v>
      </c>
      <c r="H90" s="113">
        <v>0</v>
      </c>
      <c r="I90" s="403">
        <v>2.39</v>
      </c>
      <c r="J90" s="47">
        <f t="shared" si="9"/>
        <v>0</v>
      </c>
      <c r="K90" s="21">
        <f t="shared" si="7"/>
        <v>380.17021161531272</v>
      </c>
    </row>
    <row r="91" spans="1:11" s="22" customFormat="1" x14ac:dyDescent="0.35">
      <c r="A91" s="19">
        <v>79</v>
      </c>
      <c r="B91" s="19">
        <v>99305</v>
      </c>
      <c r="C91" s="20" t="s">
        <v>364</v>
      </c>
      <c r="D91" s="113">
        <v>9</v>
      </c>
      <c r="E91" s="403">
        <v>3.97</v>
      </c>
      <c r="F91" s="47">
        <f t="shared" si="8"/>
        <v>35.730000000000004</v>
      </c>
      <c r="G91" s="21">
        <f t="shared" si="6"/>
        <v>631.49612557020566</v>
      </c>
      <c r="H91" s="113">
        <v>0</v>
      </c>
      <c r="I91" s="403">
        <v>3.97</v>
      </c>
      <c r="J91" s="47">
        <f t="shared" si="9"/>
        <v>0</v>
      </c>
      <c r="K91" s="21">
        <f t="shared" si="7"/>
        <v>631.49612557020566</v>
      </c>
    </row>
    <row r="92" spans="1:11" s="22" customFormat="1" x14ac:dyDescent="0.35">
      <c r="A92" s="19">
        <v>80</v>
      </c>
      <c r="B92" s="19">
        <v>99306</v>
      </c>
      <c r="C92" s="20" t="s">
        <v>365</v>
      </c>
      <c r="D92" s="113">
        <v>30</v>
      </c>
      <c r="E92" s="403">
        <v>5.42</v>
      </c>
      <c r="F92" s="47">
        <f t="shared" si="8"/>
        <v>162.6</v>
      </c>
      <c r="G92" s="21">
        <f t="shared" si="6"/>
        <v>862.14332508577195</v>
      </c>
      <c r="H92" s="113">
        <v>0</v>
      </c>
      <c r="I92" s="403">
        <v>5.42</v>
      </c>
      <c r="J92" s="47">
        <f t="shared" si="9"/>
        <v>0</v>
      </c>
      <c r="K92" s="21">
        <f t="shared" si="7"/>
        <v>862.14332508577195</v>
      </c>
    </row>
    <row r="93" spans="1:11" s="22" customFormat="1" x14ac:dyDescent="0.35">
      <c r="A93" s="19">
        <v>81</v>
      </c>
      <c r="B93" s="19">
        <v>99307</v>
      </c>
      <c r="C93" s="20" t="s">
        <v>366</v>
      </c>
      <c r="D93" s="113">
        <v>12</v>
      </c>
      <c r="E93" s="403">
        <v>1.2</v>
      </c>
      <c r="F93" s="47">
        <f t="shared" si="8"/>
        <v>14.399999999999999</v>
      </c>
      <c r="G93" s="21">
        <f t="shared" si="6"/>
        <v>190.88044097839969</v>
      </c>
      <c r="H93" s="113">
        <v>0</v>
      </c>
      <c r="I93" s="403">
        <v>1.2</v>
      </c>
      <c r="J93" s="47">
        <f t="shared" si="9"/>
        <v>0</v>
      </c>
      <c r="K93" s="21">
        <f t="shared" si="7"/>
        <v>190.88044097839969</v>
      </c>
    </row>
    <row r="94" spans="1:11" s="22" customFormat="1" x14ac:dyDescent="0.35">
      <c r="A94" s="19">
        <v>82</v>
      </c>
      <c r="B94" s="19">
        <v>99308</v>
      </c>
      <c r="C94" s="20" t="s">
        <v>367</v>
      </c>
      <c r="D94" s="113">
        <v>83</v>
      </c>
      <c r="E94" s="403">
        <v>2.2200000000000002</v>
      </c>
      <c r="F94" s="47">
        <f t="shared" si="8"/>
        <v>184.26000000000002</v>
      </c>
      <c r="G94" s="21">
        <f t="shared" si="6"/>
        <v>353.12881581003944</v>
      </c>
      <c r="H94" s="113">
        <v>0</v>
      </c>
      <c r="I94" s="403">
        <v>2.2200000000000002</v>
      </c>
      <c r="J94" s="47">
        <f t="shared" si="9"/>
        <v>0</v>
      </c>
      <c r="K94" s="21">
        <f t="shared" si="7"/>
        <v>353.12881581003944</v>
      </c>
    </row>
    <row r="95" spans="1:11" s="22" customFormat="1" x14ac:dyDescent="0.35">
      <c r="A95" s="19">
        <v>83</v>
      </c>
      <c r="B95" s="19">
        <v>99309</v>
      </c>
      <c r="C95" s="20" t="s">
        <v>368</v>
      </c>
      <c r="D95" s="113">
        <v>678</v>
      </c>
      <c r="E95" s="403">
        <v>3.21</v>
      </c>
      <c r="F95" s="47">
        <f t="shared" si="8"/>
        <v>2176.38</v>
      </c>
      <c r="G95" s="21">
        <f t="shared" si="6"/>
        <v>510.60517961721916</v>
      </c>
      <c r="H95" s="113">
        <v>0</v>
      </c>
      <c r="I95" s="403">
        <v>3.21</v>
      </c>
      <c r="J95" s="47">
        <f t="shared" si="9"/>
        <v>0</v>
      </c>
      <c r="K95" s="21">
        <f t="shared" si="7"/>
        <v>510.60517961721916</v>
      </c>
    </row>
    <row r="96" spans="1:11" s="22" customFormat="1" x14ac:dyDescent="0.35">
      <c r="A96" s="19">
        <v>84</v>
      </c>
      <c r="B96" s="19">
        <v>99310</v>
      </c>
      <c r="C96" s="20" t="s">
        <v>369</v>
      </c>
      <c r="D96" s="113">
        <v>260</v>
      </c>
      <c r="E96" s="403">
        <v>4.58</v>
      </c>
      <c r="F96" s="47">
        <f t="shared" si="8"/>
        <v>1190.8</v>
      </c>
      <c r="G96" s="21">
        <f t="shared" si="6"/>
        <v>728.52701640089219</v>
      </c>
      <c r="H96" s="113">
        <v>0</v>
      </c>
      <c r="I96" s="403">
        <v>4.58</v>
      </c>
      <c r="J96" s="47">
        <f t="shared" si="9"/>
        <v>0</v>
      </c>
      <c r="K96" s="21">
        <f t="shared" si="7"/>
        <v>728.52701640089219</v>
      </c>
    </row>
    <row r="97" spans="1:11" s="22" customFormat="1" x14ac:dyDescent="0.35">
      <c r="A97" s="19">
        <v>85</v>
      </c>
      <c r="B97" s="19">
        <v>99315</v>
      </c>
      <c r="C97" s="20" t="s">
        <v>370</v>
      </c>
      <c r="D97" s="113">
        <v>0</v>
      </c>
      <c r="E97" s="403">
        <v>2.4300000000000002</v>
      </c>
      <c r="F97" s="47">
        <f t="shared" si="8"/>
        <v>0</v>
      </c>
      <c r="G97" s="21">
        <f t="shared" si="6"/>
        <v>386.53289298125941</v>
      </c>
      <c r="H97" s="113">
        <v>0</v>
      </c>
      <c r="I97" s="403">
        <v>2.4300000000000002</v>
      </c>
      <c r="J97" s="47">
        <f t="shared" si="9"/>
        <v>0</v>
      </c>
      <c r="K97" s="21">
        <f t="shared" si="7"/>
        <v>386.53289298125941</v>
      </c>
    </row>
    <row r="98" spans="1:11" s="22" customFormat="1" x14ac:dyDescent="0.35">
      <c r="A98" s="19">
        <v>86</v>
      </c>
      <c r="B98" s="19">
        <v>99316</v>
      </c>
      <c r="C98" s="20" t="s">
        <v>128</v>
      </c>
      <c r="D98" s="113">
        <v>0</v>
      </c>
      <c r="E98" s="403">
        <v>3.9</v>
      </c>
      <c r="F98" s="47">
        <f t="shared" si="8"/>
        <v>0</v>
      </c>
      <c r="G98" s="21">
        <f t="shared" si="6"/>
        <v>620.36143317979895</v>
      </c>
      <c r="H98" s="113">
        <v>0</v>
      </c>
      <c r="I98" s="403">
        <v>3.9</v>
      </c>
      <c r="J98" s="47">
        <f t="shared" si="9"/>
        <v>0</v>
      </c>
      <c r="K98" s="21">
        <f t="shared" si="7"/>
        <v>620.36143317979895</v>
      </c>
    </row>
    <row r="99" spans="1:11" s="22" customFormat="1" x14ac:dyDescent="0.35">
      <c r="A99" s="19">
        <v>87</v>
      </c>
      <c r="B99" s="19">
        <v>99341</v>
      </c>
      <c r="C99" s="20" t="s">
        <v>371</v>
      </c>
      <c r="D99" s="113">
        <v>0</v>
      </c>
      <c r="E99" s="403">
        <v>1.47</v>
      </c>
      <c r="F99" s="47">
        <f t="shared" si="8"/>
        <v>0</v>
      </c>
      <c r="G99" s="21">
        <f t="shared" si="6"/>
        <v>233.82854019853963</v>
      </c>
      <c r="H99" s="113">
        <v>0</v>
      </c>
      <c r="I99" s="403">
        <v>1.47</v>
      </c>
      <c r="J99" s="47">
        <f t="shared" si="9"/>
        <v>0</v>
      </c>
      <c r="K99" s="21">
        <f t="shared" si="7"/>
        <v>233.82854019853963</v>
      </c>
    </row>
    <row r="100" spans="1:11" s="22" customFormat="1" x14ac:dyDescent="0.35">
      <c r="A100" s="19">
        <v>88</v>
      </c>
      <c r="B100" s="19">
        <v>99342</v>
      </c>
      <c r="C100" s="20" t="s">
        <v>372</v>
      </c>
      <c r="D100" s="113">
        <v>0</v>
      </c>
      <c r="E100" s="403">
        <v>2.33</v>
      </c>
      <c r="F100" s="47">
        <f t="shared" si="8"/>
        <v>0</v>
      </c>
      <c r="G100" s="21">
        <f t="shared" si="6"/>
        <v>370.62618956639272</v>
      </c>
      <c r="H100" s="113">
        <v>0</v>
      </c>
      <c r="I100" s="403">
        <v>2.33</v>
      </c>
      <c r="J100" s="47">
        <f t="shared" si="9"/>
        <v>0</v>
      </c>
      <c r="K100" s="21">
        <f t="shared" si="7"/>
        <v>370.62618956639272</v>
      </c>
    </row>
    <row r="101" spans="1:11" s="22" customFormat="1" x14ac:dyDescent="0.35">
      <c r="A101" s="19">
        <v>89</v>
      </c>
      <c r="B101" s="19">
        <v>99344</v>
      </c>
      <c r="C101" s="20" t="s">
        <v>373</v>
      </c>
      <c r="D101" s="113">
        <v>0</v>
      </c>
      <c r="E101" s="403">
        <v>4.2300000000000004</v>
      </c>
      <c r="F101" s="47">
        <f t="shared" si="8"/>
        <v>0</v>
      </c>
      <c r="G101" s="21">
        <f t="shared" si="6"/>
        <v>672.85355444885897</v>
      </c>
      <c r="H101" s="113">
        <v>0</v>
      </c>
      <c r="I101" s="403">
        <v>4.2300000000000004</v>
      </c>
      <c r="J101" s="47">
        <f t="shared" si="9"/>
        <v>0</v>
      </c>
      <c r="K101" s="21">
        <f t="shared" si="7"/>
        <v>672.85355444885897</v>
      </c>
    </row>
    <row r="102" spans="1:11" s="22" customFormat="1" x14ac:dyDescent="0.35">
      <c r="A102" s="19">
        <v>90</v>
      </c>
      <c r="B102" s="19">
        <v>99345</v>
      </c>
      <c r="C102" s="20" t="s">
        <v>374</v>
      </c>
      <c r="D102" s="113">
        <v>0</v>
      </c>
      <c r="E102" s="403">
        <v>6.01</v>
      </c>
      <c r="F102" s="47">
        <f t="shared" si="8"/>
        <v>0</v>
      </c>
      <c r="G102" s="21">
        <f t="shared" si="6"/>
        <v>955.99287523348505</v>
      </c>
      <c r="H102" s="113">
        <v>0</v>
      </c>
      <c r="I102" s="403">
        <v>6.01</v>
      </c>
      <c r="J102" s="47">
        <f t="shared" si="9"/>
        <v>0</v>
      </c>
      <c r="K102" s="21">
        <f t="shared" si="7"/>
        <v>955.99287523348505</v>
      </c>
    </row>
    <row r="103" spans="1:11" s="22" customFormat="1" x14ac:dyDescent="0.35">
      <c r="A103" s="19">
        <v>91</v>
      </c>
      <c r="B103" s="19">
        <v>99347</v>
      </c>
      <c r="C103" s="20" t="s">
        <v>375</v>
      </c>
      <c r="D103" s="113">
        <v>0</v>
      </c>
      <c r="E103" s="403">
        <v>1.35</v>
      </c>
      <c r="F103" s="47">
        <f t="shared" si="8"/>
        <v>0</v>
      </c>
      <c r="G103" s="21">
        <f t="shared" si="6"/>
        <v>214.74049610069966</v>
      </c>
      <c r="H103" s="113">
        <v>0</v>
      </c>
      <c r="I103" s="403">
        <v>1.35</v>
      </c>
      <c r="J103" s="47">
        <f t="shared" si="9"/>
        <v>0</v>
      </c>
      <c r="K103" s="21">
        <f t="shared" si="7"/>
        <v>214.74049610069966</v>
      </c>
    </row>
    <row r="104" spans="1:11" s="22" customFormat="1" x14ac:dyDescent="0.35">
      <c r="A104" s="19">
        <v>92</v>
      </c>
      <c r="B104" s="19">
        <v>99348</v>
      </c>
      <c r="C104" s="20" t="s">
        <v>376</v>
      </c>
      <c r="D104" s="113">
        <v>0</v>
      </c>
      <c r="E104" s="403">
        <v>2.2799999999999998</v>
      </c>
      <c r="F104" s="47">
        <f t="shared" si="8"/>
        <v>0</v>
      </c>
      <c r="G104" s="21">
        <f t="shared" si="6"/>
        <v>362.67283785895938</v>
      </c>
      <c r="H104" s="113">
        <v>0</v>
      </c>
      <c r="I104" s="403">
        <v>2.2799999999999998</v>
      </c>
      <c r="J104" s="47">
        <f t="shared" si="9"/>
        <v>0</v>
      </c>
      <c r="K104" s="21">
        <f t="shared" si="7"/>
        <v>362.67283785895938</v>
      </c>
    </row>
    <row r="105" spans="1:11" s="22" customFormat="1" x14ac:dyDescent="0.35">
      <c r="A105" s="19">
        <v>93</v>
      </c>
      <c r="B105" s="19">
        <v>99349</v>
      </c>
      <c r="C105" s="20" t="s">
        <v>377</v>
      </c>
      <c r="D105" s="113">
        <v>0</v>
      </c>
      <c r="E105" s="403">
        <v>3.79</v>
      </c>
      <c r="F105" s="47">
        <f t="shared" si="8"/>
        <v>0</v>
      </c>
      <c r="G105" s="21">
        <f t="shared" si="6"/>
        <v>602.86405942344572</v>
      </c>
      <c r="H105" s="113">
        <v>0</v>
      </c>
      <c r="I105" s="403">
        <v>3.79</v>
      </c>
      <c r="J105" s="47">
        <f t="shared" si="9"/>
        <v>0</v>
      </c>
      <c r="K105" s="21">
        <f t="shared" si="7"/>
        <v>602.86405942344572</v>
      </c>
    </row>
    <row r="106" spans="1:11" s="22" customFormat="1" x14ac:dyDescent="0.35">
      <c r="A106" s="19">
        <v>94</v>
      </c>
      <c r="B106" s="19">
        <v>99350</v>
      </c>
      <c r="C106" s="20" t="s">
        <v>378</v>
      </c>
      <c r="D106" s="113">
        <v>0</v>
      </c>
      <c r="E106" s="403">
        <v>5.52</v>
      </c>
      <c r="F106" s="47">
        <f t="shared" si="8"/>
        <v>0</v>
      </c>
      <c r="G106" s="21">
        <f t="shared" si="6"/>
        <v>878.05002850063852</v>
      </c>
      <c r="H106" s="113">
        <v>0</v>
      </c>
      <c r="I106" s="403">
        <v>5.52</v>
      </c>
      <c r="J106" s="47">
        <f t="shared" si="9"/>
        <v>0</v>
      </c>
      <c r="K106" s="21">
        <f t="shared" si="7"/>
        <v>878.05002850063852</v>
      </c>
    </row>
    <row r="107" spans="1:11" s="22" customFormat="1" x14ac:dyDescent="0.35">
      <c r="A107" s="19">
        <v>95</v>
      </c>
      <c r="B107" s="19">
        <v>99366</v>
      </c>
      <c r="C107" s="20" t="s">
        <v>379</v>
      </c>
      <c r="D107" s="113">
        <v>0</v>
      </c>
      <c r="E107" s="403">
        <v>1.22</v>
      </c>
      <c r="F107" s="47">
        <f t="shared" si="8"/>
        <v>0</v>
      </c>
      <c r="G107" s="21">
        <f t="shared" si="6"/>
        <v>194.061781661373</v>
      </c>
      <c r="H107" s="113">
        <v>0</v>
      </c>
      <c r="I107" s="403">
        <v>1.19</v>
      </c>
      <c r="J107" s="47">
        <f t="shared" si="9"/>
        <v>0</v>
      </c>
      <c r="K107" s="21">
        <f t="shared" si="7"/>
        <v>189.289770636913</v>
      </c>
    </row>
    <row r="108" spans="1:11" s="22" customFormat="1" x14ac:dyDescent="0.35">
      <c r="A108" s="19">
        <v>96</v>
      </c>
      <c r="B108" s="19">
        <v>99367</v>
      </c>
      <c r="C108" s="20" t="s">
        <v>380</v>
      </c>
      <c r="D108" s="113">
        <v>0</v>
      </c>
      <c r="E108" s="403">
        <v>1.6</v>
      </c>
      <c r="F108" s="47">
        <f t="shared" si="8"/>
        <v>0</v>
      </c>
      <c r="G108" s="21">
        <f t="shared" si="6"/>
        <v>254.50725463786625</v>
      </c>
      <c r="H108" s="113">
        <v>0</v>
      </c>
      <c r="I108" s="403">
        <v>1.6</v>
      </c>
      <c r="J108" s="47">
        <f t="shared" si="9"/>
        <v>0</v>
      </c>
      <c r="K108" s="21">
        <f t="shared" si="7"/>
        <v>254.50725463786625</v>
      </c>
    </row>
    <row r="109" spans="1:11" s="22" customFormat="1" x14ac:dyDescent="0.35">
      <c r="A109" s="19">
        <v>97</v>
      </c>
      <c r="B109" s="19">
        <v>99368</v>
      </c>
      <c r="C109" s="20" t="s">
        <v>381</v>
      </c>
      <c r="D109" s="113">
        <v>0</v>
      </c>
      <c r="E109" s="403">
        <v>1.04</v>
      </c>
      <c r="F109" s="47">
        <f t="shared" si="8"/>
        <v>0</v>
      </c>
      <c r="G109" s="21">
        <f t="shared" si="6"/>
        <v>165.42971551461306</v>
      </c>
      <c r="H109" s="113">
        <v>0</v>
      </c>
      <c r="I109" s="403">
        <v>1.04</v>
      </c>
      <c r="J109" s="47">
        <f t="shared" si="9"/>
        <v>0</v>
      </c>
      <c r="K109" s="21">
        <f t="shared" si="7"/>
        <v>165.42971551461306</v>
      </c>
    </row>
    <row r="110" spans="1:11" s="22" customFormat="1" x14ac:dyDescent="0.35">
      <c r="A110" s="19">
        <v>98</v>
      </c>
      <c r="B110" s="19">
        <v>99441</v>
      </c>
      <c r="C110" s="20" t="s">
        <v>382</v>
      </c>
      <c r="D110" s="113">
        <v>0</v>
      </c>
      <c r="E110" s="403">
        <v>1.69</v>
      </c>
      <c r="F110" s="47">
        <f t="shared" si="8"/>
        <v>0</v>
      </c>
      <c r="G110" s="21">
        <f t="shared" si="6"/>
        <v>268.82328771124622</v>
      </c>
      <c r="H110" s="113">
        <v>0</v>
      </c>
      <c r="I110" s="403">
        <v>1.04</v>
      </c>
      <c r="J110" s="47">
        <f t="shared" si="9"/>
        <v>0</v>
      </c>
      <c r="K110" s="21">
        <f t="shared" si="7"/>
        <v>165.42971551461306</v>
      </c>
    </row>
    <row r="111" spans="1:11" s="22" customFormat="1" x14ac:dyDescent="0.35">
      <c r="A111" s="19">
        <v>99</v>
      </c>
      <c r="B111" s="19">
        <v>99442</v>
      </c>
      <c r="C111" s="20" t="s">
        <v>383</v>
      </c>
      <c r="D111" s="113">
        <v>0</v>
      </c>
      <c r="E111" s="403">
        <v>2.72</v>
      </c>
      <c r="F111" s="47">
        <f t="shared" si="8"/>
        <v>0</v>
      </c>
      <c r="G111" s="21">
        <f t="shared" si="6"/>
        <v>432.66233288437269</v>
      </c>
      <c r="H111" s="113">
        <v>0</v>
      </c>
      <c r="I111" s="403">
        <v>1.95</v>
      </c>
      <c r="J111" s="47">
        <f t="shared" si="9"/>
        <v>0</v>
      </c>
      <c r="K111" s="21">
        <f t="shared" si="7"/>
        <v>310.18071658989948</v>
      </c>
    </row>
    <row r="112" spans="1:11" s="22" customFormat="1" x14ac:dyDescent="0.35">
      <c r="A112" s="19">
        <v>100</v>
      </c>
      <c r="B112" s="19">
        <v>99443</v>
      </c>
      <c r="C112" s="20" t="s">
        <v>384</v>
      </c>
      <c r="D112" s="113">
        <v>0</v>
      </c>
      <c r="E112" s="403">
        <v>3.85</v>
      </c>
      <c r="F112" s="47">
        <f t="shared" si="8"/>
        <v>0</v>
      </c>
      <c r="G112" s="21">
        <f t="shared" si="6"/>
        <v>612.40808147236567</v>
      </c>
      <c r="H112" s="113">
        <v>0</v>
      </c>
      <c r="I112" s="403">
        <v>2.89</v>
      </c>
      <c r="J112" s="47">
        <f t="shared" si="9"/>
        <v>0</v>
      </c>
      <c r="K112" s="21">
        <f t="shared" si="7"/>
        <v>459.70372868964591</v>
      </c>
    </row>
    <row r="113" spans="1:11" s="22" customFormat="1" ht="34.5" customHeight="1" x14ac:dyDescent="0.35">
      <c r="A113" s="19">
        <v>101</v>
      </c>
      <c r="B113" s="19" t="s">
        <v>42</v>
      </c>
      <c r="C113" s="20" t="s">
        <v>385</v>
      </c>
      <c r="D113" s="113">
        <v>0</v>
      </c>
      <c r="E113" s="403">
        <v>1.27</v>
      </c>
      <c r="F113" s="47">
        <f t="shared" si="8"/>
        <v>0</v>
      </c>
      <c r="G113" s="21">
        <f t="shared" si="6"/>
        <v>202.01513336880635</v>
      </c>
      <c r="H113" s="113">
        <v>0</v>
      </c>
      <c r="I113" s="403">
        <v>1.1100000000000001</v>
      </c>
      <c r="J113" s="47">
        <f t="shared" si="9"/>
        <v>0</v>
      </c>
      <c r="K113" s="21">
        <f t="shared" si="7"/>
        <v>176.56440790501972</v>
      </c>
    </row>
    <row r="114" spans="1:11" s="22" customFormat="1" ht="29" x14ac:dyDescent="0.35">
      <c r="A114" s="19">
        <v>102</v>
      </c>
      <c r="B114" s="19" t="s">
        <v>43</v>
      </c>
      <c r="C114" s="20" t="s">
        <v>386</v>
      </c>
      <c r="D114" s="113">
        <v>0</v>
      </c>
      <c r="E114" s="403">
        <v>0.75</v>
      </c>
      <c r="F114" s="47">
        <f t="shared" si="8"/>
        <v>0</v>
      </c>
      <c r="G114" s="21">
        <f t="shared" si="6"/>
        <v>119.30027561149981</v>
      </c>
      <c r="H114" s="113">
        <v>0</v>
      </c>
      <c r="I114" s="403">
        <v>0.37</v>
      </c>
      <c r="J114" s="47">
        <f t="shared" si="9"/>
        <v>0</v>
      </c>
      <c r="K114" s="21">
        <f t="shared" si="7"/>
        <v>58.854802635006571</v>
      </c>
    </row>
    <row r="115" spans="1:11" s="22" customFormat="1" x14ac:dyDescent="0.35">
      <c r="A115" s="19">
        <v>103</v>
      </c>
      <c r="B115" s="19" t="s">
        <v>44</v>
      </c>
      <c r="C115" s="20" t="s">
        <v>129</v>
      </c>
      <c r="D115" s="113">
        <v>14</v>
      </c>
      <c r="E115" s="403">
        <v>5.17</v>
      </c>
      <c r="F115" s="47">
        <f t="shared" si="8"/>
        <v>72.38</v>
      </c>
      <c r="G115" s="21">
        <f t="shared" si="6"/>
        <v>822.3765665486053</v>
      </c>
      <c r="H115" s="113">
        <v>12</v>
      </c>
      <c r="I115" s="403">
        <v>4.43</v>
      </c>
      <c r="J115" s="47">
        <f t="shared" si="9"/>
        <v>53.16</v>
      </c>
      <c r="K115" s="21">
        <f t="shared" si="7"/>
        <v>704.66696127859211</v>
      </c>
    </row>
    <row r="116" spans="1:11" s="22" customFormat="1" x14ac:dyDescent="0.35">
      <c r="A116" s="19">
        <v>104</v>
      </c>
      <c r="B116" s="19" t="s">
        <v>45</v>
      </c>
      <c r="C116" s="20" t="s">
        <v>387</v>
      </c>
      <c r="D116" s="113">
        <v>3417</v>
      </c>
      <c r="E116" s="403">
        <v>0.72</v>
      </c>
      <c r="F116" s="47">
        <f t="shared" si="8"/>
        <v>2460.2399999999998</v>
      </c>
      <c r="G116" s="21">
        <f t="shared" si="6"/>
        <v>114.52826458703981</v>
      </c>
      <c r="H116" s="113">
        <v>4749</v>
      </c>
      <c r="I116" s="403">
        <v>0.66</v>
      </c>
      <c r="J116" s="47">
        <f t="shared" si="9"/>
        <v>3134.34</v>
      </c>
      <c r="K116" s="21">
        <f t="shared" si="7"/>
        <v>104.98424253811983</v>
      </c>
    </row>
    <row r="117" spans="1:11" s="22" customFormat="1" ht="29" x14ac:dyDescent="0.35">
      <c r="A117" s="19">
        <v>105</v>
      </c>
      <c r="B117" s="19" t="s">
        <v>19</v>
      </c>
      <c r="C117" s="20" t="s">
        <v>39</v>
      </c>
      <c r="D117" s="113">
        <v>0</v>
      </c>
      <c r="E117" s="403">
        <v>0</v>
      </c>
      <c r="F117" s="47">
        <f t="shared" si="8"/>
        <v>0</v>
      </c>
      <c r="G117" s="21">
        <f t="shared" si="6"/>
        <v>0</v>
      </c>
      <c r="H117" s="113">
        <v>0</v>
      </c>
      <c r="I117" s="403">
        <v>0</v>
      </c>
      <c r="J117" s="47">
        <f t="shared" si="9"/>
        <v>0</v>
      </c>
      <c r="K117" s="21">
        <f t="shared" si="7"/>
        <v>0</v>
      </c>
    </row>
    <row r="118" spans="1:11" s="22" customFormat="1" x14ac:dyDescent="0.35">
      <c r="A118" s="19">
        <v>106</v>
      </c>
      <c r="B118" s="19" t="s">
        <v>46</v>
      </c>
      <c r="C118" s="20" t="s">
        <v>130</v>
      </c>
      <c r="D118" s="113">
        <v>7732</v>
      </c>
      <c r="E118" s="403">
        <v>1.18</v>
      </c>
      <c r="F118" s="47">
        <f t="shared" si="8"/>
        <v>9123.76</v>
      </c>
      <c r="G118" s="21">
        <f t="shared" si="6"/>
        <v>187.69910029542635</v>
      </c>
      <c r="H118" s="113">
        <v>1508</v>
      </c>
      <c r="I118" s="403">
        <v>1.03</v>
      </c>
      <c r="J118" s="47">
        <f t="shared" si="9"/>
        <v>1553.24</v>
      </c>
      <c r="K118" s="21">
        <f t="shared" si="7"/>
        <v>163.83904517312641</v>
      </c>
    </row>
    <row r="119" spans="1:11" s="22" customFormat="1" x14ac:dyDescent="0.35">
      <c r="A119" s="19">
        <v>107</v>
      </c>
      <c r="B119" s="19" t="s">
        <v>47</v>
      </c>
      <c r="C119" s="20" t="s">
        <v>131</v>
      </c>
      <c r="D119" s="113">
        <v>0</v>
      </c>
      <c r="E119" s="403">
        <v>0.83</v>
      </c>
      <c r="F119" s="47">
        <f t="shared" si="8"/>
        <v>0</v>
      </c>
      <c r="G119" s="21">
        <f t="shared" si="6"/>
        <v>132.02563834339313</v>
      </c>
      <c r="H119" s="113">
        <v>0</v>
      </c>
      <c r="I119" s="403">
        <v>0.72</v>
      </c>
      <c r="J119" s="47">
        <f t="shared" si="9"/>
        <v>0</v>
      </c>
      <c r="K119" s="21">
        <f t="shared" si="7"/>
        <v>114.52826458703981</v>
      </c>
    </row>
    <row r="120" spans="1:11" s="22" customFormat="1" x14ac:dyDescent="0.35">
      <c r="A120" s="19">
        <v>108</v>
      </c>
      <c r="B120" s="19" t="s">
        <v>48</v>
      </c>
      <c r="C120" s="20" t="s">
        <v>132</v>
      </c>
      <c r="D120" s="113">
        <v>0</v>
      </c>
      <c r="E120" s="403">
        <v>0.64</v>
      </c>
      <c r="F120" s="47">
        <f t="shared" si="8"/>
        <v>0</v>
      </c>
      <c r="G120" s="21">
        <f t="shared" si="6"/>
        <v>101.8029018551465</v>
      </c>
      <c r="H120" s="113">
        <v>0</v>
      </c>
      <c r="I120" s="403">
        <v>0.6</v>
      </c>
      <c r="J120" s="47">
        <f t="shared" si="9"/>
        <v>0</v>
      </c>
      <c r="K120" s="21">
        <f t="shared" si="7"/>
        <v>95.440220489199845</v>
      </c>
    </row>
    <row r="121" spans="1:11" s="22" customFormat="1" x14ac:dyDescent="0.35">
      <c r="A121" s="19">
        <v>109</v>
      </c>
      <c r="B121" s="19" t="s">
        <v>21</v>
      </c>
      <c r="C121" s="20" t="s">
        <v>24</v>
      </c>
      <c r="D121" s="113">
        <v>0</v>
      </c>
      <c r="E121" s="403">
        <v>0</v>
      </c>
      <c r="F121" s="47">
        <f t="shared" si="8"/>
        <v>0</v>
      </c>
      <c r="G121" s="21">
        <f t="shared" si="6"/>
        <v>0</v>
      </c>
      <c r="H121" s="113">
        <v>0</v>
      </c>
      <c r="I121" s="403">
        <v>0</v>
      </c>
      <c r="J121" s="47">
        <f t="shared" si="9"/>
        <v>0</v>
      </c>
      <c r="K121" s="21">
        <f t="shared" si="7"/>
        <v>0</v>
      </c>
    </row>
    <row r="122" spans="1:11" s="22" customFormat="1" ht="29" x14ac:dyDescent="0.35">
      <c r="A122" s="19">
        <v>110</v>
      </c>
      <c r="B122" s="19" t="s">
        <v>49</v>
      </c>
      <c r="C122" s="20" t="s">
        <v>388</v>
      </c>
      <c r="D122" s="113">
        <v>0</v>
      </c>
      <c r="E122" s="403">
        <v>0</v>
      </c>
      <c r="F122" s="47">
        <f t="shared" si="8"/>
        <v>0</v>
      </c>
      <c r="G122" s="21">
        <f t="shared" si="6"/>
        <v>0</v>
      </c>
      <c r="H122" s="113">
        <v>0</v>
      </c>
      <c r="I122" s="403">
        <v>0</v>
      </c>
      <c r="J122" s="47">
        <f t="shared" si="9"/>
        <v>0</v>
      </c>
      <c r="K122" s="21">
        <f t="shared" si="7"/>
        <v>0</v>
      </c>
    </row>
    <row r="123" spans="1:11" s="22" customFormat="1" ht="29" x14ac:dyDescent="0.35">
      <c r="A123" s="19">
        <v>111</v>
      </c>
      <c r="B123" s="19" t="s">
        <v>33</v>
      </c>
      <c r="C123" s="20" t="s">
        <v>389</v>
      </c>
      <c r="D123" s="113">
        <v>0</v>
      </c>
      <c r="E123" s="403">
        <v>0</v>
      </c>
      <c r="F123" s="47">
        <f t="shared" si="8"/>
        <v>0</v>
      </c>
      <c r="G123" s="21">
        <f t="shared" si="6"/>
        <v>0</v>
      </c>
      <c r="H123" s="113">
        <v>0</v>
      </c>
      <c r="I123" s="403">
        <v>0</v>
      </c>
      <c r="J123" s="47">
        <f t="shared" si="9"/>
        <v>0</v>
      </c>
      <c r="K123" s="21">
        <f t="shared" si="7"/>
        <v>0</v>
      </c>
    </row>
    <row r="124" spans="1:11" s="22" customFormat="1" x14ac:dyDescent="0.35">
      <c r="A124" s="19">
        <v>112</v>
      </c>
      <c r="B124" s="19" t="s">
        <v>50</v>
      </c>
      <c r="C124" s="20" t="s">
        <v>390</v>
      </c>
      <c r="D124" s="113">
        <v>0</v>
      </c>
      <c r="E124" s="403">
        <v>2.64</v>
      </c>
      <c r="F124" s="47">
        <f t="shared" ref="F124:F187" si="10">D124*E124</f>
        <v>0</v>
      </c>
      <c r="G124" s="21">
        <f t="shared" ref="G124:G186" si="11">E124*$F$12</f>
        <v>419.93697015247932</v>
      </c>
      <c r="H124" s="113">
        <v>0</v>
      </c>
      <c r="I124" s="403">
        <v>2.64</v>
      </c>
      <c r="J124" s="47">
        <f t="shared" ref="J124:J187" si="12">H124*I124</f>
        <v>0</v>
      </c>
      <c r="K124" s="21">
        <f t="shared" ref="K124:K186" si="13">I124*$F$12</f>
        <v>419.93697015247932</v>
      </c>
    </row>
    <row r="125" spans="1:11" s="22" customFormat="1" x14ac:dyDescent="0.35">
      <c r="A125" s="19">
        <v>113</v>
      </c>
      <c r="B125" s="19" t="s">
        <v>51</v>
      </c>
      <c r="C125" s="20" t="s">
        <v>133</v>
      </c>
      <c r="D125" s="113">
        <v>0</v>
      </c>
      <c r="E125" s="403">
        <v>0</v>
      </c>
      <c r="F125" s="47">
        <f t="shared" si="10"/>
        <v>0</v>
      </c>
      <c r="G125" s="21">
        <f t="shared" si="11"/>
        <v>0</v>
      </c>
      <c r="H125" s="113">
        <v>0</v>
      </c>
      <c r="I125" s="403">
        <v>0</v>
      </c>
      <c r="J125" s="47">
        <f t="shared" si="12"/>
        <v>0</v>
      </c>
      <c r="K125" s="21">
        <f t="shared" si="13"/>
        <v>0</v>
      </c>
    </row>
    <row r="126" spans="1:11" s="22" customFormat="1" x14ac:dyDescent="0.35">
      <c r="A126" s="19">
        <v>114</v>
      </c>
      <c r="B126" s="19" t="s">
        <v>52</v>
      </c>
      <c r="C126" s="20" t="s">
        <v>134</v>
      </c>
      <c r="D126" s="113">
        <v>0</v>
      </c>
      <c r="E126" s="403">
        <v>0</v>
      </c>
      <c r="F126" s="47">
        <f t="shared" si="10"/>
        <v>0</v>
      </c>
      <c r="G126" s="21">
        <f t="shared" si="11"/>
        <v>0</v>
      </c>
      <c r="H126" s="113">
        <v>6660</v>
      </c>
      <c r="I126" s="403">
        <v>0</v>
      </c>
      <c r="J126" s="47">
        <f t="shared" si="12"/>
        <v>0</v>
      </c>
      <c r="K126" s="21">
        <f t="shared" si="13"/>
        <v>0</v>
      </c>
    </row>
    <row r="127" spans="1:11" s="22" customFormat="1" x14ac:dyDescent="0.35">
      <c r="A127" s="19">
        <v>115</v>
      </c>
      <c r="B127" s="19" t="s">
        <v>53</v>
      </c>
      <c r="C127" s="20" t="s">
        <v>135</v>
      </c>
      <c r="D127" s="113">
        <v>0</v>
      </c>
      <c r="E127" s="403">
        <v>0</v>
      </c>
      <c r="F127" s="47">
        <f t="shared" si="10"/>
        <v>0</v>
      </c>
      <c r="G127" s="21">
        <f t="shared" si="11"/>
        <v>0</v>
      </c>
      <c r="H127" s="113">
        <v>26432</v>
      </c>
      <c r="I127" s="403">
        <v>0</v>
      </c>
      <c r="J127" s="47">
        <f t="shared" si="12"/>
        <v>0</v>
      </c>
      <c r="K127" s="21">
        <f t="shared" si="13"/>
        <v>0</v>
      </c>
    </row>
    <row r="128" spans="1:11" s="22" customFormat="1" ht="29" x14ac:dyDescent="0.35">
      <c r="A128" s="19">
        <v>116</v>
      </c>
      <c r="B128" s="19" t="s">
        <v>54</v>
      </c>
      <c r="C128" s="20" t="s">
        <v>391</v>
      </c>
      <c r="D128" s="113">
        <v>0</v>
      </c>
      <c r="E128" s="403">
        <v>1.02</v>
      </c>
      <c r="F128" s="47">
        <f t="shared" si="10"/>
        <v>0</v>
      </c>
      <c r="G128" s="21">
        <f t="shared" si="11"/>
        <v>162.24837483163975</v>
      </c>
      <c r="H128" s="113">
        <v>0</v>
      </c>
      <c r="I128" s="403">
        <v>0.94</v>
      </c>
      <c r="J128" s="47">
        <f t="shared" si="12"/>
        <v>0</v>
      </c>
      <c r="K128" s="21">
        <f t="shared" si="13"/>
        <v>149.52301209974641</v>
      </c>
    </row>
    <row r="129" spans="1:11" s="22" customFormat="1" x14ac:dyDescent="0.35">
      <c r="A129" s="19">
        <v>117</v>
      </c>
      <c r="B129" s="19" t="s">
        <v>22</v>
      </c>
      <c r="C129" s="20" t="s">
        <v>25</v>
      </c>
      <c r="D129" s="113">
        <v>0</v>
      </c>
      <c r="E129" s="403">
        <v>0</v>
      </c>
      <c r="F129" s="47">
        <f t="shared" si="10"/>
        <v>0</v>
      </c>
      <c r="G129" s="21">
        <f t="shared" si="11"/>
        <v>0</v>
      </c>
      <c r="H129" s="113">
        <v>0</v>
      </c>
      <c r="I129" s="403">
        <v>0</v>
      </c>
      <c r="J129" s="47">
        <f t="shared" si="12"/>
        <v>0</v>
      </c>
      <c r="K129" s="21">
        <f t="shared" si="13"/>
        <v>0</v>
      </c>
    </row>
    <row r="130" spans="1:11" s="22" customFormat="1" x14ac:dyDescent="0.35">
      <c r="A130" s="19">
        <v>118</v>
      </c>
      <c r="B130" s="19" t="s">
        <v>55</v>
      </c>
      <c r="C130" s="20" t="s">
        <v>392</v>
      </c>
      <c r="D130" s="113">
        <v>0</v>
      </c>
      <c r="E130" s="403">
        <v>0.12</v>
      </c>
      <c r="F130" s="47">
        <f t="shared" si="10"/>
        <v>0</v>
      </c>
      <c r="G130" s="21">
        <f t="shared" si="11"/>
        <v>19.088044097839969</v>
      </c>
      <c r="H130" s="113">
        <v>86038</v>
      </c>
      <c r="I130" s="403">
        <v>0.09</v>
      </c>
      <c r="J130" s="47">
        <f t="shared" si="12"/>
        <v>7743.42</v>
      </c>
      <c r="K130" s="21">
        <f t="shared" si="13"/>
        <v>14.316033073379977</v>
      </c>
    </row>
    <row r="131" spans="1:11" s="22" customFormat="1" x14ac:dyDescent="0.35">
      <c r="A131" s="19">
        <v>119</v>
      </c>
      <c r="B131" s="19" t="s">
        <v>56</v>
      </c>
      <c r="C131" s="20" t="s">
        <v>393</v>
      </c>
      <c r="D131" s="113">
        <v>12477</v>
      </c>
      <c r="E131" s="403">
        <v>0.59</v>
      </c>
      <c r="F131" s="47">
        <f t="shared" si="10"/>
        <v>7361.4299999999994</v>
      </c>
      <c r="G131" s="21">
        <f t="shared" si="11"/>
        <v>93.849550147713174</v>
      </c>
      <c r="H131" s="113">
        <v>845</v>
      </c>
      <c r="I131" s="403">
        <v>0.55000000000000004</v>
      </c>
      <c r="J131" s="47">
        <f t="shared" si="12"/>
        <v>464.75000000000006</v>
      </c>
      <c r="K131" s="21">
        <f t="shared" si="13"/>
        <v>87.486868781766532</v>
      </c>
    </row>
    <row r="132" spans="1:11" s="22" customFormat="1" ht="29" x14ac:dyDescent="0.35">
      <c r="A132" s="19">
        <v>120</v>
      </c>
      <c r="B132" s="19" t="s">
        <v>57</v>
      </c>
      <c r="C132" s="20" t="s">
        <v>136</v>
      </c>
      <c r="D132" s="113">
        <v>0</v>
      </c>
      <c r="E132" s="403">
        <v>0.75</v>
      </c>
      <c r="F132" s="47">
        <f t="shared" si="10"/>
        <v>0</v>
      </c>
      <c r="G132" s="21">
        <f t="shared" si="11"/>
        <v>119.30027561149981</v>
      </c>
      <c r="H132" s="113">
        <v>0</v>
      </c>
      <c r="I132" s="403">
        <v>0.37</v>
      </c>
      <c r="J132" s="47">
        <f t="shared" si="12"/>
        <v>0</v>
      </c>
      <c r="K132" s="21">
        <f t="shared" si="13"/>
        <v>58.854802635006571</v>
      </c>
    </row>
    <row r="133" spans="1:11" s="22" customFormat="1" ht="29" x14ac:dyDescent="0.35">
      <c r="A133" s="19">
        <v>121</v>
      </c>
      <c r="B133" s="19" t="s">
        <v>58</v>
      </c>
      <c r="C133" s="20" t="s">
        <v>137</v>
      </c>
      <c r="D133" s="113">
        <v>2056</v>
      </c>
      <c r="E133" s="403">
        <v>0.75</v>
      </c>
      <c r="F133" s="47">
        <f t="shared" si="10"/>
        <v>1542</v>
      </c>
      <c r="G133" s="21">
        <f t="shared" si="11"/>
        <v>119.30027561149981</v>
      </c>
      <c r="H133" s="113">
        <v>901</v>
      </c>
      <c r="I133" s="403">
        <v>0.37</v>
      </c>
      <c r="J133" s="47">
        <f t="shared" si="12"/>
        <v>333.37</v>
      </c>
      <c r="K133" s="21">
        <f t="shared" si="13"/>
        <v>58.854802635006571</v>
      </c>
    </row>
    <row r="134" spans="1:11" s="22" customFormat="1" ht="43.5" x14ac:dyDescent="0.35">
      <c r="A134" s="19">
        <v>122</v>
      </c>
      <c r="B134" s="19" t="s">
        <v>15</v>
      </c>
      <c r="C134" s="20" t="s">
        <v>18</v>
      </c>
      <c r="D134" s="113">
        <v>0</v>
      </c>
      <c r="E134" s="403">
        <v>0</v>
      </c>
      <c r="F134" s="47">
        <f t="shared" si="10"/>
        <v>0</v>
      </c>
      <c r="G134" s="21">
        <f t="shared" si="11"/>
        <v>0</v>
      </c>
      <c r="H134" s="113">
        <v>0</v>
      </c>
      <c r="I134" s="403">
        <v>0</v>
      </c>
      <c r="J134" s="47">
        <f t="shared" si="12"/>
        <v>0</v>
      </c>
      <c r="K134" s="21">
        <f t="shared" si="13"/>
        <v>0</v>
      </c>
    </row>
    <row r="135" spans="1:11" s="22" customFormat="1" ht="29" x14ac:dyDescent="0.35">
      <c r="A135" s="19">
        <v>123</v>
      </c>
      <c r="B135" s="19" t="s">
        <v>16</v>
      </c>
      <c r="C135" s="20" t="s">
        <v>138</v>
      </c>
      <c r="D135" s="113">
        <v>0</v>
      </c>
      <c r="E135" s="403">
        <v>0</v>
      </c>
      <c r="F135" s="47">
        <f t="shared" si="10"/>
        <v>0</v>
      </c>
      <c r="G135" s="21">
        <f t="shared" si="11"/>
        <v>0</v>
      </c>
      <c r="H135" s="113">
        <v>0</v>
      </c>
      <c r="I135" s="403">
        <v>0</v>
      </c>
      <c r="J135" s="47">
        <f t="shared" si="12"/>
        <v>0</v>
      </c>
      <c r="K135" s="21">
        <f t="shared" si="13"/>
        <v>0</v>
      </c>
    </row>
    <row r="136" spans="1:11" s="22" customFormat="1" ht="29" x14ac:dyDescent="0.35">
      <c r="A136" s="19">
        <v>124</v>
      </c>
      <c r="B136" s="19" t="s">
        <v>17</v>
      </c>
      <c r="C136" s="20" t="s">
        <v>139</v>
      </c>
      <c r="D136" s="113">
        <v>0</v>
      </c>
      <c r="E136" s="403">
        <v>0</v>
      </c>
      <c r="F136" s="47">
        <f t="shared" si="10"/>
        <v>0</v>
      </c>
      <c r="G136" s="21">
        <f t="shared" si="11"/>
        <v>0</v>
      </c>
      <c r="H136" s="113">
        <v>0</v>
      </c>
      <c r="I136" s="403">
        <v>0</v>
      </c>
      <c r="J136" s="47">
        <f t="shared" si="12"/>
        <v>0</v>
      </c>
      <c r="K136" s="21">
        <f t="shared" si="13"/>
        <v>0</v>
      </c>
    </row>
    <row r="137" spans="1:11" s="22" customFormat="1" x14ac:dyDescent="0.35">
      <c r="A137" s="19">
        <v>125</v>
      </c>
      <c r="B137" s="19" t="s">
        <v>23</v>
      </c>
      <c r="C137" s="20" t="s">
        <v>140</v>
      </c>
      <c r="D137" s="113">
        <v>0</v>
      </c>
      <c r="E137" s="403">
        <v>0</v>
      </c>
      <c r="F137" s="47">
        <f t="shared" si="10"/>
        <v>0</v>
      </c>
      <c r="G137" s="21">
        <f t="shared" si="11"/>
        <v>0</v>
      </c>
      <c r="H137" s="113">
        <v>0</v>
      </c>
      <c r="I137" s="403">
        <v>0</v>
      </c>
      <c r="J137" s="47">
        <f t="shared" si="12"/>
        <v>0</v>
      </c>
      <c r="K137" s="21">
        <f t="shared" si="13"/>
        <v>0</v>
      </c>
    </row>
    <row r="138" spans="1:11" s="22" customFormat="1" x14ac:dyDescent="0.35">
      <c r="A138" s="19">
        <v>126</v>
      </c>
      <c r="B138" s="19" t="s">
        <v>59</v>
      </c>
      <c r="C138" s="20" t="s">
        <v>395</v>
      </c>
      <c r="D138" s="113">
        <v>159</v>
      </c>
      <c r="E138" s="403">
        <v>3.27</v>
      </c>
      <c r="F138" s="47">
        <f t="shared" si="10"/>
        <v>519.92999999999995</v>
      </c>
      <c r="G138" s="21">
        <f t="shared" si="11"/>
        <v>520.14920166613911</v>
      </c>
      <c r="H138" s="113">
        <v>160</v>
      </c>
      <c r="I138" s="403">
        <v>2.17</v>
      </c>
      <c r="J138" s="47">
        <f t="shared" si="12"/>
        <v>347.2</v>
      </c>
      <c r="K138" s="21">
        <f t="shared" si="13"/>
        <v>345.1754641026061</v>
      </c>
    </row>
    <row r="139" spans="1:11" s="22" customFormat="1" x14ac:dyDescent="0.35">
      <c r="A139" s="19">
        <v>127</v>
      </c>
      <c r="B139" s="19" t="s">
        <v>60</v>
      </c>
      <c r="C139" s="20" t="s">
        <v>394</v>
      </c>
      <c r="D139" s="113">
        <v>4048</v>
      </c>
      <c r="E139" s="403">
        <v>1.1499999999999999</v>
      </c>
      <c r="F139" s="47">
        <f t="shared" si="10"/>
        <v>4655.2</v>
      </c>
      <c r="G139" s="21">
        <f t="shared" si="11"/>
        <v>182.92708927096635</v>
      </c>
      <c r="H139" s="113">
        <v>1866</v>
      </c>
      <c r="I139" s="403">
        <v>0.7</v>
      </c>
      <c r="J139" s="47">
        <f t="shared" si="12"/>
        <v>1306.1999999999998</v>
      </c>
      <c r="K139" s="21">
        <f t="shared" si="13"/>
        <v>111.34692390406649</v>
      </c>
    </row>
    <row r="140" spans="1:11" s="22" customFormat="1" x14ac:dyDescent="0.35">
      <c r="A140" s="19">
        <v>128</v>
      </c>
      <c r="B140" s="19" t="s">
        <v>61</v>
      </c>
      <c r="C140" s="20" t="s">
        <v>141</v>
      </c>
      <c r="D140" s="113">
        <v>0</v>
      </c>
      <c r="E140" s="403">
        <v>0.44</v>
      </c>
      <c r="F140" s="47">
        <f t="shared" si="10"/>
        <v>0</v>
      </c>
      <c r="G140" s="21">
        <f t="shared" si="11"/>
        <v>69.98949502541322</v>
      </c>
      <c r="H140" s="113">
        <v>13</v>
      </c>
      <c r="I140" s="403">
        <v>0.44</v>
      </c>
      <c r="J140" s="47">
        <f t="shared" si="12"/>
        <v>5.72</v>
      </c>
      <c r="K140" s="21">
        <f t="shared" si="13"/>
        <v>69.98949502541322</v>
      </c>
    </row>
    <row r="141" spans="1:11" s="22" customFormat="1" x14ac:dyDescent="0.35">
      <c r="A141" s="19">
        <v>129</v>
      </c>
      <c r="B141" s="19" t="s">
        <v>62</v>
      </c>
      <c r="C141" s="20" t="s">
        <v>396</v>
      </c>
      <c r="D141" s="113">
        <v>0</v>
      </c>
      <c r="E141" s="403">
        <v>0.92</v>
      </c>
      <c r="F141" s="47">
        <f t="shared" si="10"/>
        <v>0</v>
      </c>
      <c r="G141" s="21">
        <f t="shared" si="11"/>
        <v>146.3416714167731</v>
      </c>
      <c r="H141" s="113">
        <v>2569</v>
      </c>
      <c r="I141" s="403">
        <v>0.92</v>
      </c>
      <c r="J141" s="47">
        <f t="shared" si="12"/>
        <v>2363.48</v>
      </c>
      <c r="K141" s="21">
        <f t="shared" si="13"/>
        <v>146.3416714167731</v>
      </c>
    </row>
    <row r="142" spans="1:11" s="22" customFormat="1" x14ac:dyDescent="0.35">
      <c r="A142" s="19">
        <v>130</v>
      </c>
      <c r="B142" s="19" t="s">
        <v>63</v>
      </c>
      <c r="C142" s="20" t="s">
        <v>397</v>
      </c>
      <c r="D142" s="113">
        <v>0</v>
      </c>
      <c r="E142" s="403">
        <v>5.28</v>
      </c>
      <c r="F142" s="47">
        <f t="shared" si="10"/>
        <v>0</v>
      </c>
      <c r="G142" s="21">
        <f t="shared" si="11"/>
        <v>839.87394030495864</v>
      </c>
      <c r="H142" s="113">
        <v>0</v>
      </c>
      <c r="I142" s="403">
        <v>5.28</v>
      </c>
      <c r="J142" s="47">
        <f t="shared" si="12"/>
        <v>0</v>
      </c>
      <c r="K142" s="21">
        <f t="shared" si="13"/>
        <v>839.87394030495864</v>
      </c>
    </row>
    <row r="143" spans="1:11" s="22" customFormat="1" x14ac:dyDescent="0.35">
      <c r="A143" s="19">
        <v>131</v>
      </c>
      <c r="B143" s="19" t="s">
        <v>64</v>
      </c>
      <c r="C143" s="20" t="s">
        <v>399</v>
      </c>
      <c r="D143" s="113">
        <v>52052</v>
      </c>
      <c r="E143" s="403">
        <v>0.44</v>
      </c>
      <c r="F143" s="47">
        <f t="shared" si="10"/>
        <v>22902.880000000001</v>
      </c>
      <c r="G143" s="21">
        <f t="shared" si="11"/>
        <v>69.98949502541322</v>
      </c>
      <c r="H143" s="113">
        <v>21049</v>
      </c>
      <c r="I143" s="403">
        <v>0.44</v>
      </c>
      <c r="J143" s="47">
        <f t="shared" si="12"/>
        <v>9261.56</v>
      </c>
      <c r="K143" s="21">
        <f t="shared" si="13"/>
        <v>69.98949502541322</v>
      </c>
    </row>
    <row r="144" spans="1:11" s="22" customFormat="1" x14ac:dyDescent="0.35">
      <c r="A144" s="19">
        <v>132</v>
      </c>
      <c r="B144" s="19" t="s">
        <v>65</v>
      </c>
      <c r="C144" s="20" t="s">
        <v>398</v>
      </c>
      <c r="D144" s="113">
        <v>27</v>
      </c>
      <c r="E144" s="403">
        <v>5.28</v>
      </c>
      <c r="F144" s="47">
        <f t="shared" si="10"/>
        <v>142.56</v>
      </c>
      <c r="G144" s="21">
        <f t="shared" si="11"/>
        <v>839.87394030495864</v>
      </c>
      <c r="H144" s="113">
        <v>2</v>
      </c>
      <c r="I144" s="403">
        <v>5.28</v>
      </c>
      <c r="J144" s="47">
        <f t="shared" si="12"/>
        <v>10.56</v>
      </c>
      <c r="K144" s="21">
        <f t="shared" si="13"/>
        <v>839.87394030495864</v>
      </c>
    </row>
    <row r="145" spans="1:11" s="22" customFormat="1" x14ac:dyDescent="0.35">
      <c r="A145" s="19">
        <v>133</v>
      </c>
      <c r="B145" s="19" t="s">
        <v>66</v>
      </c>
      <c r="C145" s="20" t="s">
        <v>142</v>
      </c>
      <c r="D145" s="113">
        <v>8970</v>
      </c>
      <c r="E145" s="403">
        <v>0.54</v>
      </c>
      <c r="F145" s="47">
        <f t="shared" si="10"/>
        <v>4843.8</v>
      </c>
      <c r="G145" s="21">
        <f t="shared" si="11"/>
        <v>85.896198440279861</v>
      </c>
      <c r="H145" s="113">
        <v>2770</v>
      </c>
      <c r="I145" s="403">
        <v>0.54</v>
      </c>
      <c r="J145" s="47">
        <f t="shared" si="12"/>
        <v>1495.8000000000002</v>
      </c>
      <c r="K145" s="21">
        <f t="shared" si="13"/>
        <v>85.896198440279861</v>
      </c>
    </row>
    <row r="146" spans="1:11" s="22" customFormat="1" x14ac:dyDescent="0.35">
      <c r="A146" s="19">
        <v>134</v>
      </c>
      <c r="B146" s="19" t="s">
        <v>67</v>
      </c>
      <c r="C146" s="20" t="s">
        <v>400</v>
      </c>
      <c r="D146" s="113">
        <v>7</v>
      </c>
      <c r="E146" s="403">
        <v>1.29</v>
      </c>
      <c r="F146" s="47">
        <f t="shared" si="10"/>
        <v>9.0300000000000011</v>
      </c>
      <c r="G146" s="21">
        <f t="shared" si="11"/>
        <v>205.19647405177966</v>
      </c>
      <c r="H146" s="113">
        <v>6</v>
      </c>
      <c r="I146" s="403">
        <v>1.1299999999999999</v>
      </c>
      <c r="J146" s="47">
        <f t="shared" si="12"/>
        <v>6.7799999999999994</v>
      </c>
      <c r="K146" s="21">
        <f t="shared" si="13"/>
        <v>179.74574858799303</v>
      </c>
    </row>
    <row r="147" spans="1:11" s="22" customFormat="1" x14ac:dyDescent="0.35">
      <c r="A147" s="19">
        <v>135</v>
      </c>
      <c r="B147" s="19" t="s">
        <v>68</v>
      </c>
      <c r="C147" s="20" t="s">
        <v>401</v>
      </c>
      <c r="D147" s="113">
        <v>1</v>
      </c>
      <c r="E147" s="403">
        <v>5.28</v>
      </c>
      <c r="F147" s="47">
        <f t="shared" si="10"/>
        <v>5.28</v>
      </c>
      <c r="G147" s="21">
        <f t="shared" si="11"/>
        <v>839.87394030495864</v>
      </c>
      <c r="H147" s="113">
        <v>0</v>
      </c>
      <c r="I147" s="403">
        <v>5.28</v>
      </c>
      <c r="J147" s="47">
        <f t="shared" si="12"/>
        <v>0</v>
      </c>
      <c r="K147" s="21">
        <f t="shared" si="13"/>
        <v>839.87394030495864</v>
      </c>
    </row>
    <row r="148" spans="1:11" s="22" customFormat="1" x14ac:dyDescent="0.35">
      <c r="A148" s="19">
        <v>136</v>
      </c>
      <c r="B148" s="19" t="s">
        <v>69</v>
      </c>
      <c r="C148" s="20" t="s">
        <v>402</v>
      </c>
      <c r="D148" s="113">
        <v>0</v>
      </c>
      <c r="E148" s="403">
        <v>0.14000000000000001</v>
      </c>
      <c r="F148" s="47">
        <f t="shared" si="10"/>
        <v>0</v>
      </c>
      <c r="G148" s="21">
        <f t="shared" si="11"/>
        <v>22.269384780813301</v>
      </c>
      <c r="H148" s="113">
        <v>0</v>
      </c>
      <c r="I148" s="403">
        <v>0.12</v>
      </c>
      <c r="J148" s="47">
        <f t="shared" si="12"/>
        <v>0</v>
      </c>
      <c r="K148" s="21">
        <f t="shared" si="13"/>
        <v>19.088044097839969</v>
      </c>
    </row>
    <row r="149" spans="1:11" s="22" customFormat="1" x14ac:dyDescent="0.35">
      <c r="A149" s="19">
        <v>137</v>
      </c>
      <c r="B149" s="19" t="s">
        <v>70</v>
      </c>
      <c r="C149" s="20" t="s">
        <v>403</v>
      </c>
      <c r="D149" s="113">
        <v>0</v>
      </c>
      <c r="E149" s="403">
        <v>3.08</v>
      </c>
      <c r="F149" s="47">
        <f t="shared" si="10"/>
        <v>0</v>
      </c>
      <c r="G149" s="21">
        <f t="shared" si="11"/>
        <v>489.92646517789257</v>
      </c>
      <c r="H149" s="113">
        <v>0</v>
      </c>
      <c r="I149" s="403">
        <v>2.6399999999999997</v>
      </c>
      <c r="J149" s="47">
        <f t="shared" si="12"/>
        <v>0</v>
      </c>
      <c r="K149" s="21">
        <f t="shared" si="13"/>
        <v>419.93697015247926</v>
      </c>
    </row>
    <row r="150" spans="1:11" s="22" customFormat="1" x14ac:dyDescent="0.35">
      <c r="A150" s="19">
        <v>138</v>
      </c>
      <c r="B150" s="19" t="s">
        <v>71</v>
      </c>
      <c r="C150" s="20" t="s">
        <v>404</v>
      </c>
      <c r="D150" s="113">
        <v>0</v>
      </c>
      <c r="E150" s="403">
        <v>5.28</v>
      </c>
      <c r="F150" s="47">
        <f t="shared" si="10"/>
        <v>0</v>
      </c>
      <c r="G150" s="21">
        <f t="shared" si="11"/>
        <v>839.87394030495864</v>
      </c>
      <c r="H150" s="113">
        <v>0</v>
      </c>
      <c r="I150" s="403">
        <v>5.28</v>
      </c>
      <c r="J150" s="47">
        <f t="shared" si="12"/>
        <v>0</v>
      </c>
      <c r="K150" s="21">
        <f t="shared" si="13"/>
        <v>839.87394030495864</v>
      </c>
    </row>
    <row r="151" spans="1:11" s="22" customFormat="1" x14ac:dyDescent="0.35">
      <c r="A151" s="19">
        <v>139</v>
      </c>
      <c r="B151" s="19" t="s">
        <v>792</v>
      </c>
      <c r="C151" s="20" t="s">
        <v>793</v>
      </c>
      <c r="D151" s="113">
        <v>0</v>
      </c>
      <c r="E151" s="403">
        <v>0.12</v>
      </c>
      <c r="F151" s="47">
        <f t="shared" ref="F151" si="14">D151*E151</f>
        <v>0</v>
      </c>
      <c r="G151" s="21">
        <f t="shared" ref="G151" si="15">E151*$F$12</f>
        <v>19.088044097839969</v>
      </c>
      <c r="H151" s="113">
        <v>71160</v>
      </c>
      <c r="I151" s="403">
        <v>0.09</v>
      </c>
      <c r="J151" s="47">
        <f t="shared" ref="J151" si="16">H151*I151</f>
        <v>6404.4</v>
      </c>
      <c r="K151" s="21">
        <f t="shared" ref="K151" si="17">I151*$F$12</f>
        <v>14.316033073379977</v>
      </c>
    </row>
    <row r="152" spans="1:11" s="22" customFormat="1" x14ac:dyDescent="0.35">
      <c r="A152" s="19">
        <v>140</v>
      </c>
      <c r="B152" s="19" t="s">
        <v>72</v>
      </c>
      <c r="C152" s="20" t="s">
        <v>405</v>
      </c>
      <c r="D152" s="113">
        <v>0</v>
      </c>
      <c r="E152" s="403">
        <v>1.02</v>
      </c>
      <c r="F152" s="47">
        <f t="shared" si="10"/>
        <v>0</v>
      </c>
      <c r="G152" s="21">
        <f t="shared" si="11"/>
        <v>162.24837483163975</v>
      </c>
      <c r="H152" s="113">
        <v>0</v>
      </c>
      <c r="I152" s="403">
        <v>0.94</v>
      </c>
      <c r="J152" s="47">
        <f t="shared" si="12"/>
        <v>0</v>
      </c>
      <c r="K152" s="21">
        <f t="shared" si="13"/>
        <v>149.52301209974641</v>
      </c>
    </row>
    <row r="153" spans="1:11" s="22" customFormat="1" x14ac:dyDescent="0.35">
      <c r="A153" s="19">
        <v>141</v>
      </c>
      <c r="B153" s="19" t="s">
        <v>20</v>
      </c>
      <c r="C153" s="20" t="s">
        <v>406</v>
      </c>
      <c r="D153" s="113">
        <v>0</v>
      </c>
      <c r="E153" s="403">
        <v>0</v>
      </c>
      <c r="F153" s="47">
        <f t="shared" si="10"/>
        <v>0</v>
      </c>
      <c r="G153" s="21">
        <f t="shared" si="11"/>
        <v>0</v>
      </c>
      <c r="H153" s="113">
        <v>0</v>
      </c>
      <c r="I153" s="403">
        <v>0</v>
      </c>
      <c r="J153" s="47">
        <f t="shared" si="12"/>
        <v>0</v>
      </c>
      <c r="K153" s="21">
        <f t="shared" si="13"/>
        <v>0</v>
      </c>
    </row>
    <row r="154" spans="1:11" s="22" customFormat="1" x14ac:dyDescent="0.35">
      <c r="A154" s="19">
        <v>142</v>
      </c>
      <c r="B154" s="19" t="s">
        <v>73</v>
      </c>
      <c r="C154" s="20" t="s">
        <v>143</v>
      </c>
      <c r="D154" s="113">
        <v>0</v>
      </c>
      <c r="E154" s="403">
        <v>5.17</v>
      </c>
      <c r="F154" s="47">
        <f t="shared" si="10"/>
        <v>0</v>
      </c>
      <c r="G154" s="21">
        <f t="shared" si="11"/>
        <v>822.3765665486053</v>
      </c>
      <c r="H154" s="113">
        <v>0</v>
      </c>
      <c r="I154" s="403">
        <v>4.43</v>
      </c>
      <c r="J154" s="47">
        <f t="shared" si="12"/>
        <v>0</v>
      </c>
      <c r="K154" s="21">
        <f t="shared" si="13"/>
        <v>704.66696127859211</v>
      </c>
    </row>
    <row r="155" spans="1:11" s="22" customFormat="1" x14ac:dyDescent="0.35">
      <c r="A155" s="19">
        <v>143</v>
      </c>
      <c r="B155" s="19" t="s">
        <v>74</v>
      </c>
      <c r="C155" s="20" t="s">
        <v>144</v>
      </c>
      <c r="D155" s="113">
        <v>0</v>
      </c>
      <c r="E155" s="403">
        <v>1.7</v>
      </c>
      <c r="F155" s="47">
        <f t="shared" si="10"/>
        <v>0</v>
      </c>
      <c r="G155" s="21">
        <f t="shared" si="11"/>
        <v>270.41395805273288</v>
      </c>
      <c r="H155" s="113">
        <v>0</v>
      </c>
      <c r="I155" s="403">
        <v>1.05</v>
      </c>
      <c r="J155" s="47">
        <f t="shared" si="12"/>
        <v>0</v>
      </c>
      <c r="K155" s="21">
        <f t="shared" si="13"/>
        <v>167.02038585609972</v>
      </c>
    </row>
    <row r="156" spans="1:11" s="22" customFormat="1" x14ac:dyDescent="0.35">
      <c r="A156" s="19">
        <v>144</v>
      </c>
      <c r="B156" s="19" t="s">
        <v>26</v>
      </c>
      <c r="C156" s="20" t="s">
        <v>143</v>
      </c>
      <c r="D156" s="113">
        <v>0</v>
      </c>
      <c r="E156" s="403">
        <v>0</v>
      </c>
      <c r="F156" s="47">
        <f t="shared" si="10"/>
        <v>0</v>
      </c>
      <c r="G156" s="21">
        <f t="shared" si="11"/>
        <v>0</v>
      </c>
      <c r="H156" s="113">
        <v>0</v>
      </c>
      <c r="I156" s="403">
        <v>0</v>
      </c>
      <c r="J156" s="47">
        <f t="shared" si="12"/>
        <v>0</v>
      </c>
      <c r="K156" s="21">
        <f t="shared" si="13"/>
        <v>0</v>
      </c>
    </row>
    <row r="157" spans="1:11" s="22" customFormat="1" x14ac:dyDescent="0.35">
      <c r="A157" s="19">
        <v>145</v>
      </c>
      <c r="B157" s="19" t="s">
        <v>75</v>
      </c>
      <c r="C157" s="20" t="s">
        <v>145</v>
      </c>
      <c r="D157" s="113">
        <v>0</v>
      </c>
      <c r="E157" s="403">
        <v>1.35</v>
      </c>
      <c r="F157" s="47">
        <f t="shared" si="10"/>
        <v>0</v>
      </c>
      <c r="G157" s="21">
        <f t="shared" si="11"/>
        <v>214.74049610069966</v>
      </c>
      <c r="H157" s="113">
        <v>0</v>
      </c>
      <c r="I157" s="403">
        <v>1.35</v>
      </c>
      <c r="J157" s="47">
        <f t="shared" si="12"/>
        <v>0</v>
      </c>
      <c r="K157" s="21">
        <f t="shared" si="13"/>
        <v>214.74049610069966</v>
      </c>
    </row>
    <row r="158" spans="1:11" s="22" customFormat="1" x14ac:dyDescent="0.35">
      <c r="A158" s="19">
        <v>146</v>
      </c>
      <c r="B158" s="19" t="s">
        <v>76</v>
      </c>
      <c r="C158" s="20" t="s">
        <v>146</v>
      </c>
      <c r="D158" s="113">
        <v>0</v>
      </c>
      <c r="E158" s="403">
        <v>2.56</v>
      </c>
      <c r="F158" s="47">
        <f t="shared" si="10"/>
        <v>0</v>
      </c>
      <c r="G158" s="21">
        <f t="shared" si="11"/>
        <v>407.21160742058601</v>
      </c>
      <c r="H158" s="113">
        <v>0</v>
      </c>
      <c r="I158" s="403">
        <v>2.14</v>
      </c>
      <c r="J158" s="47">
        <f t="shared" si="12"/>
        <v>0</v>
      </c>
      <c r="K158" s="21">
        <f t="shared" si="13"/>
        <v>340.40345307814613</v>
      </c>
    </row>
    <row r="159" spans="1:11" s="22" customFormat="1" x14ac:dyDescent="0.35">
      <c r="A159" s="19">
        <v>147</v>
      </c>
      <c r="B159" s="19" t="s">
        <v>77</v>
      </c>
      <c r="C159" s="20" t="s">
        <v>407</v>
      </c>
      <c r="D159" s="113">
        <v>0</v>
      </c>
      <c r="E159" s="403">
        <v>1.6</v>
      </c>
      <c r="F159" s="47">
        <f t="shared" si="10"/>
        <v>0</v>
      </c>
      <c r="G159" s="21">
        <f t="shared" si="11"/>
        <v>254.50725463786625</v>
      </c>
      <c r="H159" s="113">
        <v>0</v>
      </c>
      <c r="I159" s="403">
        <v>1.6</v>
      </c>
      <c r="J159" s="47">
        <f t="shared" si="12"/>
        <v>0</v>
      </c>
      <c r="K159" s="21">
        <f t="shared" si="13"/>
        <v>254.50725463786625</v>
      </c>
    </row>
    <row r="160" spans="1:11" s="22" customFormat="1" x14ac:dyDescent="0.35">
      <c r="A160" s="19">
        <v>148</v>
      </c>
      <c r="B160" s="19" t="s">
        <v>78</v>
      </c>
      <c r="C160" s="20" t="s">
        <v>408</v>
      </c>
      <c r="D160" s="113">
        <v>0</v>
      </c>
      <c r="E160" s="403">
        <v>2.64</v>
      </c>
      <c r="F160" s="47">
        <f t="shared" si="10"/>
        <v>0</v>
      </c>
      <c r="G160" s="21">
        <f t="shared" si="11"/>
        <v>419.93697015247932</v>
      </c>
      <c r="H160" s="113">
        <v>0</v>
      </c>
      <c r="I160" s="403">
        <v>2.64</v>
      </c>
      <c r="J160" s="47">
        <f t="shared" si="12"/>
        <v>0</v>
      </c>
      <c r="K160" s="21">
        <f t="shared" si="13"/>
        <v>419.93697015247932</v>
      </c>
    </row>
    <row r="161" spans="1:11" s="22" customFormat="1" x14ac:dyDescent="0.35">
      <c r="A161" s="19">
        <v>149</v>
      </c>
      <c r="B161" s="19" t="s">
        <v>79</v>
      </c>
      <c r="C161" s="20" t="s">
        <v>409</v>
      </c>
      <c r="D161" s="113">
        <v>12600</v>
      </c>
      <c r="E161" s="403">
        <v>1.24</v>
      </c>
      <c r="F161" s="47">
        <f t="shared" si="10"/>
        <v>15624</v>
      </c>
      <c r="G161" s="21">
        <f t="shared" si="11"/>
        <v>197.24312234434635</v>
      </c>
      <c r="H161" s="113">
        <v>13729</v>
      </c>
      <c r="I161" s="403">
        <v>1.24</v>
      </c>
      <c r="J161" s="47">
        <f t="shared" si="12"/>
        <v>17023.96</v>
      </c>
      <c r="K161" s="21">
        <f t="shared" si="13"/>
        <v>197.24312234434635</v>
      </c>
    </row>
    <row r="162" spans="1:11" s="22" customFormat="1" x14ac:dyDescent="0.35">
      <c r="A162" s="19">
        <v>150</v>
      </c>
      <c r="B162" s="19" t="s">
        <v>80</v>
      </c>
      <c r="C162" s="20" t="s">
        <v>410</v>
      </c>
      <c r="D162" s="113">
        <v>0</v>
      </c>
      <c r="E162" s="403">
        <v>0.83</v>
      </c>
      <c r="F162" s="47">
        <f t="shared" si="10"/>
        <v>0</v>
      </c>
      <c r="G162" s="21">
        <f t="shared" si="11"/>
        <v>132.02563834339313</v>
      </c>
      <c r="H162" s="113">
        <v>9786</v>
      </c>
      <c r="I162" s="403">
        <v>0.72</v>
      </c>
      <c r="J162" s="47">
        <f t="shared" si="12"/>
        <v>7045.92</v>
      </c>
      <c r="K162" s="21">
        <f t="shared" si="13"/>
        <v>114.52826458703981</v>
      </c>
    </row>
    <row r="163" spans="1:11" s="22" customFormat="1" x14ac:dyDescent="0.35">
      <c r="A163" s="19">
        <v>151</v>
      </c>
      <c r="B163" s="19" t="s">
        <v>81</v>
      </c>
      <c r="C163" s="20" t="s">
        <v>411</v>
      </c>
      <c r="D163" s="113">
        <v>7756</v>
      </c>
      <c r="E163" s="403">
        <v>0.92</v>
      </c>
      <c r="F163" s="47">
        <f t="shared" si="10"/>
        <v>7135.52</v>
      </c>
      <c r="G163" s="21">
        <f t="shared" si="11"/>
        <v>146.3416714167731</v>
      </c>
      <c r="H163" s="113">
        <v>2157</v>
      </c>
      <c r="I163" s="403">
        <v>0.92</v>
      </c>
      <c r="J163" s="47">
        <f t="shared" si="12"/>
        <v>1984.44</v>
      </c>
      <c r="K163" s="21">
        <f t="shared" si="13"/>
        <v>146.3416714167731</v>
      </c>
    </row>
    <row r="164" spans="1:11" s="22" customFormat="1" x14ac:dyDescent="0.35">
      <c r="A164" s="19">
        <v>152</v>
      </c>
      <c r="B164" s="19" t="s">
        <v>82</v>
      </c>
      <c r="C164" s="20" t="s">
        <v>412</v>
      </c>
      <c r="D164" s="113">
        <v>0</v>
      </c>
      <c r="E164" s="403">
        <v>0.14000000000000001</v>
      </c>
      <c r="F164" s="47">
        <f t="shared" si="10"/>
        <v>0</v>
      </c>
      <c r="G164" s="21">
        <f t="shared" si="11"/>
        <v>22.269384780813301</v>
      </c>
      <c r="H164" s="113">
        <v>0</v>
      </c>
      <c r="I164" s="403">
        <v>0.12</v>
      </c>
      <c r="J164" s="47">
        <f t="shared" si="12"/>
        <v>0</v>
      </c>
      <c r="K164" s="21">
        <f t="shared" si="13"/>
        <v>19.088044097839969</v>
      </c>
    </row>
    <row r="165" spans="1:11" s="22" customFormat="1" x14ac:dyDescent="0.35">
      <c r="A165" s="19">
        <v>153</v>
      </c>
      <c r="B165" s="19" t="s">
        <v>83</v>
      </c>
      <c r="C165" s="20" t="s">
        <v>417</v>
      </c>
      <c r="D165" s="113">
        <v>0</v>
      </c>
      <c r="E165" s="403">
        <v>3.3600000000000003</v>
      </c>
      <c r="F165" s="47">
        <f t="shared" si="10"/>
        <v>0</v>
      </c>
      <c r="G165" s="21">
        <f t="shared" si="11"/>
        <v>534.46523473951913</v>
      </c>
      <c r="H165" s="113">
        <v>0</v>
      </c>
      <c r="I165" s="403">
        <v>2.88</v>
      </c>
      <c r="J165" s="47">
        <f t="shared" si="12"/>
        <v>0</v>
      </c>
      <c r="K165" s="21">
        <f t="shared" si="13"/>
        <v>458.11305834815926</v>
      </c>
    </row>
    <row r="166" spans="1:11" s="22" customFormat="1" x14ac:dyDescent="0.35">
      <c r="A166" s="19">
        <v>154</v>
      </c>
      <c r="B166" s="19" t="s">
        <v>84</v>
      </c>
      <c r="C166" s="20" t="s">
        <v>415</v>
      </c>
      <c r="D166" s="113">
        <v>14604</v>
      </c>
      <c r="E166" s="403">
        <v>0.44</v>
      </c>
      <c r="F166" s="47">
        <f t="shared" si="10"/>
        <v>6425.76</v>
      </c>
      <c r="G166" s="21">
        <f t="shared" si="11"/>
        <v>69.98949502541322</v>
      </c>
      <c r="H166" s="113">
        <v>36394</v>
      </c>
      <c r="I166" s="403">
        <v>0.44</v>
      </c>
      <c r="J166" s="47">
        <f t="shared" si="12"/>
        <v>16013.36</v>
      </c>
      <c r="K166" s="21">
        <f t="shared" si="13"/>
        <v>69.98949502541322</v>
      </c>
    </row>
    <row r="167" spans="1:11" s="22" customFormat="1" x14ac:dyDescent="0.35">
      <c r="A167" s="19">
        <v>155</v>
      </c>
      <c r="B167" s="19" t="s">
        <v>85</v>
      </c>
      <c r="C167" s="20" t="s">
        <v>416</v>
      </c>
      <c r="D167" s="113">
        <v>11</v>
      </c>
      <c r="E167" s="403">
        <v>5.28</v>
      </c>
      <c r="F167" s="47">
        <f t="shared" si="10"/>
        <v>58.080000000000005</v>
      </c>
      <c r="G167" s="21">
        <f t="shared" si="11"/>
        <v>839.87394030495864</v>
      </c>
      <c r="H167" s="113">
        <v>50</v>
      </c>
      <c r="I167" s="403">
        <v>5.28</v>
      </c>
      <c r="J167" s="47">
        <f t="shared" si="12"/>
        <v>264</v>
      </c>
      <c r="K167" s="21">
        <f t="shared" si="13"/>
        <v>839.87394030495864</v>
      </c>
    </row>
    <row r="168" spans="1:11" s="22" customFormat="1" x14ac:dyDescent="0.35">
      <c r="A168" s="19">
        <v>156</v>
      </c>
      <c r="B168" s="19" t="s">
        <v>86</v>
      </c>
      <c r="C168" s="20" t="s">
        <v>414</v>
      </c>
      <c r="D168" s="113">
        <v>33</v>
      </c>
      <c r="E168" s="403">
        <v>0.44</v>
      </c>
      <c r="F168" s="47">
        <f t="shared" si="10"/>
        <v>14.52</v>
      </c>
      <c r="G168" s="21">
        <f t="shared" si="11"/>
        <v>69.98949502541322</v>
      </c>
      <c r="H168" s="113">
        <v>0</v>
      </c>
      <c r="I168" s="403">
        <v>0.44</v>
      </c>
      <c r="J168" s="47">
        <f t="shared" si="12"/>
        <v>0</v>
      </c>
      <c r="K168" s="21">
        <f t="shared" si="13"/>
        <v>69.98949502541322</v>
      </c>
    </row>
    <row r="169" spans="1:11" s="22" customFormat="1" x14ac:dyDescent="0.35">
      <c r="A169" s="19">
        <v>157</v>
      </c>
      <c r="B169" s="19" t="s">
        <v>87</v>
      </c>
      <c r="C169" s="20" t="s">
        <v>413</v>
      </c>
      <c r="D169" s="113">
        <v>0</v>
      </c>
      <c r="E169" s="403">
        <v>5.28</v>
      </c>
      <c r="F169" s="47">
        <f t="shared" si="10"/>
        <v>0</v>
      </c>
      <c r="G169" s="21">
        <f t="shared" si="11"/>
        <v>839.87394030495864</v>
      </c>
      <c r="H169" s="113">
        <v>0</v>
      </c>
      <c r="I169" s="403">
        <v>5.28</v>
      </c>
      <c r="J169" s="47">
        <f t="shared" si="12"/>
        <v>0</v>
      </c>
      <c r="K169" s="21">
        <f t="shared" si="13"/>
        <v>839.87394030495864</v>
      </c>
    </row>
    <row r="170" spans="1:11" s="22" customFormat="1" x14ac:dyDescent="0.35">
      <c r="A170" s="19">
        <v>158</v>
      </c>
      <c r="B170" s="19" t="s">
        <v>88</v>
      </c>
      <c r="C170" s="20" t="s">
        <v>418</v>
      </c>
      <c r="D170" s="113">
        <v>13899</v>
      </c>
      <c r="E170" s="403">
        <v>0.14000000000000001</v>
      </c>
      <c r="F170" s="47">
        <f t="shared" si="10"/>
        <v>1945.8600000000001</v>
      </c>
      <c r="G170" s="21">
        <f t="shared" si="11"/>
        <v>22.269384780813301</v>
      </c>
      <c r="H170" s="113">
        <v>1764</v>
      </c>
      <c r="I170" s="403">
        <v>0.12</v>
      </c>
      <c r="J170" s="47">
        <f t="shared" si="12"/>
        <v>211.67999999999998</v>
      </c>
      <c r="K170" s="21">
        <f t="shared" si="13"/>
        <v>19.088044097839969</v>
      </c>
    </row>
    <row r="171" spans="1:11" s="22" customFormat="1" x14ac:dyDescent="0.35">
      <c r="A171" s="19">
        <v>159</v>
      </c>
      <c r="B171" s="19" t="s">
        <v>89</v>
      </c>
      <c r="C171" s="20" t="s">
        <v>419</v>
      </c>
      <c r="D171" s="113">
        <v>0</v>
      </c>
      <c r="E171" s="403">
        <v>3.3600000000000003</v>
      </c>
      <c r="F171" s="47">
        <f t="shared" si="10"/>
        <v>0</v>
      </c>
      <c r="G171" s="21">
        <f t="shared" si="11"/>
        <v>534.46523473951913</v>
      </c>
      <c r="H171" s="113">
        <v>0</v>
      </c>
      <c r="I171" s="403">
        <v>2.88</v>
      </c>
      <c r="J171" s="47">
        <f t="shared" si="12"/>
        <v>0</v>
      </c>
      <c r="K171" s="21">
        <f t="shared" si="13"/>
        <v>458.11305834815926</v>
      </c>
    </row>
    <row r="172" spans="1:11" s="22" customFormat="1" x14ac:dyDescent="0.35">
      <c r="A172" s="19">
        <v>160</v>
      </c>
      <c r="B172" s="19" t="s">
        <v>90</v>
      </c>
      <c r="C172" s="20" t="s">
        <v>420</v>
      </c>
      <c r="D172" s="113">
        <v>926</v>
      </c>
      <c r="E172" s="403">
        <v>0.14000000000000001</v>
      </c>
      <c r="F172" s="47">
        <f t="shared" si="10"/>
        <v>129.64000000000001</v>
      </c>
      <c r="G172" s="21">
        <f t="shared" si="11"/>
        <v>22.269384780813301</v>
      </c>
      <c r="H172" s="113">
        <v>66</v>
      </c>
      <c r="I172" s="403">
        <v>0.12</v>
      </c>
      <c r="J172" s="47">
        <f t="shared" si="12"/>
        <v>7.92</v>
      </c>
      <c r="K172" s="21">
        <f t="shared" si="13"/>
        <v>19.088044097839969</v>
      </c>
    </row>
    <row r="173" spans="1:11" s="22" customFormat="1" x14ac:dyDescent="0.35">
      <c r="A173" s="19">
        <v>161</v>
      </c>
      <c r="B173" s="19" t="s">
        <v>91</v>
      </c>
      <c r="C173" s="20" t="s">
        <v>421</v>
      </c>
      <c r="D173" s="113">
        <v>0</v>
      </c>
      <c r="E173" s="403">
        <v>3.3600000000000003</v>
      </c>
      <c r="F173" s="47">
        <f t="shared" si="10"/>
        <v>0</v>
      </c>
      <c r="G173" s="21">
        <f t="shared" si="11"/>
        <v>534.46523473951913</v>
      </c>
      <c r="H173" s="113">
        <v>0</v>
      </c>
      <c r="I173" s="403">
        <v>2.88</v>
      </c>
      <c r="J173" s="47">
        <f t="shared" si="12"/>
        <v>0</v>
      </c>
      <c r="K173" s="21">
        <f t="shared" si="13"/>
        <v>458.11305834815926</v>
      </c>
    </row>
    <row r="174" spans="1:11" s="22" customFormat="1" x14ac:dyDescent="0.35">
      <c r="A174" s="19">
        <v>162</v>
      </c>
      <c r="B174" s="19" t="s">
        <v>92</v>
      </c>
      <c r="C174" s="20" t="s">
        <v>422</v>
      </c>
      <c r="D174" s="113">
        <v>870</v>
      </c>
      <c r="E174" s="403">
        <v>0.14000000000000001</v>
      </c>
      <c r="F174" s="47">
        <f t="shared" si="10"/>
        <v>121.80000000000001</v>
      </c>
      <c r="G174" s="21">
        <f t="shared" si="11"/>
        <v>22.269384780813301</v>
      </c>
      <c r="H174" s="113">
        <v>332</v>
      </c>
      <c r="I174" s="403">
        <v>0.12</v>
      </c>
      <c r="J174" s="47">
        <f t="shared" si="12"/>
        <v>39.839999999999996</v>
      </c>
      <c r="K174" s="21">
        <f t="shared" si="13"/>
        <v>19.088044097839969</v>
      </c>
    </row>
    <row r="175" spans="1:11" s="22" customFormat="1" x14ac:dyDescent="0.35">
      <c r="A175" s="19">
        <v>163</v>
      </c>
      <c r="B175" s="19" t="s">
        <v>93</v>
      </c>
      <c r="C175" s="20" t="s">
        <v>423</v>
      </c>
      <c r="D175" s="113">
        <v>0</v>
      </c>
      <c r="E175" s="403">
        <v>0.14000000000000001</v>
      </c>
      <c r="F175" s="47">
        <f t="shared" si="10"/>
        <v>0</v>
      </c>
      <c r="G175" s="21">
        <f t="shared" si="11"/>
        <v>22.269384780813301</v>
      </c>
      <c r="H175" s="113">
        <v>0</v>
      </c>
      <c r="I175" s="403">
        <v>0.12</v>
      </c>
      <c r="J175" s="47">
        <f t="shared" si="12"/>
        <v>0</v>
      </c>
      <c r="K175" s="21">
        <f t="shared" si="13"/>
        <v>19.088044097839969</v>
      </c>
    </row>
    <row r="176" spans="1:11" s="22" customFormat="1" x14ac:dyDescent="0.35">
      <c r="A176" s="19">
        <v>164</v>
      </c>
      <c r="B176" s="19" t="s">
        <v>94</v>
      </c>
      <c r="C176" s="20" t="s">
        <v>424</v>
      </c>
      <c r="D176" s="113">
        <v>0</v>
      </c>
      <c r="E176" s="403">
        <v>3.3600000000000003</v>
      </c>
      <c r="F176" s="47">
        <f t="shared" si="10"/>
        <v>0</v>
      </c>
      <c r="G176" s="21">
        <f t="shared" si="11"/>
        <v>534.46523473951913</v>
      </c>
      <c r="H176" s="113">
        <v>0</v>
      </c>
      <c r="I176" s="403">
        <v>2.88</v>
      </c>
      <c r="J176" s="47">
        <f t="shared" si="12"/>
        <v>0</v>
      </c>
      <c r="K176" s="21">
        <f t="shared" si="13"/>
        <v>458.11305834815926</v>
      </c>
    </row>
    <row r="177" spans="1:11" s="22" customFormat="1" x14ac:dyDescent="0.35">
      <c r="A177" s="19">
        <v>165</v>
      </c>
      <c r="B177" s="19" t="s">
        <v>95</v>
      </c>
      <c r="C177" s="20" t="s">
        <v>425</v>
      </c>
      <c r="D177" s="113">
        <v>592</v>
      </c>
      <c r="E177" s="403">
        <v>0.14000000000000001</v>
      </c>
      <c r="F177" s="47">
        <f t="shared" si="10"/>
        <v>82.88000000000001</v>
      </c>
      <c r="G177" s="21">
        <f t="shared" si="11"/>
        <v>22.269384780813301</v>
      </c>
      <c r="H177" s="113">
        <v>1482</v>
      </c>
      <c r="I177" s="403">
        <v>0.12</v>
      </c>
      <c r="J177" s="47">
        <f t="shared" si="12"/>
        <v>177.84</v>
      </c>
      <c r="K177" s="21">
        <f t="shared" si="13"/>
        <v>19.088044097839969</v>
      </c>
    </row>
    <row r="178" spans="1:11" s="22" customFormat="1" x14ac:dyDescent="0.35">
      <c r="A178" s="19">
        <v>166</v>
      </c>
      <c r="B178" s="19" t="s">
        <v>96</v>
      </c>
      <c r="C178" s="20" t="s">
        <v>426</v>
      </c>
      <c r="D178" s="113">
        <v>0</v>
      </c>
      <c r="E178" s="403">
        <v>1.29</v>
      </c>
      <c r="F178" s="47">
        <f t="shared" si="10"/>
        <v>0</v>
      </c>
      <c r="G178" s="21">
        <f t="shared" si="11"/>
        <v>205.19647405177966</v>
      </c>
      <c r="H178" s="113">
        <v>0</v>
      </c>
      <c r="I178" s="403">
        <v>1.1299999999999999</v>
      </c>
      <c r="J178" s="47">
        <f t="shared" si="12"/>
        <v>0</v>
      </c>
      <c r="K178" s="21">
        <f t="shared" si="13"/>
        <v>179.74574858799303</v>
      </c>
    </row>
    <row r="179" spans="1:11" s="22" customFormat="1" x14ac:dyDescent="0.35">
      <c r="A179" s="19">
        <v>167</v>
      </c>
      <c r="B179" s="19" t="s">
        <v>35</v>
      </c>
      <c r="C179" s="20" t="s">
        <v>37</v>
      </c>
      <c r="D179" s="113">
        <v>0</v>
      </c>
      <c r="E179" s="403">
        <v>0</v>
      </c>
      <c r="F179" s="47">
        <f t="shared" si="10"/>
        <v>0</v>
      </c>
      <c r="G179" s="21">
        <f t="shared" si="11"/>
        <v>0</v>
      </c>
      <c r="H179" s="113">
        <v>0</v>
      </c>
      <c r="I179" s="403">
        <v>0</v>
      </c>
      <c r="J179" s="47">
        <f t="shared" si="12"/>
        <v>0</v>
      </c>
      <c r="K179" s="21">
        <f t="shared" si="13"/>
        <v>0</v>
      </c>
    </row>
    <row r="180" spans="1:11" s="22" customFormat="1" x14ac:dyDescent="0.35">
      <c r="A180" s="19">
        <v>168</v>
      </c>
      <c r="B180" s="19" t="s">
        <v>97</v>
      </c>
      <c r="C180" s="20" t="s">
        <v>427</v>
      </c>
      <c r="D180" s="113">
        <v>0</v>
      </c>
      <c r="E180" s="403">
        <v>0</v>
      </c>
      <c r="F180" s="47">
        <f t="shared" si="10"/>
        <v>0</v>
      </c>
      <c r="G180" s="21">
        <f t="shared" si="11"/>
        <v>0</v>
      </c>
      <c r="H180" s="113">
        <v>3094</v>
      </c>
      <c r="I180" s="403">
        <v>0</v>
      </c>
      <c r="J180" s="47">
        <f t="shared" si="12"/>
        <v>0</v>
      </c>
      <c r="K180" s="21">
        <f t="shared" si="13"/>
        <v>0</v>
      </c>
    </row>
    <row r="181" spans="1:11" s="22" customFormat="1" x14ac:dyDescent="0.35">
      <c r="A181" s="19">
        <v>169</v>
      </c>
      <c r="B181" s="19" t="s">
        <v>98</v>
      </c>
      <c r="C181" s="20" t="s">
        <v>428</v>
      </c>
      <c r="D181" s="113">
        <v>0</v>
      </c>
      <c r="E181" s="403">
        <v>0.22</v>
      </c>
      <c r="F181" s="47">
        <f t="shared" si="10"/>
        <v>0</v>
      </c>
      <c r="G181" s="21">
        <f t="shared" si="11"/>
        <v>34.99474751270661</v>
      </c>
      <c r="H181" s="113">
        <v>0</v>
      </c>
      <c r="I181" s="403">
        <v>0.22</v>
      </c>
      <c r="J181" s="47">
        <f t="shared" si="12"/>
        <v>0</v>
      </c>
      <c r="K181" s="21">
        <f t="shared" si="13"/>
        <v>34.99474751270661</v>
      </c>
    </row>
    <row r="182" spans="1:11" s="22" customFormat="1" x14ac:dyDescent="0.35">
      <c r="A182" s="19">
        <v>170</v>
      </c>
      <c r="B182" s="19" t="s">
        <v>99</v>
      </c>
      <c r="C182" s="20" t="s">
        <v>429</v>
      </c>
      <c r="D182" s="113">
        <v>0</v>
      </c>
      <c r="E182" s="403">
        <v>4.4000000000000004</v>
      </c>
      <c r="F182" s="47">
        <f t="shared" si="10"/>
        <v>0</v>
      </c>
      <c r="G182" s="21">
        <f t="shared" si="11"/>
        <v>699.89495025413225</v>
      </c>
      <c r="H182" s="113">
        <v>0</v>
      </c>
      <c r="I182" s="403">
        <v>4.4000000000000004</v>
      </c>
      <c r="J182" s="47">
        <f t="shared" si="12"/>
        <v>0</v>
      </c>
      <c r="K182" s="21">
        <f t="shared" si="13"/>
        <v>699.89495025413225</v>
      </c>
    </row>
    <row r="183" spans="1:11" s="22" customFormat="1" x14ac:dyDescent="0.35">
      <c r="A183" s="19">
        <v>171</v>
      </c>
      <c r="B183" s="19" t="s">
        <v>100</v>
      </c>
      <c r="C183" s="20" t="s">
        <v>147</v>
      </c>
      <c r="D183" s="113">
        <v>0</v>
      </c>
      <c r="E183" s="403">
        <v>1.02</v>
      </c>
      <c r="F183" s="47">
        <f t="shared" si="10"/>
        <v>0</v>
      </c>
      <c r="G183" s="21">
        <f t="shared" si="11"/>
        <v>162.24837483163975</v>
      </c>
      <c r="H183" s="113">
        <v>0</v>
      </c>
      <c r="I183" s="403">
        <v>0.94</v>
      </c>
      <c r="J183" s="47">
        <f t="shared" si="12"/>
        <v>0</v>
      </c>
      <c r="K183" s="21">
        <f t="shared" si="13"/>
        <v>149.52301209974641</v>
      </c>
    </row>
    <row r="184" spans="1:11" s="22" customFormat="1" x14ac:dyDescent="0.35">
      <c r="A184" s="19">
        <v>172</v>
      </c>
      <c r="B184" s="19" t="s">
        <v>101</v>
      </c>
      <c r="C184" s="20" t="s">
        <v>148</v>
      </c>
      <c r="D184" s="113">
        <v>0</v>
      </c>
      <c r="E184" s="403">
        <v>0.75</v>
      </c>
      <c r="F184" s="47">
        <f t="shared" si="10"/>
        <v>0</v>
      </c>
      <c r="G184" s="21">
        <f t="shared" si="11"/>
        <v>119.30027561149981</v>
      </c>
      <c r="H184" s="113">
        <v>0</v>
      </c>
      <c r="I184" s="403">
        <v>0.37</v>
      </c>
      <c r="J184" s="47">
        <f t="shared" si="12"/>
        <v>0</v>
      </c>
      <c r="K184" s="21">
        <f t="shared" si="13"/>
        <v>58.854802635006571</v>
      </c>
    </row>
    <row r="185" spans="1:11" s="22" customFormat="1" x14ac:dyDescent="0.35">
      <c r="A185" s="19">
        <v>173</v>
      </c>
      <c r="B185" s="19" t="s">
        <v>102</v>
      </c>
      <c r="C185" s="20" t="s">
        <v>430</v>
      </c>
      <c r="D185" s="113">
        <v>0</v>
      </c>
      <c r="E185" s="403">
        <v>0.75</v>
      </c>
      <c r="F185" s="47">
        <f t="shared" si="10"/>
        <v>0</v>
      </c>
      <c r="G185" s="21">
        <f t="shared" si="11"/>
        <v>119.30027561149981</v>
      </c>
      <c r="H185" s="113">
        <v>0</v>
      </c>
      <c r="I185" s="403">
        <v>0.37</v>
      </c>
      <c r="J185" s="47">
        <f t="shared" si="12"/>
        <v>0</v>
      </c>
      <c r="K185" s="21">
        <f t="shared" si="13"/>
        <v>58.854802635006571</v>
      </c>
    </row>
    <row r="186" spans="1:11" s="22" customFormat="1" x14ac:dyDescent="0.35">
      <c r="A186" s="19">
        <v>174</v>
      </c>
      <c r="B186" s="19" t="s">
        <v>103</v>
      </c>
      <c r="C186" s="20" t="s">
        <v>431</v>
      </c>
      <c r="D186" s="113">
        <v>0</v>
      </c>
      <c r="E186" s="403">
        <v>3.96</v>
      </c>
      <c r="F186" s="47">
        <f t="shared" si="10"/>
        <v>0</v>
      </c>
      <c r="G186" s="21">
        <f t="shared" si="11"/>
        <v>629.90545522871901</v>
      </c>
      <c r="H186" s="113">
        <v>0</v>
      </c>
      <c r="I186" s="403">
        <v>3.96</v>
      </c>
      <c r="J186" s="47">
        <f t="shared" si="12"/>
        <v>0</v>
      </c>
      <c r="K186" s="21">
        <f t="shared" si="13"/>
        <v>629.90545522871901</v>
      </c>
    </row>
    <row r="187" spans="1:11" s="22" customFormat="1" x14ac:dyDescent="0.35">
      <c r="A187" s="19">
        <v>175</v>
      </c>
      <c r="B187" s="19" t="s">
        <v>104</v>
      </c>
      <c r="C187" s="20" t="s">
        <v>432</v>
      </c>
      <c r="D187" s="113">
        <v>0</v>
      </c>
      <c r="E187" s="403">
        <v>3.59</v>
      </c>
      <c r="F187" s="47">
        <f t="shared" si="10"/>
        <v>0</v>
      </c>
      <c r="G187" s="21">
        <f t="shared" ref="G187:G196" si="18">E187*$F$12</f>
        <v>571.05065259371236</v>
      </c>
      <c r="H187" s="113">
        <v>0</v>
      </c>
      <c r="I187" s="403">
        <v>3.59</v>
      </c>
      <c r="J187" s="47">
        <f t="shared" si="12"/>
        <v>0</v>
      </c>
      <c r="K187" s="21">
        <f t="shared" ref="K187:K196" si="19">I187*$F$12</f>
        <v>571.05065259371236</v>
      </c>
    </row>
    <row r="188" spans="1:11" s="22" customFormat="1" x14ac:dyDescent="0.35">
      <c r="A188" s="19">
        <v>176</v>
      </c>
      <c r="B188" s="19" t="s">
        <v>36</v>
      </c>
      <c r="C188" s="20" t="s">
        <v>38</v>
      </c>
      <c r="D188" s="113">
        <v>0</v>
      </c>
      <c r="E188" s="403">
        <v>0</v>
      </c>
      <c r="F188" s="47">
        <f t="shared" ref="F188:F196" si="20">D188*E188</f>
        <v>0</v>
      </c>
      <c r="G188" s="21">
        <f t="shared" si="18"/>
        <v>0</v>
      </c>
      <c r="H188" s="113">
        <v>0</v>
      </c>
      <c r="I188" s="403">
        <v>0</v>
      </c>
      <c r="J188" s="47">
        <f t="shared" ref="J188:J196" si="21">H188*I188</f>
        <v>0</v>
      </c>
      <c r="K188" s="21">
        <f t="shared" si="19"/>
        <v>0</v>
      </c>
    </row>
    <row r="189" spans="1:11" s="22" customFormat="1" x14ac:dyDescent="0.35">
      <c r="A189" s="19">
        <v>177</v>
      </c>
      <c r="B189" s="19" t="s">
        <v>105</v>
      </c>
      <c r="C189" s="20" t="s">
        <v>433</v>
      </c>
      <c r="D189" s="113">
        <v>0</v>
      </c>
      <c r="E189" s="403">
        <v>0.28999999999999998</v>
      </c>
      <c r="F189" s="47">
        <f t="shared" si="20"/>
        <v>0</v>
      </c>
      <c r="G189" s="21">
        <f t="shared" si="18"/>
        <v>46.129439903113258</v>
      </c>
      <c r="H189" s="113">
        <v>0</v>
      </c>
      <c r="I189" s="403">
        <v>0.28999999999999998</v>
      </c>
      <c r="J189" s="47">
        <f t="shared" si="21"/>
        <v>0</v>
      </c>
      <c r="K189" s="21">
        <f t="shared" si="19"/>
        <v>46.129439903113258</v>
      </c>
    </row>
    <row r="190" spans="1:11" s="22" customFormat="1" x14ac:dyDescent="0.35">
      <c r="A190" s="19">
        <v>178</v>
      </c>
      <c r="B190" s="19" t="s">
        <v>106</v>
      </c>
      <c r="C190" s="20" t="s">
        <v>149</v>
      </c>
      <c r="D190" s="113">
        <v>0</v>
      </c>
      <c r="E190" s="403">
        <v>3.07</v>
      </c>
      <c r="F190" s="47">
        <f t="shared" si="20"/>
        <v>0</v>
      </c>
      <c r="G190" s="21">
        <f t="shared" si="18"/>
        <v>488.33579483640585</v>
      </c>
      <c r="H190" s="113">
        <v>0</v>
      </c>
      <c r="I190" s="403">
        <v>3.05</v>
      </c>
      <c r="J190" s="47">
        <f t="shared" si="21"/>
        <v>0</v>
      </c>
      <c r="K190" s="21">
        <f t="shared" si="19"/>
        <v>485.15445415343254</v>
      </c>
    </row>
    <row r="191" spans="1:11" s="22" customFormat="1" ht="29" x14ac:dyDescent="0.35">
      <c r="A191" s="19">
        <v>179</v>
      </c>
      <c r="B191" s="19" t="s">
        <v>27</v>
      </c>
      <c r="C191" s="20" t="s">
        <v>30</v>
      </c>
      <c r="D191" s="113">
        <v>0</v>
      </c>
      <c r="E191" s="403">
        <v>0</v>
      </c>
      <c r="F191" s="47">
        <f t="shared" si="20"/>
        <v>0</v>
      </c>
      <c r="G191" s="21">
        <f t="shared" si="18"/>
        <v>0</v>
      </c>
      <c r="H191" s="113">
        <v>0</v>
      </c>
      <c r="I191" s="403">
        <v>0</v>
      </c>
      <c r="J191" s="47">
        <f t="shared" si="21"/>
        <v>0</v>
      </c>
      <c r="K191" s="21">
        <f t="shared" si="19"/>
        <v>0</v>
      </c>
    </row>
    <row r="192" spans="1:11" s="22" customFormat="1" x14ac:dyDescent="0.35">
      <c r="A192" s="19">
        <v>180</v>
      </c>
      <c r="B192" s="19" t="s">
        <v>107</v>
      </c>
      <c r="C192" s="20" t="s">
        <v>150</v>
      </c>
      <c r="D192" s="113">
        <v>0</v>
      </c>
      <c r="E192" s="403">
        <v>0.59</v>
      </c>
      <c r="F192" s="47">
        <f t="shared" si="20"/>
        <v>0</v>
      </c>
      <c r="G192" s="21">
        <f t="shared" si="18"/>
        <v>93.849550147713174</v>
      </c>
      <c r="H192" s="113">
        <v>0</v>
      </c>
      <c r="I192" s="403">
        <v>0.55000000000000004</v>
      </c>
      <c r="J192" s="47">
        <f t="shared" si="21"/>
        <v>0</v>
      </c>
      <c r="K192" s="21">
        <f t="shared" si="19"/>
        <v>87.486868781766532</v>
      </c>
    </row>
    <row r="193" spans="1:11" s="22" customFormat="1" x14ac:dyDescent="0.35">
      <c r="A193" s="19">
        <v>181</v>
      </c>
      <c r="B193" s="19" t="s">
        <v>28</v>
      </c>
      <c r="C193" s="20" t="s">
        <v>31</v>
      </c>
      <c r="D193" s="113">
        <v>0</v>
      </c>
      <c r="E193" s="403">
        <v>0</v>
      </c>
      <c r="F193" s="47">
        <f t="shared" si="20"/>
        <v>0</v>
      </c>
      <c r="G193" s="21">
        <f t="shared" si="18"/>
        <v>0</v>
      </c>
      <c r="H193" s="113">
        <v>0</v>
      </c>
      <c r="I193" s="403">
        <v>0</v>
      </c>
      <c r="J193" s="47">
        <f t="shared" si="21"/>
        <v>0</v>
      </c>
      <c r="K193" s="21">
        <f t="shared" si="19"/>
        <v>0</v>
      </c>
    </row>
    <row r="194" spans="1:11" s="22" customFormat="1" x14ac:dyDescent="0.35">
      <c r="A194" s="19">
        <v>182</v>
      </c>
      <c r="B194" s="19" t="s">
        <v>108</v>
      </c>
      <c r="C194" s="20" t="s">
        <v>434</v>
      </c>
      <c r="D194" s="113">
        <v>0</v>
      </c>
      <c r="E194" s="403">
        <v>0.64</v>
      </c>
      <c r="F194" s="47">
        <f t="shared" si="20"/>
        <v>0</v>
      </c>
      <c r="G194" s="21">
        <f t="shared" si="18"/>
        <v>101.8029018551465</v>
      </c>
      <c r="H194" s="113">
        <v>0</v>
      </c>
      <c r="I194" s="403">
        <v>0.6</v>
      </c>
      <c r="J194" s="47">
        <f t="shared" si="21"/>
        <v>0</v>
      </c>
      <c r="K194" s="21">
        <f t="shared" si="19"/>
        <v>95.440220489199845</v>
      </c>
    </row>
    <row r="195" spans="1:11" s="22" customFormat="1" x14ac:dyDescent="0.35">
      <c r="A195" s="19">
        <v>183</v>
      </c>
      <c r="B195" s="19" t="s">
        <v>109</v>
      </c>
      <c r="C195" s="20" t="s">
        <v>151</v>
      </c>
      <c r="D195" s="113">
        <v>89501</v>
      </c>
      <c r="E195" s="403">
        <v>0.65000000000000013</v>
      </c>
      <c r="F195" s="47">
        <f t="shared" si="20"/>
        <v>58175.650000000009</v>
      </c>
      <c r="G195" s="21">
        <f t="shared" si="18"/>
        <v>103.39357219663319</v>
      </c>
      <c r="H195" s="113">
        <v>36731</v>
      </c>
      <c r="I195" s="403">
        <v>0.59999999999999987</v>
      </c>
      <c r="J195" s="47">
        <f t="shared" si="21"/>
        <v>22038.599999999995</v>
      </c>
      <c r="K195" s="21">
        <f t="shared" si="19"/>
        <v>95.440220489199831</v>
      </c>
    </row>
    <row r="196" spans="1:11" s="22" customFormat="1" x14ac:dyDescent="0.35">
      <c r="A196" s="19">
        <v>184</v>
      </c>
      <c r="B196" s="19" t="s">
        <v>29</v>
      </c>
      <c r="C196" s="20" t="s">
        <v>32</v>
      </c>
      <c r="D196" s="113">
        <v>0</v>
      </c>
      <c r="E196" s="403">
        <v>0</v>
      </c>
      <c r="F196" s="47">
        <f t="shared" si="20"/>
        <v>0</v>
      </c>
      <c r="G196" s="21">
        <f t="shared" si="18"/>
        <v>0</v>
      </c>
      <c r="H196" s="113">
        <v>0</v>
      </c>
      <c r="I196" s="403">
        <v>0</v>
      </c>
      <c r="J196" s="47">
        <f t="shared" si="21"/>
        <v>0</v>
      </c>
      <c r="K196" s="21">
        <f t="shared" si="19"/>
        <v>0</v>
      </c>
    </row>
    <row r="197" spans="1:11" x14ac:dyDescent="0.35">
      <c r="A197" s="19">
        <v>185</v>
      </c>
      <c r="D197" s="9">
        <f>SUM(D18:D196)</f>
        <v>301381</v>
      </c>
      <c r="E197" s="13"/>
      <c r="F197" s="9">
        <f>SUM(F18:F196)</f>
        <v>406327.73000000016</v>
      </c>
      <c r="H197" s="9">
        <f>SUM(H18:H196)</f>
        <v>367332</v>
      </c>
      <c r="J197" s="9">
        <f>SUM(J18:J196)</f>
        <v>199367.74</v>
      </c>
    </row>
  </sheetData>
  <sheetProtection sheet="1" objects="1" scenarios="1"/>
  <customSheetViews>
    <customSheetView guid="{17302493-42B1-4877-869E-E424A97AE78B}" topLeftCell="B3">
      <selection activeCell="D17" sqref="D17:D196"/>
      <pageMargins left="0.7" right="0.7" top="0.75" bottom="0.75" header="0.3" footer="0.3"/>
      <pageSetup orientation="portrait" horizontalDpi="1200" verticalDpi="1200" r:id="rId1"/>
    </customSheetView>
    <customSheetView guid="{5C0BA3A5-859C-46C2-B685-44D9A90065E4}" topLeftCell="B3">
      <selection activeCell="D17" sqref="D17:D196"/>
      <pageMargins left="0.7" right="0.7" top="0.75" bottom="0.75" header="0.3" footer="0.3"/>
      <pageSetup orientation="portrait" horizontalDpi="1200" verticalDpi="1200" r:id="rId2"/>
    </customSheetView>
  </customSheetViews>
  <mergeCells count="6">
    <mergeCell ref="K4:K6"/>
    <mergeCell ref="L4:L6"/>
    <mergeCell ref="D15:G15"/>
    <mergeCell ref="H15:K15"/>
    <mergeCell ref="J9:J11"/>
    <mergeCell ref="K9:K11"/>
  </mergeCells>
  <pageMargins left="0.7" right="0.7" top="0.75" bottom="0.75" header="0.3" footer="0.3"/>
  <pageSetup orientation="portrait" horizontalDpi="1200" verticalDpi="1200"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9CC5CA"/>
  </sheetPr>
  <dimension ref="A1:M46"/>
  <sheetViews>
    <sheetView workbookViewId="0">
      <selection activeCell="C4" sqref="C4"/>
    </sheetView>
  </sheetViews>
  <sheetFormatPr defaultColWidth="9.1796875" defaultRowHeight="14.5" x14ac:dyDescent="0.35"/>
  <cols>
    <col min="2" max="2" width="16.54296875" customWidth="1"/>
    <col min="3" max="3" width="40.7265625" customWidth="1"/>
    <col min="4" max="4" width="26.7265625" style="99"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777</v>
      </c>
      <c r="G1" s="121"/>
    </row>
    <row r="2" spans="1:13" ht="21" x14ac:dyDescent="0.5">
      <c r="A2" s="2" t="s">
        <v>775</v>
      </c>
      <c r="H2" s="40"/>
      <c r="I2" s="40"/>
      <c r="J2" s="40"/>
      <c r="K2" s="40"/>
      <c r="L2" s="40"/>
      <c r="M2" s="40"/>
    </row>
    <row r="3" spans="1:13" ht="21" x14ac:dyDescent="0.5">
      <c r="A3" s="234" t="s">
        <v>903</v>
      </c>
      <c r="G3" s="122"/>
      <c r="H3" s="122"/>
      <c r="I3" s="122"/>
      <c r="J3" s="40"/>
      <c r="K3" s="40"/>
      <c r="L3" s="40"/>
      <c r="M3" s="40"/>
    </row>
    <row r="4" spans="1:13" x14ac:dyDescent="0.35">
      <c r="G4" s="40"/>
      <c r="H4" s="40"/>
      <c r="I4" s="40"/>
      <c r="J4" s="40"/>
      <c r="K4" s="40"/>
      <c r="L4" s="40"/>
      <c r="M4" s="40"/>
    </row>
    <row r="5" spans="1:13" ht="15" customHeight="1" x14ac:dyDescent="0.35">
      <c r="A5" s="1" t="s">
        <v>776</v>
      </c>
      <c r="C5" s="413" t="str">
        <f>'As-Filed Schedule 1'!C5</f>
        <v>WellPower</v>
      </c>
      <c r="D5" s="55"/>
      <c r="E5" s="53"/>
      <c r="F5" s="53"/>
      <c r="G5" s="50"/>
      <c r="H5" s="50"/>
      <c r="I5" s="13"/>
      <c r="J5" s="13"/>
      <c r="K5" s="40"/>
      <c r="L5" s="40"/>
    </row>
    <row r="6" spans="1:13" x14ac:dyDescent="0.35">
      <c r="A6" s="1" t="s">
        <v>0</v>
      </c>
      <c r="C6" s="406">
        <f>'As-Filed Schedule 1'!C6</f>
        <v>45473</v>
      </c>
      <c r="D6" s="35"/>
      <c r="E6" s="35"/>
      <c r="F6" s="35"/>
      <c r="G6" s="13"/>
      <c r="H6" s="13"/>
      <c r="I6" s="13"/>
      <c r="J6" s="13"/>
      <c r="K6" s="40"/>
      <c r="L6" s="40"/>
    </row>
    <row r="7" spans="1:13" s="1" customFormat="1" x14ac:dyDescent="0.35">
      <c r="D7" s="99"/>
      <c r="G7" s="40"/>
      <c r="H7" s="40"/>
      <c r="I7" s="40"/>
      <c r="J7" s="40"/>
      <c r="K7" s="40"/>
      <c r="L7" s="40"/>
      <c r="M7" s="40"/>
    </row>
    <row r="8" spans="1:13" x14ac:dyDescent="0.35">
      <c r="D8" s="167">
        <v>1</v>
      </c>
      <c r="G8" s="40"/>
      <c r="H8" s="40"/>
      <c r="I8" s="40"/>
      <c r="J8" s="40"/>
      <c r="K8" s="40"/>
      <c r="L8" s="40"/>
      <c r="M8" s="40"/>
    </row>
    <row r="9" spans="1:13" s="6" customFormat="1" x14ac:dyDescent="0.35">
      <c r="A9" s="97"/>
      <c r="B9" s="544" t="s">
        <v>872</v>
      </c>
      <c r="C9" s="544"/>
      <c r="D9" s="142" t="s">
        <v>873</v>
      </c>
      <c r="G9" s="121"/>
      <c r="H9" s="121"/>
      <c r="I9" s="121"/>
      <c r="J9" s="121"/>
      <c r="K9" s="121"/>
      <c r="L9" s="121"/>
      <c r="M9" s="121"/>
    </row>
    <row r="10" spans="1:13" s="6" customFormat="1" x14ac:dyDescent="0.35">
      <c r="A10" s="97"/>
      <c r="B10" s="143"/>
      <c r="C10" s="144"/>
      <c r="D10" s="145"/>
      <c r="G10" s="121"/>
      <c r="H10" s="121"/>
      <c r="I10" s="121"/>
      <c r="J10" s="121"/>
      <c r="K10" s="121"/>
      <c r="L10" s="121"/>
      <c r="M10" s="121"/>
    </row>
    <row r="11" spans="1:13" s="22" customFormat="1" x14ac:dyDescent="0.35">
      <c r="A11" s="540" t="s">
        <v>874</v>
      </c>
      <c r="B11" s="541"/>
      <c r="C11" s="541"/>
      <c r="D11" s="542"/>
      <c r="G11" s="120"/>
      <c r="H11" s="120"/>
      <c r="I11" s="120"/>
      <c r="J11" s="120"/>
      <c r="K11" s="120"/>
      <c r="L11" s="120"/>
      <c r="M11" s="120"/>
    </row>
    <row r="12" spans="1:13" s="22" customFormat="1" x14ac:dyDescent="0.35">
      <c r="A12" s="146">
        <v>1</v>
      </c>
      <c r="B12" s="531" t="s">
        <v>875</v>
      </c>
      <c r="C12" s="533"/>
      <c r="D12" s="148">
        <v>83094631</v>
      </c>
      <c r="G12" s="131"/>
    </row>
    <row r="13" spans="1:13" s="22" customFormat="1" x14ac:dyDescent="0.35">
      <c r="A13" s="146">
        <v>2</v>
      </c>
      <c r="B13" s="531" t="s">
        <v>876</v>
      </c>
      <c r="C13" s="533"/>
      <c r="D13" s="148">
        <v>13066839</v>
      </c>
      <c r="G13" s="131"/>
    </row>
    <row r="14" spans="1:13" s="22" customFormat="1" x14ac:dyDescent="0.35">
      <c r="A14" s="146">
        <v>3</v>
      </c>
      <c r="B14" s="165" t="s">
        <v>877</v>
      </c>
      <c r="C14" s="159"/>
      <c r="D14" s="148">
        <v>11161314</v>
      </c>
      <c r="G14" s="131"/>
    </row>
    <row r="15" spans="1:13" s="22" customFormat="1" x14ac:dyDescent="0.35">
      <c r="A15" s="146">
        <v>4</v>
      </c>
      <c r="B15" s="165" t="s">
        <v>878</v>
      </c>
      <c r="C15" s="159"/>
      <c r="D15" s="148">
        <v>1452028</v>
      </c>
      <c r="G15" s="131"/>
    </row>
    <row r="16" spans="1:13" s="22" customFormat="1" x14ac:dyDescent="0.35">
      <c r="A16" s="146">
        <v>5</v>
      </c>
      <c r="B16" s="165" t="s">
        <v>879</v>
      </c>
      <c r="C16" s="159"/>
      <c r="D16" s="148">
        <v>423209</v>
      </c>
      <c r="G16" s="131"/>
    </row>
    <row r="17" spans="1:7" s="22" customFormat="1" x14ac:dyDescent="0.35">
      <c r="A17" s="146">
        <v>6</v>
      </c>
      <c r="B17" s="165" t="s">
        <v>880</v>
      </c>
      <c r="C17" s="159"/>
      <c r="D17" s="148">
        <v>3757005.29</v>
      </c>
      <c r="G17" s="131"/>
    </row>
    <row r="18" spans="1:7" s="22" customFormat="1" x14ac:dyDescent="0.35">
      <c r="A18" s="146">
        <v>7</v>
      </c>
      <c r="B18" s="531" t="s">
        <v>881</v>
      </c>
      <c r="C18" s="533"/>
      <c r="D18" s="148">
        <v>0</v>
      </c>
      <c r="G18" s="131"/>
    </row>
    <row r="19" spans="1:7" s="22" customFormat="1" x14ac:dyDescent="0.35">
      <c r="A19" s="146">
        <v>8</v>
      </c>
      <c r="B19" s="537" t="s">
        <v>882</v>
      </c>
      <c r="C19" s="539"/>
      <c r="D19" s="151">
        <f>SUM(D12:D18)</f>
        <v>112955026.29000001</v>
      </c>
      <c r="G19" s="131"/>
    </row>
    <row r="20" spans="1:7" s="22" customFormat="1" x14ac:dyDescent="0.35">
      <c r="A20" s="152"/>
      <c r="B20" s="153"/>
      <c r="C20" s="153"/>
      <c r="D20" s="155"/>
      <c r="G20" s="131"/>
    </row>
    <row r="21" spans="1:7" s="22" customFormat="1" x14ac:dyDescent="0.35">
      <c r="A21" s="540" t="s">
        <v>883</v>
      </c>
      <c r="B21" s="541"/>
      <c r="C21" s="541"/>
      <c r="D21" s="542"/>
      <c r="E21" s="131"/>
      <c r="F21" s="131"/>
      <c r="G21" s="131"/>
    </row>
    <row r="22" spans="1:7" s="22" customFormat="1" x14ac:dyDescent="0.35">
      <c r="A22" s="146">
        <v>9</v>
      </c>
      <c r="B22" s="531" t="s">
        <v>884</v>
      </c>
      <c r="C22" s="533"/>
      <c r="D22" s="148">
        <v>2035662.03</v>
      </c>
      <c r="E22" s="131"/>
      <c r="F22" s="131"/>
      <c r="G22" s="131"/>
    </row>
    <row r="23" spans="1:7" s="22" customFormat="1" x14ac:dyDescent="0.35">
      <c r="A23" s="146">
        <v>10</v>
      </c>
      <c r="B23" s="165" t="s">
        <v>885</v>
      </c>
      <c r="C23" s="159"/>
      <c r="D23" s="148">
        <v>16108567</v>
      </c>
      <c r="E23" s="131"/>
      <c r="F23" s="131"/>
      <c r="G23" s="131"/>
    </row>
    <row r="24" spans="1:7" s="22" customFormat="1" x14ac:dyDescent="0.35">
      <c r="A24" s="146">
        <v>11</v>
      </c>
      <c r="B24" s="165" t="s">
        <v>886</v>
      </c>
      <c r="C24" s="159"/>
      <c r="D24" s="148">
        <v>1924450.3299999998</v>
      </c>
      <c r="E24" s="131"/>
      <c r="F24" s="131"/>
      <c r="G24" s="131"/>
    </row>
    <row r="25" spans="1:7" s="22" customFormat="1" x14ac:dyDescent="0.35">
      <c r="A25" s="146">
        <v>12</v>
      </c>
      <c r="B25" s="165" t="s">
        <v>887</v>
      </c>
      <c r="C25" s="159"/>
      <c r="D25" s="148">
        <v>7758369.8900000006</v>
      </c>
      <c r="E25" s="131"/>
      <c r="F25" s="131"/>
      <c r="G25" s="131"/>
    </row>
    <row r="26" spans="1:7" s="22" customFormat="1" x14ac:dyDescent="0.35">
      <c r="A26" s="146">
        <v>13</v>
      </c>
      <c r="B26" s="165" t="s">
        <v>888</v>
      </c>
      <c r="C26" s="159"/>
      <c r="D26" s="148">
        <v>2769701.9000000004</v>
      </c>
      <c r="E26" s="131"/>
      <c r="F26" s="131"/>
      <c r="G26" s="131"/>
    </row>
    <row r="27" spans="1:7" s="22" customFormat="1" x14ac:dyDescent="0.35">
      <c r="A27" s="146">
        <v>14</v>
      </c>
      <c r="B27" s="537" t="s">
        <v>889</v>
      </c>
      <c r="C27" s="539"/>
      <c r="D27" s="151">
        <f>SUM(D22:D26)</f>
        <v>30596751.149999999</v>
      </c>
      <c r="E27" s="131"/>
      <c r="F27" s="131"/>
      <c r="G27" s="131"/>
    </row>
    <row r="28" spans="1:7" s="22" customFormat="1" x14ac:dyDescent="0.35">
      <c r="A28" s="152"/>
      <c r="B28" s="153"/>
      <c r="C28" s="153"/>
      <c r="D28" s="155"/>
      <c r="F28" s="131"/>
      <c r="G28" s="131"/>
    </row>
    <row r="29" spans="1:7" s="22" customFormat="1" x14ac:dyDescent="0.35">
      <c r="A29" s="540" t="s">
        <v>890</v>
      </c>
      <c r="B29" s="541"/>
      <c r="C29" s="541"/>
      <c r="D29" s="542"/>
      <c r="F29" s="131"/>
      <c r="G29" s="131"/>
    </row>
    <row r="30" spans="1:7" s="22" customFormat="1" x14ac:dyDescent="0.35">
      <c r="A30" s="146">
        <v>15</v>
      </c>
      <c r="B30" s="531" t="s">
        <v>891</v>
      </c>
      <c r="C30" s="533"/>
      <c r="D30" s="148">
        <v>366006</v>
      </c>
      <c r="G30" s="131"/>
    </row>
    <row r="31" spans="1:7" s="22" customFormat="1" x14ac:dyDescent="0.35">
      <c r="A31" s="146">
        <v>16</v>
      </c>
      <c r="B31" s="165" t="s">
        <v>892</v>
      </c>
      <c r="C31" s="159"/>
      <c r="D31" s="148">
        <v>0</v>
      </c>
      <c r="G31" s="131"/>
    </row>
    <row r="32" spans="1:7" s="22" customFormat="1" x14ac:dyDescent="0.35">
      <c r="A32" s="146">
        <v>17</v>
      </c>
      <c r="B32" s="165" t="s">
        <v>893</v>
      </c>
      <c r="C32" s="159"/>
      <c r="D32" s="148">
        <v>0</v>
      </c>
      <c r="G32" s="131"/>
    </row>
    <row r="33" spans="1:7" s="22" customFormat="1" x14ac:dyDescent="0.35">
      <c r="A33" s="146">
        <v>18</v>
      </c>
      <c r="B33" s="165" t="s">
        <v>894</v>
      </c>
      <c r="C33" s="159"/>
      <c r="D33" s="148">
        <v>0</v>
      </c>
      <c r="G33" s="131"/>
    </row>
    <row r="34" spans="1:7" s="22" customFormat="1" x14ac:dyDescent="0.35">
      <c r="A34" s="146">
        <v>19</v>
      </c>
      <c r="B34" s="165" t="s">
        <v>895</v>
      </c>
      <c r="C34" s="159"/>
      <c r="D34" s="148">
        <v>0</v>
      </c>
      <c r="G34" s="131"/>
    </row>
    <row r="35" spans="1:7" s="22" customFormat="1" x14ac:dyDescent="0.35">
      <c r="A35" s="146">
        <v>20</v>
      </c>
      <c r="B35" s="537" t="s">
        <v>896</v>
      </c>
      <c r="C35" s="539"/>
      <c r="D35" s="151">
        <f>SUM(D30:D34)</f>
        <v>366006</v>
      </c>
      <c r="G35" s="131"/>
    </row>
    <row r="36" spans="1:7" s="22" customFormat="1" x14ac:dyDescent="0.35">
      <c r="A36" s="152"/>
      <c r="B36" s="153"/>
      <c r="C36" s="153"/>
      <c r="D36" s="155"/>
      <c r="G36" s="131"/>
    </row>
    <row r="37" spans="1:7" s="22" customFormat="1" x14ac:dyDescent="0.35">
      <c r="A37" s="540" t="s">
        <v>897</v>
      </c>
      <c r="B37" s="541"/>
      <c r="C37" s="541"/>
      <c r="D37" s="542"/>
      <c r="G37" s="131"/>
    </row>
    <row r="38" spans="1:7" s="22" customFormat="1" x14ac:dyDescent="0.35">
      <c r="A38" s="146">
        <v>21</v>
      </c>
      <c r="B38" s="531" t="s">
        <v>304</v>
      </c>
      <c r="C38" s="532"/>
      <c r="D38" s="148">
        <v>2468841</v>
      </c>
      <c r="G38" s="131"/>
    </row>
    <row r="39" spans="1:7" s="22" customFormat="1" x14ac:dyDescent="0.35">
      <c r="A39" s="146">
        <v>22</v>
      </c>
      <c r="B39" s="531" t="s">
        <v>898</v>
      </c>
      <c r="C39" s="532"/>
      <c r="D39" s="148">
        <v>0</v>
      </c>
      <c r="G39" s="131"/>
    </row>
    <row r="40" spans="1:7" s="22" customFormat="1" x14ac:dyDescent="0.35">
      <c r="A40" s="146">
        <v>23</v>
      </c>
      <c r="B40" s="531" t="s">
        <v>899</v>
      </c>
      <c r="C40" s="532"/>
      <c r="D40" s="148">
        <v>2764595</v>
      </c>
      <c r="G40" s="131"/>
    </row>
    <row r="41" spans="1:7" s="22" customFormat="1" x14ac:dyDescent="0.35">
      <c r="A41" s="146">
        <v>24</v>
      </c>
      <c r="B41" s="537" t="s">
        <v>900</v>
      </c>
      <c r="C41" s="538"/>
      <c r="D41" s="151">
        <f>SUM(D38:D40)</f>
        <v>5233436</v>
      </c>
      <c r="G41" s="131"/>
    </row>
    <row r="42" spans="1:7" s="22" customFormat="1" x14ac:dyDescent="0.35">
      <c r="A42" s="152"/>
      <c r="B42" s="153"/>
      <c r="C42" s="153"/>
      <c r="D42" s="155"/>
      <c r="G42" s="131"/>
    </row>
    <row r="43" spans="1:7" s="63" customFormat="1" ht="15.5" x14ac:dyDescent="0.35">
      <c r="A43" s="146">
        <v>25</v>
      </c>
      <c r="B43" s="534" t="s">
        <v>901</v>
      </c>
      <c r="C43" s="536"/>
      <c r="D43" s="161">
        <f>SUM(D19,D27,D35,D41)</f>
        <v>149151219.44</v>
      </c>
      <c r="G43" s="132"/>
    </row>
    <row r="44" spans="1:7" s="22" customFormat="1" x14ac:dyDescent="0.35">
      <c r="A44" s="162"/>
      <c r="B44" s="162"/>
      <c r="C44" s="162"/>
      <c r="D44" s="162"/>
      <c r="G44" s="131"/>
    </row>
    <row r="45" spans="1:7" s="22" customFormat="1" x14ac:dyDescent="0.35">
      <c r="A45" s="146">
        <v>26</v>
      </c>
      <c r="B45" s="530" t="s">
        <v>902</v>
      </c>
      <c r="C45" s="530"/>
      <c r="D45" s="148">
        <v>149151219</v>
      </c>
      <c r="G45" s="131"/>
    </row>
    <row r="46" spans="1:7" s="22" customFormat="1" ht="15.5" x14ac:dyDescent="0.35">
      <c r="A46" s="146">
        <v>27</v>
      </c>
      <c r="B46" s="530" t="s">
        <v>10</v>
      </c>
      <c r="C46" s="530"/>
      <c r="D46" s="161">
        <f>D43-D45</f>
        <v>0.43999999761581421</v>
      </c>
      <c r="E46" s="33" t="str">
        <f>IF(ABS(D46)&gt;1,"Error - This variance should be 0.","")</f>
        <v/>
      </c>
      <c r="G46" s="131"/>
    </row>
  </sheetData>
  <sheetProtection sheet="1" objects="1" scenarios="1"/>
  <customSheetViews>
    <customSheetView guid="{17302493-42B1-4877-869E-E424A97AE78B}">
      <selection activeCell="G21" sqref="G21"/>
      <pageMargins left="0.7" right="0.7" top="0.75" bottom="0.75" header="0.3" footer="0.3"/>
    </customSheetView>
    <customSheetView guid="{5C0BA3A5-859C-46C2-B685-44D9A90065E4}">
      <selection activeCell="G21" sqref="G21"/>
      <pageMargins left="0.7" right="0.7" top="0.75" bottom="0.75" header="0.3" footer="0.3"/>
    </customSheetView>
  </customSheetViews>
  <mergeCells count="20">
    <mergeCell ref="B35:C35"/>
    <mergeCell ref="B9:C9"/>
    <mergeCell ref="A11:D11"/>
    <mergeCell ref="B12:C12"/>
    <mergeCell ref="B13:C13"/>
    <mergeCell ref="B18:C18"/>
    <mergeCell ref="B19:C19"/>
    <mergeCell ref="A21:D21"/>
    <mergeCell ref="B22:C22"/>
    <mergeCell ref="B27:C27"/>
    <mergeCell ref="A29:D29"/>
    <mergeCell ref="B30:C30"/>
    <mergeCell ref="B45:C45"/>
    <mergeCell ref="B46:C46"/>
    <mergeCell ref="A37:D37"/>
    <mergeCell ref="B38:C38"/>
    <mergeCell ref="B39:C39"/>
    <mergeCell ref="B40:C40"/>
    <mergeCell ref="B41:C41"/>
    <mergeCell ref="B43:C4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dimension ref="A1:AE104"/>
  <sheetViews>
    <sheetView topLeftCell="B82" zoomScale="80" workbookViewId="0">
      <selection activeCell="N49" sqref="B49:N49"/>
    </sheetView>
  </sheetViews>
  <sheetFormatPr defaultColWidth="9.1796875" defaultRowHeight="14.5" x14ac:dyDescent="0.35"/>
  <cols>
    <col min="2" max="2" width="15.81640625" customWidth="1"/>
    <col min="3" max="3" width="43.81640625" customWidth="1"/>
    <col min="4" max="4" width="12.26953125" customWidth="1"/>
    <col min="5" max="5" width="15" style="253" customWidth="1"/>
    <col min="6" max="6" width="11.54296875" style="48" customWidth="1"/>
    <col min="7" max="7" width="20.26953125" customWidth="1"/>
    <col min="8" max="8" width="20.26953125" style="253" customWidth="1"/>
    <col min="9" max="9" width="20.26953125" style="48" customWidth="1"/>
    <col min="10" max="10" width="20.26953125" customWidth="1"/>
    <col min="11" max="11" width="20.26953125" style="253" customWidth="1"/>
    <col min="12" max="12" width="20.26953125" style="48" customWidth="1"/>
    <col min="13" max="13" width="20.26953125" customWidth="1"/>
    <col min="14" max="14" width="20.26953125" style="253" customWidth="1"/>
    <col min="15" max="15" width="20.26953125" style="48" customWidth="1"/>
    <col min="16" max="16" width="20.26953125" customWidth="1"/>
    <col min="17" max="17" width="20.26953125" style="253" customWidth="1"/>
    <col min="18" max="18" width="20.26953125" style="48" customWidth="1"/>
    <col min="19" max="19" width="20.26953125" customWidth="1"/>
    <col min="20" max="20" width="20.26953125" style="253" customWidth="1"/>
    <col min="21" max="21" width="20.26953125" style="48" customWidth="1"/>
    <col min="22" max="22" width="20.26953125" customWidth="1"/>
    <col min="23" max="23" width="20.26953125" style="253" customWidth="1"/>
    <col min="24" max="24" width="20.26953125" style="48" customWidth="1"/>
    <col min="25" max="25" width="33.26953125" style="48" customWidth="1"/>
    <col min="26" max="26" width="30.26953125" customWidth="1"/>
    <col min="27" max="27" width="23.54296875" customWidth="1"/>
  </cols>
  <sheetData>
    <row r="1" spans="1:31" ht="26" x14ac:dyDescent="0.6">
      <c r="A1" s="273" t="s">
        <v>777</v>
      </c>
      <c r="F1" s="53"/>
    </row>
    <row r="2" spans="1:31" ht="21" x14ac:dyDescent="0.5">
      <c r="A2" s="2" t="s">
        <v>775</v>
      </c>
      <c r="Z2" s="40"/>
      <c r="AA2" s="40"/>
      <c r="AB2" s="40"/>
      <c r="AC2" s="40"/>
      <c r="AD2" s="40"/>
      <c r="AE2" s="40"/>
    </row>
    <row r="3" spans="1:31" ht="25" customHeight="1" x14ac:dyDescent="0.5">
      <c r="A3" s="5" t="s">
        <v>545</v>
      </c>
      <c r="Y3" s="122"/>
      <c r="Z3" s="122"/>
      <c r="AA3" s="122"/>
      <c r="AB3" s="40"/>
      <c r="AC3" s="40"/>
      <c r="AD3" s="40"/>
      <c r="AE3" s="40"/>
    </row>
    <row r="4" spans="1:31" ht="25" customHeight="1" x14ac:dyDescent="0.5">
      <c r="A4" s="235" t="s">
        <v>498</v>
      </c>
      <c r="Y4" s="122"/>
      <c r="Z4" s="122"/>
      <c r="AA4" s="122"/>
      <c r="AB4" s="40"/>
      <c r="AC4" s="40"/>
      <c r="AD4" s="40"/>
      <c r="AE4" s="40"/>
    </row>
    <row r="5" spans="1:31" x14ac:dyDescent="0.35">
      <c r="J5" s="36"/>
      <c r="K5" s="261"/>
      <c r="L5" s="36"/>
      <c r="Y5" s="40"/>
      <c r="Z5" s="40"/>
      <c r="AA5" s="40"/>
      <c r="AB5" s="40"/>
      <c r="AC5" s="40"/>
      <c r="AD5" s="40"/>
      <c r="AE5" s="40"/>
    </row>
    <row r="6" spans="1:31" x14ac:dyDescent="0.35">
      <c r="A6" s="1" t="s">
        <v>776</v>
      </c>
      <c r="C6" s="414" t="str">
        <f>Results!$C$6</f>
        <v>WellPower</v>
      </c>
      <c r="J6" s="48"/>
      <c r="Y6" s="40"/>
      <c r="Z6" s="40"/>
      <c r="AA6" s="40"/>
      <c r="AB6" s="40"/>
      <c r="AC6" s="40"/>
      <c r="AD6" s="40"/>
      <c r="AE6" s="40"/>
    </row>
    <row r="7" spans="1:31" x14ac:dyDescent="0.35">
      <c r="A7" s="1" t="s">
        <v>0</v>
      </c>
      <c r="C7" s="35">
        <f>Results!$C$7</f>
        <v>45473</v>
      </c>
      <c r="J7" s="40"/>
      <c r="K7" s="252"/>
      <c r="L7" s="40"/>
      <c r="Y7" s="40"/>
      <c r="Z7" s="40"/>
      <c r="AA7" s="40"/>
      <c r="AB7" s="40"/>
      <c r="AC7" s="40"/>
      <c r="AD7" s="40"/>
      <c r="AE7" s="40"/>
    </row>
    <row r="8" spans="1:31" s="1" customFormat="1" x14ac:dyDescent="0.35">
      <c r="E8" s="252"/>
      <c r="F8" s="40"/>
      <c r="G8"/>
      <c r="H8" s="253"/>
      <c r="I8" s="48"/>
      <c r="J8"/>
      <c r="K8" s="253"/>
      <c r="L8" s="48"/>
      <c r="M8" s="48"/>
      <c r="N8" s="253"/>
      <c r="O8" s="48"/>
      <c r="P8"/>
      <c r="Q8" s="253"/>
      <c r="R8" s="48"/>
      <c r="T8" s="252"/>
      <c r="U8" s="40"/>
      <c r="W8" s="252"/>
      <c r="X8" s="40"/>
      <c r="Y8" s="40"/>
      <c r="Z8" s="40"/>
      <c r="AA8" s="40"/>
      <c r="AB8" s="40"/>
      <c r="AC8" s="40"/>
      <c r="AD8" s="40"/>
      <c r="AE8" s="40"/>
    </row>
    <row r="9" spans="1:31" x14ac:dyDescent="0.35">
      <c r="D9" s="23">
        <v>1</v>
      </c>
      <c r="E9" s="248" t="s">
        <v>546</v>
      </c>
      <c r="F9" s="249" t="s">
        <v>547</v>
      </c>
      <c r="G9" s="23">
        <v>2</v>
      </c>
      <c r="H9" s="248" t="s">
        <v>550</v>
      </c>
      <c r="I9" s="249" t="s">
        <v>551</v>
      </c>
      <c r="J9" s="23">
        <v>3</v>
      </c>
      <c r="K9" s="248" t="s">
        <v>554</v>
      </c>
      <c r="L9" s="249" t="s">
        <v>555</v>
      </c>
      <c r="M9" s="23">
        <v>4</v>
      </c>
      <c r="N9" s="248" t="s">
        <v>558</v>
      </c>
      <c r="O9" s="249" t="s">
        <v>559</v>
      </c>
      <c r="P9" s="23">
        <v>5</v>
      </c>
      <c r="Q9" s="248" t="s">
        <v>560</v>
      </c>
      <c r="R9" s="249" t="s">
        <v>561</v>
      </c>
      <c r="S9" s="23">
        <v>6</v>
      </c>
      <c r="T9" s="248" t="s">
        <v>564</v>
      </c>
      <c r="U9" s="249" t="s">
        <v>565</v>
      </c>
      <c r="V9" s="23">
        <v>7</v>
      </c>
      <c r="W9" s="248" t="s">
        <v>568</v>
      </c>
      <c r="X9" s="249" t="s">
        <v>569</v>
      </c>
      <c r="Y9" s="40"/>
      <c r="Z9" s="40"/>
      <c r="AA9" s="40"/>
      <c r="AB9" s="40"/>
      <c r="AC9" s="40"/>
      <c r="AD9" s="40"/>
      <c r="AE9" s="40"/>
    </row>
    <row r="10" spans="1:31" s="6" customFormat="1" ht="116" x14ac:dyDescent="0.35">
      <c r="A10" s="97"/>
      <c r="B10" s="544" t="s">
        <v>1</v>
      </c>
      <c r="C10" s="544"/>
      <c r="D10" s="142" t="s">
        <v>7</v>
      </c>
      <c r="E10" s="250" t="s">
        <v>548</v>
      </c>
      <c r="F10" s="251" t="s">
        <v>549</v>
      </c>
      <c r="G10" s="142" t="s">
        <v>6</v>
      </c>
      <c r="H10" s="250" t="s">
        <v>552</v>
      </c>
      <c r="I10" s="251" t="s">
        <v>553</v>
      </c>
      <c r="J10" s="142" t="s">
        <v>485</v>
      </c>
      <c r="K10" s="250" t="s">
        <v>556</v>
      </c>
      <c r="L10" s="251" t="s">
        <v>557</v>
      </c>
      <c r="M10" s="142" t="s">
        <v>779</v>
      </c>
      <c r="N10" s="250" t="s">
        <v>780</v>
      </c>
      <c r="O10" s="251" t="s">
        <v>781</v>
      </c>
      <c r="P10" s="142" t="s">
        <v>486</v>
      </c>
      <c r="Q10" s="250" t="s">
        <v>562</v>
      </c>
      <c r="R10" s="251" t="s">
        <v>563</v>
      </c>
      <c r="S10" s="142" t="s">
        <v>9</v>
      </c>
      <c r="T10" s="250" t="s">
        <v>566</v>
      </c>
      <c r="U10" s="251" t="s">
        <v>567</v>
      </c>
      <c r="V10" s="142" t="s">
        <v>8</v>
      </c>
      <c r="W10" s="250" t="s">
        <v>570</v>
      </c>
      <c r="X10" s="251" t="s">
        <v>571</v>
      </c>
      <c r="Y10" s="121"/>
      <c r="Z10" s="121"/>
      <c r="AA10" s="121"/>
      <c r="AB10" s="121"/>
      <c r="AC10" s="121"/>
      <c r="AD10" s="121"/>
      <c r="AE10" s="121"/>
    </row>
    <row r="11" spans="1:31" s="6" customFormat="1" x14ac:dyDescent="0.35">
      <c r="A11" s="97"/>
      <c r="B11" s="143"/>
      <c r="C11" s="144"/>
      <c r="D11" s="145"/>
      <c r="E11" s="254"/>
      <c r="F11" s="263"/>
      <c r="G11" s="145"/>
      <c r="H11" s="254"/>
      <c r="I11" s="263"/>
      <c r="J11" s="145"/>
      <c r="K11" s="254"/>
      <c r="L11" s="263"/>
      <c r="M11" s="145"/>
      <c r="N11" s="254"/>
      <c r="O11" s="263"/>
      <c r="P11" s="145"/>
      <c r="Q11" s="254"/>
      <c r="R11" s="263"/>
      <c r="S11" s="145"/>
      <c r="T11" s="254"/>
      <c r="U11" s="263"/>
      <c r="V11" s="145"/>
      <c r="W11" s="254"/>
      <c r="X11" s="263"/>
      <c r="Y11" s="121"/>
      <c r="Z11" s="121"/>
      <c r="AA11" s="121"/>
      <c r="AB11" s="121"/>
      <c r="AC11" s="121"/>
      <c r="AD11" s="121"/>
      <c r="AE11" s="121"/>
    </row>
    <row r="12" spans="1:31" s="22" customFormat="1" x14ac:dyDescent="0.35">
      <c r="A12" s="540" t="s">
        <v>280</v>
      </c>
      <c r="B12" s="541"/>
      <c r="C12" s="541"/>
      <c r="D12" s="541"/>
      <c r="E12" s="541"/>
      <c r="F12" s="541"/>
      <c r="G12" s="541"/>
      <c r="H12" s="541"/>
      <c r="I12" s="541"/>
      <c r="J12" s="541"/>
      <c r="K12" s="541"/>
      <c r="L12" s="541"/>
      <c r="M12" s="541"/>
      <c r="N12" s="541"/>
      <c r="O12" s="541"/>
      <c r="P12" s="541"/>
      <c r="Q12" s="541"/>
      <c r="R12" s="541"/>
      <c r="S12" s="541"/>
      <c r="T12" s="541"/>
      <c r="U12" s="541"/>
      <c r="V12" s="541"/>
      <c r="W12" s="541"/>
      <c r="X12" s="542"/>
      <c r="Y12" s="120"/>
      <c r="Z12" s="120"/>
      <c r="AA12" s="120"/>
      <c r="AB12" s="120"/>
      <c r="AC12" s="120"/>
      <c r="AD12" s="120"/>
      <c r="AE12" s="120"/>
    </row>
    <row r="13" spans="1:31" s="22" customFormat="1" x14ac:dyDescent="0.35">
      <c r="A13" s="146">
        <v>1</v>
      </c>
      <c r="B13" s="531" t="s">
        <v>458</v>
      </c>
      <c r="C13" s="533"/>
      <c r="D13" s="147">
        <f>'As-Filed Schedule 1'!D12</f>
        <v>11.637499999999999</v>
      </c>
      <c r="E13" s="255">
        <f>SUMIFS(Adjustments!$G:$G,Adjustments!$H:$H,"1",Adjustments!$I:$I,$D$9,Adjustments!$J:$J,$A13)</f>
        <v>0</v>
      </c>
      <c r="F13" s="264">
        <f>SUM(D13:E13)</f>
        <v>11.637499999999999</v>
      </c>
      <c r="G13" s="148">
        <f>'As-Filed Schedule 1'!E12</f>
        <v>0</v>
      </c>
      <c r="H13" s="255">
        <f>SUMIFS(Adjustments!$G:$G,Adjustments!$H:$H,"1",Adjustments!$I:$I,$G$9,Adjustments!$J:$J,$A13)</f>
        <v>0</v>
      </c>
      <c r="I13" s="266">
        <f>SUM(G13:H13)</f>
        <v>0</v>
      </c>
      <c r="J13" s="148">
        <f>'As-Filed Schedule 1'!F12</f>
        <v>3429119.4541393481</v>
      </c>
      <c r="K13" s="255">
        <f>SUMIFS(Adjustments!$G:$G,Adjustments!$H:$H,"1",Adjustments!$I:$I,$J$9,Adjustments!$J:$J,$A13)</f>
        <v>1222</v>
      </c>
      <c r="L13" s="266">
        <f>SUM(J13:K13)</f>
        <v>3430341.4541393481</v>
      </c>
      <c r="M13" s="148">
        <f>'As-Filed Schedule 1'!G12</f>
        <v>23677.013713466651</v>
      </c>
      <c r="N13" s="255">
        <f>SUMIFS(Adjustments!$G:$G,Adjustments!$H:$H,"1",Adjustments!$I:$I,$M$9,Adjustments!$J:$J,$A13)</f>
        <v>0</v>
      </c>
      <c r="O13" s="266">
        <f t="shared" ref="O13:O15" si="0">SUM(M13:N13)</f>
        <v>23677.013713466651</v>
      </c>
      <c r="P13" s="148">
        <f>'As-Filed Schedule 1'!H12</f>
        <v>31623.811143704348</v>
      </c>
      <c r="Q13" s="255">
        <f>SUMIFS(Adjustments!$G:$G,Adjustments!$H:$H,"1",Adjustments!$I:$I,$P$9,Adjustments!$J:$J,$A13)</f>
        <v>-1222</v>
      </c>
      <c r="R13" s="266">
        <f>SUM(P13:Q13)</f>
        <v>30401.811143704348</v>
      </c>
      <c r="S13" s="148">
        <f>'As-Filed Schedule 1'!I12</f>
        <v>0</v>
      </c>
      <c r="T13" s="255">
        <f>SUMIFS(Adjustments!$G:$G,Adjustments!$H:$H,"1",Adjustments!$I:$I,$S$9,Adjustments!$J:$J,$A13)</f>
        <v>0</v>
      </c>
      <c r="U13" s="266">
        <f t="shared" ref="U13:U15" si="1">SUM(S13:T13)</f>
        <v>0</v>
      </c>
      <c r="V13" s="151">
        <f>SUM(D13,G13,J13,M13,P13,S13)</f>
        <v>3484431.916496519</v>
      </c>
      <c r="W13" s="258">
        <f>SUM(E13,H13,K13,N13,Q13,T13)</f>
        <v>0</v>
      </c>
      <c r="X13" s="267">
        <f>SUM(F13,I13,L13,O13,R13,U13)</f>
        <v>3484431.916496519</v>
      </c>
      <c r="Y13" s="131"/>
    </row>
    <row r="14" spans="1:31" s="22" customFormat="1" x14ac:dyDescent="0.35">
      <c r="A14" s="146">
        <v>2</v>
      </c>
      <c r="B14" s="531" t="s">
        <v>291</v>
      </c>
      <c r="C14" s="533"/>
      <c r="D14" s="147">
        <f>'As-Filed Schedule 1'!D13</f>
        <v>250.90831250000008</v>
      </c>
      <c r="E14" s="255">
        <f>SUMIFS(Adjustments!$G:$G,Adjustments!$H:$H,"1",Adjustments!$I:$I,$D$9,Adjustments!$J:$J,$A14)</f>
        <v>0</v>
      </c>
      <c r="F14" s="264">
        <f>SUM(D14:E14)</f>
        <v>250.90831250000008</v>
      </c>
      <c r="G14" s="148">
        <f>'As-Filed Schedule 1'!E13</f>
        <v>143685.39362843984</v>
      </c>
      <c r="H14" s="255">
        <f>SUMIFS(Adjustments!$G:$G,Adjustments!$H:$H,"1",Adjustments!$I:$I,$G$9,Adjustments!$J:$J,$A14)</f>
        <v>0</v>
      </c>
      <c r="I14" s="266">
        <f t="shared" ref="I14:I15" si="2">SUM(G14:H14)</f>
        <v>143685.39362843984</v>
      </c>
      <c r="J14" s="148">
        <f>'As-Filed Schedule 1'!F13</f>
        <v>20328637.951565336</v>
      </c>
      <c r="K14" s="255">
        <f>SUMIFS(Adjustments!$G:$G,Adjustments!$H:$H,"1",Adjustments!$I:$I,$J$9,Adjustments!$J:$J,$A14)</f>
        <v>1112</v>
      </c>
      <c r="L14" s="266">
        <f t="shared" ref="L14:L15" si="3">SUM(J14:K14)</f>
        <v>20329749.951565336</v>
      </c>
      <c r="M14" s="148">
        <f>'As-Filed Schedule 1'!G13</f>
        <v>2846999.0507566989</v>
      </c>
      <c r="N14" s="255">
        <f>SUMIFS(Adjustments!$G:$G,Adjustments!$H:$H,"1",Adjustments!$I:$I,$M$9,Adjustments!$J:$J,$A14)</f>
        <v>0</v>
      </c>
      <c r="O14" s="266">
        <f t="shared" si="0"/>
        <v>2846999.0507566989</v>
      </c>
      <c r="P14" s="148">
        <f>'As-Filed Schedule 1'!H13</f>
        <v>2305809.7371633584</v>
      </c>
      <c r="Q14" s="255">
        <f>SUMIFS(Adjustments!$G:$G,Adjustments!$H:$H,"1",Adjustments!$I:$I,$P$9,Adjustments!$J:$J,$A14)</f>
        <v>-1112</v>
      </c>
      <c r="R14" s="266">
        <f t="shared" ref="R14:R15" si="4">SUM(P14:Q14)</f>
        <v>2304697.7371633584</v>
      </c>
      <c r="S14" s="148">
        <f>'As-Filed Schedule 1'!I13</f>
        <v>0</v>
      </c>
      <c r="T14" s="255">
        <f>SUMIFS(Adjustments!$G:$G,Adjustments!$H:$H,"1",Adjustments!$I:$I,$S$9,Adjustments!$J:$J,$A14)</f>
        <v>0</v>
      </c>
      <c r="U14" s="266">
        <f t="shared" si="1"/>
        <v>0</v>
      </c>
      <c r="V14" s="151">
        <f t="shared" ref="V14:V15" si="5">SUM(D14,G14,J14,M14,P14,S14)</f>
        <v>25625383.041426335</v>
      </c>
      <c r="W14" s="258">
        <f t="shared" ref="W14:W15" si="6">SUM(E14,H14,K14,N14,Q14,T14)</f>
        <v>0</v>
      </c>
      <c r="X14" s="267">
        <f t="shared" ref="X14:X15" si="7">SUM(F14,I14,L14,O14,R14,U14)</f>
        <v>25625383.041426335</v>
      </c>
      <c r="Y14" s="131"/>
    </row>
    <row r="15" spans="1:31" s="22" customFormat="1" x14ac:dyDescent="0.35">
      <c r="A15" s="146">
        <v>3</v>
      </c>
      <c r="B15" s="531" t="s">
        <v>301</v>
      </c>
      <c r="C15" s="533"/>
      <c r="D15" s="147">
        <f>'As-Filed Schedule 1'!D14</f>
        <v>516.80743749999999</v>
      </c>
      <c r="E15" s="255">
        <f>SUMIFS(Adjustments!$G:$G,Adjustments!$H:$H,"1",Adjustments!$I:$I,$D$9,Adjustments!$J:$J,$A15)</f>
        <v>0</v>
      </c>
      <c r="F15" s="264">
        <f>SUM(D15:E15)</f>
        <v>516.80743749999999</v>
      </c>
      <c r="G15" s="148">
        <f>'As-Filed Schedule 1'!E14</f>
        <v>1207455.0468203807</v>
      </c>
      <c r="H15" s="255">
        <f>SUMIFS(Adjustments!$G:$G,Adjustments!$H:$H,"1",Adjustments!$I:$I,$G$9,Adjustments!$J:$J,$A15)</f>
        <v>0</v>
      </c>
      <c r="I15" s="266">
        <f t="shared" si="2"/>
        <v>1207455.0468203807</v>
      </c>
      <c r="J15" s="148">
        <f>'As-Filed Schedule 1'!F14</f>
        <v>21200477.157702178</v>
      </c>
      <c r="K15" s="255">
        <f>SUMIFS(Adjustments!$G:$G,Adjustments!$H:$H,"1",Adjustments!$I:$I,$J$9,Adjustments!$J:$J,$A15)</f>
        <v>144732</v>
      </c>
      <c r="L15" s="266">
        <f t="shared" si="3"/>
        <v>21345209.157702178</v>
      </c>
      <c r="M15" s="148">
        <f>'As-Filed Schedule 1'!G14</f>
        <v>7532185.9308219142</v>
      </c>
      <c r="N15" s="255">
        <f>SUMIFS(Adjustments!$G:$G,Adjustments!$H:$H,"1",Adjustments!$I:$I,$M$9,Adjustments!$J:$J,$A15)</f>
        <v>0</v>
      </c>
      <c r="O15" s="266">
        <f t="shared" si="0"/>
        <v>7532185.9308219142</v>
      </c>
      <c r="P15" s="148">
        <f>'As-Filed Schedule 1'!H14</f>
        <v>2154362.967304145</v>
      </c>
      <c r="Q15" s="255">
        <f>SUMIFS(Adjustments!$G:$G,Adjustments!$H:$H,"1",Adjustments!$I:$I,$P$9,Adjustments!$J:$J,$A15)</f>
        <v>-144732</v>
      </c>
      <c r="R15" s="266">
        <f t="shared" si="4"/>
        <v>2009630.967304145</v>
      </c>
      <c r="S15" s="148">
        <f>'As-Filed Schedule 1'!I14</f>
        <v>0</v>
      </c>
      <c r="T15" s="255">
        <f>SUMIFS(Adjustments!$G:$G,Adjustments!$H:$H,"1",Adjustments!$I:$I,$S$9,Adjustments!$J:$J,$A15)</f>
        <v>0</v>
      </c>
      <c r="U15" s="266">
        <f t="shared" si="1"/>
        <v>0</v>
      </c>
      <c r="V15" s="151">
        <f t="shared" si="5"/>
        <v>32094997.910086118</v>
      </c>
      <c r="W15" s="258">
        <f t="shared" si="6"/>
        <v>0</v>
      </c>
      <c r="X15" s="267">
        <f t="shared" si="7"/>
        <v>32094997.910086118</v>
      </c>
      <c r="Y15" s="131"/>
    </row>
    <row r="16" spans="1:31" s="22" customFormat="1" x14ac:dyDescent="0.35">
      <c r="A16" s="146">
        <v>4</v>
      </c>
      <c r="B16" s="537" t="s">
        <v>290</v>
      </c>
      <c r="C16" s="539"/>
      <c r="D16" s="150">
        <f>SUM(D13:D15)</f>
        <v>779.35325000000012</v>
      </c>
      <c r="E16" s="150">
        <f t="shared" ref="E16:F16" si="8">SUM(E13:E15)</f>
        <v>0</v>
      </c>
      <c r="F16" s="150">
        <f t="shared" si="8"/>
        <v>779.35325000000012</v>
      </c>
      <c r="G16" s="151">
        <f>SUM(G13:G15)</f>
        <v>1351140.4404488206</v>
      </c>
      <c r="H16" s="151">
        <f t="shared" ref="H16:U16" si="9">SUM(H13:H15)</f>
        <v>0</v>
      </c>
      <c r="I16" s="151">
        <f t="shared" si="9"/>
        <v>1351140.4404488206</v>
      </c>
      <c r="J16" s="151">
        <f t="shared" si="9"/>
        <v>44958234.563406862</v>
      </c>
      <c r="K16" s="151">
        <f t="shared" si="9"/>
        <v>147066</v>
      </c>
      <c r="L16" s="151">
        <f t="shared" si="9"/>
        <v>45105300.563406862</v>
      </c>
      <c r="M16" s="151">
        <f t="shared" si="9"/>
        <v>10402861.995292079</v>
      </c>
      <c r="N16" s="151">
        <f t="shared" si="9"/>
        <v>0</v>
      </c>
      <c r="O16" s="151">
        <f t="shared" si="9"/>
        <v>10402861.995292079</v>
      </c>
      <c r="P16" s="151">
        <f t="shared" si="9"/>
        <v>4491796.5156112071</v>
      </c>
      <c r="Q16" s="151">
        <f t="shared" si="9"/>
        <v>-147066</v>
      </c>
      <c r="R16" s="151">
        <f t="shared" si="9"/>
        <v>4344730.5156112071</v>
      </c>
      <c r="S16" s="151">
        <f t="shared" si="9"/>
        <v>0</v>
      </c>
      <c r="T16" s="151">
        <f t="shared" si="9"/>
        <v>0</v>
      </c>
      <c r="U16" s="151">
        <f t="shared" si="9"/>
        <v>0</v>
      </c>
      <c r="V16" s="151">
        <f>SUM(D16,G16,J16,M16,P16,S16)</f>
        <v>61204812.868008964</v>
      </c>
      <c r="W16" s="258">
        <f>SUM(E16,H16,K16,N16,Q16,T16)</f>
        <v>0</v>
      </c>
      <c r="X16" s="267">
        <f>SUM(F16,I16,L16,O16,R16,U16)</f>
        <v>61204812.868008964</v>
      </c>
      <c r="Y16" s="131"/>
    </row>
    <row r="17" spans="1:25" s="22" customFormat="1" x14ac:dyDescent="0.35">
      <c r="A17" s="152"/>
      <c r="B17" s="153"/>
      <c r="C17" s="153"/>
      <c r="D17" s="154"/>
      <c r="E17" s="256"/>
      <c r="F17" s="265"/>
      <c r="G17" s="155"/>
      <c r="H17" s="259"/>
      <c r="I17" s="268"/>
      <c r="J17" s="155"/>
      <c r="K17" s="259"/>
      <c r="L17" s="268"/>
      <c r="M17" s="155"/>
      <c r="N17" s="259"/>
      <c r="O17" s="268"/>
      <c r="P17" s="155"/>
      <c r="Q17" s="259"/>
      <c r="R17" s="268"/>
      <c r="S17" s="155"/>
      <c r="T17" s="259"/>
      <c r="U17" s="268"/>
      <c r="V17" s="155"/>
      <c r="W17" s="259"/>
      <c r="X17" s="268"/>
      <c r="Y17" s="131"/>
    </row>
    <row r="18" spans="1:25" s="22" customFormat="1" x14ac:dyDescent="0.35">
      <c r="A18" s="540" t="s">
        <v>281</v>
      </c>
      <c r="B18" s="541"/>
      <c r="C18" s="541"/>
      <c r="D18" s="541"/>
      <c r="E18" s="541"/>
      <c r="F18" s="541"/>
      <c r="G18" s="541"/>
      <c r="H18" s="541"/>
      <c r="I18" s="541"/>
      <c r="J18" s="541"/>
      <c r="K18" s="541"/>
      <c r="L18" s="541"/>
      <c r="M18" s="541"/>
      <c r="N18" s="541"/>
      <c r="O18" s="541"/>
      <c r="P18" s="541"/>
      <c r="Q18" s="541"/>
      <c r="R18" s="541"/>
      <c r="S18" s="541"/>
      <c r="T18" s="541"/>
      <c r="U18" s="541"/>
      <c r="V18" s="541"/>
      <c r="W18" s="541"/>
      <c r="X18" s="542"/>
      <c r="Y18" s="131"/>
    </row>
    <row r="19" spans="1:25" s="22" customFormat="1" x14ac:dyDescent="0.35">
      <c r="A19" s="146">
        <v>5</v>
      </c>
      <c r="B19" s="531" t="s">
        <v>221</v>
      </c>
      <c r="C19" s="533"/>
      <c r="D19" s="147">
        <f>'As-Filed Schedule 1'!D18</f>
        <v>10</v>
      </c>
      <c r="E19" s="255">
        <f>SUMIFS(Adjustments!$G:$G,Adjustments!$H:$H,"1",Adjustments!$I:$I,$D$9,Adjustments!$J:$J,$A19)</f>
        <v>0</v>
      </c>
      <c r="F19" s="264">
        <f>SUM(D19:E19)</f>
        <v>10</v>
      </c>
      <c r="G19" s="148">
        <f>'As-Filed Schedule 1'!E18</f>
        <v>1707777.5136831233</v>
      </c>
      <c r="H19" s="255">
        <f>SUMIFS(Adjustments!$G:$G,Adjustments!$H:$H,"1",Adjustments!$I:$I,$G$9,Adjustments!$J:$J,$A19)</f>
        <v>0</v>
      </c>
      <c r="I19" s="266">
        <f t="shared" ref="I19:I20" si="10">SUM(G19:H19)</f>
        <v>1707777.5136831233</v>
      </c>
      <c r="J19" s="148">
        <f>'As-Filed Schedule 1'!F18</f>
        <v>1024712.4278722252</v>
      </c>
      <c r="K19" s="255">
        <f>SUMIFS(Adjustments!$G:$G,Adjustments!$H:$H,"1",Adjustments!$I:$I,$J$9,Adjustments!$J:$J,$A19)</f>
        <v>2048</v>
      </c>
      <c r="L19" s="266">
        <f t="shared" ref="L19:L20" si="11">SUM(J19:K19)</f>
        <v>1026760.4278722252</v>
      </c>
      <c r="M19" s="148">
        <f>'As-Filed Schedule 1'!G18</f>
        <v>76880.741342946538</v>
      </c>
      <c r="N19" s="255">
        <f>SUMIFS(Adjustments!$G:$G,Adjustments!$H:$H,"1",Adjustments!$I:$I,$M$9,Adjustments!$J:$J,$A19)</f>
        <v>0</v>
      </c>
      <c r="O19" s="266">
        <f t="shared" ref="O19:O20" si="12">SUM(M19:N19)</f>
        <v>76880.741342946538</v>
      </c>
      <c r="P19" s="148">
        <f>'As-Filed Schedule 1'!H18</f>
        <v>76722.607160895772</v>
      </c>
      <c r="Q19" s="255">
        <f>SUMIFS(Adjustments!$G:$G,Adjustments!$H:$H,"1",Adjustments!$I:$I,$P$9,Adjustments!$J:$J,$A19)</f>
        <v>-2048</v>
      </c>
      <c r="R19" s="266">
        <f t="shared" ref="R19:R20" si="13">SUM(P19:Q19)</f>
        <v>74674.607160895772</v>
      </c>
      <c r="S19" s="148">
        <f>'As-Filed Schedule 1'!I18</f>
        <v>10792.380722232876</v>
      </c>
      <c r="T19" s="255">
        <f>SUMIFS(Adjustments!$G:$G,Adjustments!$H:$H,"1",Adjustments!$I:$I,$S$9,Adjustments!$J:$J,$A19)</f>
        <v>0</v>
      </c>
      <c r="U19" s="266">
        <f t="shared" ref="U19:U20" si="14">SUM(S19:T19)</f>
        <v>10792.380722232876</v>
      </c>
      <c r="V19" s="151">
        <f t="shared" ref="V19:V20" si="15">SUM(D19,G19,J19,M19,P19,S19)</f>
        <v>2896895.6707814233</v>
      </c>
      <c r="W19" s="258">
        <f t="shared" ref="W19:W20" si="16">SUM(E19,H19,K19,N19,Q19,T19)</f>
        <v>0</v>
      </c>
      <c r="X19" s="267">
        <f t="shared" ref="X19:X20" si="17">SUM(F19,I19,L19,O19,R19,U19)</f>
        <v>2896895.6707814233</v>
      </c>
      <c r="Y19" s="131"/>
    </row>
    <row r="20" spans="1:25" s="22" customFormat="1" x14ac:dyDescent="0.35">
      <c r="A20" s="146">
        <v>6</v>
      </c>
      <c r="B20" s="531" t="s">
        <v>293</v>
      </c>
      <c r="C20" s="533"/>
      <c r="D20" s="147">
        <f>'As-Filed Schedule 1'!D19</f>
        <v>168.93912499999999</v>
      </c>
      <c r="E20" s="255">
        <f>SUMIFS(Adjustments!$G:$G,Adjustments!$H:$H,"1",Adjustments!$I:$I,$D$9,Adjustments!$J:$J,$A20)</f>
        <v>0</v>
      </c>
      <c r="F20" s="264">
        <f>SUM(D20:E20)</f>
        <v>168.93912499999999</v>
      </c>
      <c r="G20" s="148">
        <f>'As-Filed Schedule 1'!E19</f>
        <v>11900787.272785835</v>
      </c>
      <c r="H20" s="255">
        <f>SUMIFS(Adjustments!$G:$G,Adjustments!$H:$H,"1",Adjustments!$I:$I,$G$9,Adjustments!$J:$J,$A20)</f>
        <v>0</v>
      </c>
      <c r="I20" s="266">
        <f t="shared" si="10"/>
        <v>11900787.272785835</v>
      </c>
      <c r="J20" s="148">
        <f>'As-Filed Schedule 1'!F19</f>
        <v>2226104.3421358541</v>
      </c>
      <c r="K20" s="255">
        <f>SUMIFS(Adjustments!$G:$G,Adjustments!$H:$H,"1",Adjustments!$I:$I,$J$9,Adjustments!$J:$J,$A20)</f>
        <v>620</v>
      </c>
      <c r="L20" s="266">
        <f t="shared" si="11"/>
        <v>2226724.3421358541</v>
      </c>
      <c r="M20" s="148">
        <f>'As-Filed Schedule 1'!G19</f>
        <v>226184.72725745349</v>
      </c>
      <c r="N20" s="255">
        <f>SUMIFS(Adjustments!$G:$G,Adjustments!$H:$H,"1",Adjustments!$I:$I,$M$9,Adjustments!$J:$J,$A20)</f>
        <v>0</v>
      </c>
      <c r="O20" s="266">
        <f t="shared" si="12"/>
        <v>226184.72725745349</v>
      </c>
      <c r="P20" s="148">
        <f>'As-Filed Schedule 1'!H19</f>
        <v>269192.77429397346</v>
      </c>
      <c r="Q20" s="255">
        <f>SUMIFS(Adjustments!$G:$G,Adjustments!$H:$H,"1",Adjustments!$I:$I,$P$9,Adjustments!$J:$J,$A20)</f>
        <v>-620</v>
      </c>
      <c r="R20" s="266">
        <f t="shared" si="13"/>
        <v>268572.77429397346</v>
      </c>
      <c r="S20" s="148">
        <f>'As-Filed Schedule 1'!I19</f>
        <v>373366.6117822199</v>
      </c>
      <c r="T20" s="255">
        <f>SUMIFS(Adjustments!$G:$G,Adjustments!$H:$H,"1",Adjustments!$I:$I,$S$9,Adjustments!$J:$J,$A20)</f>
        <v>0</v>
      </c>
      <c r="U20" s="266">
        <f t="shared" si="14"/>
        <v>373366.6117822199</v>
      </c>
      <c r="V20" s="151">
        <f t="shared" si="15"/>
        <v>14995804.667380335</v>
      </c>
      <c r="W20" s="258">
        <f t="shared" si="16"/>
        <v>0</v>
      </c>
      <c r="X20" s="267">
        <f t="shared" si="17"/>
        <v>14995804.667380335</v>
      </c>
      <c r="Y20" s="131"/>
    </row>
    <row r="21" spans="1:25" s="22" customFormat="1" x14ac:dyDescent="0.35">
      <c r="A21" s="146">
        <v>7</v>
      </c>
      <c r="B21" s="537" t="s">
        <v>220</v>
      </c>
      <c r="C21" s="539"/>
      <c r="D21" s="150">
        <f>SUM(D19:D20)</f>
        <v>178.93912499999999</v>
      </c>
      <c r="E21" s="150">
        <f t="shared" ref="E21:F21" si="18">SUM(E19:E20)</f>
        <v>0</v>
      </c>
      <c r="F21" s="150">
        <f t="shared" si="18"/>
        <v>178.93912499999999</v>
      </c>
      <c r="G21" s="151">
        <f>SUM(G19:G20)</f>
        <v>13608564.786468958</v>
      </c>
      <c r="H21" s="151">
        <f t="shared" ref="H21:U21" si="19">SUM(H19:H20)</f>
        <v>0</v>
      </c>
      <c r="I21" s="151">
        <f t="shared" si="19"/>
        <v>13608564.786468958</v>
      </c>
      <c r="J21" s="151">
        <f t="shared" si="19"/>
        <v>3250816.7700080792</v>
      </c>
      <c r="K21" s="151">
        <f t="shared" si="19"/>
        <v>2668</v>
      </c>
      <c r="L21" s="151">
        <f t="shared" si="19"/>
        <v>3253484.7700080792</v>
      </c>
      <c r="M21" s="151">
        <f t="shared" si="19"/>
        <v>303065.46860040003</v>
      </c>
      <c r="N21" s="151">
        <f t="shared" si="19"/>
        <v>0</v>
      </c>
      <c r="O21" s="151">
        <f t="shared" si="19"/>
        <v>303065.46860040003</v>
      </c>
      <c r="P21" s="151">
        <f t="shared" si="19"/>
        <v>345915.38145486923</v>
      </c>
      <c r="Q21" s="151">
        <f t="shared" si="19"/>
        <v>-2668</v>
      </c>
      <c r="R21" s="151">
        <f t="shared" si="19"/>
        <v>343247.38145486923</v>
      </c>
      <c r="S21" s="151">
        <f t="shared" si="19"/>
        <v>384158.99250445276</v>
      </c>
      <c r="T21" s="151">
        <f t="shared" si="19"/>
        <v>0</v>
      </c>
      <c r="U21" s="151">
        <f t="shared" si="19"/>
        <v>384158.99250445276</v>
      </c>
      <c r="V21" s="151">
        <f>SUM(D21,G21,J21,M21,P21,S21)</f>
        <v>17892700.338161759</v>
      </c>
      <c r="W21" s="258">
        <f>SUM(E21,H21,K21,N21,Q21,T21)</f>
        <v>0</v>
      </c>
      <c r="X21" s="267">
        <f>SUM(F21,I21,L21,O21,R21,U21)</f>
        <v>17892700.338161759</v>
      </c>
      <c r="Y21" s="131"/>
    </row>
    <row r="22" spans="1:25" s="22" customFormat="1" x14ac:dyDescent="0.35">
      <c r="A22" s="152"/>
      <c r="B22" s="153"/>
      <c r="C22" s="153"/>
      <c r="D22" s="154"/>
      <c r="E22" s="256"/>
      <c r="F22" s="265"/>
      <c r="G22" s="155"/>
      <c r="H22" s="259"/>
      <c r="I22" s="268"/>
      <c r="J22" s="155"/>
      <c r="K22" s="259"/>
      <c r="L22" s="268"/>
      <c r="M22" s="155"/>
      <c r="N22" s="259"/>
      <c r="O22" s="268"/>
      <c r="P22" s="155"/>
      <c r="Q22" s="259"/>
      <c r="R22" s="268"/>
      <c r="S22" s="155"/>
      <c r="T22" s="259"/>
      <c r="U22" s="268"/>
      <c r="V22" s="155"/>
      <c r="W22" s="259"/>
      <c r="X22" s="268"/>
      <c r="Y22" s="131"/>
    </row>
    <row r="23" spans="1:25" s="22" customFormat="1" x14ac:dyDescent="0.35">
      <c r="A23" s="540" t="s">
        <v>275</v>
      </c>
      <c r="B23" s="541"/>
      <c r="C23" s="541"/>
      <c r="D23" s="541"/>
      <c r="E23" s="541"/>
      <c r="F23" s="541"/>
      <c r="G23" s="541"/>
      <c r="H23" s="541"/>
      <c r="I23" s="541"/>
      <c r="J23" s="541"/>
      <c r="K23" s="541"/>
      <c r="L23" s="541"/>
      <c r="M23" s="541"/>
      <c r="N23" s="541"/>
      <c r="O23" s="541"/>
      <c r="P23" s="541"/>
      <c r="Q23" s="541"/>
      <c r="R23" s="541"/>
      <c r="S23" s="541"/>
      <c r="T23" s="541"/>
      <c r="U23" s="541"/>
      <c r="V23" s="541"/>
      <c r="W23" s="541"/>
      <c r="X23" s="542"/>
      <c r="Y23" s="131"/>
    </row>
    <row r="24" spans="1:25" s="22" customFormat="1" x14ac:dyDescent="0.35">
      <c r="A24" s="146">
        <v>8</v>
      </c>
      <c r="B24" s="531" t="s">
        <v>276</v>
      </c>
      <c r="C24" s="532"/>
      <c r="D24" s="532"/>
      <c r="E24" s="532"/>
      <c r="F24" s="533"/>
      <c r="G24" s="156">
        <f>'As-Filed Schedule 1A'!H27*-1</f>
        <v>-463874.84874999989</v>
      </c>
      <c r="H24" s="151"/>
      <c r="I24" s="156">
        <f>'Schedule 1A Adjustments'!K27*-1</f>
        <v>-463874.84874999989</v>
      </c>
      <c r="J24" s="156">
        <f>'As-Filed Schedule 1A'!H28*-1</f>
        <v>0</v>
      </c>
      <c r="K24" s="151"/>
      <c r="L24" s="156">
        <f>'Schedule 1A Adjustments'!K28*-1</f>
        <v>0</v>
      </c>
      <c r="M24" s="156">
        <f>-'As-Filed Schedule 1A'!H29</f>
        <v>0</v>
      </c>
      <c r="N24" s="151"/>
      <c r="O24" s="156">
        <f>'Schedule 1A Adjustments'!K29*-1</f>
        <v>0</v>
      </c>
      <c r="P24" s="156">
        <f>-'As-Filed Schedule 1A'!H30</f>
        <v>0</v>
      </c>
      <c r="Q24" s="151"/>
      <c r="R24" s="156">
        <f>'Schedule 1A Adjustments'!K30*-1</f>
        <v>0</v>
      </c>
      <c r="S24" s="156">
        <f>-SUM(G24,J24,M24,P24)</f>
        <v>463874.84874999989</v>
      </c>
      <c r="T24" s="151"/>
      <c r="U24" s="269">
        <f>-SUM(I24,L24,O24,R24)</f>
        <v>463874.84874999989</v>
      </c>
      <c r="V24" s="151">
        <f>SUM(G24,J24,M24,P24,S24)</f>
        <v>0</v>
      </c>
      <c r="W24" s="258"/>
      <c r="X24" s="267">
        <f>SUM(I24,L24,O24,R24,U24)</f>
        <v>0</v>
      </c>
      <c r="Y24" s="131"/>
    </row>
    <row r="25" spans="1:25" s="22" customFormat="1" x14ac:dyDescent="0.35">
      <c r="A25" s="146">
        <v>9</v>
      </c>
      <c r="B25" s="537" t="s">
        <v>222</v>
      </c>
      <c r="C25" s="538"/>
      <c r="D25" s="538"/>
      <c r="E25" s="538"/>
      <c r="F25" s="539"/>
      <c r="G25" s="151">
        <f>SUM(G24:G24)</f>
        <v>-463874.84874999989</v>
      </c>
      <c r="H25" s="151">
        <f t="shared" ref="H25:I25" si="20">SUM(H24:H24)</f>
        <v>0</v>
      </c>
      <c r="I25" s="151">
        <f t="shared" si="20"/>
        <v>-463874.84874999989</v>
      </c>
      <c r="J25" s="151">
        <f>SUM(J24:J24)</f>
        <v>0</v>
      </c>
      <c r="K25" s="151">
        <f t="shared" ref="K25:L25" si="21">SUM(K24:K24)</f>
        <v>0</v>
      </c>
      <c r="L25" s="151">
        <f t="shared" si="21"/>
        <v>0</v>
      </c>
      <c r="M25" s="151">
        <f>SUM(M24:M24)</f>
        <v>0</v>
      </c>
      <c r="N25" s="151">
        <f t="shared" ref="N25:O25" si="22">SUM(N24:N24)</f>
        <v>0</v>
      </c>
      <c r="O25" s="151">
        <f t="shared" si="22"/>
        <v>0</v>
      </c>
      <c r="P25" s="151">
        <f>SUM(P24:P24)</f>
        <v>0</v>
      </c>
      <c r="Q25" s="151">
        <f t="shared" ref="Q25:R25" si="23">SUM(Q24:Q24)</f>
        <v>0</v>
      </c>
      <c r="R25" s="151">
        <f t="shared" si="23"/>
        <v>0</v>
      </c>
      <c r="S25" s="151">
        <f>SUM(S24:S24)</f>
        <v>463874.84874999989</v>
      </c>
      <c r="T25" s="151">
        <f t="shared" ref="T25:U25" si="24">SUM(T24:T24)</f>
        <v>0</v>
      </c>
      <c r="U25" s="151">
        <f t="shared" si="24"/>
        <v>463874.84874999989</v>
      </c>
      <c r="V25" s="151">
        <f>SUM(G25,J25,M25,P25,S25)</f>
        <v>0</v>
      </c>
      <c r="W25" s="258">
        <f>SUM(,H25,K25,N25,Q25,T25)</f>
        <v>0</v>
      </c>
      <c r="X25" s="267">
        <f>SUM(I25,L25,O25,R25,U25)</f>
        <v>0</v>
      </c>
      <c r="Y25" s="131"/>
    </row>
    <row r="26" spans="1:25" s="22" customFormat="1" x14ac:dyDescent="0.35">
      <c r="A26" s="152"/>
      <c r="B26" s="153"/>
      <c r="C26" s="153"/>
      <c r="D26" s="154"/>
      <c r="E26" s="256"/>
      <c r="F26" s="265"/>
      <c r="G26" s="155"/>
      <c r="H26" s="259"/>
      <c r="I26" s="268"/>
      <c r="J26" s="155"/>
      <c r="K26" s="259"/>
      <c r="L26" s="268"/>
      <c r="M26" s="155"/>
      <c r="N26" s="259"/>
      <c r="O26" s="268"/>
      <c r="P26" s="155"/>
      <c r="Q26" s="259"/>
      <c r="R26" s="268"/>
      <c r="S26" s="155"/>
      <c r="T26" s="259"/>
      <c r="U26" s="268"/>
      <c r="V26" s="155"/>
      <c r="W26" s="259"/>
      <c r="X26" s="268"/>
      <c r="Y26" s="131"/>
    </row>
    <row r="27" spans="1:25" s="22" customFormat="1" x14ac:dyDescent="0.35">
      <c r="A27" s="540" t="s">
        <v>235</v>
      </c>
      <c r="B27" s="541"/>
      <c r="C27" s="541"/>
      <c r="D27" s="541"/>
      <c r="E27" s="541"/>
      <c r="F27" s="541"/>
      <c r="G27" s="541"/>
      <c r="H27" s="541"/>
      <c r="I27" s="541"/>
      <c r="J27" s="541"/>
      <c r="K27" s="541"/>
      <c r="L27" s="541"/>
      <c r="M27" s="541"/>
      <c r="N27" s="541"/>
      <c r="O27" s="541"/>
      <c r="P27" s="541"/>
      <c r="Q27" s="541"/>
      <c r="R27" s="541"/>
      <c r="S27" s="541"/>
      <c r="T27" s="541"/>
      <c r="U27" s="541"/>
      <c r="V27" s="541"/>
      <c r="W27" s="541"/>
      <c r="X27" s="542"/>
      <c r="Y27" s="131"/>
    </row>
    <row r="28" spans="1:25" s="22" customFormat="1" x14ac:dyDescent="0.35">
      <c r="A28" s="146">
        <v>10</v>
      </c>
      <c r="B28" s="531" t="s">
        <v>224</v>
      </c>
      <c r="C28" s="532"/>
      <c r="D28" s="532"/>
      <c r="E28" s="532"/>
      <c r="F28" s="533"/>
      <c r="G28" s="148">
        <f>'As-Filed Schedule 1'!E27</f>
        <v>710837.75250000006</v>
      </c>
      <c r="H28" s="255">
        <f>SUMIFS(Adjustments!$G:$G,Adjustments!$H:$H,"1",Adjustments!$I:$I,$G$9,Adjustments!$J:$J,$A28)</f>
        <v>0</v>
      </c>
      <c r="I28" s="266">
        <f t="shared" ref="I28:I30" si="25">SUM(G28:H28)</f>
        <v>710837.75250000006</v>
      </c>
      <c r="J28" s="148">
        <f>'As-Filed Schedule 1'!F27</f>
        <v>85677.701537178247</v>
      </c>
      <c r="K28" s="255">
        <f>SUMIFS(Adjustments!$G:$G,Adjustments!$H:$H,"1",Adjustments!$I:$I,$J$9,Adjustments!$J:$J,$A28)</f>
        <v>0</v>
      </c>
      <c r="L28" s="266">
        <f t="shared" ref="L28:L30" si="26">SUM(J28:K28)</f>
        <v>85677.701537178247</v>
      </c>
      <c r="M28" s="148">
        <f>'As-Filed Schedule 1'!G27</f>
        <v>36792.01769589293</v>
      </c>
      <c r="N28" s="255">
        <f>SUMIFS(Adjustments!$G:$G,Adjustments!$H:$H,"1",Adjustments!$I:$I,$M$9,Adjustments!$J:$J,$A28)</f>
        <v>0</v>
      </c>
      <c r="O28" s="266">
        <f t="shared" ref="O28:O30" si="27">SUM(M28:N28)</f>
        <v>36792.01769589293</v>
      </c>
      <c r="P28" s="148">
        <f>'As-Filed Schedule 1'!H27</f>
        <v>7097.590766928819</v>
      </c>
      <c r="Q28" s="255">
        <f>SUMIFS(Adjustments!$G:$G,Adjustments!$H:$H,"1",Adjustments!$I:$I,$P$9,Adjustments!$J:$J,$A28)</f>
        <v>0</v>
      </c>
      <c r="R28" s="266">
        <f t="shared" ref="R28:R30" si="28">SUM(P28:Q28)</f>
        <v>7097.590766928819</v>
      </c>
      <c r="S28" s="148">
        <f>'As-Filed Schedule 1'!I27</f>
        <v>53.777500000000003</v>
      </c>
      <c r="T28" s="255">
        <f>SUMIFS(Adjustments!$G:$G,Adjustments!$H:$H,"1",Adjustments!$I:$I,$S$9,Adjustments!$J:$J,$A28)</f>
        <v>0</v>
      </c>
      <c r="U28" s="266">
        <f t="shared" ref="U28:U30" si="29">SUM(S28:T28)</f>
        <v>53.777500000000003</v>
      </c>
      <c r="V28" s="151">
        <f t="shared" ref="V28:V30" si="30">SUM(G28,J28,M28,P28,S28)</f>
        <v>840458.84000000008</v>
      </c>
      <c r="W28" s="258">
        <f t="shared" ref="W28:W30" si="31">SUM(,H28,K28,N28,Q28,T28)</f>
        <v>0</v>
      </c>
      <c r="X28" s="267">
        <f t="shared" ref="X28:X30" si="32">SUM(I28,L28,O28,R28,U28)</f>
        <v>840458.84000000008</v>
      </c>
      <c r="Y28" s="131"/>
    </row>
    <row r="29" spans="1:25" s="22" customFormat="1" x14ac:dyDescent="0.35">
      <c r="A29" s="157">
        <v>11</v>
      </c>
      <c r="B29" s="531" t="s">
        <v>223</v>
      </c>
      <c r="C29" s="532"/>
      <c r="D29" s="532"/>
      <c r="E29" s="532"/>
      <c r="F29" s="533"/>
      <c r="G29" s="148">
        <f>'As-Filed Schedule 1'!E28</f>
        <v>4178225.1323319646</v>
      </c>
      <c r="H29" s="255">
        <f>SUMIFS(Adjustments!$G:$G,Adjustments!$H:$H,"1",Adjustments!$I:$I,$G$9,Adjustments!$J:$J,$A29)</f>
        <v>0</v>
      </c>
      <c r="I29" s="266">
        <f t="shared" si="25"/>
        <v>4178225.1323319646</v>
      </c>
      <c r="J29" s="148">
        <f>'As-Filed Schedule 1'!F28</f>
        <v>12468734.484088419</v>
      </c>
      <c r="K29" s="255">
        <f>SUMIFS(Adjustments!$G:$G,Adjustments!$H:$H,"1",Adjustments!$I:$I,$J$9,Adjustments!$J:$J,$A29)</f>
        <v>44890</v>
      </c>
      <c r="L29" s="266">
        <f t="shared" si="26"/>
        <v>12513624.484088419</v>
      </c>
      <c r="M29" s="148">
        <f>'As-Filed Schedule 1'!G28</f>
        <v>2800958.6727147489</v>
      </c>
      <c r="N29" s="255">
        <f>SUMIFS(Adjustments!$G:$G,Adjustments!$H:$H,"1",Adjustments!$I:$I,$M$9,Adjustments!$J:$J,$A29)</f>
        <v>0</v>
      </c>
      <c r="O29" s="266">
        <f t="shared" si="27"/>
        <v>2800958.6727147489</v>
      </c>
      <c r="P29" s="148">
        <f>'As-Filed Schedule 1'!H28</f>
        <v>1256980.483364867</v>
      </c>
      <c r="Q29" s="255">
        <f>SUMIFS(Adjustments!$G:$G,Adjustments!$H:$H,"1",Adjustments!$I:$I,$P$9,Adjustments!$J:$J,$A29)</f>
        <v>-44890</v>
      </c>
      <c r="R29" s="266">
        <f t="shared" si="28"/>
        <v>1212090.483364867</v>
      </c>
      <c r="S29" s="148">
        <f>'As-Filed Schedule 1'!I28</f>
        <v>86154.387500000012</v>
      </c>
      <c r="T29" s="255">
        <f>SUMIFS(Adjustments!$G:$G,Adjustments!$H:$H,"1",Adjustments!$I:$I,$S$9,Adjustments!$J:$J,$A29)</f>
        <v>0</v>
      </c>
      <c r="U29" s="266">
        <f t="shared" si="29"/>
        <v>86154.387500000012</v>
      </c>
      <c r="V29" s="151">
        <f t="shared" si="30"/>
        <v>20791053.16</v>
      </c>
      <c r="W29" s="258">
        <f t="shared" si="31"/>
        <v>0</v>
      </c>
      <c r="X29" s="267">
        <f t="shared" si="32"/>
        <v>20791053.16</v>
      </c>
      <c r="Y29" s="131"/>
    </row>
    <row r="30" spans="1:25" s="22" customFormat="1" x14ac:dyDescent="0.35">
      <c r="A30" s="146">
        <v>12</v>
      </c>
      <c r="B30" s="531" t="s">
        <v>300</v>
      </c>
      <c r="C30" s="532"/>
      <c r="D30" s="532"/>
      <c r="E30" s="532"/>
      <c r="F30" s="533"/>
      <c r="G30" s="148">
        <f>'As-Filed Schedule 1'!E29</f>
        <v>121847.84</v>
      </c>
      <c r="H30" s="255">
        <f>SUMIFS(Adjustments!$G:$G,Adjustments!$H:$H,"1",Adjustments!$I:$I,$G$9,Adjustments!$J:$J,$A30)</f>
        <v>0</v>
      </c>
      <c r="I30" s="266">
        <f t="shared" si="25"/>
        <v>121847.84</v>
      </c>
      <c r="J30" s="148">
        <f>'As-Filed Schedule 1'!F29</f>
        <v>0</v>
      </c>
      <c r="K30" s="255">
        <f>SUMIFS(Adjustments!$G:$G,Adjustments!$H:$H,"1",Adjustments!$I:$I,$J$9,Adjustments!$J:$J,$A30)</f>
        <v>0</v>
      </c>
      <c r="L30" s="266">
        <f t="shared" si="26"/>
        <v>0</v>
      </c>
      <c r="M30" s="148">
        <f>'As-Filed Schedule 1'!G29</f>
        <v>0</v>
      </c>
      <c r="N30" s="255">
        <f>SUMIFS(Adjustments!$G:$G,Adjustments!$H:$H,"1",Adjustments!$I:$I,$M$9,Adjustments!$J:$J,$A30)</f>
        <v>0</v>
      </c>
      <c r="O30" s="266">
        <f t="shared" si="27"/>
        <v>0</v>
      </c>
      <c r="P30" s="148">
        <f>'As-Filed Schedule 1'!H29</f>
        <v>0</v>
      </c>
      <c r="Q30" s="255">
        <f>SUMIFS(Adjustments!$G:$G,Adjustments!$H:$H,"1",Adjustments!$I:$I,$P$9,Adjustments!$J:$J,$A30)</f>
        <v>0</v>
      </c>
      <c r="R30" s="266">
        <f t="shared" si="28"/>
        <v>0</v>
      </c>
      <c r="S30" s="148">
        <f>'As-Filed Schedule 1'!I29</f>
        <v>0</v>
      </c>
      <c r="T30" s="255">
        <f>SUMIFS(Adjustments!$G:$G,Adjustments!$H:$H,"1",Adjustments!$I:$I,$S$9,Adjustments!$J:$J,$A30)</f>
        <v>0</v>
      </c>
      <c r="U30" s="266">
        <f t="shared" si="29"/>
        <v>0</v>
      </c>
      <c r="V30" s="151">
        <f t="shared" si="30"/>
        <v>121847.84</v>
      </c>
      <c r="W30" s="258">
        <f t="shared" si="31"/>
        <v>0</v>
      </c>
      <c r="X30" s="267">
        <f t="shared" si="32"/>
        <v>121847.84</v>
      </c>
      <c r="Y30" s="131"/>
    </row>
    <row r="31" spans="1:25" s="22" customFormat="1" x14ac:dyDescent="0.35">
      <c r="A31" s="146">
        <v>13</v>
      </c>
      <c r="B31" s="537" t="s">
        <v>225</v>
      </c>
      <c r="C31" s="538"/>
      <c r="D31" s="538"/>
      <c r="E31" s="538"/>
      <c r="F31" s="539"/>
      <c r="G31" s="151">
        <f>SUM(G28:G30)</f>
        <v>5010910.7248319648</v>
      </c>
      <c r="H31" s="151">
        <f t="shared" ref="H31:I31" si="33">SUM(H28:H30)</f>
        <v>0</v>
      </c>
      <c r="I31" s="151">
        <f t="shared" si="33"/>
        <v>5010910.7248319648</v>
      </c>
      <c r="J31" s="151">
        <f>SUM(J28:J30)</f>
        <v>12554412.185625598</v>
      </c>
      <c r="K31" s="151">
        <f t="shared" ref="K31:L31" si="34">SUM(K28:K30)</f>
        <v>44890</v>
      </c>
      <c r="L31" s="151">
        <f t="shared" si="34"/>
        <v>12599302.185625598</v>
      </c>
      <c r="M31" s="151">
        <f>SUM(M28:M30)</f>
        <v>2837750.690410642</v>
      </c>
      <c r="N31" s="151">
        <f t="shared" ref="N31:T31" si="35">SUM(N28:N30)</f>
        <v>0</v>
      </c>
      <c r="O31" s="151">
        <f t="shared" si="35"/>
        <v>2837750.690410642</v>
      </c>
      <c r="P31" s="151">
        <f t="shared" si="35"/>
        <v>1264078.0741317959</v>
      </c>
      <c r="Q31" s="151">
        <f t="shared" si="35"/>
        <v>-44890</v>
      </c>
      <c r="R31" s="151">
        <f t="shared" si="35"/>
        <v>1219188.0741317959</v>
      </c>
      <c r="S31" s="151">
        <f t="shared" si="35"/>
        <v>86208.165000000008</v>
      </c>
      <c r="T31" s="151">
        <f t="shared" si="35"/>
        <v>0</v>
      </c>
      <c r="U31" s="151">
        <f>SUM(U28:U30)</f>
        <v>86208.165000000008</v>
      </c>
      <c r="V31" s="151">
        <f>SUM(G31,J31,M31,P31,S31)</f>
        <v>21753359.839999996</v>
      </c>
      <c r="W31" s="258">
        <f>SUM(,H31,K31,N31,Q31,T31)</f>
        <v>0</v>
      </c>
      <c r="X31" s="267">
        <f>SUM(I31,L31,O31,R31,U31)</f>
        <v>21753359.839999996</v>
      </c>
      <c r="Y31" s="131"/>
    </row>
    <row r="32" spans="1:25" s="22" customFormat="1" x14ac:dyDescent="0.35">
      <c r="A32" s="152"/>
      <c r="B32" s="153"/>
      <c r="C32" s="153"/>
      <c r="D32" s="154"/>
      <c r="E32" s="256"/>
      <c r="F32" s="265"/>
      <c r="G32" s="155"/>
      <c r="H32" s="259"/>
      <c r="I32" s="268"/>
      <c r="J32" s="155"/>
      <c r="K32" s="259"/>
      <c r="L32" s="268"/>
      <c r="M32" s="155"/>
      <c r="N32" s="259"/>
      <c r="O32" s="268"/>
      <c r="P32" s="155"/>
      <c r="Q32" s="259"/>
      <c r="R32" s="268"/>
      <c r="S32" s="155"/>
      <c r="T32" s="259"/>
      <c r="U32" s="268"/>
      <c r="V32" s="155"/>
      <c r="W32" s="259"/>
      <c r="X32" s="268"/>
      <c r="Y32" s="131"/>
    </row>
    <row r="33" spans="1:25" s="22" customFormat="1" x14ac:dyDescent="0.35">
      <c r="A33" s="146">
        <v>14</v>
      </c>
      <c r="B33" s="537" t="s">
        <v>228</v>
      </c>
      <c r="C33" s="538"/>
      <c r="D33" s="538"/>
      <c r="E33" s="538"/>
      <c r="F33" s="539"/>
      <c r="G33" s="151">
        <f>G31+G25+G21+G16</f>
        <v>19506741.102999743</v>
      </c>
      <c r="H33" s="151">
        <f t="shared" ref="H33:I33" si="36">H31+H25+H21+H16</f>
        <v>0</v>
      </c>
      <c r="I33" s="151">
        <f t="shared" si="36"/>
        <v>19506741.102999743</v>
      </c>
      <c r="J33" s="151">
        <f>J31+J25+J21+J16</f>
        <v>60763463.51904054</v>
      </c>
      <c r="K33" s="151">
        <f>K31+K25+K21+K16</f>
        <v>194624</v>
      </c>
      <c r="L33" s="151">
        <f t="shared" ref="L33" si="37">L31+L25+L21+L16</f>
        <v>60958087.51904054</v>
      </c>
      <c r="M33" s="151">
        <f>M31+M25+M21+M16</f>
        <v>13543678.15430312</v>
      </c>
      <c r="N33" s="151">
        <f t="shared" ref="N33:O33" si="38">N31+N25+N21+N16</f>
        <v>0</v>
      </c>
      <c r="O33" s="151">
        <f t="shared" si="38"/>
        <v>13543678.15430312</v>
      </c>
      <c r="P33" s="151">
        <f>P31+P25+P21+P16</f>
        <v>6101789.9711978724</v>
      </c>
      <c r="Q33" s="151">
        <f t="shared" ref="Q33:R33" si="39">Q31+Q25+Q21+Q16</f>
        <v>-194624</v>
      </c>
      <c r="R33" s="151">
        <f t="shared" si="39"/>
        <v>5907165.9711978724</v>
      </c>
      <c r="S33" s="151">
        <f>S31+S25+S21+S16</f>
        <v>934242.00625445275</v>
      </c>
      <c r="T33" s="151">
        <f>T31+T25+T21+T16</f>
        <v>0</v>
      </c>
      <c r="U33" s="151">
        <f t="shared" ref="U33" si="40">U31+U25+U21+U16</f>
        <v>934242.00625445275</v>
      </c>
      <c r="V33" s="151">
        <f>SUM(G33,J33,M33,P33,S33)</f>
        <v>100849914.75379573</v>
      </c>
      <c r="W33" s="258">
        <f>SUM(,H33,K33,N33,Q33,T33)</f>
        <v>0</v>
      </c>
      <c r="X33" s="267">
        <f>SUM(I33,L33,O33,R33,U33)</f>
        <v>100849914.75379573</v>
      </c>
      <c r="Y33" s="131"/>
    </row>
    <row r="34" spans="1:25" s="22" customFormat="1" x14ac:dyDescent="0.35">
      <c r="A34" s="152"/>
      <c r="B34" s="153"/>
      <c r="C34" s="153"/>
      <c r="D34" s="154"/>
      <c r="E34" s="256"/>
      <c r="F34" s="265"/>
      <c r="G34" s="155"/>
      <c r="H34" s="259"/>
      <c r="I34" s="268"/>
      <c r="J34" s="155"/>
      <c r="K34" s="259"/>
      <c r="L34" s="268"/>
      <c r="M34" s="155"/>
      <c r="N34" s="259"/>
      <c r="O34" s="268"/>
      <c r="P34" s="155"/>
      <c r="Q34" s="259"/>
      <c r="R34" s="268"/>
      <c r="S34" s="155"/>
      <c r="T34" s="259"/>
      <c r="U34" s="268"/>
      <c r="V34" s="155"/>
      <c r="W34" s="259"/>
      <c r="X34" s="268"/>
      <c r="Y34" s="131"/>
    </row>
    <row r="35" spans="1:25" s="22" customFormat="1" x14ac:dyDescent="0.35">
      <c r="A35" s="540" t="s">
        <v>234</v>
      </c>
      <c r="B35" s="541"/>
      <c r="C35" s="541"/>
      <c r="D35" s="541"/>
      <c r="E35" s="541"/>
      <c r="F35" s="541"/>
      <c r="G35" s="541"/>
      <c r="H35" s="541"/>
      <c r="I35" s="541"/>
      <c r="J35" s="541"/>
      <c r="K35" s="541"/>
      <c r="L35" s="541"/>
      <c r="M35" s="541"/>
      <c r="N35" s="541"/>
      <c r="O35" s="541"/>
      <c r="P35" s="541"/>
      <c r="Q35" s="541"/>
      <c r="R35" s="541"/>
      <c r="S35" s="541"/>
      <c r="T35" s="541"/>
      <c r="U35" s="541"/>
      <c r="V35" s="541"/>
      <c r="W35" s="541"/>
      <c r="X35" s="542"/>
      <c r="Y35" s="131"/>
    </row>
    <row r="36" spans="1:25" s="22" customFormat="1" x14ac:dyDescent="0.35">
      <c r="A36" s="146">
        <v>15</v>
      </c>
      <c r="B36" s="531" t="s">
        <v>292</v>
      </c>
      <c r="C36" s="532"/>
      <c r="D36" s="532"/>
      <c r="E36" s="532"/>
      <c r="F36" s="533"/>
      <c r="G36" s="148">
        <f>'As-Filed Schedule 1'!E35</f>
        <v>42577.69</v>
      </c>
      <c r="H36" s="255">
        <f>SUMIFS(Adjustments!$G:$G,Adjustments!$H:$H,"1",Adjustments!$I:$I,$G$9,Adjustments!$J:$J,$A36)</f>
        <v>0</v>
      </c>
      <c r="I36" s="266">
        <f t="shared" ref="I36:I38" si="41">SUM(G36:H36)</f>
        <v>42577.69</v>
      </c>
      <c r="J36" s="148">
        <f>'As-Filed Schedule 1'!F35</f>
        <v>885023.83000000007</v>
      </c>
      <c r="K36" s="255">
        <f>SUMIFS(Adjustments!$G:$G,Adjustments!$H:$H,"1",Adjustments!$I:$I,$J$9,Adjustments!$J:$J,$A36)</f>
        <v>0</v>
      </c>
      <c r="L36" s="266">
        <f t="shared" ref="L36:L38" si="42">SUM(J36:K36)</f>
        <v>885023.83000000007</v>
      </c>
      <c r="M36" s="148">
        <f>'As-Filed Schedule 1'!G35</f>
        <v>13656.12</v>
      </c>
      <c r="N36" s="255">
        <f>SUMIFS(Adjustments!$G:$G,Adjustments!$H:$H,"1",Adjustments!$I:$I,$M$9,Adjustments!$J:$J,$A36)</f>
        <v>0</v>
      </c>
      <c r="O36" s="266">
        <f t="shared" ref="O36:O38" si="43">SUM(M36:N36)</f>
        <v>13656.12</v>
      </c>
      <c r="P36" s="148">
        <f>'As-Filed Schedule 1'!H35</f>
        <v>0</v>
      </c>
      <c r="Q36" s="255">
        <f>SUMIFS(Adjustments!$G:$G,Adjustments!$H:$H,"1",Adjustments!$I:$I,$P$9,Adjustments!$J:$J,$A36)</f>
        <v>0</v>
      </c>
      <c r="R36" s="266">
        <f t="shared" ref="R36:R38" si="44">SUM(P36:Q36)</f>
        <v>0</v>
      </c>
      <c r="S36" s="148">
        <f>'As-Filed Schedule 1'!I35</f>
        <v>0</v>
      </c>
      <c r="T36" s="255">
        <f>SUMIFS(Adjustments!$G:$G,Adjustments!$H:$H,"1",Adjustments!$I:$I,$S$9,Adjustments!$J:$J,$A36)</f>
        <v>0</v>
      </c>
      <c r="U36" s="266">
        <f>SUM(S36:T36)</f>
        <v>0</v>
      </c>
      <c r="V36" s="151">
        <f t="shared" ref="V36:V39" si="45">SUM(G36,J36,M36,P36,S36)</f>
        <v>941257.64</v>
      </c>
      <c r="W36" s="258">
        <f t="shared" ref="W36:W39" si="46">SUM(,H36,K36,N36,Q36,T36)</f>
        <v>0</v>
      </c>
      <c r="X36" s="267">
        <f t="shared" ref="X36:X39" si="47">SUM(I36,L36,O36,R36,U36)</f>
        <v>941257.64</v>
      </c>
      <c r="Y36" s="131"/>
    </row>
    <row r="37" spans="1:25" s="22" customFormat="1" x14ac:dyDescent="0.35">
      <c r="A37" s="146">
        <v>16</v>
      </c>
      <c r="B37" s="531" t="s">
        <v>227</v>
      </c>
      <c r="C37" s="532"/>
      <c r="D37" s="532"/>
      <c r="E37" s="532"/>
      <c r="F37" s="533"/>
      <c r="G37" s="148">
        <f>'As-Filed Schedule 1'!E36</f>
        <v>0</v>
      </c>
      <c r="H37" s="255">
        <f>SUMIFS(Adjustments!$G:$G,Adjustments!$H:$H,"1",Adjustments!$I:$I,$G$9,Adjustments!$J:$J,$A37)</f>
        <v>0</v>
      </c>
      <c r="I37" s="266">
        <f t="shared" si="41"/>
        <v>0</v>
      </c>
      <c r="J37" s="148">
        <f>'As-Filed Schedule 1'!F36</f>
        <v>0</v>
      </c>
      <c r="K37" s="255">
        <f>SUMIFS(Adjustments!$G:$G,Adjustments!$H:$H,"1",Adjustments!$I:$I,$J$9,Adjustments!$J:$J,$A37)</f>
        <v>0</v>
      </c>
      <c r="L37" s="266">
        <f t="shared" si="42"/>
        <v>0</v>
      </c>
      <c r="M37" s="148">
        <f>'As-Filed Schedule 1'!G36</f>
        <v>0</v>
      </c>
      <c r="N37" s="255">
        <f>SUMIFS(Adjustments!$G:$G,Adjustments!$H:$H,"1",Adjustments!$I:$I,$M$9,Adjustments!$J:$J,$A37)</f>
        <v>0</v>
      </c>
      <c r="O37" s="266">
        <f t="shared" si="43"/>
        <v>0</v>
      </c>
      <c r="P37" s="148">
        <f>'As-Filed Schedule 1'!H36</f>
        <v>0</v>
      </c>
      <c r="Q37" s="255">
        <f>SUMIFS(Adjustments!$G:$G,Adjustments!$H:$H,"1",Adjustments!$I:$I,$P$9,Adjustments!$J:$J,$A37)</f>
        <v>0</v>
      </c>
      <c r="R37" s="266">
        <f t="shared" si="44"/>
        <v>0</v>
      </c>
      <c r="S37" s="148">
        <f>'As-Filed Schedule 1'!I36</f>
        <v>0</v>
      </c>
      <c r="T37" s="255">
        <f>SUMIFS(Adjustments!$G:$G,Adjustments!$H:$H,"1",Adjustments!$I:$I,$S$9,Adjustments!$J:$J,$A37)</f>
        <v>0</v>
      </c>
      <c r="U37" s="266">
        <f t="shared" ref="U37:U38" si="48">SUM(S37:T37)</f>
        <v>0</v>
      </c>
      <c r="V37" s="151">
        <f t="shared" si="45"/>
        <v>0</v>
      </c>
      <c r="W37" s="258">
        <f t="shared" si="46"/>
        <v>0</v>
      </c>
      <c r="X37" s="267">
        <f t="shared" si="47"/>
        <v>0</v>
      </c>
    </row>
    <row r="38" spans="1:25" s="22" customFormat="1" x14ac:dyDescent="0.35">
      <c r="A38" s="157">
        <v>17</v>
      </c>
      <c r="B38" s="531" t="s">
        <v>459</v>
      </c>
      <c r="C38" s="532"/>
      <c r="D38" s="532"/>
      <c r="E38" s="532"/>
      <c r="F38" s="533"/>
      <c r="G38" s="148">
        <f>'As-Filed Schedule 1'!E37</f>
        <v>0</v>
      </c>
      <c r="H38" s="255">
        <f>SUMIFS(Adjustments!$G:$G,Adjustments!$H:$H,"1",Adjustments!$I:$I,$G$9,Adjustments!$J:$J,$A38)</f>
        <v>0</v>
      </c>
      <c r="I38" s="266">
        <f t="shared" si="41"/>
        <v>0</v>
      </c>
      <c r="J38" s="148">
        <f>'As-Filed Schedule 1'!F37</f>
        <v>0</v>
      </c>
      <c r="K38" s="255">
        <f>SUMIFS(Adjustments!$G:$G,Adjustments!$H:$H,"1",Adjustments!$I:$I,$J$9,Adjustments!$J:$J,$A38)</f>
        <v>0</v>
      </c>
      <c r="L38" s="266">
        <f t="shared" si="42"/>
        <v>0</v>
      </c>
      <c r="M38" s="148">
        <f>'As-Filed Schedule 1'!G37</f>
        <v>0</v>
      </c>
      <c r="N38" s="255">
        <f>SUMIFS(Adjustments!$G:$G,Adjustments!$H:$H,"1",Adjustments!$I:$I,$M$9,Adjustments!$J:$J,$A38)</f>
        <v>0</v>
      </c>
      <c r="O38" s="266">
        <f t="shared" si="43"/>
        <v>0</v>
      </c>
      <c r="P38" s="148">
        <f>'As-Filed Schedule 1'!H37</f>
        <v>0</v>
      </c>
      <c r="Q38" s="255">
        <f>SUMIFS(Adjustments!$G:$G,Adjustments!$H:$H,"1",Adjustments!$I:$I,$P$9,Adjustments!$J:$J,$A38)</f>
        <v>0</v>
      </c>
      <c r="R38" s="266">
        <f t="shared" si="44"/>
        <v>0</v>
      </c>
      <c r="S38" s="148">
        <f>'As-Filed Schedule 1'!I37</f>
        <v>0</v>
      </c>
      <c r="T38" s="255">
        <f>SUMIFS(Adjustments!$G:$G,Adjustments!$H:$H,"1",Adjustments!$I:$I,$S$9,Adjustments!$J:$J,$A38)</f>
        <v>0</v>
      </c>
      <c r="U38" s="266">
        <f t="shared" si="48"/>
        <v>0</v>
      </c>
      <c r="V38" s="151">
        <f t="shared" si="45"/>
        <v>0</v>
      </c>
      <c r="W38" s="258">
        <f t="shared" si="46"/>
        <v>0</v>
      </c>
      <c r="X38" s="267">
        <f t="shared" si="47"/>
        <v>0</v>
      </c>
    </row>
    <row r="39" spans="1:25" s="22" customFormat="1" x14ac:dyDescent="0.35">
      <c r="A39" s="146">
        <v>18</v>
      </c>
      <c r="B39" s="537" t="s">
        <v>226</v>
      </c>
      <c r="C39" s="538"/>
      <c r="D39" s="538"/>
      <c r="E39" s="538"/>
      <c r="F39" s="539"/>
      <c r="G39" s="151">
        <f>SUM(G36:G38)</f>
        <v>42577.69</v>
      </c>
      <c r="H39" s="151">
        <f t="shared" ref="H39:I39" si="49">SUM(H36:H38)</f>
        <v>0</v>
      </c>
      <c r="I39" s="151">
        <f t="shared" si="49"/>
        <v>42577.69</v>
      </c>
      <c r="J39" s="151">
        <f>SUM(J36:J38)</f>
        <v>885023.83000000007</v>
      </c>
      <c r="K39" s="151">
        <f t="shared" ref="K39:L39" si="50">SUM(K36:K38)</f>
        <v>0</v>
      </c>
      <c r="L39" s="151">
        <f t="shared" si="50"/>
        <v>885023.83000000007</v>
      </c>
      <c r="M39" s="151">
        <f t="shared" ref="M39:U39" si="51">SUM(M36:M38)</f>
        <v>13656.12</v>
      </c>
      <c r="N39" s="151">
        <f t="shared" si="51"/>
        <v>0</v>
      </c>
      <c r="O39" s="151">
        <f t="shared" si="51"/>
        <v>13656.12</v>
      </c>
      <c r="P39" s="151">
        <f t="shared" si="51"/>
        <v>0</v>
      </c>
      <c r="Q39" s="151">
        <f t="shared" si="51"/>
        <v>0</v>
      </c>
      <c r="R39" s="151">
        <f t="shared" si="51"/>
        <v>0</v>
      </c>
      <c r="S39" s="151">
        <f t="shared" si="51"/>
        <v>0</v>
      </c>
      <c r="T39" s="151">
        <f t="shared" si="51"/>
        <v>0</v>
      </c>
      <c r="U39" s="151">
        <f t="shared" si="51"/>
        <v>0</v>
      </c>
      <c r="V39" s="151">
        <f t="shared" si="45"/>
        <v>941257.64</v>
      </c>
      <c r="W39" s="258">
        <f t="shared" si="46"/>
        <v>0</v>
      </c>
      <c r="X39" s="267">
        <f t="shared" si="47"/>
        <v>941257.64</v>
      </c>
      <c r="Y39" s="131"/>
    </row>
    <row r="40" spans="1:25" s="22" customFormat="1" x14ac:dyDescent="0.35">
      <c r="A40" s="152"/>
      <c r="B40" s="153"/>
      <c r="C40" s="153"/>
      <c r="D40" s="154"/>
      <c r="E40" s="256"/>
      <c r="F40" s="265"/>
      <c r="G40" s="155"/>
      <c r="H40" s="259"/>
      <c r="I40" s="268"/>
      <c r="J40" s="155"/>
      <c r="K40" s="259"/>
      <c r="L40" s="268"/>
      <c r="M40" s="155"/>
      <c r="N40" s="259"/>
      <c r="O40" s="268"/>
      <c r="P40" s="155"/>
      <c r="Q40" s="259"/>
      <c r="R40" s="268"/>
      <c r="S40" s="155"/>
      <c r="T40" s="259"/>
      <c r="U40" s="268"/>
      <c r="V40" s="155"/>
      <c r="W40" s="259"/>
      <c r="X40" s="268"/>
      <c r="Y40" s="131"/>
    </row>
    <row r="41" spans="1:25" s="22" customFormat="1" x14ac:dyDescent="0.35">
      <c r="A41" s="146">
        <v>19</v>
      </c>
      <c r="B41" s="537" t="s">
        <v>229</v>
      </c>
      <c r="C41" s="538"/>
      <c r="D41" s="538"/>
      <c r="E41" s="538"/>
      <c r="F41" s="539"/>
      <c r="G41" s="151">
        <f>G39+G33</f>
        <v>19549318.792999744</v>
      </c>
      <c r="H41" s="151">
        <f>H39+H33</f>
        <v>0</v>
      </c>
      <c r="I41" s="151">
        <f>I39+I33</f>
        <v>19549318.792999744</v>
      </c>
      <c r="J41" s="151">
        <f>J39+J33</f>
        <v>61648487.349040538</v>
      </c>
      <c r="K41" s="151">
        <f t="shared" ref="K41:L41" si="52">K39+K33</f>
        <v>194624</v>
      </c>
      <c r="L41" s="151">
        <f t="shared" si="52"/>
        <v>61843111.349040538</v>
      </c>
      <c r="M41" s="151">
        <f>M39+M33</f>
        <v>13557334.27430312</v>
      </c>
      <c r="N41" s="151">
        <f t="shared" ref="N41" si="53">N39+N33</f>
        <v>0</v>
      </c>
      <c r="O41" s="151">
        <f>O39+O33</f>
        <v>13557334.27430312</v>
      </c>
      <c r="P41" s="151">
        <f>P39+P33</f>
        <v>6101789.9711978724</v>
      </c>
      <c r="Q41" s="151">
        <f t="shared" ref="Q41" si="54">Q39+Q33</f>
        <v>-194624</v>
      </c>
      <c r="R41" s="151">
        <f>R39+R33</f>
        <v>5907165.9711978724</v>
      </c>
      <c r="S41" s="151">
        <f>S39+S33</f>
        <v>934242.00625445275</v>
      </c>
      <c r="T41" s="151">
        <f t="shared" ref="T41:U41" si="55">T39+T33</f>
        <v>0</v>
      </c>
      <c r="U41" s="151">
        <f t="shared" si="55"/>
        <v>934242.00625445275</v>
      </c>
      <c r="V41" s="151">
        <f>SUM(G41,J41,M41,P41,S41)</f>
        <v>101791172.39379573</v>
      </c>
      <c r="W41" s="258">
        <f>SUM(,H41,K41,N41,Q41,T41)</f>
        <v>0</v>
      </c>
      <c r="X41" s="267">
        <f>SUM(I41,L41,O41,R41,U41)</f>
        <v>101791172.39379573</v>
      </c>
      <c r="Y41" s="131"/>
    </row>
    <row r="42" spans="1:25" s="22" customFormat="1" x14ac:dyDescent="0.35">
      <c r="A42" s="152"/>
      <c r="B42" s="153"/>
      <c r="C42" s="153"/>
      <c r="D42" s="154"/>
      <c r="E42" s="256"/>
      <c r="F42" s="265"/>
      <c r="G42" s="155"/>
      <c r="H42" s="259"/>
      <c r="I42" s="268"/>
      <c r="J42" s="155"/>
      <c r="K42" s="259"/>
      <c r="L42" s="268"/>
      <c r="M42" s="155"/>
      <c r="N42" s="259"/>
      <c r="O42" s="268"/>
      <c r="P42" s="155"/>
      <c r="Q42" s="259"/>
      <c r="R42" s="268"/>
      <c r="S42" s="155"/>
      <c r="T42" s="259"/>
      <c r="U42" s="268"/>
      <c r="V42" s="155"/>
      <c r="W42" s="259"/>
      <c r="X42" s="268"/>
      <c r="Y42" s="131"/>
    </row>
    <row r="43" spans="1:25" s="22" customFormat="1" x14ac:dyDescent="0.35">
      <c r="A43" s="540" t="s">
        <v>487</v>
      </c>
      <c r="B43" s="541"/>
      <c r="C43" s="541"/>
      <c r="D43" s="541"/>
      <c r="E43" s="541"/>
      <c r="F43" s="541"/>
      <c r="G43" s="541"/>
      <c r="H43" s="541"/>
      <c r="I43" s="541"/>
      <c r="J43" s="541"/>
      <c r="K43" s="541"/>
      <c r="L43" s="541"/>
      <c r="M43" s="541"/>
      <c r="N43" s="541"/>
      <c r="O43" s="541"/>
      <c r="P43" s="541"/>
      <c r="Q43" s="541"/>
      <c r="R43" s="541"/>
      <c r="S43" s="541"/>
      <c r="T43" s="541"/>
      <c r="U43" s="541"/>
      <c r="V43" s="541"/>
      <c r="W43" s="541"/>
      <c r="X43" s="542"/>
      <c r="Y43" s="131"/>
    </row>
    <row r="44" spans="1:25" s="22" customFormat="1" x14ac:dyDescent="0.35">
      <c r="A44" s="146">
        <v>20</v>
      </c>
      <c r="B44" s="531" t="s">
        <v>283</v>
      </c>
      <c r="C44" s="532"/>
      <c r="D44" s="532"/>
      <c r="E44" s="532"/>
      <c r="F44" s="533"/>
      <c r="G44" s="148">
        <f>'As-Filed Schedule 1'!E43</f>
        <v>0</v>
      </c>
      <c r="H44" s="255">
        <f>SUMIFS(Adjustments!$G:$G,Adjustments!$H:$H,"1",Adjustments!$I:$I,$G$9,Adjustments!$J:$J,$A44)</f>
        <v>0</v>
      </c>
      <c r="I44" s="266">
        <f>SUM(G44:H44)</f>
        <v>0</v>
      </c>
      <c r="J44" s="148">
        <f>'As-Filed Schedule 1'!F43</f>
        <v>0</v>
      </c>
      <c r="K44" s="255">
        <f>SUMIFS(Adjustments!$G:$G,Adjustments!$H:$H,"1",Adjustments!$I:$I,$J$9,Adjustments!$J:$J,$A44)</f>
        <v>0</v>
      </c>
      <c r="L44" s="266">
        <f t="shared" ref="L44:L50" si="56">SUM(J44:K44)</f>
        <v>0</v>
      </c>
      <c r="M44" s="148">
        <f>'As-Filed Schedule 1'!G43</f>
        <v>0</v>
      </c>
      <c r="N44" s="255">
        <f>SUMIFS(Adjustments!$G:$G,Adjustments!$H:$H,"1",Adjustments!$I:$I,$M$9,Adjustments!$J:$J,$A44)</f>
        <v>0</v>
      </c>
      <c r="O44" s="266">
        <f t="shared" ref="O44:O50" si="57">SUM(M44:N44)</f>
        <v>0</v>
      </c>
      <c r="P44" s="148">
        <f>'As-Filed Schedule 1'!H43</f>
        <v>0</v>
      </c>
      <c r="Q44" s="255">
        <f>SUMIFS(Adjustments!$G:$G,Adjustments!$H:$H,"1",Adjustments!$I:$I,$P$9,Adjustments!$J:$J,$A44)</f>
        <v>0</v>
      </c>
      <c r="R44" s="266">
        <f t="shared" ref="R44:R50" si="58">SUM(P44:Q44)</f>
        <v>0</v>
      </c>
      <c r="S44" s="148">
        <f>'As-Filed Schedule 1'!I43</f>
        <v>0</v>
      </c>
      <c r="T44" s="255">
        <f>SUMIFS(Adjustments!$G:$G,Adjustments!$H:$H,"1",Adjustments!$I:$I,$S$9,Adjustments!$J:$J,$A44)</f>
        <v>0</v>
      </c>
      <c r="U44" s="266">
        <f t="shared" ref="U44:U50" si="59">SUM(S44:T44)</f>
        <v>0</v>
      </c>
      <c r="V44" s="151">
        <f t="shared" ref="V44:V51" si="60">SUM(G44,J44,M44,P44,S44)</f>
        <v>0</v>
      </c>
      <c r="W44" s="258">
        <f t="shared" ref="W44:W51" si="61">SUM(,H44,K44,N44,Q44,T44)</f>
        <v>0</v>
      </c>
      <c r="X44" s="267">
        <f t="shared" ref="X44:X51" si="62">SUM(I44,L44,O44,R44,U44)</f>
        <v>0</v>
      </c>
      <c r="Y44" s="131"/>
    </row>
    <row r="45" spans="1:25" s="22" customFormat="1" x14ac:dyDescent="0.35">
      <c r="A45" s="146">
        <v>21</v>
      </c>
      <c r="B45" s="531" t="s">
        <v>230</v>
      </c>
      <c r="C45" s="532"/>
      <c r="D45" s="532"/>
      <c r="E45" s="532"/>
      <c r="F45" s="533"/>
      <c r="G45" s="148">
        <f>'As-Filed Schedule 1'!E44</f>
        <v>7022.1350000000002</v>
      </c>
      <c r="H45" s="255">
        <f>SUMIFS(Adjustments!$G:$G,Adjustments!$H:$H,"1",Adjustments!$I:$I,$G$9,Adjustments!$J:$J,$A45)</f>
        <v>0</v>
      </c>
      <c r="I45" s="266">
        <f>SUM(G45:H45)</f>
        <v>7022.1350000000002</v>
      </c>
      <c r="J45" s="148">
        <f>'As-Filed Schedule 1'!F44</f>
        <v>921913.01090938051</v>
      </c>
      <c r="K45" s="255">
        <f>SUMIFS(Adjustments!$G:$G,Adjustments!$H:$H,"1",Adjustments!$I:$I,$J$9,Adjustments!$J:$J,$A45)</f>
        <v>0</v>
      </c>
      <c r="L45" s="266">
        <f t="shared" si="56"/>
        <v>921913.01090938051</v>
      </c>
      <c r="M45" s="148">
        <f>'As-Filed Schedule 1'!G44</f>
        <v>60152.414632719549</v>
      </c>
      <c r="N45" s="255">
        <f>SUMIFS(Adjustments!$G:$G,Adjustments!$H:$H,"1",Adjustments!$I:$I,$M$9,Adjustments!$J:$J,$A45)</f>
        <v>0</v>
      </c>
      <c r="O45" s="266">
        <f t="shared" si="57"/>
        <v>60152.414632719549</v>
      </c>
      <c r="P45" s="148">
        <f>'As-Filed Schedule 1'!H44</f>
        <v>20673.464457900071</v>
      </c>
      <c r="Q45" s="255">
        <f>SUMIFS(Adjustments!$G:$G,Adjustments!$H:$H,"1",Adjustments!$I:$I,$P$9,Adjustments!$J:$J,$A45)</f>
        <v>0</v>
      </c>
      <c r="R45" s="266">
        <f t="shared" si="58"/>
        <v>20673.464457900071</v>
      </c>
      <c r="S45" s="148">
        <f>'As-Filed Schedule 1'!I44</f>
        <v>604.06500000000005</v>
      </c>
      <c r="T45" s="255">
        <f>SUMIFS(Adjustments!$G:$G,Adjustments!$H:$H,"1",Adjustments!$I:$I,$S$9,Adjustments!$J:$J,$A45)</f>
        <v>0</v>
      </c>
      <c r="U45" s="266">
        <f t="shared" si="59"/>
        <v>604.06500000000005</v>
      </c>
      <c r="V45" s="151">
        <f t="shared" si="60"/>
        <v>1010365.0900000001</v>
      </c>
      <c r="W45" s="258">
        <f t="shared" si="61"/>
        <v>0</v>
      </c>
      <c r="X45" s="267">
        <f t="shared" si="62"/>
        <v>1010365.0900000001</v>
      </c>
      <c r="Y45" s="131"/>
    </row>
    <row r="46" spans="1:25" s="22" customFormat="1" x14ac:dyDescent="0.35">
      <c r="A46" s="146">
        <v>22</v>
      </c>
      <c r="B46" s="531" t="s">
        <v>288</v>
      </c>
      <c r="C46" s="532"/>
      <c r="D46" s="532"/>
      <c r="E46" s="532"/>
      <c r="F46" s="533"/>
      <c r="G46" s="148">
        <f>'As-Filed Schedule 1'!E45</f>
        <v>4329.9400000000005</v>
      </c>
      <c r="H46" s="255">
        <f>SUMIFS(Adjustments!$G:$G,Adjustments!$H:$H,"1",Adjustments!$I:$I,$G$9,Adjustments!$J:$J,$A46)</f>
        <v>0</v>
      </c>
      <c r="I46" s="266">
        <f t="shared" ref="I46" si="63">SUM(G46:H46)</f>
        <v>4329.9400000000005</v>
      </c>
      <c r="J46" s="148">
        <f>'As-Filed Schedule 1'!F45</f>
        <v>924798.52114572993</v>
      </c>
      <c r="K46" s="255">
        <f>SUMIFS(Adjustments!$G:$G,Adjustments!$H:$H,"1",Adjustments!$I:$I,$J$9,Adjustments!$J:$J,$A46)</f>
        <v>0</v>
      </c>
      <c r="L46" s="266">
        <f t="shared" si="56"/>
        <v>924798.52114572993</v>
      </c>
      <c r="M46" s="148">
        <f>'As-Filed Schedule 1'!G45</f>
        <v>613105.81999999983</v>
      </c>
      <c r="N46" s="255">
        <f>SUMIFS(Adjustments!$G:$G,Adjustments!$H:$H,"1",Adjustments!$I:$I,$M$9,Adjustments!$J:$J,$A46)</f>
        <v>0</v>
      </c>
      <c r="O46" s="266">
        <f t="shared" si="57"/>
        <v>613105.81999999983</v>
      </c>
      <c r="P46" s="148">
        <f>'As-Filed Schedule 1'!H45</f>
        <v>153401.90885427003</v>
      </c>
      <c r="Q46" s="255">
        <f>SUMIFS(Adjustments!$G:$G,Adjustments!$H:$H,"1",Adjustments!$I:$I,$P$9,Adjustments!$J:$J,$A46)</f>
        <v>0</v>
      </c>
      <c r="R46" s="266">
        <f t="shared" si="58"/>
        <v>153401.90885427003</v>
      </c>
      <c r="S46" s="148">
        <f>'As-Filed Schedule 1'!I45</f>
        <v>482.59</v>
      </c>
      <c r="T46" s="255">
        <f>SUMIFS(Adjustments!$G:$G,Adjustments!$H:$H,"1",Adjustments!$I:$I,$S$9,Adjustments!$J:$J,$A46)</f>
        <v>0</v>
      </c>
      <c r="U46" s="266">
        <f t="shared" si="59"/>
        <v>482.59</v>
      </c>
      <c r="V46" s="151">
        <f t="shared" si="60"/>
        <v>1696118.7799999998</v>
      </c>
      <c r="W46" s="258">
        <f t="shared" si="61"/>
        <v>0</v>
      </c>
      <c r="X46" s="267">
        <f t="shared" si="62"/>
        <v>1696118.7799999998</v>
      </c>
      <c r="Y46" s="131"/>
    </row>
    <row r="47" spans="1:25" s="22" customFormat="1" x14ac:dyDescent="0.35">
      <c r="A47" s="146">
        <v>23</v>
      </c>
      <c r="B47" s="531" t="s">
        <v>284</v>
      </c>
      <c r="C47" s="532"/>
      <c r="D47" s="532"/>
      <c r="E47" s="532"/>
      <c r="F47" s="533"/>
      <c r="G47" s="148">
        <f>'As-Filed Schedule 1'!E46</f>
        <v>0</v>
      </c>
      <c r="H47" s="255">
        <f>SUMIFS(Adjustments!$G:$G,Adjustments!$H:$H,"1",Adjustments!$I:$I,$G$9,Adjustments!$J:$J,$A47)</f>
        <v>0</v>
      </c>
      <c r="I47" s="266">
        <f>SUM(G47:H47)</f>
        <v>0</v>
      </c>
      <c r="J47" s="148">
        <f>'As-Filed Schedule 1'!F46</f>
        <v>0</v>
      </c>
      <c r="K47" s="255">
        <f>SUMIFS(Adjustments!$G:$G,Adjustments!$H:$H,"1",Adjustments!$I:$I,$J$9,Adjustments!$J:$J,$A47)</f>
        <v>0</v>
      </c>
      <c r="L47" s="266">
        <f t="shared" si="56"/>
        <v>0</v>
      </c>
      <c r="M47" s="148">
        <f>'As-Filed Schedule 1'!G46</f>
        <v>0</v>
      </c>
      <c r="N47" s="255">
        <f>SUMIFS(Adjustments!$G:$G,Adjustments!$H:$H,"1",Adjustments!$I:$I,$M$9,Adjustments!$J:$J,$A47)</f>
        <v>0</v>
      </c>
      <c r="O47" s="266">
        <f t="shared" si="57"/>
        <v>0</v>
      </c>
      <c r="P47" s="148">
        <f>'As-Filed Schedule 1'!H46</f>
        <v>0</v>
      </c>
      <c r="Q47" s="255">
        <f>SUMIFS(Adjustments!$G:$G,Adjustments!$H:$H,"1",Adjustments!$I:$I,$P$9,Adjustments!$J:$J,$A47)</f>
        <v>0</v>
      </c>
      <c r="R47" s="266">
        <f t="shared" si="58"/>
        <v>0</v>
      </c>
      <c r="S47" s="148">
        <f>'As-Filed Schedule 1'!I46</f>
        <v>0</v>
      </c>
      <c r="T47" s="255">
        <f>SUMIFS(Adjustments!$G:$G,Adjustments!$H:$H,"1",Adjustments!$I:$I,$S$9,Adjustments!$J:$J,$A47)</f>
        <v>0</v>
      </c>
      <c r="U47" s="266">
        <f t="shared" si="59"/>
        <v>0</v>
      </c>
      <c r="V47" s="151">
        <f t="shared" si="60"/>
        <v>0</v>
      </c>
      <c r="W47" s="258">
        <f t="shared" si="61"/>
        <v>0</v>
      </c>
      <c r="X47" s="267">
        <f t="shared" si="62"/>
        <v>0</v>
      </c>
      <c r="Y47" s="131"/>
    </row>
    <row r="48" spans="1:25" s="22" customFormat="1" x14ac:dyDescent="0.35">
      <c r="A48" s="146">
        <v>24</v>
      </c>
      <c r="B48" s="531" t="s">
        <v>314</v>
      </c>
      <c r="C48" s="532"/>
      <c r="D48" s="532"/>
      <c r="E48" s="532"/>
      <c r="F48" s="533"/>
      <c r="G48" s="148">
        <f>'As-Filed Schedule 1'!E47</f>
        <v>0</v>
      </c>
      <c r="H48" s="255">
        <f>SUMIFS(Adjustments!$G:$G,Adjustments!$H:$H,"1",Adjustments!$I:$I,$G$9,Adjustments!$J:$J,$A48)</f>
        <v>0</v>
      </c>
      <c r="I48" s="266">
        <f>SUM(G48:H48)</f>
        <v>0</v>
      </c>
      <c r="J48" s="148">
        <f>'As-Filed Schedule 1'!F47</f>
        <v>0</v>
      </c>
      <c r="K48" s="255">
        <f>SUMIFS(Adjustments!$G:$G,Adjustments!$H:$H,"1",Adjustments!$I:$I,$J$9,Adjustments!$J:$J,$A48)</f>
        <v>0</v>
      </c>
      <c r="L48" s="266">
        <f t="shared" si="56"/>
        <v>0</v>
      </c>
      <c r="M48" s="148">
        <f>'As-Filed Schedule 1'!G47</f>
        <v>0</v>
      </c>
      <c r="N48" s="255">
        <f>SUMIFS(Adjustments!$G:$G,Adjustments!$H:$H,"1",Adjustments!$I:$I,$M$9,Adjustments!$J:$J,$A48)</f>
        <v>0</v>
      </c>
      <c r="O48" s="266">
        <f t="shared" si="57"/>
        <v>0</v>
      </c>
      <c r="P48" s="148">
        <f>'As-Filed Schedule 1'!H47</f>
        <v>17644595.319999997</v>
      </c>
      <c r="Q48" s="255">
        <f>SUMIFS(Adjustments!$G:$G,Adjustments!$H:$H,"1",Adjustments!$I:$I,$P$9,Adjustments!$J:$J,$A48)</f>
        <v>76054</v>
      </c>
      <c r="R48" s="266">
        <f t="shared" si="58"/>
        <v>17720649.319999997</v>
      </c>
      <c r="S48" s="148">
        <f>'As-Filed Schedule 1'!I47</f>
        <v>0</v>
      </c>
      <c r="T48" s="255">
        <f>SUMIFS(Adjustments!$G:$G,Adjustments!$H:$H,"1",Adjustments!$I:$I,$S$9,Adjustments!$J:$J,$A48)</f>
        <v>0</v>
      </c>
      <c r="U48" s="266">
        <f t="shared" si="59"/>
        <v>0</v>
      </c>
      <c r="V48" s="151">
        <f t="shared" si="60"/>
        <v>17644595.319999997</v>
      </c>
      <c r="W48" s="258">
        <f>SUM(,H48,K48,N48,Q48,T48)</f>
        <v>76054</v>
      </c>
      <c r="X48" s="267">
        <f t="shared" si="62"/>
        <v>17720649.319999997</v>
      </c>
      <c r="Y48" s="131"/>
    </row>
    <row r="49" spans="1:25" s="22" customFormat="1" x14ac:dyDescent="0.35">
      <c r="A49" s="146">
        <v>25</v>
      </c>
      <c r="B49" s="531" t="s">
        <v>778</v>
      </c>
      <c r="C49" s="532"/>
      <c r="D49" s="532"/>
      <c r="E49" s="532"/>
      <c r="F49" s="533"/>
      <c r="G49" s="148">
        <f>'As-Filed Schedule 1'!E48</f>
        <v>0</v>
      </c>
      <c r="H49" s="255">
        <f>SUMIFS(Adjustments!$G:$G,Adjustments!$H:$H,"1",Adjustments!$I:$I,$G$9,Adjustments!$J:$J,$A49)</f>
        <v>0</v>
      </c>
      <c r="I49" s="266">
        <f>SUM(G49:H49)</f>
        <v>0</v>
      </c>
      <c r="J49" s="148">
        <f>'As-Filed Schedule 1'!F48</f>
        <v>465748.76620427088</v>
      </c>
      <c r="K49" s="255">
        <f>SUMIFS(Adjustments!$G:$G,Adjustments!$H:$H,"1",Adjustments!$I:$I,$J$9,Adjustments!$J:$J,$A49)</f>
        <v>0</v>
      </c>
      <c r="L49" s="266">
        <f t="shared" ref="L49" si="64">SUM(J49:K49)</f>
        <v>465748.76620427088</v>
      </c>
      <c r="M49" s="148">
        <f>'As-Filed Schedule 1'!G48</f>
        <v>0</v>
      </c>
      <c r="N49" s="255">
        <f>SUMIFS(Adjustments!$G:$G,Adjustments!$H:$H,"1",Adjustments!$I:$I,$M$9,Adjustments!$J:$J,$A49)</f>
        <v>0</v>
      </c>
      <c r="O49" s="266">
        <f t="shared" ref="O49" si="65">SUM(M49:N49)</f>
        <v>0</v>
      </c>
      <c r="P49" s="148">
        <f>'As-Filed Schedule 1'!H48</f>
        <v>0</v>
      </c>
      <c r="Q49" s="255">
        <f>SUMIFS(Adjustments!$G:$G,Adjustments!$H:$H,"1",Adjustments!$I:$I,$P$9,Adjustments!$J:$J,$A49)</f>
        <v>0</v>
      </c>
      <c r="R49" s="266">
        <f t="shared" ref="R49" si="66">SUM(P49:Q49)</f>
        <v>0</v>
      </c>
      <c r="S49" s="148">
        <f>'As-Filed Schedule 1'!I48</f>
        <v>0</v>
      </c>
      <c r="T49" s="255">
        <f>SUMIFS(Adjustments!$G:$G,Adjustments!$H:$H,"1",Adjustments!$I:$I,$S$9,Adjustments!$J:$J,$A49)</f>
        <v>0</v>
      </c>
      <c r="U49" s="266">
        <f t="shared" ref="U49" si="67">SUM(S49:T49)</f>
        <v>0</v>
      </c>
      <c r="V49" s="151">
        <f t="shared" ref="V49" si="68">SUM(G49,J49,M49,P49,S49)</f>
        <v>465748.76620427088</v>
      </c>
      <c r="W49" s="258">
        <f>SUM(,H49,K49,N49,Q49,T49)</f>
        <v>0</v>
      </c>
      <c r="X49" s="267">
        <f t="shared" ref="X49" si="69">SUM(I49,L49,O49,R49,U49)</f>
        <v>465748.76620427088</v>
      </c>
      <c r="Y49" s="131"/>
    </row>
    <row r="50" spans="1:25" s="22" customFormat="1" x14ac:dyDescent="0.35">
      <c r="A50" s="146">
        <v>26</v>
      </c>
      <c r="B50" s="613" t="s">
        <v>452</v>
      </c>
      <c r="C50" s="614"/>
      <c r="D50" s="614"/>
      <c r="E50" s="614"/>
      <c r="F50" s="615"/>
      <c r="G50" s="148">
        <f>'As-Filed Schedule 1'!E49</f>
        <v>68349.674999999988</v>
      </c>
      <c r="H50" s="255">
        <f>SUMIFS(Adjustments!$G:$G,Adjustments!$H:$H,"1",Adjustments!$I:$I,$G$9,Adjustments!$J:$J,$A50)</f>
        <v>0</v>
      </c>
      <c r="I50" s="266">
        <f>SUM(G50:H50)</f>
        <v>68349.674999999988</v>
      </c>
      <c r="J50" s="148">
        <f>'As-Filed Schedule 1'!F49</f>
        <v>1453080.7164899521</v>
      </c>
      <c r="K50" s="255">
        <f>SUMIFS(Adjustments!$G:$G,Adjustments!$H:$H,"1",Adjustments!$I:$I,$J$9,Adjustments!$J:$J,$A50)</f>
        <v>4323</v>
      </c>
      <c r="L50" s="266">
        <f t="shared" si="56"/>
        <v>1457403.7164899521</v>
      </c>
      <c r="M50" s="148">
        <f>'As-Filed Schedule 1'!G49</f>
        <v>672603.33450589748</v>
      </c>
      <c r="N50" s="255">
        <f>SUMIFS(Adjustments!$G:$G,Adjustments!$H:$H,"1",Adjustments!$I:$I,$M$9,Adjustments!$J:$J,$A50)</f>
        <v>-76054</v>
      </c>
      <c r="O50" s="266">
        <f t="shared" si="57"/>
        <v>596549.33450589748</v>
      </c>
      <c r="P50" s="148">
        <f>'As-Filed Schedule 1'!H49</f>
        <v>101772.46900415033</v>
      </c>
      <c r="Q50" s="255">
        <f>SUMIFS(Adjustments!$G:$G,Adjustments!$H:$H,"1",Adjustments!$I:$I,$P$9,Adjustments!$J:$J,$A50)</f>
        <v>-4323</v>
      </c>
      <c r="R50" s="266">
        <f t="shared" si="58"/>
        <v>97449.469004150335</v>
      </c>
      <c r="S50" s="148">
        <f>'As-Filed Schedule 1'!I49</f>
        <v>460.64499999999998</v>
      </c>
      <c r="T50" s="255">
        <f>SUMIFS(Adjustments!$G:$G,Adjustments!$H:$H,"1",Adjustments!$I:$I,$S$9,Adjustments!$J:$J,$A50)</f>
        <v>0</v>
      </c>
      <c r="U50" s="266">
        <f t="shared" si="59"/>
        <v>460.64499999999998</v>
      </c>
      <c r="V50" s="151">
        <f t="shared" si="60"/>
        <v>2296266.8400000003</v>
      </c>
      <c r="W50" s="258">
        <f t="shared" si="61"/>
        <v>-76054</v>
      </c>
      <c r="X50" s="267">
        <f t="shared" si="62"/>
        <v>2220212.8400000003</v>
      </c>
      <c r="Y50" s="131"/>
    </row>
    <row r="51" spans="1:25" s="22" customFormat="1" x14ac:dyDescent="0.35">
      <c r="A51" s="146">
        <v>27</v>
      </c>
      <c r="B51" s="537" t="s">
        <v>238</v>
      </c>
      <c r="C51" s="538"/>
      <c r="D51" s="538"/>
      <c r="E51" s="538"/>
      <c r="F51" s="539"/>
      <c r="G51" s="151">
        <f t="shared" ref="G51:U51" si="70">SUM(G44:G50)</f>
        <v>79701.749999999985</v>
      </c>
      <c r="H51" s="151">
        <f t="shared" si="70"/>
        <v>0</v>
      </c>
      <c r="I51" s="151">
        <f t="shared" si="70"/>
        <v>79701.749999999985</v>
      </c>
      <c r="J51" s="151">
        <f t="shared" si="70"/>
        <v>3765541.0147493333</v>
      </c>
      <c r="K51" s="151">
        <f t="shared" si="70"/>
        <v>4323</v>
      </c>
      <c r="L51" s="151">
        <f t="shared" si="70"/>
        <v>3769864.0147493333</v>
      </c>
      <c r="M51" s="151">
        <f t="shared" si="70"/>
        <v>1345861.5691386168</v>
      </c>
      <c r="N51" s="151">
        <f t="shared" si="70"/>
        <v>-76054</v>
      </c>
      <c r="O51" s="151">
        <f t="shared" si="70"/>
        <v>1269807.5691386168</v>
      </c>
      <c r="P51" s="151">
        <f t="shared" si="70"/>
        <v>17920443.162316319</v>
      </c>
      <c r="Q51" s="151">
        <f t="shared" si="70"/>
        <v>71731</v>
      </c>
      <c r="R51" s="151">
        <f t="shared" si="70"/>
        <v>17992174.162316319</v>
      </c>
      <c r="S51" s="151">
        <f t="shared" si="70"/>
        <v>1547.3</v>
      </c>
      <c r="T51" s="151">
        <f t="shared" si="70"/>
        <v>0</v>
      </c>
      <c r="U51" s="151">
        <f t="shared" si="70"/>
        <v>1547.3</v>
      </c>
      <c r="V51" s="151">
        <f t="shared" si="60"/>
        <v>23113094.796204269</v>
      </c>
      <c r="W51" s="258">
        <f t="shared" si="61"/>
        <v>0</v>
      </c>
      <c r="X51" s="267">
        <f t="shared" si="62"/>
        <v>23113094.796204269</v>
      </c>
      <c r="Y51" s="131"/>
    </row>
    <row r="52" spans="1:25" s="22" customFormat="1" x14ac:dyDescent="0.35">
      <c r="A52" s="152"/>
      <c r="B52" s="616"/>
      <c r="C52" s="616"/>
      <c r="D52" s="616"/>
      <c r="E52" s="616"/>
      <c r="F52" s="616"/>
      <c r="G52" s="616"/>
      <c r="H52" s="616"/>
      <c r="I52" s="616"/>
      <c r="J52" s="616"/>
      <c r="K52" s="616"/>
      <c r="L52" s="616"/>
      <c r="M52" s="616"/>
      <c r="N52" s="262"/>
      <c r="O52" s="272"/>
      <c r="P52" s="155"/>
      <c r="Q52" s="259"/>
      <c r="R52" s="268"/>
      <c r="S52" s="155"/>
      <c r="T52" s="259"/>
      <c r="U52" s="268"/>
      <c r="V52" s="155"/>
      <c r="W52" s="259"/>
      <c r="X52" s="268"/>
      <c r="Y52" s="131"/>
    </row>
    <row r="53" spans="1:25" s="22" customFormat="1" x14ac:dyDescent="0.35">
      <c r="A53" s="540" t="s">
        <v>233</v>
      </c>
      <c r="B53" s="541"/>
      <c r="C53" s="541"/>
      <c r="D53" s="541"/>
      <c r="E53" s="541"/>
      <c r="F53" s="541"/>
      <c r="G53" s="541"/>
      <c r="H53" s="541"/>
      <c r="I53" s="541"/>
      <c r="J53" s="541"/>
      <c r="K53" s="541"/>
      <c r="L53" s="541"/>
      <c r="M53" s="541"/>
      <c r="N53" s="541"/>
      <c r="O53" s="541"/>
      <c r="P53" s="541"/>
      <c r="Q53" s="541"/>
      <c r="R53" s="541"/>
      <c r="S53" s="541"/>
      <c r="T53" s="541"/>
      <c r="U53" s="541"/>
      <c r="V53" s="541"/>
      <c r="W53" s="541"/>
      <c r="X53" s="542"/>
      <c r="Y53" s="131"/>
    </row>
    <row r="54" spans="1:25" s="22" customFormat="1" x14ac:dyDescent="0.35">
      <c r="A54" s="146">
        <v>28</v>
      </c>
      <c r="B54" s="531" t="s">
        <v>282</v>
      </c>
      <c r="C54" s="532"/>
      <c r="D54" s="532"/>
      <c r="E54" s="532"/>
      <c r="F54" s="533"/>
      <c r="G54" s="148">
        <f>'As-Filed Schedule 1'!E53</f>
        <v>5892127.4474999998</v>
      </c>
      <c r="H54" s="255">
        <f>SUMIFS(Adjustments!$G:$G,Adjustments!$H:$H,"1",Adjustments!$I:$I,$G$9,Adjustments!$J:$J,$A54)</f>
        <v>0</v>
      </c>
      <c r="I54" s="266">
        <f t="shared" ref="I54:I57" si="71">SUM(G54:H54)</f>
        <v>5892127.4474999998</v>
      </c>
      <c r="J54" s="148">
        <f>'As-Filed Schedule 1'!F53</f>
        <v>287384.43515926396</v>
      </c>
      <c r="K54" s="255">
        <f>SUMIFS(Adjustments!$G:$G,Adjustments!$H:$H,"1",Adjustments!$I:$I,$J$9,Adjustments!$J:$J,$A54)</f>
        <v>0</v>
      </c>
      <c r="L54" s="266">
        <f t="shared" ref="L54:L57" si="72">SUM(J54:K54)</f>
        <v>287384.43515926396</v>
      </c>
      <c r="M54" s="148">
        <f>'As-Filed Schedule 1'!G53</f>
        <v>40922.04837831865</v>
      </c>
      <c r="N54" s="255">
        <f>SUMIFS(Adjustments!$G:$G,Adjustments!$H:$H,"1",Adjustments!$I:$I,$M$9,Adjustments!$J:$J,$A54)</f>
        <v>0</v>
      </c>
      <c r="O54" s="266">
        <f t="shared" ref="O54:O57" si="73">SUM(M54:N54)</f>
        <v>40922.04837831865</v>
      </c>
      <c r="P54" s="148">
        <f>'As-Filed Schedule 1'!H53</f>
        <v>26001.886462417438</v>
      </c>
      <c r="Q54" s="255">
        <f>SUMIFS(Adjustments!$G:$G,Adjustments!$H:$H,"1",Adjustments!$I:$I,$P$9,Adjustments!$J:$J,$A54)</f>
        <v>0</v>
      </c>
      <c r="R54" s="266">
        <f t="shared" ref="R54:R57" si="74">SUM(P54:Q54)</f>
        <v>26001.886462417438</v>
      </c>
      <c r="S54" s="148">
        <f>'As-Filed Schedule 1'!I53</f>
        <v>181.94249999999994</v>
      </c>
      <c r="T54" s="255">
        <f>SUMIFS(Adjustments!$G:$G,Adjustments!$H:$H,"1",Adjustments!$I:$I,$S$9,Adjustments!$J:$J,$A54)</f>
        <v>0</v>
      </c>
      <c r="U54" s="266">
        <f t="shared" ref="U54:U57" si="75">SUM(S54:T54)</f>
        <v>181.94249999999994</v>
      </c>
      <c r="V54" s="151">
        <f t="shared" ref="V54:V58" si="76">SUM(G54,J54,M54,P54,S54)</f>
        <v>6246617.7599999998</v>
      </c>
      <c r="W54" s="258">
        <f t="shared" ref="W54:W58" si="77">SUM(,H54,K54,N54,Q54,T54)</f>
        <v>0</v>
      </c>
      <c r="X54" s="267">
        <f t="shared" ref="X54:X58" si="78">SUM(I54,L54,O54,R54,U54)</f>
        <v>6246617.7599999998</v>
      </c>
      <c r="Y54" s="131"/>
    </row>
    <row r="55" spans="1:25" s="22" customFormat="1" x14ac:dyDescent="0.35">
      <c r="A55" s="146">
        <v>29</v>
      </c>
      <c r="B55" s="531" t="s">
        <v>294</v>
      </c>
      <c r="C55" s="532"/>
      <c r="D55" s="532"/>
      <c r="E55" s="532"/>
      <c r="F55" s="533"/>
      <c r="G55" s="148">
        <f>'As-Filed Schedule 1'!E54</f>
        <v>0</v>
      </c>
      <c r="H55" s="255">
        <f>SUMIFS(Adjustments!$G:$G,Adjustments!$H:$H,"1",Adjustments!$I:$I,$G$9,Adjustments!$J:$J,$A55)</f>
        <v>0</v>
      </c>
      <c r="I55" s="266">
        <f t="shared" si="71"/>
        <v>0</v>
      </c>
      <c r="J55" s="148">
        <f>'As-Filed Schedule 1'!F54</f>
        <v>0</v>
      </c>
      <c r="K55" s="255">
        <f>SUMIFS(Adjustments!$G:$G,Adjustments!$H:$H,"1",Adjustments!$I:$I,$J$9,Adjustments!$J:$J,$A55)</f>
        <v>0</v>
      </c>
      <c r="L55" s="266">
        <f t="shared" si="72"/>
        <v>0</v>
      </c>
      <c r="M55" s="148">
        <f>'As-Filed Schedule 1'!G54</f>
        <v>0</v>
      </c>
      <c r="N55" s="255">
        <f>SUMIFS(Adjustments!$G:$G,Adjustments!$H:$H,"1",Adjustments!$I:$I,$M$9,Adjustments!$J:$J,$A55)</f>
        <v>0</v>
      </c>
      <c r="O55" s="266">
        <f t="shared" si="73"/>
        <v>0</v>
      </c>
      <c r="P55" s="148">
        <f>'As-Filed Schedule 1'!H54</f>
        <v>0</v>
      </c>
      <c r="Q55" s="255">
        <f>SUMIFS(Adjustments!$G:$G,Adjustments!$H:$H,"1",Adjustments!$I:$I,$P$9,Adjustments!$J:$J,$A55)</f>
        <v>0</v>
      </c>
      <c r="R55" s="266">
        <f t="shared" si="74"/>
        <v>0</v>
      </c>
      <c r="S55" s="148">
        <f>'As-Filed Schedule 1'!I54</f>
        <v>0</v>
      </c>
      <c r="T55" s="255">
        <f>SUMIFS(Adjustments!$G:$G,Adjustments!$H:$H,"1",Adjustments!$I:$I,$S$9,Adjustments!$J:$J,$A55)</f>
        <v>0</v>
      </c>
      <c r="U55" s="266">
        <f t="shared" si="75"/>
        <v>0</v>
      </c>
      <c r="V55" s="151">
        <f t="shared" si="76"/>
        <v>0</v>
      </c>
      <c r="W55" s="258">
        <f t="shared" si="77"/>
        <v>0</v>
      </c>
      <c r="X55" s="267">
        <f t="shared" si="78"/>
        <v>0</v>
      </c>
      <c r="Y55" s="131"/>
    </row>
    <row r="56" spans="1:25" s="22" customFormat="1" x14ac:dyDescent="0.35">
      <c r="A56" s="146">
        <v>30</v>
      </c>
      <c r="B56" s="531" t="s">
        <v>295</v>
      </c>
      <c r="C56" s="532"/>
      <c r="D56" s="532"/>
      <c r="E56" s="532"/>
      <c r="F56" s="533"/>
      <c r="G56" s="148">
        <f>'As-Filed Schedule 1'!E55</f>
        <v>659222.28500000003</v>
      </c>
      <c r="H56" s="255">
        <f>SUMIFS(Adjustments!$G:$G,Adjustments!$H:$H,"1",Adjustments!$I:$I,$G$9,Adjustments!$J:$J,$A56)</f>
        <v>0</v>
      </c>
      <c r="I56" s="266">
        <f t="shared" si="71"/>
        <v>659222.28500000003</v>
      </c>
      <c r="J56" s="148">
        <f>'As-Filed Schedule 1'!F55</f>
        <v>231297.80787581101</v>
      </c>
      <c r="K56" s="255">
        <f>SUMIFS(Adjustments!$G:$G,Adjustments!$H:$H,"1",Adjustments!$I:$I,$J$9,Adjustments!$J:$J,$A56)</f>
        <v>0</v>
      </c>
      <c r="L56" s="266">
        <f t="shared" si="72"/>
        <v>231297.80787581101</v>
      </c>
      <c r="M56" s="148">
        <f>'As-Filed Schedule 1'!G55</f>
        <v>55677.059822210496</v>
      </c>
      <c r="N56" s="255">
        <f>SUMIFS(Adjustments!$G:$G,Adjustments!$H:$H,"1",Adjustments!$I:$I,$M$9,Adjustments!$J:$J,$A56)</f>
        <v>0</v>
      </c>
      <c r="O56" s="266">
        <f t="shared" si="73"/>
        <v>55677.059822210496</v>
      </c>
      <c r="P56" s="148">
        <f>'As-Filed Schedule 1'!H55</f>
        <v>17639.972301978458</v>
      </c>
      <c r="Q56" s="255">
        <f>SUMIFS(Adjustments!$G:$G,Adjustments!$H:$H,"1",Adjustments!$I:$I,$P$9,Adjustments!$J:$J,$A56)</f>
        <v>0</v>
      </c>
      <c r="R56" s="266">
        <f t="shared" si="74"/>
        <v>17639.972301978458</v>
      </c>
      <c r="S56" s="148">
        <f>'As-Filed Schedule 1'!I55</f>
        <v>1487.6849999999997</v>
      </c>
      <c r="T56" s="255">
        <f>SUMIFS(Adjustments!$G:$G,Adjustments!$H:$H,"1",Adjustments!$I:$I,$S$9,Adjustments!$J:$J,$A56)</f>
        <v>0</v>
      </c>
      <c r="U56" s="266">
        <f t="shared" si="75"/>
        <v>1487.6849999999997</v>
      </c>
      <c r="V56" s="151">
        <f t="shared" si="76"/>
        <v>965324.81</v>
      </c>
      <c r="W56" s="258">
        <f t="shared" si="77"/>
        <v>0</v>
      </c>
      <c r="X56" s="267">
        <f t="shared" si="78"/>
        <v>965324.81</v>
      </c>
      <c r="Y56" s="131"/>
    </row>
    <row r="57" spans="1:25" s="22" customFormat="1" x14ac:dyDescent="0.35">
      <c r="A57" s="146">
        <v>31</v>
      </c>
      <c r="B57" s="531" t="s">
        <v>296</v>
      </c>
      <c r="C57" s="532"/>
      <c r="D57" s="532"/>
      <c r="E57" s="532"/>
      <c r="F57" s="533"/>
      <c r="G57" s="148">
        <f>'As-Filed Schedule 1'!E56</f>
        <v>0</v>
      </c>
      <c r="H57" s="255">
        <f>SUMIFS(Adjustments!$G:$G,Adjustments!$H:$H,"1",Adjustments!$I:$I,$G$9,Adjustments!$J:$J,$A57)</f>
        <v>0</v>
      </c>
      <c r="I57" s="266">
        <f t="shared" si="71"/>
        <v>0</v>
      </c>
      <c r="J57" s="148">
        <f>'As-Filed Schedule 1'!F56</f>
        <v>0</v>
      </c>
      <c r="K57" s="255">
        <f>SUMIFS(Adjustments!$G:$G,Adjustments!$H:$H,"1",Adjustments!$I:$I,$J$9,Adjustments!$J:$J,$A57)</f>
        <v>0</v>
      </c>
      <c r="L57" s="266">
        <f t="shared" si="72"/>
        <v>0</v>
      </c>
      <c r="M57" s="148">
        <f>'As-Filed Schedule 1'!G56</f>
        <v>0</v>
      </c>
      <c r="N57" s="255">
        <f>SUMIFS(Adjustments!$G:$G,Adjustments!$H:$H,"1",Adjustments!$I:$I,$M$9,Adjustments!$J:$J,$A57)</f>
        <v>0</v>
      </c>
      <c r="O57" s="266">
        <f t="shared" si="73"/>
        <v>0</v>
      </c>
      <c r="P57" s="148">
        <f>'As-Filed Schedule 1'!H56</f>
        <v>0</v>
      </c>
      <c r="Q57" s="255">
        <f>SUMIFS(Adjustments!$G:$G,Adjustments!$H:$H,"1",Adjustments!$I:$I,$P$9,Adjustments!$J:$J,$A57)</f>
        <v>0</v>
      </c>
      <c r="R57" s="266">
        <f t="shared" si="74"/>
        <v>0</v>
      </c>
      <c r="S57" s="148">
        <f>'As-Filed Schedule 1'!I56</f>
        <v>0</v>
      </c>
      <c r="T57" s="255">
        <f>SUMIFS(Adjustments!$G:$G,Adjustments!$H:$H,"1",Adjustments!$I:$I,$S$9,Adjustments!$J:$J,$A57)</f>
        <v>0</v>
      </c>
      <c r="U57" s="266">
        <f t="shared" si="75"/>
        <v>0</v>
      </c>
      <c r="V57" s="151">
        <f t="shared" si="76"/>
        <v>0</v>
      </c>
      <c r="W57" s="258">
        <f t="shared" si="77"/>
        <v>0</v>
      </c>
      <c r="X57" s="267">
        <f t="shared" si="78"/>
        <v>0</v>
      </c>
      <c r="Y57" s="131"/>
    </row>
    <row r="58" spans="1:25" s="22" customFormat="1" x14ac:dyDescent="0.35">
      <c r="A58" s="146">
        <v>32</v>
      </c>
      <c r="B58" s="537" t="s">
        <v>231</v>
      </c>
      <c r="C58" s="538"/>
      <c r="D58" s="538"/>
      <c r="E58" s="538"/>
      <c r="F58" s="539"/>
      <c r="G58" s="151">
        <f>SUM(G54:G57)</f>
        <v>6551349.7324999999</v>
      </c>
      <c r="H58" s="151">
        <f t="shared" ref="H58:I58" si="79">SUM(H54:H57)</f>
        <v>0</v>
      </c>
      <c r="I58" s="151">
        <f t="shared" si="79"/>
        <v>6551349.7324999999</v>
      </c>
      <c r="J58" s="151">
        <f>SUM(J54:J57)</f>
        <v>518682.24303507496</v>
      </c>
      <c r="K58" s="151">
        <f t="shared" ref="K58:L58" si="80">SUM(K54:K57)</f>
        <v>0</v>
      </c>
      <c r="L58" s="151">
        <f t="shared" si="80"/>
        <v>518682.24303507496</v>
      </c>
      <c r="M58" s="151">
        <f>SUM(M54:M57)</f>
        <v>96599.108200529154</v>
      </c>
      <c r="N58" s="151">
        <f t="shared" ref="N58:O58" si="81">SUM(N54:N57)</f>
        <v>0</v>
      </c>
      <c r="O58" s="151">
        <f t="shared" si="81"/>
        <v>96599.108200529154</v>
      </c>
      <c r="P58" s="151">
        <f>SUM(P54:P57)</f>
        <v>43641.858764395896</v>
      </c>
      <c r="Q58" s="151">
        <f t="shared" ref="Q58:R58" si="82">SUM(Q54:Q57)</f>
        <v>0</v>
      </c>
      <c r="R58" s="151">
        <f t="shared" si="82"/>
        <v>43641.858764395896</v>
      </c>
      <c r="S58" s="151">
        <f>SUM(S54:S57)</f>
        <v>1669.6274999999996</v>
      </c>
      <c r="T58" s="151">
        <f t="shared" ref="T58:U58" si="83">SUM(T54:T57)</f>
        <v>0</v>
      </c>
      <c r="U58" s="151">
        <f t="shared" si="83"/>
        <v>1669.6274999999996</v>
      </c>
      <c r="V58" s="151">
        <f t="shared" si="76"/>
        <v>7211942.5700000012</v>
      </c>
      <c r="W58" s="258">
        <f t="shared" si="77"/>
        <v>0</v>
      </c>
      <c r="X58" s="267">
        <f t="shared" si="78"/>
        <v>7211942.5700000012</v>
      </c>
      <c r="Y58" s="131"/>
    </row>
    <row r="59" spans="1:25" s="22" customFormat="1" x14ac:dyDescent="0.35">
      <c r="A59" s="152"/>
      <c r="B59" s="153"/>
      <c r="C59" s="153"/>
      <c r="D59" s="154"/>
      <c r="E59" s="256"/>
      <c r="F59" s="265"/>
      <c r="G59" s="155"/>
      <c r="H59" s="259"/>
      <c r="I59" s="268"/>
      <c r="J59" s="155"/>
      <c r="K59" s="259"/>
      <c r="L59" s="268"/>
      <c r="M59" s="155"/>
      <c r="N59" s="259"/>
      <c r="O59" s="268"/>
      <c r="P59" s="155"/>
      <c r="Q59" s="259"/>
      <c r="R59" s="268"/>
      <c r="S59" s="155"/>
      <c r="T59" s="259"/>
      <c r="U59" s="268"/>
      <c r="V59" s="155"/>
      <c r="W59" s="259"/>
      <c r="X59" s="268"/>
      <c r="Y59" s="131"/>
    </row>
    <row r="60" spans="1:25" s="22" customFormat="1" x14ac:dyDescent="0.35">
      <c r="A60" s="540" t="s">
        <v>232</v>
      </c>
      <c r="B60" s="541"/>
      <c r="C60" s="541"/>
      <c r="D60" s="541"/>
      <c r="E60" s="541"/>
      <c r="F60" s="541"/>
      <c r="G60" s="541"/>
      <c r="H60" s="541"/>
      <c r="I60" s="541"/>
      <c r="J60" s="541"/>
      <c r="K60" s="541"/>
      <c r="L60" s="541"/>
      <c r="M60" s="541"/>
      <c r="N60" s="541"/>
      <c r="O60" s="541"/>
      <c r="P60" s="541"/>
      <c r="Q60" s="541"/>
      <c r="R60" s="541"/>
      <c r="S60" s="541"/>
      <c r="T60" s="541"/>
      <c r="U60" s="541"/>
      <c r="V60" s="541"/>
      <c r="W60" s="541"/>
      <c r="X60" s="542"/>
      <c r="Y60" s="131"/>
    </row>
    <row r="61" spans="1:25" s="22" customFormat="1" x14ac:dyDescent="0.35">
      <c r="A61" s="146">
        <v>33</v>
      </c>
      <c r="B61" s="613" t="s">
        <v>297</v>
      </c>
      <c r="C61" s="614"/>
      <c r="D61" s="614"/>
      <c r="E61" s="614"/>
      <c r="F61" s="615"/>
      <c r="G61" s="148">
        <f>'As-Filed Schedule 1'!E60</f>
        <v>60147.9</v>
      </c>
      <c r="H61" s="255">
        <f>SUMIFS(Adjustments!$G:$G,Adjustments!$H:$H,"1",Adjustments!$I:$I,$G$9,Adjustments!$J:$J,$A61)</f>
        <v>0</v>
      </c>
      <c r="I61" s="266">
        <f t="shared" ref="I61:I67" si="84">SUM(G61:H61)</f>
        <v>60147.9</v>
      </c>
      <c r="J61" s="148">
        <f>'As-Filed Schedule 1'!F60</f>
        <v>316544.36675907444</v>
      </c>
      <c r="K61" s="255">
        <f>SUMIFS(Adjustments!$G:$G,Adjustments!$H:$H,"1",Adjustments!$I:$I,$J$9,Adjustments!$J:$J,$A61)</f>
        <v>0</v>
      </c>
      <c r="L61" s="266">
        <f t="shared" ref="L61:L67" si="85">SUM(J61:K61)</f>
        <v>316544.36675907444</v>
      </c>
      <c r="M61" s="148">
        <f>'As-Filed Schedule 1'!G60</f>
        <v>234721.2</v>
      </c>
      <c r="N61" s="255">
        <f>SUMIFS(Adjustments!$G:$G,Adjustments!$H:$H,"1",Adjustments!$I:$I,$M$9,Adjustments!$J:$J,$A61)</f>
        <v>0</v>
      </c>
      <c r="O61" s="266">
        <f t="shared" ref="O61:O67" si="86">SUM(M61:N61)</f>
        <v>234721.2</v>
      </c>
      <c r="P61" s="148">
        <f>'As-Filed Schedule 1'!H60</f>
        <v>2914.743240925588</v>
      </c>
      <c r="Q61" s="255">
        <f>SUMIFS(Adjustments!$G:$G,Adjustments!$H:$H,"1",Adjustments!$I:$I,$P$9,Adjustments!$J:$J,$A61)</f>
        <v>0</v>
      </c>
      <c r="R61" s="266">
        <f t="shared" ref="R61:R67" si="87">SUM(P61:Q61)</f>
        <v>2914.743240925588</v>
      </c>
      <c r="S61" s="148">
        <f>'As-Filed Schedule 1'!I60</f>
        <v>0</v>
      </c>
      <c r="T61" s="255">
        <f>SUMIFS(Adjustments!$G:$G,Adjustments!$H:$H,"1",Adjustments!$I:$I,$S$9,Adjustments!$J:$J,$A61)</f>
        <v>0</v>
      </c>
      <c r="U61" s="266">
        <f t="shared" ref="U61:U67" si="88">SUM(S61:T61)</f>
        <v>0</v>
      </c>
      <c r="V61" s="151">
        <f t="shared" ref="V61:V68" si="89">SUM(G61,J61,M61,P61,S61)</f>
        <v>614328.21000000008</v>
      </c>
      <c r="W61" s="258">
        <f t="shared" ref="W61:W68" si="90">SUM(,H61,K61,N61,Q61,T61)</f>
        <v>0</v>
      </c>
      <c r="X61" s="267">
        <f t="shared" ref="X61:X68" si="91">SUM(I61,L61,O61,R61,U61)</f>
        <v>614328.21000000008</v>
      </c>
      <c r="Y61" s="131"/>
    </row>
    <row r="62" spans="1:25" s="22" customFormat="1" x14ac:dyDescent="0.35">
      <c r="A62" s="146">
        <v>34</v>
      </c>
      <c r="B62" s="613" t="s">
        <v>298</v>
      </c>
      <c r="C62" s="614"/>
      <c r="D62" s="614"/>
      <c r="E62" s="614"/>
      <c r="F62" s="615"/>
      <c r="G62" s="148">
        <f>'As-Filed Schedule 1'!E61</f>
        <v>1287682.6524999999</v>
      </c>
      <c r="H62" s="255">
        <f>SUMIFS(Adjustments!$G:$G,Adjustments!$H:$H,"1",Adjustments!$I:$I,$G$9,Adjustments!$J:$J,$A62)</f>
        <v>0</v>
      </c>
      <c r="I62" s="266">
        <f t="shared" si="84"/>
        <v>1287682.6524999999</v>
      </c>
      <c r="J62" s="148">
        <f>'As-Filed Schedule 1'!F61</f>
        <v>1402110.4268432891</v>
      </c>
      <c r="K62" s="255">
        <f>SUMIFS(Adjustments!$G:$G,Adjustments!$H:$H,"1",Adjustments!$I:$I,$J$9,Adjustments!$J:$J,$A62)</f>
        <v>6327</v>
      </c>
      <c r="L62" s="266">
        <f t="shared" si="85"/>
        <v>1408437.4268432891</v>
      </c>
      <c r="M62" s="148">
        <f>'As-Filed Schedule 1'!G61</f>
        <v>1054169.2295526569</v>
      </c>
      <c r="N62" s="255">
        <f>SUMIFS(Adjustments!$G:$G,Adjustments!$H:$H,"1",Adjustments!$I:$I,$M$9,Adjustments!$J:$J,$A62)</f>
        <v>0</v>
      </c>
      <c r="O62" s="266">
        <f t="shared" si="86"/>
        <v>1054169.2295526569</v>
      </c>
      <c r="P62" s="148">
        <f>'As-Filed Schedule 1'!H61</f>
        <v>167787.95360405406</v>
      </c>
      <c r="Q62" s="255">
        <f>SUMIFS(Adjustments!$G:$G,Adjustments!$H:$H,"1",Adjustments!$I:$I,$P$9,Adjustments!$J:$J,$A62)</f>
        <v>-6327</v>
      </c>
      <c r="R62" s="266">
        <f t="shared" si="87"/>
        <v>161460.95360405406</v>
      </c>
      <c r="S62" s="148">
        <f>'As-Filed Schedule 1'!I61</f>
        <v>11861.227500000001</v>
      </c>
      <c r="T62" s="255">
        <f>SUMIFS(Adjustments!$G:$G,Adjustments!$H:$H,"1",Adjustments!$I:$I,$S$9,Adjustments!$J:$J,$A62)</f>
        <v>0</v>
      </c>
      <c r="U62" s="266">
        <f t="shared" si="88"/>
        <v>11861.227500000001</v>
      </c>
      <c r="V62" s="151">
        <f t="shared" si="89"/>
        <v>3923611.49</v>
      </c>
      <c r="W62" s="258">
        <f t="shared" si="90"/>
        <v>0</v>
      </c>
      <c r="X62" s="267">
        <f t="shared" si="91"/>
        <v>3923611.49</v>
      </c>
      <c r="Y62" s="131"/>
    </row>
    <row r="63" spans="1:25" s="22" customFormat="1" x14ac:dyDescent="0.35">
      <c r="A63" s="146">
        <v>35</v>
      </c>
      <c r="B63" s="613" t="s">
        <v>302</v>
      </c>
      <c r="C63" s="614"/>
      <c r="D63" s="614"/>
      <c r="E63" s="614"/>
      <c r="F63" s="615"/>
      <c r="G63" s="148">
        <f>'As-Filed Schedule 1'!E62</f>
        <v>22519.14</v>
      </c>
      <c r="H63" s="255">
        <f>SUMIFS(Adjustments!$G:$G,Adjustments!$H:$H,"1",Adjustments!$I:$I,$G$9,Adjustments!$J:$J,$A63)</f>
        <v>0</v>
      </c>
      <c r="I63" s="266">
        <f t="shared" si="84"/>
        <v>22519.14</v>
      </c>
      <c r="J63" s="148">
        <f>'As-Filed Schedule 1'!F62</f>
        <v>907948.72826395556</v>
      </c>
      <c r="K63" s="255">
        <f>SUMIFS(Adjustments!$G:$G,Adjustments!$H:$H,"1",Adjustments!$I:$I,$J$9,Adjustments!$J:$J,$A63)</f>
        <v>0</v>
      </c>
      <c r="L63" s="266">
        <f t="shared" si="85"/>
        <v>907948.72826395556</v>
      </c>
      <c r="M63" s="148">
        <f>'As-Filed Schedule 1'!G62</f>
        <v>111448.18386532011</v>
      </c>
      <c r="N63" s="255">
        <f>SUMIFS(Adjustments!$G:$G,Adjustments!$H:$H,"1",Adjustments!$I:$I,$M$9,Adjustments!$J:$J,$A63)</f>
        <v>0</v>
      </c>
      <c r="O63" s="266">
        <f t="shared" si="86"/>
        <v>111448.18386532011</v>
      </c>
      <c r="P63" s="148">
        <f>'As-Filed Schedule 1'!H62</f>
        <v>85124.70787072432</v>
      </c>
      <c r="Q63" s="255">
        <f>SUMIFS(Adjustments!$G:$G,Adjustments!$H:$H,"1",Adjustments!$I:$I,$P$9,Adjustments!$J:$J,$A63)</f>
        <v>0</v>
      </c>
      <c r="R63" s="266">
        <f t="shared" si="87"/>
        <v>85124.70787072432</v>
      </c>
      <c r="S63" s="148">
        <f>'As-Filed Schedule 1'!I62</f>
        <v>616.96000000000015</v>
      </c>
      <c r="T63" s="255">
        <f>SUMIFS(Adjustments!$G:$G,Adjustments!$H:$H,"1",Adjustments!$I:$I,$S$9,Adjustments!$J:$J,$A63)</f>
        <v>0</v>
      </c>
      <c r="U63" s="266">
        <f t="shared" si="88"/>
        <v>616.96000000000015</v>
      </c>
      <c r="V63" s="151">
        <f t="shared" si="89"/>
        <v>1127657.72</v>
      </c>
      <c r="W63" s="258">
        <f t="shared" si="90"/>
        <v>0</v>
      </c>
      <c r="X63" s="267">
        <f t="shared" si="91"/>
        <v>1127657.72</v>
      </c>
      <c r="Y63" s="131"/>
    </row>
    <row r="64" spans="1:25" s="22" customFormat="1" x14ac:dyDescent="0.35">
      <c r="A64" s="146">
        <v>36</v>
      </c>
      <c r="B64" s="613" t="s">
        <v>315</v>
      </c>
      <c r="C64" s="614"/>
      <c r="D64" s="614"/>
      <c r="E64" s="614"/>
      <c r="F64" s="615"/>
      <c r="G64" s="148">
        <f>'As-Filed Schedule 1'!E63</f>
        <v>83904.062499999971</v>
      </c>
      <c r="H64" s="255">
        <f>SUMIFS(Adjustments!$G:$G,Adjustments!$H:$H,"1",Adjustments!$I:$I,$G$9,Adjustments!$J:$J,$A64)</f>
        <v>0</v>
      </c>
      <c r="I64" s="266">
        <f t="shared" si="84"/>
        <v>83904.062499999971</v>
      </c>
      <c r="J64" s="148">
        <f>'As-Filed Schedule 1'!F63</f>
        <v>484652.3416388685</v>
      </c>
      <c r="K64" s="255">
        <f>SUMIFS(Adjustments!$G:$G,Adjustments!$H:$H,"1",Adjustments!$I:$I,$J$9,Adjustments!$J:$J,$A64)</f>
        <v>0</v>
      </c>
      <c r="L64" s="266">
        <f t="shared" si="85"/>
        <v>484652.3416388685</v>
      </c>
      <c r="M64" s="148">
        <f>'As-Filed Schedule 1'!G63</f>
        <v>447340.97015390452</v>
      </c>
      <c r="N64" s="255">
        <f>SUMIFS(Adjustments!$G:$G,Adjustments!$H:$H,"1",Adjustments!$I:$I,$M$9,Adjustments!$J:$J,$A64)</f>
        <v>0</v>
      </c>
      <c r="O64" s="266">
        <f t="shared" si="86"/>
        <v>447340.97015390452</v>
      </c>
      <c r="P64" s="148">
        <f>'As-Filed Schedule 1'!H63</f>
        <v>32538.748207227021</v>
      </c>
      <c r="Q64" s="255">
        <f>SUMIFS(Adjustments!$G:$G,Adjustments!$H:$H,"1",Adjustments!$I:$I,$P$9,Adjustments!$J:$J,$A64)</f>
        <v>0</v>
      </c>
      <c r="R64" s="266">
        <f t="shared" si="87"/>
        <v>32538.748207227021</v>
      </c>
      <c r="S64" s="148">
        <f>'As-Filed Schedule 1'!I63</f>
        <v>1968.7075</v>
      </c>
      <c r="T64" s="255">
        <f>SUMIFS(Adjustments!$G:$G,Adjustments!$H:$H,"1",Adjustments!$I:$I,$S$9,Adjustments!$J:$J,$A64)</f>
        <v>0</v>
      </c>
      <c r="U64" s="266">
        <f t="shared" si="88"/>
        <v>1968.7075</v>
      </c>
      <c r="V64" s="151">
        <f t="shared" si="89"/>
        <v>1050404.8299999998</v>
      </c>
      <c r="W64" s="258">
        <f t="shared" si="90"/>
        <v>0</v>
      </c>
      <c r="X64" s="267">
        <f t="shared" si="91"/>
        <v>1050404.8299999998</v>
      </c>
      <c r="Y64" s="131"/>
    </row>
    <row r="65" spans="1:25" s="22" customFormat="1" x14ac:dyDescent="0.35">
      <c r="A65" s="146">
        <v>37</v>
      </c>
      <c r="B65" s="613" t="s">
        <v>316</v>
      </c>
      <c r="C65" s="614"/>
      <c r="D65" s="614"/>
      <c r="E65" s="614"/>
      <c r="F65" s="615"/>
      <c r="G65" s="148">
        <f>'As-Filed Schedule 1'!E64</f>
        <v>300814.84250000003</v>
      </c>
      <c r="H65" s="255">
        <f>SUMIFS(Adjustments!$G:$G,Adjustments!$H:$H,"1",Adjustments!$I:$I,$G$9,Adjustments!$J:$J,$A65)</f>
        <v>0</v>
      </c>
      <c r="I65" s="266">
        <f t="shared" si="84"/>
        <v>300814.84250000003</v>
      </c>
      <c r="J65" s="148">
        <f>'As-Filed Schedule 1'!F64</f>
        <v>1079534.2058546327</v>
      </c>
      <c r="K65" s="255">
        <f>SUMIFS(Adjustments!$G:$G,Adjustments!$H:$H,"1",Adjustments!$I:$I,$J$9,Adjustments!$J:$J,$A65)</f>
        <v>0</v>
      </c>
      <c r="L65" s="266">
        <f t="shared" si="85"/>
        <v>1079534.2058546327</v>
      </c>
      <c r="M65" s="148">
        <f>'As-Filed Schedule 1'!G64</f>
        <v>1556842.6043410343</v>
      </c>
      <c r="N65" s="255">
        <f>SUMIFS(Adjustments!$G:$G,Adjustments!$H:$H,"1",Adjustments!$I:$I,$M$9,Adjustments!$J:$J,$A65)</f>
        <v>0</v>
      </c>
      <c r="O65" s="266">
        <f t="shared" si="86"/>
        <v>1556842.6043410343</v>
      </c>
      <c r="P65" s="148">
        <f>'As-Filed Schedule 1'!H64</f>
        <v>85709.45980433299</v>
      </c>
      <c r="Q65" s="255">
        <f>SUMIFS(Adjustments!$G:$G,Adjustments!$H:$H,"1",Adjustments!$I:$I,$P$9,Adjustments!$J:$J,$A65)</f>
        <v>0</v>
      </c>
      <c r="R65" s="266">
        <f t="shared" si="87"/>
        <v>85709.45980433299</v>
      </c>
      <c r="S65" s="148">
        <f>'As-Filed Schedule 1'!I64</f>
        <v>4067.8775000000001</v>
      </c>
      <c r="T65" s="255">
        <f>SUMIFS(Adjustments!$G:$G,Adjustments!$H:$H,"1",Adjustments!$I:$I,$S$9,Adjustments!$J:$J,$A65)</f>
        <v>0</v>
      </c>
      <c r="U65" s="266">
        <f t="shared" si="88"/>
        <v>4067.8775000000001</v>
      </c>
      <c r="V65" s="151">
        <f t="shared" si="89"/>
        <v>3026968.9899999998</v>
      </c>
      <c r="W65" s="258">
        <f t="shared" si="90"/>
        <v>0</v>
      </c>
      <c r="X65" s="267">
        <f t="shared" si="91"/>
        <v>3026968.9899999998</v>
      </c>
      <c r="Y65" s="131"/>
    </row>
    <row r="66" spans="1:25" s="22" customFormat="1" x14ac:dyDescent="0.35">
      <c r="A66" s="146">
        <v>38</v>
      </c>
      <c r="B66" s="613" t="s">
        <v>317</v>
      </c>
      <c r="C66" s="614"/>
      <c r="D66" s="614"/>
      <c r="E66" s="614"/>
      <c r="F66" s="615"/>
      <c r="G66" s="148">
        <f>'As-Filed Schedule 1'!E65</f>
        <v>12941.3</v>
      </c>
      <c r="H66" s="255">
        <f>SUMIFS(Adjustments!$G:$G,Adjustments!$H:$H,"1",Adjustments!$I:$I,$G$9,Adjustments!$J:$J,$A66)</f>
        <v>0</v>
      </c>
      <c r="I66" s="266">
        <f t="shared" si="84"/>
        <v>12941.3</v>
      </c>
      <c r="J66" s="148">
        <f>'As-Filed Schedule 1'!F65</f>
        <v>83592.200074026143</v>
      </c>
      <c r="K66" s="255">
        <f>SUMIFS(Adjustments!$G:$G,Adjustments!$H:$H,"1",Adjustments!$I:$I,$J$9,Adjustments!$J:$J,$A66)</f>
        <v>0</v>
      </c>
      <c r="L66" s="266">
        <f t="shared" si="85"/>
        <v>83592.200074026143</v>
      </c>
      <c r="M66" s="148">
        <f>'As-Filed Schedule 1'!G65</f>
        <v>71742.97544615333</v>
      </c>
      <c r="N66" s="255">
        <f>SUMIFS(Adjustments!$G:$G,Adjustments!$H:$H,"1",Adjustments!$I:$I,$M$9,Adjustments!$J:$J,$A66)</f>
        <v>0</v>
      </c>
      <c r="O66" s="266">
        <f t="shared" si="86"/>
        <v>71742.97544615333</v>
      </c>
      <c r="P66" s="148">
        <f>'As-Filed Schedule 1'!H65</f>
        <v>9172.9144798205198</v>
      </c>
      <c r="Q66" s="255">
        <f>SUMIFS(Adjustments!$G:$G,Adjustments!$H:$H,"1",Adjustments!$I:$I,$P$9,Adjustments!$J:$J,$A66)</f>
        <v>0</v>
      </c>
      <c r="R66" s="266">
        <f t="shared" si="87"/>
        <v>9172.9144798205198</v>
      </c>
      <c r="S66" s="148">
        <f>'As-Filed Schedule 1'!I65</f>
        <v>336.63000000000005</v>
      </c>
      <c r="T66" s="255">
        <f>SUMIFS(Adjustments!$G:$G,Adjustments!$H:$H,"1",Adjustments!$I:$I,$S$9,Adjustments!$J:$J,$A66)</f>
        <v>0</v>
      </c>
      <c r="U66" s="266">
        <f t="shared" si="88"/>
        <v>336.63000000000005</v>
      </c>
      <c r="V66" s="151">
        <f t="shared" si="89"/>
        <v>177786.02000000002</v>
      </c>
      <c r="W66" s="258">
        <f t="shared" si="90"/>
        <v>0</v>
      </c>
      <c r="X66" s="267">
        <f t="shared" si="91"/>
        <v>177786.02000000002</v>
      </c>
      <c r="Y66" s="131"/>
    </row>
    <row r="67" spans="1:25" s="22" customFormat="1" x14ac:dyDescent="0.35">
      <c r="A67" s="146">
        <v>39</v>
      </c>
      <c r="B67" s="613" t="s">
        <v>299</v>
      </c>
      <c r="C67" s="614"/>
      <c r="D67" s="614"/>
      <c r="E67" s="614"/>
      <c r="F67" s="615"/>
      <c r="G67" s="148">
        <f>'As-Filed Schedule 1'!E66</f>
        <v>212113.14999999991</v>
      </c>
      <c r="H67" s="255">
        <f>SUMIFS(Adjustments!$G:$G,Adjustments!$H:$H,"1",Adjustments!$I:$I,$G$9,Adjustments!$J:$J,$A67)</f>
        <v>0</v>
      </c>
      <c r="I67" s="266">
        <f t="shared" si="84"/>
        <v>212113.14999999991</v>
      </c>
      <c r="J67" s="148">
        <f>'As-Filed Schedule 1'!F66</f>
        <v>1691658.3704661452</v>
      </c>
      <c r="K67" s="255">
        <f>SUMIFS(Adjustments!$G:$G,Adjustments!$H:$H,"1",Adjustments!$I:$I,$J$9,Adjustments!$J:$J,$A67)</f>
        <v>17865</v>
      </c>
      <c r="L67" s="266">
        <f t="shared" si="85"/>
        <v>1709523.3704661452</v>
      </c>
      <c r="M67" s="148">
        <f>'As-Filed Schedule 1'!G66</f>
        <v>933145.52365964372</v>
      </c>
      <c r="N67" s="255">
        <f>SUMIFS(Adjustments!$G:$G,Adjustments!$H:$H,"1",Adjustments!$I:$I,$M$9,Adjustments!$J:$J,$A67)</f>
        <v>0</v>
      </c>
      <c r="O67" s="266">
        <f t="shared" si="86"/>
        <v>933145.52365964372</v>
      </c>
      <c r="P67" s="148">
        <f>'As-Filed Schedule 1'!H66</f>
        <v>267298.64587421063</v>
      </c>
      <c r="Q67" s="255">
        <f>SUMIFS(Adjustments!$G:$G,Adjustments!$H:$H,"1",Adjustments!$I:$I,$P$9,Adjustments!$J:$J,$A67)</f>
        <v>-17865</v>
      </c>
      <c r="R67" s="266">
        <f t="shared" si="87"/>
        <v>249433.64587421063</v>
      </c>
      <c r="S67" s="148">
        <f>'As-Filed Schedule 1'!I66</f>
        <v>3360.29</v>
      </c>
      <c r="T67" s="255">
        <f>SUMIFS(Adjustments!$G:$G,Adjustments!$H:$H,"1",Adjustments!$I:$I,$S$9,Adjustments!$J:$J,$A67)</f>
        <v>0</v>
      </c>
      <c r="U67" s="266">
        <f t="shared" si="88"/>
        <v>3360.29</v>
      </c>
      <c r="V67" s="151">
        <f t="shared" si="89"/>
        <v>3107575.9799999995</v>
      </c>
      <c r="W67" s="258">
        <f t="shared" si="90"/>
        <v>0</v>
      </c>
      <c r="X67" s="267">
        <f t="shared" si="91"/>
        <v>3107575.9799999995</v>
      </c>
      <c r="Y67" s="131"/>
    </row>
    <row r="68" spans="1:25" s="22" customFormat="1" x14ac:dyDescent="0.35">
      <c r="A68" s="146">
        <v>40</v>
      </c>
      <c r="B68" s="610" t="s">
        <v>237</v>
      </c>
      <c r="C68" s="611"/>
      <c r="D68" s="611"/>
      <c r="E68" s="611"/>
      <c r="F68" s="612"/>
      <c r="G68" s="151">
        <f>SUM(G61:G67)</f>
        <v>1980123.0474999996</v>
      </c>
      <c r="H68" s="151">
        <f>SUM(H61:H67)</f>
        <v>0</v>
      </c>
      <c r="I68" s="151">
        <f>SUM(I61:I67)</f>
        <v>1980123.0474999996</v>
      </c>
      <c r="J68" s="151">
        <f>SUM(J61:J67)</f>
        <v>5966040.6398999915</v>
      </c>
      <c r="K68" s="151">
        <f t="shared" ref="K68:L68" si="92">SUM(K61:K67)</f>
        <v>24192</v>
      </c>
      <c r="L68" s="151">
        <f t="shared" si="92"/>
        <v>5990232.6398999915</v>
      </c>
      <c r="M68" s="151">
        <f>SUM(M61:M67)</f>
        <v>4409410.687018713</v>
      </c>
      <c r="N68" s="151">
        <f t="shared" ref="N68:O68" si="93">SUM(N61:N67)</f>
        <v>0</v>
      </c>
      <c r="O68" s="151">
        <f t="shared" si="93"/>
        <v>4409410.687018713</v>
      </c>
      <c r="P68" s="151">
        <f>SUM(P61:P67)</f>
        <v>650547.1730812951</v>
      </c>
      <c r="Q68" s="151">
        <f>SUM(Q61:Q67)</f>
        <v>-24192</v>
      </c>
      <c r="R68" s="151">
        <f>SUM(R61:R67)</f>
        <v>626355.1730812951</v>
      </c>
      <c r="S68" s="151">
        <f>SUM(S61:S67)</f>
        <v>22211.692500000005</v>
      </c>
      <c r="T68" s="151">
        <f t="shared" ref="T68:U68" si="94">SUM(T61:T67)</f>
        <v>0</v>
      </c>
      <c r="U68" s="151">
        <f t="shared" si="94"/>
        <v>22211.692500000005</v>
      </c>
      <c r="V68" s="151">
        <f t="shared" si="89"/>
        <v>13028333.24</v>
      </c>
      <c r="W68" s="258">
        <f t="shared" si="90"/>
        <v>0</v>
      </c>
      <c r="X68" s="267">
        <f t="shared" si="91"/>
        <v>13028333.24</v>
      </c>
      <c r="Y68" s="131"/>
    </row>
    <row r="69" spans="1:25" s="22" customFormat="1" x14ac:dyDescent="0.35">
      <c r="A69" s="152"/>
      <c r="B69" s="153"/>
      <c r="C69" s="153"/>
      <c r="D69" s="154"/>
      <c r="E69" s="256"/>
      <c r="F69" s="265"/>
      <c r="G69" s="155"/>
      <c r="H69" s="259"/>
      <c r="I69" s="268"/>
      <c r="J69" s="155"/>
      <c r="K69" s="259"/>
      <c r="L69" s="268"/>
      <c r="M69" s="155"/>
      <c r="N69" s="259"/>
      <c r="O69" s="268"/>
      <c r="P69" s="155"/>
      <c r="Q69" s="259"/>
      <c r="R69" s="268"/>
      <c r="S69" s="155"/>
      <c r="T69" s="259"/>
      <c r="U69" s="268"/>
      <c r="V69" s="155"/>
      <c r="W69" s="259"/>
      <c r="X69" s="268"/>
      <c r="Y69" s="131"/>
    </row>
    <row r="70" spans="1:25" s="22" customFormat="1" x14ac:dyDescent="0.35">
      <c r="A70" s="540" t="s">
        <v>236</v>
      </c>
      <c r="B70" s="541"/>
      <c r="C70" s="541"/>
      <c r="D70" s="541"/>
      <c r="E70" s="541"/>
      <c r="F70" s="541"/>
      <c r="G70" s="541"/>
      <c r="H70" s="541"/>
      <c r="I70" s="541"/>
      <c r="J70" s="541"/>
      <c r="K70" s="541"/>
      <c r="L70" s="541"/>
      <c r="M70" s="541"/>
      <c r="N70" s="541"/>
      <c r="O70" s="541"/>
      <c r="P70" s="541"/>
      <c r="Q70" s="541"/>
      <c r="R70" s="541"/>
      <c r="S70" s="541"/>
      <c r="T70" s="541"/>
      <c r="U70" s="541"/>
      <c r="V70" s="541"/>
      <c r="W70" s="541"/>
      <c r="X70" s="542"/>
      <c r="Y70" s="131"/>
    </row>
    <row r="71" spans="1:25" s="22" customFormat="1" x14ac:dyDescent="0.35">
      <c r="A71" s="146">
        <v>41</v>
      </c>
      <c r="B71" s="531" t="s">
        <v>239</v>
      </c>
      <c r="C71" s="532"/>
      <c r="D71" s="532"/>
      <c r="E71" s="532"/>
      <c r="F71" s="533"/>
      <c r="G71" s="148">
        <f>'As-Filed Schedule 1'!E70</f>
        <v>57465.157499999994</v>
      </c>
      <c r="H71" s="255">
        <f>SUMIFS(Adjustments!$G:$G,Adjustments!$H:$H,"1",Adjustments!$I:$I,$G$9,Adjustments!$J:$J,$A71)</f>
        <v>0</v>
      </c>
      <c r="I71" s="266">
        <f t="shared" ref="I71:I78" si="95">SUM(G71:H71)</f>
        <v>57465.157499999994</v>
      </c>
      <c r="J71" s="148">
        <f>'As-Filed Schedule 1'!F70</f>
        <v>5382.8271178613868</v>
      </c>
      <c r="K71" s="255">
        <f>SUMIFS(Adjustments!$G:$G,Adjustments!$H:$H,"1",Adjustments!$I:$I,$J$9,Adjustments!$J:$J,$A71)</f>
        <v>0</v>
      </c>
      <c r="L71" s="266">
        <f t="shared" ref="L71:L78" si="96">SUM(J71:K71)</f>
        <v>5382.8271178613868</v>
      </c>
      <c r="M71" s="148">
        <f>'As-Filed Schedule 1'!G70</f>
        <v>435.77000000000004</v>
      </c>
      <c r="N71" s="255">
        <f>SUMIFS(Adjustments!$G:$G,Adjustments!$H:$H,"1",Adjustments!$I:$I,$M$9,Adjustments!$J:$J,$A71)</f>
        <v>0</v>
      </c>
      <c r="O71" s="266">
        <f t="shared" ref="O71:O78" si="97">SUM(M71:N71)</f>
        <v>435.77000000000004</v>
      </c>
      <c r="P71" s="148">
        <f>'As-Filed Schedule 1'!H70</f>
        <v>570.30288213861377</v>
      </c>
      <c r="Q71" s="255">
        <f>SUMIFS(Adjustments!$G:$G,Adjustments!$H:$H,"1",Adjustments!$I:$I,$P$9,Adjustments!$J:$J,$A71)</f>
        <v>0</v>
      </c>
      <c r="R71" s="266">
        <f t="shared" ref="R71:R78" si="98">SUM(P71:Q71)</f>
        <v>570.30288213861377</v>
      </c>
      <c r="S71" s="148">
        <f>'As-Filed Schedule 1'!I70</f>
        <v>7150.7924999999996</v>
      </c>
      <c r="T71" s="255">
        <f>SUMIFS(Adjustments!$G:$G,Adjustments!$H:$H,"1",Adjustments!$I:$I,$S$9,Adjustments!$J:$J,$A71)</f>
        <v>0</v>
      </c>
      <c r="U71" s="266">
        <f t="shared" ref="U71:U78" si="99">SUM(S71:T71)</f>
        <v>7150.7924999999996</v>
      </c>
      <c r="V71" s="151">
        <f t="shared" ref="V71:V79" si="100">SUM(G71,J71,M71,P71,S71)</f>
        <v>71004.849999999991</v>
      </c>
      <c r="W71" s="258">
        <f t="shared" ref="W71:W79" si="101">SUM(,H71,K71,N71,Q71,T71)</f>
        <v>0</v>
      </c>
      <c r="X71" s="267">
        <f t="shared" ref="X71:X79" si="102">SUM(I71,L71,O71,R71,U71)</f>
        <v>71004.849999999991</v>
      </c>
      <c r="Y71" s="131"/>
    </row>
    <row r="72" spans="1:25" s="22" customFormat="1" x14ac:dyDescent="0.35">
      <c r="A72" s="146">
        <v>42</v>
      </c>
      <c r="B72" s="531" t="s">
        <v>289</v>
      </c>
      <c r="C72" s="532"/>
      <c r="D72" s="532"/>
      <c r="E72" s="532"/>
      <c r="F72" s="533"/>
      <c r="G72" s="148">
        <f>'As-Filed Schedule 1'!E71</f>
        <v>34951.850000000006</v>
      </c>
      <c r="H72" s="255">
        <f>SUMIFS(Adjustments!$G:$G,Adjustments!$H:$H,"1",Adjustments!$I:$I,$G$9,Adjustments!$J:$J,$A72)</f>
        <v>0</v>
      </c>
      <c r="I72" s="266">
        <f t="shared" si="95"/>
        <v>34951.850000000006</v>
      </c>
      <c r="J72" s="148">
        <f>'As-Filed Schedule 1'!F71</f>
        <v>38955.542489683474</v>
      </c>
      <c r="K72" s="255">
        <f>SUMIFS(Adjustments!$G:$G,Adjustments!$H:$H,"1",Adjustments!$I:$I,$J$9,Adjustments!$J:$J,$A72)</f>
        <v>0</v>
      </c>
      <c r="L72" s="266">
        <f t="shared" si="96"/>
        <v>38955.542489683474</v>
      </c>
      <c r="M72" s="148">
        <f>'As-Filed Schedule 1'!G71</f>
        <v>3141.798618130837</v>
      </c>
      <c r="N72" s="255">
        <f>SUMIFS(Adjustments!$G:$G,Adjustments!$H:$H,"1",Adjustments!$I:$I,$M$9,Adjustments!$J:$J,$A72)</f>
        <v>0</v>
      </c>
      <c r="O72" s="266">
        <f t="shared" si="97"/>
        <v>3141.798618130837</v>
      </c>
      <c r="P72" s="148">
        <f>'As-Filed Schedule 1'!H71</f>
        <v>6673.7388921856927</v>
      </c>
      <c r="Q72" s="255">
        <f>SUMIFS(Adjustments!$G:$G,Adjustments!$H:$H,"1",Adjustments!$I:$I,$P$9,Adjustments!$J:$J,$A72)</f>
        <v>0</v>
      </c>
      <c r="R72" s="266">
        <f t="shared" si="98"/>
        <v>6673.7388921856927</v>
      </c>
      <c r="S72" s="148">
        <f>'As-Filed Schedule 1'!I71</f>
        <v>1128.17</v>
      </c>
      <c r="T72" s="255">
        <f>SUMIFS(Adjustments!$G:$G,Adjustments!$H:$H,"1",Adjustments!$I:$I,$S$9,Adjustments!$J:$J,$A72)</f>
        <v>0</v>
      </c>
      <c r="U72" s="266">
        <f t="shared" si="99"/>
        <v>1128.17</v>
      </c>
      <c r="V72" s="151">
        <f t="shared" si="100"/>
        <v>84851.1</v>
      </c>
      <c r="W72" s="258">
        <f t="shared" si="101"/>
        <v>0</v>
      </c>
      <c r="X72" s="267">
        <f t="shared" si="102"/>
        <v>84851.1</v>
      </c>
      <c r="Y72" s="131"/>
    </row>
    <row r="73" spans="1:25" s="22" customFormat="1" x14ac:dyDescent="0.35">
      <c r="A73" s="146">
        <v>43</v>
      </c>
      <c r="B73" s="531" t="s">
        <v>240</v>
      </c>
      <c r="C73" s="532"/>
      <c r="D73" s="532"/>
      <c r="E73" s="532"/>
      <c r="F73" s="533"/>
      <c r="G73" s="148">
        <f>'As-Filed Schedule 1'!E72</f>
        <v>389378.47249999992</v>
      </c>
      <c r="H73" s="255">
        <f>SUMIFS(Adjustments!$G:$G,Adjustments!$H:$H,"1",Adjustments!$I:$I,$G$9,Adjustments!$J:$J,$A73)</f>
        <v>0</v>
      </c>
      <c r="I73" s="266">
        <f t="shared" si="95"/>
        <v>389378.47249999992</v>
      </c>
      <c r="J73" s="148">
        <f>'As-Filed Schedule 1'!F72</f>
        <v>7515.1057268120894</v>
      </c>
      <c r="K73" s="255">
        <f>SUMIFS(Adjustments!$G:$G,Adjustments!$H:$H,"1",Adjustments!$I:$I,$J$9,Adjustments!$J:$J,$A73)</f>
        <v>0</v>
      </c>
      <c r="L73" s="266">
        <f t="shared" si="96"/>
        <v>7515.1057268120894</v>
      </c>
      <c r="M73" s="148">
        <f>'As-Filed Schedule 1'!G72</f>
        <v>6391.3162837769723</v>
      </c>
      <c r="N73" s="255">
        <f>SUMIFS(Adjustments!$G:$G,Adjustments!$H:$H,"1",Adjustments!$I:$I,$M$9,Adjustments!$J:$J,$A73)</f>
        <v>0</v>
      </c>
      <c r="O73" s="266">
        <f t="shared" si="97"/>
        <v>6391.3162837769723</v>
      </c>
      <c r="P73" s="148">
        <f>'As-Filed Schedule 1'!H72</f>
        <v>1047.8279894109392</v>
      </c>
      <c r="Q73" s="255">
        <f>SUMIFS(Adjustments!$G:$G,Adjustments!$H:$H,"1",Adjustments!$I:$I,$P$9,Adjustments!$J:$J,$A73)</f>
        <v>0</v>
      </c>
      <c r="R73" s="266">
        <f t="shared" si="98"/>
        <v>1047.8279894109392</v>
      </c>
      <c r="S73" s="148">
        <f>'As-Filed Schedule 1'!I72</f>
        <v>1065.5574999999999</v>
      </c>
      <c r="T73" s="255">
        <f>SUMIFS(Adjustments!$G:$G,Adjustments!$H:$H,"1",Adjustments!$I:$I,$S$9,Adjustments!$J:$J,$A73)</f>
        <v>0</v>
      </c>
      <c r="U73" s="266">
        <f t="shared" si="99"/>
        <v>1065.5574999999999</v>
      </c>
      <c r="V73" s="151">
        <f t="shared" si="100"/>
        <v>405398.27999999991</v>
      </c>
      <c r="W73" s="258">
        <f t="shared" si="101"/>
        <v>0</v>
      </c>
      <c r="X73" s="267">
        <f t="shared" si="102"/>
        <v>405398.27999999991</v>
      </c>
      <c r="Y73" s="131"/>
    </row>
    <row r="74" spans="1:25" s="22" customFormat="1" x14ac:dyDescent="0.35">
      <c r="A74" s="146">
        <v>44</v>
      </c>
      <c r="B74" s="531" t="s">
        <v>308</v>
      </c>
      <c r="C74" s="532"/>
      <c r="D74" s="532"/>
      <c r="E74" s="532"/>
      <c r="F74" s="533"/>
      <c r="G74" s="148">
        <f>'As-Filed Schedule 1'!E73</f>
        <v>0</v>
      </c>
      <c r="H74" s="255">
        <f>SUMIFS(Adjustments!$G:$G,Adjustments!$H:$H,"1",Adjustments!$I:$I,$G$9,Adjustments!$J:$J,$A74)</f>
        <v>0</v>
      </c>
      <c r="I74" s="266">
        <f t="shared" si="95"/>
        <v>0</v>
      </c>
      <c r="J74" s="148">
        <f>'As-Filed Schedule 1'!F73</f>
        <v>0</v>
      </c>
      <c r="K74" s="255">
        <f>SUMIFS(Adjustments!$G:$G,Adjustments!$H:$H,"1",Adjustments!$I:$I,$J$9,Adjustments!$J:$J,$A74)</f>
        <v>0</v>
      </c>
      <c r="L74" s="266">
        <f t="shared" si="96"/>
        <v>0</v>
      </c>
      <c r="M74" s="148">
        <f>'As-Filed Schedule 1'!G73</f>
        <v>0</v>
      </c>
      <c r="N74" s="255">
        <f>SUMIFS(Adjustments!$G:$G,Adjustments!$H:$H,"1",Adjustments!$I:$I,$M$9,Adjustments!$J:$J,$A74)</f>
        <v>0</v>
      </c>
      <c r="O74" s="266">
        <f t="shared" si="97"/>
        <v>0</v>
      </c>
      <c r="P74" s="148">
        <f>'As-Filed Schedule 1'!H73</f>
        <v>0</v>
      </c>
      <c r="Q74" s="255">
        <f>SUMIFS(Adjustments!$G:$G,Adjustments!$H:$H,"1",Adjustments!$I:$I,$P$9,Adjustments!$J:$J,$A74)</f>
        <v>0</v>
      </c>
      <c r="R74" s="266">
        <f t="shared" si="98"/>
        <v>0</v>
      </c>
      <c r="S74" s="148">
        <f>'As-Filed Schedule 1'!I73</f>
        <v>115294.92</v>
      </c>
      <c r="T74" s="255">
        <f>SUMIFS(Adjustments!$G:$G,Adjustments!$H:$H,"1",Adjustments!$I:$I,$S$9,Adjustments!$J:$J,$A74)</f>
        <v>0</v>
      </c>
      <c r="U74" s="266">
        <f t="shared" si="99"/>
        <v>115294.92</v>
      </c>
      <c r="V74" s="151">
        <f t="shared" si="100"/>
        <v>115294.92</v>
      </c>
      <c r="W74" s="258">
        <f t="shared" si="101"/>
        <v>0</v>
      </c>
      <c r="X74" s="267">
        <f t="shared" si="102"/>
        <v>115294.92</v>
      </c>
      <c r="Y74" s="131"/>
    </row>
    <row r="75" spans="1:25" s="22" customFormat="1" x14ac:dyDescent="0.35">
      <c r="A75" s="146">
        <v>45</v>
      </c>
      <c r="B75" s="531" t="s">
        <v>286</v>
      </c>
      <c r="C75" s="532"/>
      <c r="D75" s="532"/>
      <c r="E75" s="532"/>
      <c r="F75" s="533"/>
      <c r="G75" s="148">
        <f>'As-Filed Schedule 1'!E74</f>
        <v>0</v>
      </c>
      <c r="H75" s="255">
        <f>SUMIFS(Adjustments!$G:$G,Adjustments!$H:$H,"1",Adjustments!$I:$I,$G$9,Adjustments!$J:$J,$A75)</f>
        <v>0</v>
      </c>
      <c r="I75" s="266">
        <f t="shared" si="95"/>
        <v>0</v>
      </c>
      <c r="J75" s="148">
        <f>'As-Filed Schedule 1'!F74</f>
        <v>0</v>
      </c>
      <c r="K75" s="255">
        <f>SUMIFS(Adjustments!$G:$G,Adjustments!$H:$H,"1",Adjustments!$I:$I,$J$9,Adjustments!$J:$J,$A75)</f>
        <v>0</v>
      </c>
      <c r="L75" s="266">
        <f t="shared" si="96"/>
        <v>0</v>
      </c>
      <c r="M75" s="148">
        <f>'As-Filed Schedule 1'!G74</f>
        <v>0</v>
      </c>
      <c r="N75" s="255">
        <f>SUMIFS(Adjustments!$G:$G,Adjustments!$H:$H,"1",Adjustments!$I:$I,$M$9,Adjustments!$J:$J,$A75)</f>
        <v>0</v>
      </c>
      <c r="O75" s="266">
        <f t="shared" si="97"/>
        <v>0</v>
      </c>
      <c r="P75" s="148">
        <f>'As-Filed Schedule 1'!H74</f>
        <v>0</v>
      </c>
      <c r="Q75" s="255">
        <f>SUMIFS(Adjustments!$G:$G,Adjustments!$H:$H,"1",Adjustments!$I:$I,$P$9,Adjustments!$J:$J,$A75)</f>
        <v>0</v>
      </c>
      <c r="R75" s="266">
        <f t="shared" si="98"/>
        <v>0</v>
      </c>
      <c r="S75" s="148">
        <f>'As-Filed Schedule 1'!I74</f>
        <v>374263.42000000004</v>
      </c>
      <c r="T75" s="255">
        <f>SUMIFS(Adjustments!$G:$G,Adjustments!$H:$H,"1",Adjustments!$I:$I,$S$9,Adjustments!$J:$J,$A75)</f>
        <v>0</v>
      </c>
      <c r="U75" s="266">
        <f t="shared" si="99"/>
        <v>374263.42000000004</v>
      </c>
      <c r="V75" s="151">
        <f t="shared" si="100"/>
        <v>374263.42000000004</v>
      </c>
      <c r="W75" s="258">
        <f t="shared" si="101"/>
        <v>0</v>
      </c>
      <c r="X75" s="267">
        <f t="shared" si="102"/>
        <v>374263.42000000004</v>
      </c>
      <c r="Y75" s="131"/>
    </row>
    <row r="76" spans="1:25" s="22" customFormat="1" x14ac:dyDescent="0.35">
      <c r="A76" s="146">
        <v>46</v>
      </c>
      <c r="B76" s="531" t="s">
        <v>287</v>
      </c>
      <c r="C76" s="532"/>
      <c r="D76" s="532"/>
      <c r="E76" s="532"/>
      <c r="F76" s="533"/>
      <c r="G76" s="148">
        <f>'As-Filed Schedule 1'!E75</f>
        <v>1306677.6600000001</v>
      </c>
      <c r="H76" s="255">
        <f>SUMIFS(Adjustments!$G:$G,Adjustments!$H:$H,"1",Adjustments!$I:$I,$G$9,Adjustments!$J:$J,$A76)</f>
        <v>0</v>
      </c>
      <c r="I76" s="266">
        <f t="shared" si="95"/>
        <v>1306677.6600000001</v>
      </c>
      <c r="J76" s="148">
        <f>'As-Filed Schedule 1'!F75</f>
        <v>366281.22520351975</v>
      </c>
      <c r="K76" s="255">
        <f>SUMIFS(Adjustments!$G:$G,Adjustments!$H:$H,"1",Adjustments!$I:$I,$J$9,Adjustments!$J:$J,$A76)</f>
        <v>0</v>
      </c>
      <c r="L76" s="266">
        <f t="shared" si="96"/>
        <v>366281.22520351975</v>
      </c>
      <c r="M76" s="148">
        <f>'As-Filed Schedule 1'!G75</f>
        <v>183400.13205065968</v>
      </c>
      <c r="N76" s="255">
        <f>SUMIFS(Adjustments!$G:$G,Adjustments!$H:$H,"1",Adjustments!$I:$I,$M$9,Adjustments!$J:$J,$A76)</f>
        <v>0</v>
      </c>
      <c r="O76" s="266">
        <f t="shared" si="97"/>
        <v>183400.13205065968</v>
      </c>
      <c r="P76" s="148">
        <f>'As-Filed Schedule 1'!H75</f>
        <v>18619.73274582058</v>
      </c>
      <c r="Q76" s="255">
        <f>SUMIFS(Adjustments!$G:$G,Adjustments!$H:$H,"1",Adjustments!$I:$I,$P$9,Adjustments!$J:$J,$A76)</f>
        <v>0</v>
      </c>
      <c r="R76" s="266">
        <f t="shared" si="98"/>
        <v>18619.73274582058</v>
      </c>
      <c r="S76" s="148">
        <f>'As-Filed Schedule 1'!I75</f>
        <v>6892.09</v>
      </c>
      <c r="T76" s="255">
        <f>SUMIFS(Adjustments!$G:$G,Adjustments!$H:$H,"1",Adjustments!$I:$I,$S$9,Adjustments!$J:$J,$A76)</f>
        <v>0</v>
      </c>
      <c r="U76" s="266">
        <f t="shared" si="99"/>
        <v>6892.09</v>
      </c>
      <c r="V76" s="151">
        <f t="shared" si="100"/>
        <v>1881870.8400000003</v>
      </c>
      <c r="W76" s="258">
        <f t="shared" si="101"/>
        <v>0</v>
      </c>
      <c r="X76" s="267">
        <f t="shared" si="102"/>
        <v>1881870.8400000003</v>
      </c>
      <c r="Y76" s="131"/>
    </row>
    <row r="77" spans="1:25" s="22" customFormat="1" x14ac:dyDescent="0.35">
      <c r="A77" s="146">
        <v>47</v>
      </c>
      <c r="B77" s="531" t="s">
        <v>318</v>
      </c>
      <c r="C77" s="532"/>
      <c r="D77" s="532"/>
      <c r="E77" s="532"/>
      <c r="F77" s="533"/>
      <c r="G77" s="148">
        <f>'As-Filed Schedule 1'!E76</f>
        <v>263193.68</v>
      </c>
      <c r="H77" s="255">
        <f>SUMIFS(Adjustments!$G:$G,Adjustments!$H:$H,"1",Adjustments!$I:$I,$G$9,Adjustments!$J:$J,$A77)</f>
        <v>0</v>
      </c>
      <c r="I77" s="266">
        <f t="shared" si="95"/>
        <v>263193.68</v>
      </c>
      <c r="J77" s="148">
        <f>'As-Filed Schedule 1'!F76</f>
        <v>321186.82821141835</v>
      </c>
      <c r="K77" s="255">
        <f>SUMIFS(Adjustments!$G:$G,Adjustments!$H:$H,"1",Adjustments!$I:$I,$J$9,Adjustments!$J:$J,$A77)</f>
        <v>0</v>
      </c>
      <c r="L77" s="266">
        <f t="shared" si="96"/>
        <v>321186.82821141835</v>
      </c>
      <c r="M77" s="148">
        <f>'As-Filed Schedule 1'!G76</f>
        <v>73152.125443139957</v>
      </c>
      <c r="N77" s="255">
        <f>SUMIFS(Adjustments!$G:$G,Adjustments!$H:$H,"1",Adjustments!$I:$I,$M$9,Adjustments!$J:$J,$A77)</f>
        <v>0</v>
      </c>
      <c r="O77" s="266">
        <f t="shared" si="97"/>
        <v>73152.125443139957</v>
      </c>
      <c r="P77" s="148">
        <f>'As-Filed Schedule 1'!H76</f>
        <v>38168.046345441733</v>
      </c>
      <c r="Q77" s="255">
        <f>SUMIFS(Adjustments!$G:$G,Adjustments!$H:$H,"1",Adjustments!$I:$I,$P$9,Adjustments!$J:$J,$A77)</f>
        <v>0</v>
      </c>
      <c r="R77" s="266">
        <f t="shared" si="98"/>
        <v>38168.046345441733</v>
      </c>
      <c r="S77" s="148">
        <f>'As-Filed Schedule 1'!I76</f>
        <v>2692.32</v>
      </c>
      <c r="T77" s="255">
        <f>SUMIFS(Adjustments!$G:$G,Adjustments!$H:$H,"1",Adjustments!$I:$I,$S$9,Adjustments!$J:$J,$A77)</f>
        <v>0</v>
      </c>
      <c r="U77" s="266">
        <f t="shared" si="99"/>
        <v>2692.32</v>
      </c>
      <c r="V77" s="151">
        <f t="shared" si="100"/>
        <v>698392.99999999988</v>
      </c>
      <c r="W77" s="258">
        <f t="shared" si="101"/>
        <v>0</v>
      </c>
      <c r="X77" s="267">
        <f t="shared" si="102"/>
        <v>698392.99999999988</v>
      </c>
      <c r="Y77" s="131"/>
    </row>
    <row r="78" spans="1:25" s="22" customFormat="1" x14ac:dyDescent="0.35">
      <c r="A78" s="146">
        <v>48</v>
      </c>
      <c r="B78" s="531" t="s">
        <v>285</v>
      </c>
      <c r="C78" s="532"/>
      <c r="D78" s="532"/>
      <c r="E78" s="532"/>
      <c r="F78" s="533"/>
      <c r="G78" s="148">
        <f>'As-Filed Schedule 1'!E77</f>
        <v>1017036.2975</v>
      </c>
      <c r="H78" s="255">
        <f>SUMIFS(Adjustments!$G:$G,Adjustments!$H:$H,"1",Adjustments!$I:$I,$G$9,Adjustments!$J:$J,$A78)</f>
        <v>0</v>
      </c>
      <c r="I78" s="266">
        <f t="shared" si="95"/>
        <v>1017036.2975</v>
      </c>
      <c r="J78" s="148">
        <f>'As-Filed Schedule 1'!F77</f>
        <v>453208.01921814267</v>
      </c>
      <c r="K78" s="255">
        <f>SUMIFS(Adjustments!$G:$G,Adjustments!$H:$H,"1",Adjustments!$I:$I,$J$9,Adjustments!$J:$J,$A78)</f>
        <v>860852.32</v>
      </c>
      <c r="L78" s="266">
        <f t="shared" si="96"/>
        <v>1314060.3392181427</v>
      </c>
      <c r="M78" s="148">
        <f>'As-Filed Schedule 1'!G77</f>
        <v>312621.65826379054</v>
      </c>
      <c r="N78" s="255">
        <f>SUMIFS(Adjustments!$G:$G,Adjustments!$H:$H,"1",Adjustments!$I:$I,$M$9,Adjustments!$J:$J,$A78)</f>
        <v>-849894.32</v>
      </c>
      <c r="O78" s="266">
        <f t="shared" si="97"/>
        <v>-537272.66173620941</v>
      </c>
      <c r="P78" s="148">
        <f>'As-Filed Schedule 1'!H77</f>
        <v>115968.32251806671</v>
      </c>
      <c r="Q78" s="255">
        <f>SUMIFS(Adjustments!$G:$G,Adjustments!$H:$H,"1",Adjustments!$I:$I,$P$9,Adjustments!$J:$J,$A78)</f>
        <v>-10958</v>
      </c>
      <c r="R78" s="266">
        <f t="shared" si="98"/>
        <v>105010.32251806671</v>
      </c>
      <c r="S78" s="148">
        <f>'As-Filed Schedule 1'!I77</f>
        <v>43833.662499999999</v>
      </c>
      <c r="T78" s="255">
        <f>SUMIFS(Adjustments!$G:$G,Adjustments!$H:$H,"1",Adjustments!$I:$I,$S$9,Adjustments!$J:$J,$A78)</f>
        <v>0</v>
      </c>
      <c r="U78" s="266">
        <f t="shared" si="99"/>
        <v>43833.662499999999</v>
      </c>
      <c r="V78" s="151">
        <f t="shared" si="100"/>
        <v>1942667.9600000002</v>
      </c>
      <c r="W78" s="258">
        <f t="shared" si="101"/>
        <v>0</v>
      </c>
      <c r="X78" s="267">
        <f t="shared" si="102"/>
        <v>1942667.9600000002</v>
      </c>
      <c r="Y78" s="131"/>
    </row>
    <row r="79" spans="1:25" s="22" customFormat="1" x14ac:dyDescent="0.35">
      <c r="A79" s="146">
        <v>49</v>
      </c>
      <c r="B79" s="537" t="s">
        <v>279</v>
      </c>
      <c r="C79" s="538"/>
      <c r="D79" s="538"/>
      <c r="E79" s="538"/>
      <c r="F79" s="539"/>
      <c r="G79" s="151">
        <f>SUM(G71:G78)</f>
        <v>3068703.1175000002</v>
      </c>
      <c r="H79" s="151">
        <f t="shared" ref="H79:I79" si="103">SUM(H71:H78)</f>
        <v>0</v>
      </c>
      <c r="I79" s="151">
        <f t="shared" si="103"/>
        <v>3068703.1175000002</v>
      </c>
      <c r="J79" s="151">
        <f t="shared" ref="J79:U79" si="104">SUM(J71:J78)</f>
        <v>1192529.5479674377</v>
      </c>
      <c r="K79" s="151">
        <f t="shared" si="104"/>
        <v>860852.32</v>
      </c>
      <c r="L79" s="151">
        <f t="shared" si="104"/>
        <v>2053381.8679674377</v>
      </c>
      <c r="M79" s="151">
        <f t="shared" si="104"/>
        <v>579142.80065949797</v>
      </c>
      <c r="N79" s="151">
        <f t="shared" si="104"/>
        <v>-849894.32</v>
      </c>
      <c r="O79" s="151">
        <f t="shared" si="104"/>
        <v>-270751.51934050198</v>
      </c>
      <c r="P79" s="151">
        <f t="shared" si="104"/>
        <v>181047.97137306427</v>
      </c>
      <c r="Q79" s="151">
        <f>SUM(Q71:Q78)</f>
        <v>-10958</v>
      </c>
      <c r="R79" s="151">
        <f t="shared" si="104"/>
        <v>170089.97137306427</v>
      </c>
      <c r="S79" s="151">
        <f t="shared" si="104"/>
        <v>552320.93250000011</v>
      </c>
      <c r="T79" s="151">
        <f t="shared" si="104"/>
        <v>0</v>
      </c>
      <c r="U79" s="151">
        <f t="shared" si="104"/>
        <v>552320.93250000011</v>
      </c>
      <c r="V79" s="151">
        <f t="shared" si="100"/>
        <v>5573744.3700000001</v>
      </c>
      <c r="W79" s="258">
        <f t="shared" si="101"/>
        <v>0</v>
      </c>
      <c r="X79" s="267">
        <f t="shared" si="102"/>
        <v>5573744.3700000001</v>
      </c>
      <c r="Y79" s="131"/>
    </row>
    <row r="80" spans="1:25" s="22" customFormat="1" x14ac:dyDescent="0.35">
      <c r="A80" s="152"/>
      <c r="B80" s="153"/>
      <c r="C80" s="153"/>
      <c r="D80" s="154"/>
      <c r="E80" s="256"/>
      <c r="F80" s="265"/>
      <c r="G80" s="155"/>
      <c r="H80" s="259"/>
      <c r="I80" s="268"/>
      <c r="J80" s="155"/>
      <c r="K80" s="259"/>
      <c r="L80" s="268"/>
      <c r="M80" s="155"/>
      <c r="N80" s="259"/>
      <c r="O80" s="268"/>
      <c r="P80" s="155"/>
      <c r="Q80" s="259"/>
      <c r="R80" s="268"/>
      <c r="S80" s="155"/>
      <c r="T80" s="259"/>
      <c r="U80" s="268"/>
      <c r="V80" s="155"/>
      <c r="W80" s="259"/>
      <c r="X80" s="268"/>
      <c r="Y80" s="131"/>
    </row>
    <row r="81" spans="1:25" s="22" customFormat="1" x14ac:dyDescent="0.35">
      <c r="A81" s="540" t="s">
        <v>303</v>
      </c>
      <c r="B81" s="541"/>
      <c r="C81" s="541"/>
      <c r="D81" s="541"/>
      <c r="E81" s="541"/>
      <c r="F81" s="541"/>
      <c r="G81" s="541"/>
      <c r="H81" s="541"/>
      <c r="I81" s="541"/>
      <c r="J81" s="541"/>
      <c r="K81" s="541"/>
      <c r="L81" s="541"/>
      <c r="M81" s="541"/>
      <c r="N81" s="541"/>
      <c r="O81" s="541"/>
      <c r="P81" s="541"/>
      <c r="Q81" s="541"/>
      <c r="R81" s="541"/>
      <c r="S81" s="541"/>
      <c r="T81" s="541"/>
      <c r="U81" s="541"/>
      <c r="V81" s="541"/>
      <c r="W81" s="541"/>
      <c r="X81" s="542"/>
      <c r="Y81" s="131"/>
    </row>
    <row r="82" spans="1:25" s="22" customFormat="1" x14ac:dyDescent="0.35">
      <c r="A82" s="146">
        <v>50</v>
      </c>
      <c r="B82" s="531" t="s">
        <v>304</v>
      </c>
      <c r="C82" s="532"/>
      <c r="D82" s="532"/>
      <c r="E82" s="532"/>
      <c r="F82" s="533"/>
      <c r="G82" s="98"/>
      <c r="H82" s="260"/>
      <c r="I82" s="270"/>
      <c r="J82" s="98"/>
      <c r="K82" s="260"/>
      <c r="L82" s="270"/>
      <c r="M82" s="98"/>
      <c r="N82" s="260"/>
      <c r="O82" s="270"/>
      <c r="P82" s="98"/>
      <c r="Q82" s="260"/>
      <c r="R82" s="270"/>
      <c r="S82" s="148">
        <f>'As-Filed Schedule 1'!I81</f>
        <v>117687.29000000002</v>
      </c>
      <c r="T82" s="255">
        <f>SUMIFS(Adjustments!$G:$G,Adjustments!$H:$H,"1",Adjustments!$I:$I,$S$9,Adjustments!$J:$J,$A82)</f>
        <v>0</v>
      </c>
      <c r="U82" s="266">
        <f>SUM(S82:T82)</f>
        <v>117687.29000000002</v>
      </c>
      <c r="V82" s="151">
        <f t="shared" ref="V82:X85" si="105">S82</f>
        <v>117687.29000000002</v>
      </c>
      <c r="W82" s="258">
        <f t="shared" si="105"/>
        <v>0</v>
      </c>
      <c r="X82" s="267">
        <f t="shared" si="105"/>
        <v>117687.29000000002</v>
      </c>
      <c r="Y82" s="131"/>
    </row>
    <row r="83" spans="1:25" s="22" customFormat="1" x14ac:dyDescent="0.35">
      <c r="A83" s="146">
        <v>51</v>
      </c>
      <c r="B83" s="531" t="s">
        <v>309</v>
      </c>
      <c r="C83" s="532"/>
      <c r="D83" s="532"/>
      <c r="E83" s="532"/>
      <c r="F83" s="533"/>
      <c r="G83" s="98"/>
      <c r="H83" s="260"/>
      <c r="I83" s="270"/>
      <c r="J83" s="98"/>
      <c r="K83" s="260"/>
      <c r="L83" s="270"/>
      <c r="M83" s="98"/>
      <c r="N83" s="260"/>
      <c r="O83" s="270"/>
      <c r="P83" s="98"/>
      <c r="Q83" s="260"/>
      <c r="R83" s="270"/>
      <c r="S83" s="148">
        <f>'As-Filed Schedule 1'!I82</f>
        <v>0</v>
      </c>
      <c r="T83" s="255">
        <f>SUMIFS(Adjustments!$G:$G,Adjustments!$H:$H,"1",Adjustments!$I:$I,$S$9,Adjustments!$J:$J,$A83)</f>
        <v>0</v>
      </c>
      <c r="U83" s="266">
        <f t="shared" ref="U83:U85" si="106">SUM(S83:T83)</f>
        <v>0</v>
      </c>
      <c r="V83" s="151">
        <f t="shared" si="105"/>
        <v>0</v>
      </c>
      <c r="W83" s="258">
        <f t="shared" si="105"/>
        <v>0</v>
      </c>
      <c r="X83" s="267">
        <f t="shared" si="105"/>
        <v>0</v>
      </c>
      <c r="Y83" s="131"/>
    </row>
    <row r="84" spans="1:25" s="22" customFormat="1" x14ac:dyDescent="0.35">
      <c r="A84" s="146">
        <v>52</v>
      </c>
      <c r="B84" s="531" t="s">
        <v>310</v>
      </c>
      <c r="C84" s="532"/>
      <c r="D84" s="532"/>
      <c r="E84" s="532"/>
      <c r="F84" s="533"/>
      <c r="G84" s="98"/>
      <c r="H84" s="260"/>
      <c r="I84" s="270"/>
      <c r="J84" s="98"/>
      <c r="K84" s="260"/>
      <c r="L84" s="270"/>
      <c r="M84" s="98"/>
      <c r="N84" s="260"/>
      <c r="O84" s="270"/>
      <c r="P84" s="98"/>
      <c r="Q84" s="260"/>
      <c r="R84" s="270"/>
      <c r="S84" s="148">
        <f>'As-Filed Schedule 1'!I83</f>
        <v>366005.8</v>
      </c>
      <c r="T84" s="255">
        <f>SUMIFS(Adjustments!$G:$G,Adjustments!$H:$H,"1",Adjustments!$I:$I,$S$9,Adjustments!$J:$J,$A84)</f>
        <v>0</v>
      </c>
      <c r="U84" s="266">
        <f>SUM(S84:T84)</f>
        <v>366005.8</v>
      </c>
      <c r="V84" s="151">
        <f t="shared" si="105"/>
        <v>366005.8</v>
      </c>
      <c r="W84" s="258">
        <f t="shared" si="105"/>
        <v>0</v>
      </c>
      <c r="X84" s="267">
        <f t="shared" si="105"/>
        <v>366005.8</v>
      </c>
      <c r="Y84" s="131"/>
    </row>
    <row r="85" spans="1:25" s="22" customFormat="1" x14ac:dyDescent="0.35">
      <c r="A85" s="146">
        <v>53</v>
      </c>
      <c r="B85" s="531" t="s">
        <v>305</v>
      </c>
      <c r="C85" s="532"/>
      <c r="D85" s="532"/>
      <c r="E85" s="532"/>
      <c r="F85" s="533"/>
      <c r="G85" s="98"/>
      <c r="H85" s="260"/>
      <c r="I85" s="270"/>
      <c r="J85" s="98"/>
      <c r="K85" s="260"/>
      <c r="L85" s="270"/>
      <c r="M85" s="98"/>
      <c r="N85" s="260"/>
      <c r="O85" s="270"/>
      <c r="P85" s="98"/>
      <c r="Q85" s="260"/>
      <c r="R85" s="270"/>
      <c r="S85" s="148">
        <f>'As-Filed Schedule 1'!I84</f>
        <v>184679.11</v>
      </c>
      <c r="T85" s="255">
        <f>SUMIFS(Adjustments!$G:$G,Adjustments!$H:$H,"1",Adjustments!$I:$I,$S$9,Adjustments!$J:$J,$A85)</f>
        <v>0</v>
      </c>
      <c r="U85" s="266">
        <f t="shared" si="106"/>
        <v>184679.11</v>
      </c>
      <c r="V85" s="151">
        <f t="shared" si="105"/>
        <v>184679.11</v>
      </c>
      <c r="W85" s="258">
        <f t="shared" si="105"/>
        <v>0</v>
      </c>
      <c r="X85" s="267">
        <f t="shared" si="105"/>
        <v>184679.11</v>
      </c>
      <c r="Y85" s="131"/>
    </row>
    <row r="86" spans="1:25" s="22" customFormat="1" x14ac:dyDescent="0.35">
      <c r="A86" s="146">
        <v>54</v>
      </c>
      <c r="B86" s="537" t="s">
        <v>306</v>
      </c>
      <c r="C86" s="538"/>
      <c r="D86" s="538"/>
      <c r="E86" s="538"/>
      <c r="F86" s="539"/>
      <c r="G86" s="151">
        <v>0</v>
      </c>
      <c r="H86" s="151">
        <v>0</v>
      </c>
      <c r="I86" s="151">
        <v>0</v>
      </c>
      <c r="J86" s="151">
        <v>0</v>
      </c>
      <c r="K86" s="151">
        <v>0</v>
      </c>
      <c r="L86" s="151">
        <v>0</v>
      </c>
      <c r="M86" s="151">
        <v>0</v>
      </c>
      <c r="N86" s="151">
        <v>0</v>
      </c>
      <c r="O86" s="151">
        <v>0</v>
      </c>
      <c r="P86" s="151">
        <v>0</v>
      </c>
      <c r="Q86" s="151">
        <v>0</v>
      </c>
      <c r="R86" s="151">
        <v>0</v>
      </c>
      <c r="S86" s="151">
        <f>SUM(S82:S85)</f>
        <v>668372.19999999995</v>
      </c>
      <c r="T86" s="151">
        <f t="shared" ref="T86:U86" si="107">SUM(T82:T85)</f>
        <v>0</v>
      </c>
      <c r="U86" s="151">
        <f t="shared" si="107"/>
        <v>668372.19999999995</v>
      </c>
      <c r="V86" s="151">
        <f>SUM(G86,J86,M86,P86,S86)</f>
        <v>668372.19999999995</v>
      </c>
      <c r="W86" s="258">
        <f>SUM(H86,K86,N86,Q86,T86)</f>
        <v>0</v>
      </c>
      <c r="X86" s="267">
        <f>SUM(I86,L86,O86,R86,U86)</f>
        <v>668372.19999999995</v>
      </c>
      <c r="Y86" s="131"/>
    </row>
    <row r="87" spans="1:25" s="22" customFormat="1" x14ac:dyDescent="0.35">
      <c r="A87" s="152"/>
      <c r="B87" s="153"/>
      <c r="C87" s="153"/>
      <c r="D87" s="154"/>
      <c r="E87" s="256"/>
      <c r="F87" s="265"/>
      <c r="G87" s="155"/>
      <c r="H87" s="259"/>
      <c r="I87" s="268"/>
      <c r="J87" s="155"/>
      <c r="K87" s="259"/>
      <c r="L87" s="268"/>
      <c r="M87" s="155"/>
      <c r="N87" s="259"/>
      <c r="O87" s="268"/>
      <c r="P87" s="155"/>
      <c r="Q87" s="259"/>
      <c r="R87" s="268"/>
      <c r="S87" s="155"/>
      <c r="T87" s="259"/>
      <c r="U87" s="268"/>
      <c r="V87" s="155"/>
      <c r="W87" s="259"/>
      <c r="X87" s="268"/>
      <c r="Y87" s="131"/>
    </row>
    <row r="88" spans="1:25" s="22" customFormat="1" x14ac:dyDescent="0.35">
      <c r="A88" s="540" t="s">
        <v>273</v>
      </c>
      <c r="B88" s="541"/>
      <c r="C88" s="541"/>
      <c r="D88" s="541"/>
      <c r="E88" s="541"/>
      <c r="F88" s="541"/>
      <c r="G88" s="541"/>
      <c r="H88" s="541"/>
      <c r="I88" s="541"/>
      <c r="J88" s="541"/>
      <c r="K88" s="541"/>
      <c r="L88" s="541"/>
      <c r="M88" s="541"/>
      <c r="N88" s="541"/>
      <c r="O88" s="541"/>
      <c r="P88" s="541"/>
      <c r="Q88" s="541"/>
      <c r="R88" s="541"/>
      <c r="S88" s="541"/>
      <c r="T88" s="541"/>
      <c r="U88" s="541"/>
      <c r="V88" s="541"/>
      <c r="W88" s="541"/>
      <c r="X88" s="542"/>
      <c r="Y88" s="131"/>
    </row>
    <row r="89" spans="1:25" s="22" customFormat="1" x14ac:dyDescent="0.35">
      <c r="A89" s="146">
        <v>55</v>
      </c>
      <c r="B89" s="531" t="s">
        <v>274</v>
      </c>
      <c r="C89" s="532"/>
      <c r="D89" s="532"/>
      <c r="E89" s="532"/>
      <c r="F89" s="533"/>
      <c r="G89" s="156">
        <f>-'As-Filed Schedule 1C'!F27</f>
        <v>0</v>
      </c>
      <c r="H89" s="151"/>
      <c r="I89" s="269">
        <f>-'Adjusted Schedule 1C'!F28</f>
        <v>0</v>
      </c>
      <c r="J89" s="156">
        <f>-'As-Filed Schedule 1C'!F28</f>
        <v>0</v>
      </c>
      <c r="K89" s="151"/>
      <c r="L89" s="269">
        <f>-'Adjusted Schedule 1C'!F29</f>
        <v>0</v>
      </c>
      <c r="M89" s="156">
        <f>-'As-Filed Schedule 1C'!F29</f>
        <v>0</v>
      </c>
      <c r="N89" s="151"/>
      <c r="O89" s="269">
        <f>-'Adjusted Schedule 1C'!F30</f>
        <v>0</v>
      </c>
      <c r="P89" s="156">
        <f>-'As-Filed Schedule 1C'!F30</f>
        <v>0</v>
      </c>
      <c r="Q89" s="151"/>
      <c r="R89" s="269">
        <f>-'Adjusted Schedule 1C'!F31</f>
        <v>0</v>
      </c>
      <c r="S89" s="156">
        <f>SUM(G89,J89,M89,P89)</f>
        <v>0</v>
      </c>
      <c r="T89" s="151"/>
      <c r="U89" s="269">
        <f>SUM(I89,L89,O89,R89)</f>
        <v>0</v>
      </c>
      <c r="V89" s="151">
        <f>SUM(G89,J89,M89,P89,S89)</f>
        <v>0</v>
      </c>
      <c r="W89" s="258"/>
      <c r="X89" s="267">
        <f>SUM(I89,L89,O89,R89,U89)</f>
        <v>0</v>
      </c>
      <c r="Y89" s="131"/>
    </row>
    <row r="90" spans="1:25" s="22" customFormat="1" x14ac:dyDescent="0.35">
      <c r="A90" s="146">
        <v>56</v>
      </c>
      <c r="B90" s="537" t="s">
        <v>270</v>
      </c>
      <c r="C90" s="538"/>
      <c r="D90" s="538"/>
      <c r="E90" s="538"/>
      <c r="F90" s="539"/>
      <c r="G90" s="151">
        <f>SUM(G89:G89)</f>
        <v>0</v>
      </c>
      <c r="H90" s="151">
        <f t="shared" ref="H90:I90" si="108">SUM(H89:H89)</f>
        <v>0</v>
      </c>
      <c r="I90" s="151">
        <f t="shared" si="108"/>
        <v>0</v>
      </c>
      <c r="J90" s="151">
        <f>SUM(J89:J89)</f>
        <v>0</v>
      </c>
      <c r="K90" s="151">
        <f t="shared" ref="K90:L90" si="109">SUM(K89:K89)</f>
        <v>0</v>
      </c>
      <c r="L90" s="151">
        <f t="shared" si="109"/>
        <v>0</v>
      </c>
      <c r="M90" s="151">
        <f>SUM(M89:M89)</f>
        <v>0</v>
      </c>
      <c r="N90" s="151">
        <f t="shared" ref="N90:O90" si="110">SUM(N89:N89)</f>
        <v>0</v>
      </c>
      <c r="O90" s="151">
        <f t="shared" si="110"/>
        <v>0</v>
      </c>
      <c r="P90" s="151">
        <f>SUM(P89:P89)</f>
        <v>0</v>
      </c>
      <c r="Q90" s="151">
        <f t="shared" ref="Q90" si="111">SUM(Q89:Q89)</f>
        <v>0</v>
      </c>
      <c r="R90" s="151">
        <f>SUM(R89:R89)</f>
        <v>0</v>
      </c>
      <c r="S90" s="151">
        <f>SUM(S89:S89)</f>
        <v>0</v>
      </c>
      <c r="T90" s="151">
        <f>SUM(T89:T89)</f>
        <v>0</v>
      </c>
      <c r="U90" s="151">
        <f>SUM(U89:U89)</f>
        <v>0</v>
      </c>
      <c r="V90" s="151">
        <f>SUM(G90,J90,M90,P90,S90)</f>
        <v>0</v>
      </c>
      <c r="W90" s="258">
        <f>SUM(H90,K90,N90,Q90,T90)</f>
        <v>0</v>
      </c>
      <c r="X90" s="267">
        <f>SUM(I90,L90,O90,R90,U90)</f>
        <v>0</v>
      </c>
      <c r="Y90" s="131"/>
    </row>
    <row r="91" spans="1:25" s="22" customFormat="1" x14ac:dyDescent="0.35">
      <c r="A91" s="152"/>
      <c r="B91" s="153"/>
      <c r="C91" s="153"/>
      <c r="D91" s="154"/>
      <c r="E91" s="256"/>
      <c r="F91" s="265"/>
      <c r="G91" s="155"/>
      <c r="H91" s="259"/>
      <c r="I91" s="268"/>
      <c r="J91" s="155"/>
      <c r="K91" s="259"/>
      <c r="L91" s="268"/>
      <c r="M91" s="155"/>
      <c r="N91" s="259"/>
      <c r="O91" s="268"/>
      <c r="P91" s="155"/>
      <c r="Q91" s="259"/>
      <c r="R91" s="268"/>
      <c r="S91" s="155"/>
      <c r="T91" s="259"/>
      <c r="U91" s="268"/>
      <c r="V91" s="155"/>
      <c r="W91" s="259"/>
      <c r="X91" s="268"/>
      <c r="Y91" s="131"/>
    </row>
    <row r="92" spans="1:25" s="22" customFormat="1" x14ac:dyDescent="0.35">
      <c r="A92" s="146">
        <v>57</v>
      </c>
      <c r="B92" s="537" t="s">
        <v>241</v>
      </c>
      <c r="C92" s="538"/>
      <c r="D92" s="538"/>
      <c r="E92" s="538"/>
      <c r="F92" s="539"/>
      <c r="G92" s="151">
        <f t="shared" ref="G92:U92" si="112">G79+G68+G58+G51+G41+G90+G86</f>
        <v>31229196.440499745</v>
      </c>
      <c r="H92" s="151">
        <f t="shared" si="112"/>
        <v>0</v>
      </c>
      <c r="I92" s="151">
        <f>I79+I68+I58+I51+I41+I90+I86</f>
        <v>31229196.440499745</v>
      </c>
      <c r="J92" s="151">
        <f>J79+J68+J58+J51+J41+J90+J86</f>
        <v>73091280.794692367</v>
      </c>
      <c r="K92" s="151">
        <f t="shared" si="112"/>
        <v>1083991.3199999998</v>
      </c>
      <c r="L92" s="151">
        <f t="shared" si="112"/>
        <v>74175272.114692375</v>
      </c>
      <c r="M92" s="151">
        <f t="shared" si="112"/>
        <v>19988348.439320475</v>
      </c>
      <c r="N92" s="151">
        <f t="shared" si="112"/>
        <v>-925948.32</v>
      </c>
      <c r="O92" s="151">
        <f t="shared" si="112"/>
        <v>19062400.119320475</v>
      </c>
      <c r="P92" s="151">
        <f t="shared" si="112"/>
        <v>24897470.136732947</v>
      </c>
      <c r="Q92" s="151">
        <f t="shared" si="112"/>
        <v>-158043</v>
      </c>
      <c r="R92" s="151">
        <f t="shared" si="112"/>
        <v>24739427.136732947</v>
      </c>
      <c r="S92" s="151">
        <f t="shared" si="112"/>
        <v>2180363.7587544527</v>
      </c>
      <c r="T92" s="151">
        <f t="shared" si="112"/>
        <v>0</v>
      </c>
      <c r="U92" s="151">
        <f t="shared" si="112"/>
        <v>2180363.7587544527</v>
      </c>
      <c r="V92" s="151">
        <f>SUM(G92,J92,M92,P92,S92)</f>
        <v>151386659.56999999</v>
      </c>
      <c r="W92" s="258">
        <f>SUM(H92,K92,N92,Q92,T92)</f>
        <v>-1.1641532182693481E-10</v>
      </c>
      <c r="X92" s="267">
        <f>SUM(I92,L92,O92,R92,U92)</f>
        <v>151386659.56999999</v>
      </c>
      <c r="Y92" s="131"/>
    </row>
    <row r="93" spans="1:25" s="22" customFormat="1" x14ac:dyDescent="0.35">
      <c r="A93" s="152"/>
      <c r="B93" s="153"/>
      <c r="C93" s="153"/>
      <c r="D93" s="154"/>
      <c r="E93" s="256"/>
      <c r="F93" s="265"/>
      <c r="G93" s="155"/>
      <c r="H93" s="259"/>
      <c r="I93" s="268"/>
      <c r="J93" s="155"/>
      <c r="K93" s="259"/>
      <c r="L93" s="268"/>
      <c r="M93" s="155"/>
      <c r="N93" s="259"/>
      <c r="O93" s="268"/>
      <c r="P93" s="155"/>
      <c r="Q93" s="259"/>
      <c r="R93" s="268"/>
      <c r="S93" s="155"/>
      <c r="T93" s="259"/>
      <c r="U93" s="268"/>
      <c r="V93" s="155"/>
      <c r="W93" s="259"/>
      <c r="X93" s="268"/>
      <c r="Y93" s="131"/>
    </row>
    <row r="94" spans="1:25" s="22" customFormat="1" ht="15.5" x14ac:dyDescent="0.35">
      <c r="A94" s="160">
        <v>58</v>
      </c>
      <c r="B94" s="531" t="s">
        <v>2</v>
      </c>
      <c r="C94" s="532"/>
      <c r="D94" s="532"/>
      <c r="E94" s="532"/>
      <c r="F94" s="533"/>
      <c r="G94" s="149">
        <f>G92*-1</f>
        <v>-31229196.440499745</v>
      </c>
      <c r="H94" s="149">
        <f>H92*-1</f>
        <v>0</v>
      </c>
      <c r="I94" s="140">
        <f>I92*-1</f>
        <v>-31229196.440499745</v>
      </c>
      <c r="J94" s="148">
        <f>'As-Filed Schedule 1'!F93</f>
        <v>23254901.215490203</v>
      </c>
      <c r="K94" s="255">
        <f>SUMIFS(Adjustments!$G:$G,Adjustments!$H:$H,"1",Adjustments!$I:$I,$J$9,Adjustments!$J:$J,$A94)</f>
        <v>0</v>
      </c>
      <c r="L94" s="266">
        <f>SUM(J94:K94)</f>
        <v>23254901.215490203</v>
      </c>
      <c r="M94" s="148">
        <f>'As-Filed Schedule 1'!G93</f>
        <v>5716561.1168464525</v>
      </c>
      <c r="N94" s="255">
        <f>SUMIFS(Adjustments!$G:$G,Adjustments!$H:$H,"1",Adjustments!$I:$I,$M$9,Adjustments!$J:$J,$A94)</f>
        <v>0</v>
      </c>
      <c r="O94" s="266">
        <f>SUM(M94:N94)</f>
        <v>5716561.1168464525</v>
      </c>
      <c r="P94" s="148">
        <f>'As-Filed Schedule 1'!H93</f>
        <v>2186817.3681425955</v>
      </c>
      <c r="Q94" s="255">
        <f>SUMIFS(Adjustments!$G:$G,Adjustments!$H:$H,"1",Adjustments!$I:$I,$P$9,Adjustments!$J:$J,$A94)</f>
        <v>0</v>
      </c>
      <c r="R94" s="266">
        <f>SUM(P94:Q94)</f>
        <v>2186817.3681425955</v>
      </c>
      <c r="S94" s="148">
        <f>'As-Filed Schedule 1'!I93</f>
        <v>70916.740020495126</v>
      </c>
      <c r="T94" s="255">
        <f>SUMIFS(Adjustments!$G:$G,Adjustments!$H:$H,"1",Adjustments!$I:$I,$S$9,Adjustments!$J:$J,$A94)</f>
        <v>0</v>
      </c>
      <c r="U94" s="266">
        <f t="shared" ref="U94" si="113">SUM(S94:T94)</f>
        <v>70916.740020495126</v>
      </c>
      <c r="V94" s="151">
        <f>SUM(,G94,J94,M94,P94,S94)</f>
        <v>1.1496013030409813E-9</v>
      </c>
      <c r="W94" s="258">
        <f>SUM(H94,K94,N94,Q94,T94)</f>
        <v>0</v>
      </c>
      <c r="X94" s="267">
        <f>SUM(I94,L94,O94,R94,U94)</f>
        <v>1.1496013030409813E-9</v>
      </c>
      <c r="Y94" s="131"/>
    </row>
    <row r="95" spans="1:25" s="22" customFormat="1" x14ac:dyDescent="0.35">
      <c r="A95" s="152"/>
      <c r="B95" s="153"/>
      <c r="C95" s="153"/>
      <c r="D95" s="154"/>
      <c r="E95" s="256"/>
      <c r="F95" s="265"/>
      <c r="G95" s="155"/>
      <c r="H95" s="259"/>
      <c r="I95" s="268"/>
      <c r="J95" s="155"/>
      <c r="K95" s="259"/>
      <c r="L95" s="268"/>
      <c r="M95" s="155"/>
      <c r="N95" s="259"/>
      <c r="O95" s="268"/>
      <c r="P95" s="155"/>
      <c r="Q95" s="259"/>
      <c r="R95" s="268"/>
      <c r="S95" s="155"/>
      <c r="T95" s="259"/>
      <c r="U95" s="268"/>
      <c r="V95" s="155"/>
      <c r="W95" s="259"/>
      <c r="X95" s="268"/>
      <c r="Y95" s="131"/>
    </row>
    <row r="96" spans="1:25" s="63" customFormat="1" ht="15.5" x14ac:dyDescent="0.35">
      <c r="A96" s="146">
        <v>59</v>
      </c>
      <c r="B96" s="534" t="s">
        <v>242</v>
      </c>
      <c r="C96" s="535"/>
      <c r="D96" s="535"/>
      <c r="E96" s="535"/>
      <c r="F96" s="536"/>
      <c r="G96" s="161">
        <f>G94+G92</f>
        <v>0</v>
      </c>
      <c r="H96" s="161">
        <f t="shared" ref="H96:I96" si="114">H94+H92</f>
        <v>0</v>
      </c>
      <c r="I96" s="161">
        <f t="shared" si="114"/>
        <v>0</v>
      </c>
      <c r="J96" s="161">
        <f>J94+J92</f>
        <v>96346182.010182574</v>
      </c>
      <c r="K96" s="161">
        <f t="shared" ref="K96" si="115">K94+K92</f>
        <v>1083991.3199999998</v>
      </c>
      <c r="L96" s="161">
        <f>L94+L92</f>
        <v>97430173.330182582</v>
      </c>
      <c r="M96" s="161">
        <f t="shared" ref="M96:R96" si="116">M94+M92</f>
        <v>25704909.556166928</v>
      </c>
      <c r="N96" s="161">
        <f t="shared" si="116"/>
        <v>-925948.32</v>
      </c>
      <c r="O96" s="161">
        <f t="shared" si="116"/>
        <v>24778961.236166928</v>
      </c>
      <c r="P96" s="161">
        <f t="shared" si="116"/>
        <v>27084287.504875541</v>
      </c>
      <c r="Q96" s="161">
        <f t="shared" si="116"/>
        <v>-158043</v>
      </c>
      <c r="R96" s="161">
        <f t="shared" si="116"/>
        <v>26926244.504875541</v>
      </c>
      <c r="S96" s="161">
        <f>S94+S92</f>
        <v>2251280.4987749476</v>
      </c>
      <c r="T96" s="161">
        <f t="shared" ref="T96:U96" si="117">T94+T92</f>
        <v>0</v>
      </c>
      <c r="U96" s="161">
        <f t="shared" si="117"/>
        <v>2251280.4987749476</v>
      </c>
      <c r="V96" s="151">
        <f>SUM(G96,J96,M96,P96,S96)</f>
        <v>151386659.56999999</v>
      </c>
      <c r="W96" s="258">
        <f>SUM(H96,K96,N96,Q96,T96)</f>
        <v>-1.1641532182693481E-10</v>
      </c>
      <c r="X96" s="267">
        <f>SUM(I96,L96,O96,R96,U96)</f>
        <v>151386659.56999999</v>
      </c>
      <c r="Y96" s="132"/>
    </row>
    <row r="97" spans="1:25" s="22" customFormat="1" x14ac:dyDescent="0.35">
      <c r="A97" s="162"/>
      <c r="B97" s="162"/>
      <c r="C97" s="162"/>
      <c r="D97" s="162"/>
      <c r="E97" s="257"/>
      <c r="F97" s="131"/>
      <c r="G97" s="162"/>
      <c r="H97" s="257"/>
      <c r="I97" s="131"/>
      <c r="J97" s="162"/>
      <c r="K97" s="257"/>
      <c r="L97" s="131"/>
      <c r="M97" s="162"/>
      <c r="N97" s="257"/>
      <c r="O97" s="131"/>
      <c r="P97" s="162"/>
      <c r="Q97" s="257"/>
      <c r="R97" s="131"/>
      <c r="S97" s="162"/>
      <c r="T97" s="257"/>
      <c r="U97" s="131"/>
      <c r="V97" s="162"/>
      <c r="W97" s="257"/>
      <c r="X97" s="131"/>
      <c r="Y97" s="131"/>
    </row>
    <row r="98" spans="1:25" s="22" customFormat="1" x14ac:dyDescent="0.35">
      <c r="A98" s="146">
        <v>60</v>
      </c>
      <c r="B98" s="530" t="s">
        <v>4</v>
      </c>
      <c r="C98" s="530"/>
      <c r="D98" s="162"/>
      <c r="E98" s="257"/>
      <c r="F98" s="131"/>
      <c r="G98" s="162"/>
      <c r="H98" s="257"/>
      <c r="I98" s="131"/>
      <c r="J98" s="141">
        <f>'As-Filed Schedule 1'!F97</f>
        <v>22718</v>
      </c>
      <c r="K98" s="255">
        <f>SUMIFS(Adjustments!$G:$G,Adjustments!$H:$H,"1",Adjustments!$I:$I,$J$9,Adjustments!$J:$J,$A98)</f>
        <v>0</v>
      </c>
      <c r="L98" s="266">
        <f>SUM(J98:K98)</f>
        <v>22718</v>
      </c>
      <c r="M98" s="162"/>
      <c r="N98" s="257"/>
      <c r="O98" s="131"/>
      <c r="P98" s="162"/>
      <c r="Q98" s="257"/>
      <c r="R98" s="131"/>
      <c r="S98" s="162"/>
      <c r="T98" s="257"/>
      <c r="U98" s="131"/>
      <c r="V98" s="162"/>
      <c r="W98" s="257"/>
      <c r="X98" s="131"/>
      <c r="Y98" s="131"/>
    </row>
    <row r="99" spans="1:25" s="22" customFormat="1" x14ac:dyDescent="0.35">
      <c r="A99" s="146">
        <v>61</v>
      </c>
      <c r="B99" s="530" t="s">
        <v>5</v>
      </c>
      <c r="C99" s="530"/>
      <c r="D99" s="162"/>
      <c r="E99" s="257"/>
      <c r="F99" s="131"/>
      <c r="G99" s="162"/>
      <c r="H99" s="257"/>
      <c r="I99" s="131"/>
      <c r="J99" s="149">
        <f>IFERROR(J96/J98,"")</f>
        <v>4240.9623210750315</v>
      </c>
      <c r="K99" s="149" t="str">
        <f t="shared" ref="K99" si="118">IFERROR(K96/K98,"")</f>
        <v/>
      </c>
      <c r="L99" s="149">
        <f>IFERROR(L96/L98,"")</f>
        <v>4288.6774069100529</v>
      </c>
      <c r="M99" s="162"/>
      <c r="N99" s="257"/>
      <c r="O99" s="131"/>
      <c r="P99" s="162"/>
      <c r="Q99" s="257"/>
      <c r="R99" s="131"/>
      <c r="S99" s="162"/>
      <c r="T99" s="257"/>
      <c r="U99" s="131"/>
      <c r="V99" s="162"/>
      <c r="W99" s="257"/>
      <c r="X99" s="131"/>
      <c r="Y99" s="131"/>
    </row>
    <row r="100" spans="1:25" s="22" customFormat="1" x14ac:dyDescent="0.35">
      <c r="A100" s="163"/>
      <c r="B100" s="162"/>
      <c r="C100" s="162"/>
      <c r="D100" s="162"/>
      <c r="E100" s="257"/>
      <c r="F100" s="131"/>
      <c r="G100" s="162"/>
      <c r="H100" s="257"/>
      <c r="I100" s="131"/>
      <c r="J100" s="162"/>
      <c r="K100" s="257"/>
      <c r="L100" s="131"/>
      <c r="M100" s="162"/>
      <c r="N100" s="257"/>
      <c r="O100" s="131"/>
      <c r="P100" s="162"/>
      <c r="Q100" s="257"/>
      <c r="R100" s="131"/>
      <c r="S100" s="162"/>
      <c r="T100" s="257"/>
      <c r="U100" s="131"/>
      <c r="V100" s="162"/>
      <c r="W100" s="257"/>
      <c r="X100" s="131"/>
      <c r="Y100" s="131"/>
    </row>
    <row r="101" spans="1:25" s="22" customFormat="1" x14ac:dyDescent="0.35">
      <c r="A101" s="146">
        <v>62</v>
      </c>
      <c r="B101" s="530" t="s">
        <v>307</v>
      </c>
      <c r="C101" s="530"/>
      <c r="D101" s="162"/>
      <c r="E101" s="257"/>
      <c r="F101" s="131"/>
      <c r="G101" s="162"/>
      <c r="H101" s="257"/>
      <c r="I101" s="131"/>
      <c r="J101" s="162"/>
      <c r="K101" s="257"/>
      <c r="L101" s="131"/>
      <c r="M101" s="162"/>
      <c r="N101" s="257"/>
      <c r="O101" s="131"/>
      <c r="P101" s="162"/>
      <c r="Q101" s="257"/>
      <c r="R101" s="131"/>
      <c r="S101" s="162"/>
      <c r="T101" s="257"/>
      <c r="U101" s="131"/>
      <c r="V101" s="148">
        <f>'As-Filed Schedule 1'!J100</f>
        <v>151386660</v>
      </c>
      <c r="W101"/>
      <c r="X101" s="266">
        <f>SUM(V101:W101)</f>
        <v>151386660</v>
      </c>
      <c r="Y101" s="131"/>
    </row>
    <row r="102" spans="1:25" s="22" customFormat="1" x14ac:dyDescent="0.35">
      <c r="A102" s="146">
        <v>63</v>
      </c>
      <c r="B102" s="530" t="s">
        <v>10</v>
      </c>
      <c r="C102" s="530"/>
      <c r="D102" s="162"/>
      <c r="E102" s="257"/>
      <c r="F102" s="131"/>
      <c r="G102" s="162"/>
      <c r="H102" s="257"/>
      <c r="I102" s="131"/>
      <c r="J102" s="162"/>
      <c r="K102" s="257"/>
      <c r="L102" s="131"/>
      <c r="M102" s="162"/>
      <c r="N102" s="257"/>
      <c r="O102" s="131"/>
      <c r="P102" s="162"/>
      <c r="Q102" s="257"/>
      <c r="R102" s="131"/>
      <c r="S102" s="162"/>
      <c r="T102" s="257"/>
      <c r="U102" s="131"/>
      <c r="V102" s="149">
        <f>ROUND(V96-V101,0)</f>
        <v>0</v>
      </c>
      <c r="W102"/>
      <c r="X102" s="271">
        <f>ROUND(X96-X101,0)</f>
        <v>0</v>
      </c>
      <c r="Y102" s="131"/>
    </row>
    <row r="103" spans="1:25" x14ac:dyDescent="0.35">
      <c r="A103" s="99"/>
      <c r="B103" s="99"/>
      <c r="C103" s="99"/>
      <c r="D103" s="99"/>
      <c r="G103" s="99"/>
      <c r="J103" s="99"/>
      <c r="M103" s="99"/>
      <c r="P103" s="99"/>
      <c r="S103" s="99"/>
      <c r="V103" s="99"/>
    </row>
    <row r="104" spans="1:25" x14ac:dyDescent="0.35">
      <c r="A104" s="146">
        <v>64</v>
      </c>
      <c r="B104" s="530" t="s">
        <v>202</v>
      </c>
      <c r="C104" s="530"/>
      <c r="D104" s="99"/>
      <c r="G104" s="164">
        <f>IFERROR(G92/SUM(J92,M92,P92,S92),"")</f>
        <v>0.2599022618082602</v>
      </c>
      <c r="H104" s="164">
        <f>IFERROR(H92/SUM(K92,N92,Q92,T92),"")</f>
        <v>0</v>
      </c>
      <c r="I104" s="164">
        <f>IFERROR(I92/SUM(L92,O92,R92,U92),"")</f>
        <v>0.2599022618082602</v>
      </c>
      <c r="J104" s="99"/>
      <c r="M104" s="99"/>
      <c r="P104" s="99"/>
      <c r="S104" s="99"/>
      <c r="V104" s="99"/>
    </row>
  </sheetData>
  <sheetProtection sheet="1" objects="1" scenarios="1"/>
  <customSheetViews>
    <customSheetView guid="{17302493-42B1-4877-869E-E424A97AE78B}" scale="80" topLeftCell="B82">
      <selection activeCell="N49" sqref="B49:N49"/>
      <pageMargins left="0.7" right="0.7" top="0.75" bottom="0.75" header="0.3" footer="0.3"/>
      <pageSetup orientation="portrait" horizontalDpi="1200" verticalDpi="1200" r:id="rId1"/>
    </customSheetView>
    <customSheetView guid="{5C0BA3A5-859C-46C2-B685-44D9A90065E4}" scale="80" topLeftCell="B82">
      <selection activeCell="N49" sqref="B49:N49"/>
      <pageMargins left="0.7" right="0.7" top="0.75" bottom="0.75" header="0.3" footer="0.3"/>
      <pageSetup orientation="portrait" horizontalDpi="1200" verticalDpi="1200" r:id="rId2"/>
    </customSheetView>
  </customSheetViews>
  <mergeCells count="77">
    <mergeCell ref="B10:C10"/>
    <mergeCell ref="B13:C13"/>
    <mergeCell ref="B14:C14"/>
    <mergeCell ref="B15:C15"/>
    <mergeCell ref="B16:C16"/>
    <mergeCell ref="B25:F25"/>
    <mergeCell ref="B28:F28"/>
    <mergeCell ref="B29:F29"/>
    <mergeCell ref="B30:F30"/>
    <mergeCell ref="B19:C19"/>
    <mergeCell ref="B20:C20"/>
    <mergeCell ref="B21:C21"/>
    <mergeCell ref="B24:F24"/>
    <mergeCell ref="B66:F66"/>
    <mergeCell ref="B67:F67"/>
    <mergeCell ref="B61:F61"/>
    <mergeCell ref="B62:F62"/>
    <mergeCell ref="B63:F63"/>
    <mergeCell ref="B64:F64"/>
    <mergeCell ref="B92:F92"/>
    <mergeCell ref="B89:F89"/>
    <mergeCell ref="B90:F90"/>
    <mergeCell ref="A81:X81"/>
    <mergeCell ref="B78:F78"/>
    <mergeCell ref="B79:F79"/>
    <mergeCell ref="B82:F82"/>
    <mergeCell ref="B84:F84"/>
    <mergeCell ref="B85:F85"/>
    <mergeCell ref="B86:F86"/>
    <mergeCell ref="B104:C104"/>
    <mergeCell ref="A12:X12"/>
    <mergeCell ref="A18:X18"/>
    <mergeCell ref="A23:X23"/>
    <mergeCell ref="A27:X27"/>
    <mergeCell ref="A35:X35"/>
    <mergeCell ref="A43:X43"/>
    <mergeCell ref="A53:X53"/>
    <mergeCell ref="A60:X60"/>
    <mergeCell ref="B98:C98"/>
    <mergeCell ref="B99:C99"/>
    <mergeCell ref="B101:C101"/>
    <mergeCell ref="B102:C102"/>
    <mergeCell ref="B96:F96"/>
    <mergeCell ref="B94:F94"/>
    <mergeCell ref="A88:X88"/>
    <mergeCell ref="B52:M52"/>
    <mergeCell ref="B50:F50"/>
    <mergeCell ref="B51:F51"/>
    <mergeCell ref="B39:F39"/>
    <mergeCell ref="B33:F33"/>
    <mergeCell ref="B48:F48"/>
    <mergeCell ref="B41:F41"/>
    <mergeCell ref="B36:F36"/>
    <mergeCell ref="B37:F37"/>
    <mergeCell ref="B38:F38"/>
    <mergeCell ref="B49:F49"/>
    <mergeCell ref="B31:F31"/>
    <mergeCell ref="B44:F44"/>
    <mergeCell ref="B45:F45"/>
    <mergeCell ref="B46:F46"/>
    <mergeCell ref="B47:F47"/>
    <mergeCell ref="B54:F54"/>
    <mergeCell ref="B55:F55"/>
    <mergeCell ref="B56:F56"/>
    <mergeCell ref="B57:F57"/>
    <mergeCell ref="B83:F83"/>
    <mergeCell ref="B68:F68"/>
    <mergeCell ref="B71:F71"/>
    <mergeCell ref="B72:F72"/>
    <mergeCell ref="B73:F73"/>
    <mergeCell ref="B74:F74"/>
    <mergeCell ref="B75:F75"/>
    <mergeCell ref="B76:F76"/>
    <mergeCell ref="B77:F77"/>
    <mergeCell ref="A70:X70"/>
    <mergeCell ref="B58:F58"/>
    <mergeCell ref="B65:F65"/>
  </mergeCells>
  <pageMargins left="0.7" right="0.7" top="0.75" bottom="0.75" header="0.3" footer="0.3"/>
  <pageSetup orientation="portrait" horizontalDpi="1200" verticalDpi="1200"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dimension ref="A1:AA95"/>
  <sheetViews>
    <sheetView topLeftCell="B1" workbookViewId="0">
      <selection activeCell="E9" sqref="E9"/>
    </sheetView>
  </sheetViews>
  <sheetFormatPr defaultColWidth="9.1796875" defaultRowHeight="14.5" x14ac:dyDescent="0.35"/>
  <cols>
    <col min="1" max="1" width="6.81640625" customWidth="1"/>
    <col min="2" max="2" width="16" customWidth="1"/>
    <col min="3" max="3" width="29.1796875" customWidth="1"/>
    <col min="4" max="6" width="19" customWidth="1"/>
    <col min="7" max="11" width="21.1796875" customWidth="1"/>
    <col min="12" max="12" width="28.453125" customWidth="1"/>
    <col min="13" max="13" width="32.54296875" customWidth="1"/>
    <col min="14" max="14" width="37.453125" customWidth="1"/>
  </cols>
  <sheetData>
    <row r="1" spans="1:14" ht="26" x14ac:dyDescent="0.6">
      <c r="A1" s="3" t="s">
        <v>777</v>
      </c>
    </row>
    <row r="2" spans="1:14" ht="21" x14ac:dyDescent="0.5">
      <c r="A2" s="2" t="s">
        <v>775</v>
      </c>
    </row>
    <row r="3" spans="1:14" ht="25" customHeight="1" x14ac:dyDescent="0.5">
      <c r="A3" s="546" t="s">
        <v>591</v>
      </c>
      <c r="B3" s="546"/>
      <c r="C3" s="546"/>
      <c r="D3" s="546"/>
      <c r="E3" s="546"/>
      <c r="F3" s="546"/>
      <c r="G3" s="546"/>
      <c r="H3" s="546"/>
      <c r="I3" s="546"/>
      <c r="J3" s="546"/>
      <c r="K3" s="546"/>
      <c r="L3" s="546"/>
    </row>
    <row r="4" spans="1:14" x14ac:dyDescent="0.35">
      <c r="J4" s="61"/>
      <c r="L4" s="122"/>
      <c r="M4" s="122"/>
      <c r="N4" s="122"/>
    </row>
    <row r="5" spans="1:14" x14ac:dyDescent="0.35">
      <c r="A5" s="1" t="s">
        <v>776</v>
      </c>
      <c r="C5" s="414" t="str">
        <f>Results!$C$6</f>
        <v>WellPower</v>
      </c>
      <c r="J5" s="48"/>
      <c r="L5" s="40"/>
      <c r="M5" s="40"/>
      <c r="N5" s="40"/>
    </row>
    <row r="6" spans="1:14" x14ac:dyDescent="0.35">
      <c r="A6" s="1" t="s">
        <v>0</v>
      </c>
      <c r="C6" s="35">
        <f>Results!$C$7</f>
        <v>45473</v>
      </c>
      <c r="D6" s="35"/>
      <c r="E6" s="35"/>
      <c r="F6" s="35"/>
      <c r="G6" s="35"/>
      <c r="H6" s="35"/>
      <c r="I6" s="35"/>
      <c r="J6" s="60"/>
      <c r="L6" s="40"/>
      <c r="M6" s="40"/>
      <c r="N6" s="40"/>
    </row>
    <row r="7" spans="1:14" x14ac:dyDescent="0.35">
      <c r="D7" s="78" t="s">
        <v>588</v>
      </c>
      <c r="E7" s="302" t="s">
        <v>587</v>
      </c>
      <c r="J7" s="48"/>
      <c r="L7" s="40"/>
      <c r="M7" s="40"/>
      <c r="N7" s="40"/>
    </row>
    <row r="8" spans="1:14" x14ac:dyDescent="0.35">
      <c r="A8" s="1" t="s">
        <v>264</v>
      </c>
      <c r="D8" s="114">
        <f>'As-Filed Schedule 1A'!D8</f>
        <v>332850</v>
      </c>
      <c r="E8" s="303">
        <v>332850</v>
      </c>
      <c r="F8" s="78"/>
      <c r="G8" s="48"/>
      <c r="H8" s="48"/>
      <c r="I8" s="48"/>
      <c r="J8" s="48"/>
      <c r="L8" s="40"/>
      <c r="M8" s="40"/>
      <c r="N8" s="40"/>
    </row>
    <row r="9" spans="1:14" ht="6.75" customHeight="1" x14ac:dyDescent="0.35">
      <c r="J9" s="48"/>
      <c r="L9" s="40"/>
      <c r="M9" s="40"/>
      <c r="N9" s="40"/>
    </row>
    <row r="10" spans="1:14" x14ac:dyDescent="0.35">
      <c r="A10" s="1" t="s">
        <v>265</v>
      </c>
      <c r="D10" s="77" t="s">
        <v>266</v>
      </c>
      <c r="E10" s="78"/>
      <c r="F10" s="78"/>
      <c r="J10" s="48"/>
      <c r="L10" s="40"/>
      <c r="M10" s="40"/>
      <c r="N10" s="40"/>
    </row>
    <row r="11" spans="1:14" x14ac:dyDescent="0.35">
      <c r="A11" s="1"/>
      <c r="D11" s="78"/>
      <c r="E11" s="78"/>
      <c r="F11" s="78"/>
      <c r="J11" s="48"/>
      <c r="L11" s="123"/>
    </row>
    <row r="12" spans="1:14" x14ac:dyDescent="0.35">
      <c r="A12" s="1" t="s">
        <v>267</v>
      </c>
      <c r="D12" s="48"/>
      <c r="E12" s="48"/>
      <c r="F12" s="48"/>
      <c r="L12" s="123"/>
    </row>
    <row r="13" spans="1:14" ht="15" customHeight="1" x14ac:dyDescent="0.35">
      <c r="A13" s="547" t="s">
        <v>488</v>
      </c>
      <c r="B13" s="547"/>
      <c r="C13" s="547"/>
      <c r="D13" s="547"/>
      <c r="E13" s="547"/>
      <c r="F13" s="547"/>
      <c r="G13" s="547"/>
      <c r="H13" s="547"/>
      <c r="I13" s="547"/>
      <c r="J13" s="547"/>
      <c r="K13" s="547"/>
      <c r="L13" s="62"/>
    </row>
    <row r="14" spans="1:14" ht="15" customHeight="1" x14ac:dyDescent="0.35">
      <c r="A14" s="547"/>
      <c r="B14" s="547"/>
      <c r="C14" s="547"/>
      <c r="D14" s="547"/>
      <c r="E14" s="547"/>
      <c r="F14" s="547"/>
      <c r="G14" s="547"/>
      <c r="H14" s="547"/>
      <c r="I14" s="547"/>
      <c r="J14" s="547"/>
      <c r="K14" s="547"/>
      <c r="L14" s="62"/>
    </row>
    <row r="15" spans="1:14" ht="15" customHeight="1" x14ac:dyDescent="0.35">
      <c r="A15" s="547"/>
      <c r="B15" s="547"/>
      <c r="C15" s="547"/>
      <c r="D15" s="547"/>
      <c r="E15" s="547"/>
      <c r="F15" s="547"/>
      <c r="G15" s="547"/>
      <c r="H15" s="547"/>
      <c r="I15" s="547"/>
      <c r="J15" s="547"/>
      <c r="K15" s="547"/>
      <c r="L15" s="62"/>
    </row>
    <row r="16" spans="1:14" x14ac:dyDescent="0.35">
      <c r="A16" s="547"/>
      <c r="B16" s="547"/>
      <c r="C16" s="547"/>
      <c r="D16" s="547"/>
      <c r="E16" s="547"/>
      <c r="F16" s="547"/>
      <c r="G16" s="547"/>
      <c r="H16" s="547"/>
      <c r="I16" s="547"/>
      <c r="J16" s="547"/>
      <c r="K16" s="547"/>
    </row>
    <row r="17" spans="1:27" x14ac:dyDescent="0.35">
      <c r="A17" s="166"/>
      <c r="B17" s="166"/>
      <c r="C17" s="166"/>
      <c r="D17" s="166"/>
      <c r="E17" s="166"/>
      <c r="F17" s="166"/>
      <c r="G17" s="166"/>
      <c r="H17" s="166"/>
      <c r="I17" s="166"/>
      <c r="J17" s="166"/>
      <c r="K17" s="119"/>
    </row>
    <row r="18" spans="1:27" x14ac:dyDescent="0.35">
      <c r="A18" s="166"/>
      <c r="B18" s="548">
        <v>1</v>
      </c>
      <c r="C18" s="549"/>
      <c r="D18" s="167">
        <v>2</v>
      </c>
      <c r="E18" s="167">
        <v>3</v>
      </c>
      <c r="F18" s="167">
        <v>4</v>
      </c>
      <c r="G18" s="167">
        <v>5</v>
      </c>
      <c r="H18" s="248" t="s">
        <v>560</v>
      </c>
      <c r="I18" s="249" t="s">
        <v>561</v>
      </c>
      <c r="J18" s="167">
        <v>6</v>
      </c>
      <c r="K18" s="249" t="s">
        <v>565</v>
      </c>
    </row>
    <row r="19" spans="1:27" s="4" customFormat="1" ht="58" x14ac:dyDescent="0.35">
      <c r="A19" s="168"/>
      <c r="B19" s="550" t="s">
        <v>593</v>
      </c>
      <c r="C19" s="550"/>
      <c r="D19" s="142" t="s">
        <v>594</v>
      </c>
      <c r="E19" s="142" t="s">
        <v>597</v>
      </c>
      <c r="F19" s="142" t="s">
        <v>598</v>
      </c>
      <c r="G19" s="142" t="s">
        <v>489</v>
      </c>
      <c r="H19" s="250" t="s">
        <v>595</v>
      </c>
      <c r="I19" s="251" t="s">
        <v>596</v>
      </c>
      <c r="J19" s="142" t="s">
        <v>490</v>
      </c>
      <c r="K19" s="251" t="s">
        <v>589</v>
      </c>
    </row>
    <row r="20" spans="1:27" x14ac:dyDescent="0.35">
      <c r="A20" s="169">
        <v>1</v>
      </c>
      <c r="B20" s="545" t="str">
        <f>IF('As-Filed Schedule 1A'!B20:C20=0,"",'As-Filed Schedule 1A'!B20:C20)</f>
        <v>CEO</v>
      </c>
      <c r="C20" s="545"/>
      <c r="D20" s="170">
        <f>IF('As-Filed Schedule 1A'!D20=0,"",'As-Filed Schedule 1A'!D20)</f>
        <v>2</v>
      </c>
      <c r="E20" s="171">
        <f>IF('As-Filed Schedule 1A'!E20=0,"",'As-Filed Schedule 1A'!E20)</f>
        <v>12</v>
      </c>
      <c r="F20" s="171">
        <f>IF('As-Filed Schedule 1A'!F20=0,"",'As-Filed Schedule 1A'!F20)</f>
        <v>0.875</v>
      </c>
      <c r="G20" s="172">
        <f>'As-Filed Schedule 1A'!G20</f>
        <v>697240.74874999991</v>
      </c>
      <c r="H20" s="307">
        <f>SUMIFS(Adjustments!$G:$G,Adjustments!$H:$H,"1A",Adjustments!$I:$I,'Schedule 1A Adjustments'!$G$18,Adjustments!$J:$J,'Schedule 1A Adjustments'!A20)</f>
        <v>0</v>
      </c>
      <c r="I20" s="303">
        <f>SUM(G20:H20)</f>
        <v>697240.74874999991</v>
      </c>
      <c r="J20" s="173">
        <f>IF(G20-$D$8&gt;0,G20-$D$8,0)</f>
        <v>364390.74874999991</v>
      </c>
      <c r="K20" s="173">
        <f>IF(I20-$E$8&gt;0,I20-$E$8,0)</f>
        <v>364390.74874999991</v>
      </c>
    </row>
    <row r="21" spans="1:27" x14ac:dyDescent="0.35">
      <c r="A21" s="169">
        <f>A20+1</f>
        <v>2</v>
      </c>
      <c r="B21" s="545" t="str">
        <f>IF('As-Filed Schedule 1A'!B21:C21=0,"",'As-Filed Schedule 1A'!B21:C21)</f>
        <v>CFO</v>
      </c>
      <c r="C21" s="545"/>
      <c r="D21" s="170">
        <f>IF('As-Filed Schedule 1A'!D21=0,"",'As-Filed Schedule 1A'!D21)</f>
        <v>2</v>
      </c>
      <c r="E21" s="171">
        <f>IF('As-Filed Schedule 1A'!E21=0,"",'As-Filed Schedule 1A'!E21)</f>
        <v>12</v>
      </c>
      <c r="F21" s="171">
        <f>IF('As-Filed Schedule 1A'!F21=0,"",'As-Filed Schedule 1A'!F21)</f>
        <v>1</v>
      </c>
      <c r="G21" s="172">
        <f>'As-Filed Schedule 1A'!G21</f>
        <v>432334.1</v>
      </c>
      <c r="H21" s="307">
        <f>SUMIFS(Adjustments!$G:$G,Adjustments!$H:$H,"1A",Adjustments!$I:$I,'Schedule 1A Adjustments'!$G$18,Adjustments!$J:$J,'Schedule 1A Adjustments'!A21)</f>
        <v>0</v>
      </c>
      <c r="I21" s="303">
        <f t="shared" ref="I21:I24" si="0">SUM(G21:H21)</f>
        <v>432334.1</v>
      </c>
      <c r="J21" s="173">
        <f>IF(G21-$D$8&gt;0,G21-$D$8,0)</f>
        <v>99484.099999999977</v>
      </c>
      <c r="K21" s="173">
        <f>IF(I21-$E$8&gt;0,I21-$E$8,0)</f>
        <v>99484.099999999977</v>
      </c>
    </row>
    <row r="22" spans="1:27" x14ac:dyDescent="0.35">
      <c r="A22" s="169">
        <f t="shared" ref="A22:A30" si="1">A21+1</f>
        <v>3</v>
      </c>
      <c r="B22" s="545" t="str">
        <f>IF('As-Filed Schedule 1A'!B22:C22=0,"",'As-Filed Schedule 1A'!B22:C22)</f>
        <v>VP/CMO</v>
      </c>
      <c r="C22" s="545"/>
      <c r="D22" s="170">
        <f>IF('As-Filed Schedule 1A'!D22=0,"",'As-Filed Schedule 1A'!D22)</f>
        <v>3</v>
      </c>
      <c r="E22" s="171">
        <f>IF('As-Filed Schedule 1A'!E22=0,"",'As-Filed Schedule 1A'!E22)</f>
        <v>12</v>
      </c>
      <c r="F22" s="171">
        <f>IF('As-Filed Schedule 1A'!F22=0,"",'As-Filed Schedule 1A'!F22)</f>
        <v>0.5</v>
      </c>
      <c r="G22" s="172">
        <f>'As-Filed Schedule 1A'!G22</f>
        <v>272278.90999999997</v>
      </c>
      <c r="H22" s="307">
        <f>SUMIFS(Adjustments!$G:$G,Adjustments!$H:$H,"1A",Adjustments!$I:$I,'Schedule 1A Adjustments'!$G$18,Adjustments!$J:$J,'Schedule 1A Adjustments'!A22)</f>
        <v>0</v>
      </c>
      <c r="I22" s="303">
        <f t="shared" si="0"/>
        <v>272278.90999999997</v>
      </c>
      <c r="J22" s="173">
        <f>IF(G22-$D$8&gt;0,G22-$D$8,0)</f>
        <v>0</v>
      </c>
      <c r="K22" s="173">
        <f>IF(I22-$E$8&gt;0,I22-$E$8,0)</f>
        <v>0</v>
      </c>
    </row>
    <row r="23" spans="1:27" x14ac:dyDescent="0.35">
      <c r="A23" s="169">
        <f t="shared" si="1"/>
        <v>4</v>
      </c>
      <c r="B23" s="545" t="str">
        <f>IF('As-Filed Schedule 1A'!B23:C23=0,"",'As-Filed Schedule 1A'!B23:C23)</f>
        <v>Medical Director</v>
      </c>
      <c r="C23" s="545"/>
      <c r="D23" s="170">
        <f>IF('As-Filed Schedule 1A'!D23=0,"",'As-Filed Schedule 1A'!D23)</f>
        <v>3</v>
      </c>
      <c r="E23" s="171">
        <f>IF('As-Filed Schedule 1A'!E23=0,"",'As-Filed Schedule 1A'!E23)</f>
        <v>12</v>
      </c>
      <c r="F23" s="171">
        <f>IF('As-Filed Schedule 1A'!F23=0,"",'As-Filed Schedule 1A'!F23)</f>
        <v>0.5</v>
      </c>
      <c r="G23" s="172">
        <f>'As-Filed Schedule 1A'!G23</f>
        <v>214895.16999999998</v>
      </c>
      <c r="H23" s="307">
        <f>SUMIFS(Adjustments!$G:$G,Adjustments!$H:$H,"1A",Adjustments!$I:$I,'Schedule 1A Adjustments'!$G$18,Adjustments!$J:$J,'Schedule 1A Adjustments'!A23)</f>
        <v>0</v>
      </c>
      <c r="I23" s="303">
        <f t="shared" si="0"/>
        <v>214895.16999999998</v>
      </c>
      <c r="J23" s="173">
        <f>IF(G23-$D$8&gt;0,G23-$D$8,0)</f>
        <v>0</v>
      </c>
      <c r="K23" s="173">
        <f>IF(I23-$E$8&gt;0,I23-$E$8,0)</f>
        <v>0</v>
      </c>
    </row>
    <row r="24" spans="1:27" x14ac:dyDescent="0.35">
      <c r="A24" s="169">
        <f t="shared" si="1"/>
        <v>5</v>
      </c>
      <c r="B24" s="545" t="str">
        <f>IF('As-Filed Schedule 1A'!B24:C24=0,"",'As-Filed Schedule 1A'!B24:C24)</f>
        <v>Medical Director</v>
      </c>
      <c r="C24" s="545"/>
      <c r="D24" s="170">
        <f>IF('As-Filed Schedule 1A'!D24=0,"",'As-Filed Schedule 1A'!D24)</f>
        <v>3</v>
      </c>
      <c r="E24" s="171">
        <f>IF('As-Filed Schedule 1A'!E24=0,"",'As-Filed Schedule 1A'!E24)</f>
        <v>12</v>
      </c>
      <c r="F24" s="171">
        <f>IF('As-Filed Schedule 1A'!F24=0,"",'As-Filed Schedule 1A'!F24)</f>
        <v>0.5</v>
      </c>
      <c r="G24" s="172">
        <f>'As-Filed Schedule 1A'!G24</f>
        <v>202527.77</v>
      </c>
      <c r="H24" s="307">
        <f>SUMIFS(Adjustments!$G:$G,Adjustments!$H:$H,"1A",Adjustments!$I:$I,'Schedule 1A Adjustments'!$G$18,Adjustments!$J:$J,'Schedule 1A Adjustments'!A24)</f>
        <v>0</v>
      </c>
      <c r="I24" s="303">
        <f t="shared" si="0"/>
        <v>202527.77</v>
      </c>
      <c r="J24" s="173">
        <f>IF(G24-$D$8&gt;0,G24-$D$8,0)</f>
        <v>0</v>
      </c>
      <c r="K24" s="173">
        <f>IF(I24-$E$8&gt;0,I24-$E$8,0)</f>
        <v>0</v>
      </c>
    </row>
    <row r="25" spans="1:27" x14ac:dyDescent="0.35">
      <c r="A25" s="174">
        <f t="shared" si="1"/>
        <v>6</v>
      </c>
      <c r="B25" s="306" t="s">
        <v>592</v>
      </c>
      <c r="C25" s="99"/>
      <c r="D25" s="99"/>
      <c r="E25" s="99"/>
      <c r="F25" s="99"/>
      <c r="G25" s="99"/>
      <c r="H25" s="99"/>
      <c r="I25" s="99"/>
      <c r="J25" s="175">
        <f>SUM(J20:J24)</f>
        <v>463874.84874999989</v>
      </c>
      <c r="K25" s="175">
        <f>SUM(K20:K24)</f>
        <v>463874.84874999989</v>
      </c>
    </row>
    <row r="26" spans="1:27" x14ac:dyDescent="0.35">
      <c r="A26" s="99"/>
      <c r="B26" s="99"/>
      <c r="C26" s="99"/>
      <c r="D26" s="99"/>
      <c r="E26" s="99"/>
      <c r="F26" s="99"/>
      <c r="G26" s="99"/>
      <c r="H26" s="99"/>
      <c r="I26" s="99"/>
      <c r="J26" s="99"/>
      <c r="K26" s="99"/>
    </row>
    <row r="27" spans="1:27" x14ac:dyDescent="0.35">
      <c r="A27" s="174">
        <v>7</v>
      </c>
      <c r="B27" s="99"/>
      <c r="C27" s="99"/>
      <c r="D27" s="99"/>
      <c r="E27" s="99"/>
      <c r="F27" s="99"/>
      <c r="I27" s="176" t="s">
        <v>184</v>
      </c>
      <c r="J27" s="177">
        <f>SUMIF($D$20:$D$24,2,$J$20:$J$24)</f>
        <v>463874.84874999989</v>
      </c>
      <c r="K27" s="177">
        <f>SUMIF($D$20:$D$24,2,$K$20:$K$24)</f>
        <v>463874.84874999989</v>
      </c>
    </row>
    <row r="28" spans="1:27" x14ac:dyDescent="0.35">
      <c r="A28" s="174">
        <v>8</v>
      </c>
      <c r="B28" s="99"/>
      <c r="C28" s="99"/>
      <c r="D28" s="99"/>
      <c r="E28" s="99"/>
      <c r="F28" s="99"/>
      <c r="I28" s="176" t="s">
        <v>182</v>
      </c>
      <c r="J28" s="177">
        <f>SUMIF($D$20:$D$24,3,$J$20:$J$24)</f>
        <v>0</v>
      </c>
      <c r="K28" s="177">
        <f>SUMIF($D$20:$D$24,3,$K$20:$K$24)</f>
        <v>0</v>
      </c>
    </row>
    <row r="29" spans="1:27" x14ac:dyDescent="0.35">
      <c r="A29" s="174">
        <v>9</v>
      </c>
      <c r="B29" s="99"/>
      <c r="C29" s="99"/>
      <c r="D29" s="99"/>
      <c r="E29" s="99"/>
      <c r="F29" s="99"/>
      <c r="I29" s="176" t="s">
        <v>183</v>
      </c>
      <c r="J29" s="177">
        <f>SUMIF($D$20:$D$24,4,$J$20:$J$24)</f>
        <v>0</v>
      </c>
      <c r="K29" s="177">
        <f>SUMIF($D$20:$D$24,4,$K$20:$K$24)</f>
        <v>0</v>
      </c>
    </row>
    <row r="30" spans="1:27" x14ac:dyDescent="0.35">
      <c r="A30" s="174">
        <f t="shared" si="1"/>
        <v>10</v>
      </c>
      <c r="B30" s="99"/>
      <c r="C30" s="99"/>
      <c r="D30" s="99"/>
      <c r="E30" s="99"/>
      <c r="F30" s="99"/>
      <c r="I30" s="176" t="s">
        <v>185</v>
      </c>
      <c r="J30" s="177">
        <f>SUMIF($D$20:$D$24,5,$J$20:$J$24)</f>
        <v>0</v>
      </c>
      <c r="K30" s="177">
        <f>SUMIF($D$20:$D$24,5,$K$20:$K$24)</f>
        <v>0</v>
      </c>
    </row>
    <row r="31" spans="1:27" x14ac:dyDescent="0.35">
      <c r="A31" s="99"/>
      <c r="B31" s="99"/>
      <c r="C31" s="99"/>
      <c r="D31" s="99"/>
      <c r="E31" s="99"/>
      <c r="F31" s="99"/>
      <c r="G31" s="99"/>
      <c r="H31" s="99"/>
      <c r="I31" s="99"/>
      <c r="J31" s="178" t="str">
        <f>IF(SUM(J27:J30)&lt;&gt;J25,"error","")</f>
        <v/>
      </c>
    </row>
    <row r="32" spans="1:27" ht="15.65" customHeight="1" x14ac:dyDescent="0.35">
      <c r="A32" s="99"/>
      <c r="B32" s="179"/>
      <c r="C32" s="179"/>
      <c r="D32" s="179"/>
      <c r="E32" s="179"/>
      <c r="F32" s="179"/>
      <c r="G32" s="179"/>
      <c r="H32" s="179"/>
      <c r="I32" s="179"/>
      <c r="J32" s="180" t="s">
        <v>269</v>
      </c>
      <c r="K32" s="80"/>
      <c r="L32" s="80"/>
      <c r="M32" s="64"/>
      <c r="W32" s="65"/>
      <c r="X32" s="65"/>
      <c r="Y32" s="65"/>
      <c r="Z32" s="65"/>
      <c r="AA32" s="65"/>
    </row>
    <row r="33" spans="1:10" x14ac:dyDescent="0.35">
      <c r="A33" s="99"/>
      <c r="B33" s="99"/>
      <c r="C33" s="99"/>
      <c r="D33" s="99"/>
      <c r="E33" s="99"/>
      <c r="F33" s="99"/>
      <c r="G33" s="99"/>
      <c r="H33" s="99"/>
      <c r="I33" s="99"/>
      <c r="J33" s="99"/>
    </row>
    <row r="34" spans="1:10" x14ac:dyDescent="0.35">
      <c r="A34" s="99"/>
      <c r="B34" s="99"/>
      <c r="C34" s="99"/>
      <c r="D34" s="99"/>
      <c r="E34" s="99"/>
      <c r="F34" s="99"/>
      <c r="G34" s="99"/>
      <c r="H34" s="99"/>
      <c r="I34" s="99"/>
      <c r="J34" s="99"/>
    </row>
    <row r="35" spans="1:10" x14ac:dyDescent="0.35">
      <c r="A35" s="99"/>
      <c r="B35" s="99"/>
      <c r="C35" s="99"/>
      <c r="D35" s="99"/>
      <c r="E35" s="99"/>
      <c r="F35" s="99"/>
      <c r="G35" s="99"/>
      <c r="H35" s="99"/>
      <c r="I35" s="99"/>
      <c r="J35" s="99"/>
    </row>
    <row r="36" spans="1:10" x14ac:dyDescent="0.35">
      <c r="A36" s="99"/>
      <c r="B36" s="99"/>
      <c r="C36" s="99"/>
      <c r="D36" s="99"/>
      <c r="E36" s="99"/>
      <c r="F36" s="99"/>
      <c r="G36" s="99"/>
      <c r="H36" s="99"/>
      <c r="I36" s="99"/>
      <c r="J36" s="99"/>
    </row>
    <row r="37" spans="1:10" x14ac:dyDescent="0.35">
      <c r="A37" s="99"/>
      <c r="B37" s="99"/>
      <c r="C37" s="99"/>
      <c r="D37" s="99"/>
      <c r="E37" s="99"/>
      <c r="F37" s="99"/>
      <c r="G37" s="99"/>
      <c r="H37" s="99"/>
      <c r="I37" s="99"/>
      <c r="J37" s="99"/>
    </row>
    <row r="38" spans="1:10" x14ac:dyDescent="0.35">
      <c r="A38" s="99"/>
      <c r="B38" s="99"/>
      <c r="C38" s="99"/>
      <c r="D38" s="99"/>
      <c r="E38" s="99"/>
      <c r="F38" s="99"/>
      <c r="G38" s="99"/>
      <c r="H38" s="99"/>
      <c r="I38" s="99"/>
      <c r="J38" s="99"/>
    </row>
    <row r="39" spans="1:10" x14ac:dyDescent="0.35">
      <c r="A39" s="99"/>
      <c r="B39" s="99"/>
      <c r="C39" s="99"/>
      <c r="D39" s="99"/>
      <c r="E39" s="99"/>
      <c r="F39" s="99"/>
      <c r="G39" s="99"/>
      <c r="H39" s="99"/>
      <c r="I39" s="99"/>
      <c r="J39" s="99"/>
    </row>
    <row r="40" spans="1:10" x14ac:dyDescent="0.35">
      <c r="A40" s="99"/>
      <c r="B40" s="99"/>
      <c r="C40" s="99"/>
      <c r="D40" s="99"/>
      <c r="E40" s="99"/>
      <c r="F40" s="99"/>
      <c r="G40" s="99"/>
      <c r="H40" s="99"/>
      <c r="I40" s="99"/>
      <c r="J40" s="99"/>
    </row>
    <row r="41" spans="1:10" x14ac:dyDescent="0.35">
      <c r="A41" s="99"/>
      <c r="B41" s="99"/>
      <c r="C41" s="99"/>
      <c r="D41" s="99"/>
      <c r="E41" s="99"/>
      <c r="F41" s="99"/>
      <c r="G41" s="99"/>
      <c r="H41" s="99"/>
      <c r="I41" s="99"/>
      <c r="J41" s="99"/>
    </row>
    <row r="42" spans="1:10" x14ac:dyDescent="0.35">
      <c r="A42" s="99"/>
      <c r="B42" s="99"/>
      <c r="C42" s="99"/>
      <c r="D42" s="99"/>
      <c r="E42" s="99"/>
      <c r="F42" s="99"/>
      <c r="G42" s="99"/>
      <c r="H42" s="99"/>
      <c r="I42" s="99"/>
      <c r="J42" s="99"/>
    </row>
    <row r="43" spans="1:10" x14ac:dyDescent="0.35">
      <c r="A43" s="99"/>
      <c r="B43" s="99"/>
      <c r="C43" s="99"/>
      <c r="D43" s="99"/>
      <c r="E43" s="99"/>
      <c r="F43" s="99"/>
      <c r="G43" s="99"/>
      <c r="H43" s="99"/>
      <c r="I43" s="99"/>
      <c r="J43" s="99"/>
    </row>
    <row r="44" spans="1:10" x14ac:dyDescent="0.35">
      <c r="A44" s="99"/>
      <c r="B44" s="99"/>
      <c r="C44" s="99"/>
      <c r="D44" s="99"/>
      <c r="E44" s="99"/>
      <c r="F44" s="99"/>
      <c r="G44" s="99"/>
      <c r="H44" s="99"/>
      <c r="I44" s="99"/>
      <c r="J44" s="99"/>
    </row>
    <row r="45" spans="1:10" x14ac:dyDescent="0.35">
      <c r="A45" s="99"/>
      <c r="B45" s="99"/>
      <c r="C45" s="99"/>
      <c r="D45" s="99"/>
      <c r="E45" s="99"/>
      <c r="F45" s="99"/>
      <c r="G45" s="99"/>
      <c r="H45" s="99"/>
      <c r="I45" s="99"/>
      <c r="J45" s="99"/>
    </row>
    <row r="46" spans="1:10" x14ac:dyDescent="0.35">
      <c r="A46" s="99"/>
      <c r="B46" s="99"/>
      <c r="C46" s="99"/>
      <c r="D46" s="99"/>
      <c r="E46" s="99"/>
      <c r="F46" s="99"/>
      <c r="G46" s="99"/>
      <c r="H46" s="99"/>
      <c r="I46" s="99"/>
      <c r="J46" s="99"/>
    </row>
    <row r="47" spans="1:10" x14ac:dyDescent="0.35">
      <c r="A47" s="99"/>
      <c r="B47" s="99"/>
      <c r="C47" s="99"/>
      <c r="D47" s="99"/>
      <c r="E47" s="99"/>
      <c r="F47" s="99"/>
      <c r="G47" s="99"/>
      <c r="H47" s="99"/>
      <c r="I47" s="99"/>
      <c r="J47" s="99"/>
    </row>
    <row r="48" spans="1:10" x14ac:dyDescent="0.35">
      <c r="A48" s="99"/>
      <c r="B48" s="99"/>
      <c r="C48" s="99"/>
      <c r="D48" s="99"/>
      <c r="E48" s="99"/>
      <c r="F48" s="99"/>
      <c r="G48" s="99"/>
      <c r="H48" s="99"/>
      <c r="I48" s="99"/>
      <c r="J48" s="99"/>
    </row>
    <row r="49" spans="1:10" x14ac:dyDescent="0.35">
      <c r="A49" s="99"/>
      <c r="B49" s="99"/>
      <c r="C49" s="99"/>
      <c r="D49" s="99"/>
      <c r="E49" s="99"/>
      <c r="F49" s="99"/>
      <c r="G49" s="99"/>
      <c r="H49" s="99"/>
      <c r="I49" s="99"/>
      <c r="J49" s="99"/>
    </row>
    <row r="50" spans="1:10" x14ac:dyDescent="0.35">
      <c r="A50" s="99"/>
      <c r="B50" s="99"/>
      <c r="C50" s="99"/>
      <c r="D50" s="99"/>
      <c r="E50" s="99"/>
      <c r="F50" s="99"/>
      <c r="G50" s="99"/>
      <c r="H50" s="99"/>
      <c r="I50" s="99"/>
      <c r="J50" s="99"/>
    </row>
    <row r="51" spans="1:10" x14ac:dyDescent="0.35">
      <c r="A51" s="99"/>
      <c r="B51" s="99"/>
      <c r="C51" s="99"/>
      <c r="D51" s="99"/>
      <c r="E51" s="99"/>
      <c r="F51" s="99"/>
      <c r="G51" s="99"/>
      <c r="H51" s="99"/>
      <c r="I51" s="99"/>
      <c r="J51" s="99"/>
    </row>
    <row r="52" spans="1:10" x14ac:dyDescent="0.35">
      <c r="A52" s="99"/>
      <c r="B52" s="99"/>
      <c r="C52" s="99"/>
      <c r="D52" s="99"/>
      <c r="E52" s="99"/>
      <c r="F52" s="99"/>
      <c r="G52" s="99"/>
      <c r="H52" s="99"/>
      <c r="I52" s="99"/>
      <c r="J52" s="99"/>
    </row>
    <row r="53" spans="1:10" x14ac:dyDescent="0.35">
      <c r="A53" s="99"/>
      <c r="B53" s="99"/>
      <c r="C53" s="99"/>
      <c r="D53" s="99"/>
      <c r="E53" s="99"/>
      <c r="F53" s="99"/>
      <c r="G53" s="99"/>
      <c r="H53" s="99"/>
      <c r="I53" s="99"/>
      <c r="J53" s="99"/>
    </row>
    <row r="54" spans="1:10" x14ac:dyDescent="0.35">
      <c r="A54" s="99"/>
      <c r="B54" s="99"/>
      <c r="C54" s="99"/>
      <c r="D54" s="99"/>
      <c r="E54" s="99"/>
      <c r="F54" s="99"/>
      <c r="G54" s="99"/>
      <c r="H54" s="99"/>
      <c r="I54" s="99"/>
      <c r="J54" s="99"/>
    </row>
    <row r="55" spans="1:10" x14ac:dyDescent="0.35">
      <c r="A55" s="99"/>
      <c r="B55" s="99"/>
      <c r="C55" s="99"/>
      <c r="D55" s="99"/>
      <c r="E55" s="99"/>
      <c r="F55" s="99"/>
      <c r="G55" s="99"/>
      <c r="H55" s="99"/>
      <c r="I55" s="99"/>
      <c r="J55" s="99"/>
    </row>
    <row r="56" spans="1:10" x14ac:dyDescent="0.35">
      <c r="A56" s="99"/>
      <c r="B56" s="99"/>
      <c r="C56" s="99"/>
      <c r="D56" s="99"/>
      <c r="E56" s="99"/>
      <c r="F56" s="99"/>
      <c r="G56" s="99"/>
      <c r="H56" s="99"/>
      <c r="I56" s="99"/>
      <c r="J56" s="99"/>
    </row>
    <row r="57" spans="1:10" x14ac:dyDescent="0.35">
      <c r="A57" s="99"/>
      <c r="B57" s="99"/>
      <c r="C57" s="99"/>
      <c r="D57" s="99"/>
      <c r="E57" s="99"/>
      <c r="F57" s="99"/>
      <c r="G57" s="99"/>
      <c r="H57" s="99"/>
      <c r="I57" s="99"/>
      <c r="J57" s="99"/>
    </row>
    <row r="58" spans="1:10" x14ac:dyDescent="0.35">
      <c r="A58" s="99"/>
      <c r="B58" s="99"/>
      <c r="C58" s="99"/>
      <c r="D58" s="99"/>
      <c r="E58" s="99"/>
      <c r="F58" s="99"/>
      <c r="G58" s="99"/>
      <c r="H58" s="99"/>
      <c r="I58" s="99"/>
      <c r="J58" s="99"/>
    </row>
    <row r="59" spans="1:10" x14ac:dyDescent="0.35">
      <c r="A59" s="99"/>
      <c r="B59" s="99"/>
      <c r="C59" s="99"/>
      <c r="D59" s="99"/>
      <c r="E59" s="99"/>
      <c r="F59" s="99"/>
      <c r="G59" s="99"/>
      <c r="H59" s="99"/>
      <c r="I59" s="99"/>
      <c r="J59" s="99"/>
    </row>
    <row r="60" spans="1:10" x14ac:dyDescent="0.35">
      <c r="A60" s="99"/>
      <c r="B60" s="99"/>
      <c r="C60" s="99"/>
      <c r="D60" s="99"/>
      <c r="E60" s="99"/>
      <c r="F60" s="99"/>
      <c r="G60" s="99"/>
      <c r="H60" s="99"/>
      <c r="I60" s="99"/>
      <c r="J60" s="99"/>
    </row>
    <row r="61" spans="1:10" x14ac:dyDescent="0.35">
      <c r="A61" s="99"/>
      <c r="B61" s="99"/>
      <c r="C61" s="99"/>
      <c r="D61" s="99"/>
      <c r="E61" s="99"/>
      <c r="F61" s="99"/>
      <c r="G61" s="99"/>
      <c r="H61" s="99"/>
      <c r="I61" s="99"/>
      <c r="J61" s="99"/>
    </row>
    <row r="62" spans="1:10" x14ac:dyDescent="0.35">
      <c r="A62" s="99"/>
      <c r="B62" s="99"/>
      <c r="C62" s="99"/>
      <c r="D62" s="99"/>
      <c r="E62" s="99"/>
      <c r="F62" s="99"/>
      <c r="G62" s="99"/>
      <c r="H62" s="99"/>
      <c r="I62" s="99"/>
      <c r="J62" s="99"/>
    </row>
    <row r="63" spans="1:10" x14ac:dyDescent="0.35">
      <c r="A63" s="99"/>
      <c r="B63" s="99"/>
      <c r="C63" s="99"/>
      <c r="D63" s="99"/>
      <c r="E63" s="99"/>
      <c r="F63" s="99"/>
      <c r="G63" s="99"/>
      <c r="H63" s="99"/>
      <c r="I63" s="99"/>
      <c r="J63" s="99"/>
    </row>
    <row r="64" spans="1:10" x14ac:dyDescent="0.35">
      <c r="A64" s="99"/>
      <c r="B64" s="99"/>
      <c r="C64" s="99"/>
      <c r="D64" s="99"/>
      <c r="E64" s="99"/>
      <c r="F64" s="99"/>
      <c r="G64" s="99"/>
      <c r="H64" s="99"/>
      <c r="I64" s="99"/>
      <c r="J64" s="99"/>
    </row>
    <row r="65" spans="1:10" x14ac:dyDescent="0.35">
      <c r="A65" s="99"/>
      <c r="B65" s="99"/>
      <c r="C65" s="99"/>
      <c r="D65" s="99"/>
      <c r="E65" s="99"/>
      <c r="F65" s="99"/>
      <c r="G65" s="99"/>
      <c r="H65" s="99"/>
      <c r="I65" s="99"/>
      <c r="J65" s="99"/>
    </row>
    <row r="66" spans="1:10" x14ac:dyDescent="0.35">
      <c r="A66" s="99"/>
      <c r="B66" s="99"/>
      <c r="C66" s="99"/>
      <c r="D66" s="99"/>
      <c r="E66" s="99"/>
      <c r="F66" s="99"/>
      <c r="G66" s="99"/>
      <c r="H66" s="99"/>
      <c r="I66" s="99"/>
      <c r="J66" s="99"/>
    </row>
    <row r="67" spans="1:10" x14ac:dyDescent="0.35">
      <c r="A67" s="99"/>
      <c r="B67" s="99"/>
      <c r="C67" s="99"/>
      <c r="D67" s="99"/>
      <c r="E67" s="99"/>
      <c r="F67" s="99"/>
      <c r="G67" s="99"/>
      <c r="H67" s="99"/>
      <c r="I67" s="99"/>
      <c r="J67" s="99"/>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17302493-42B1-4877-869E-E424A97AE78B}" hiddenRows="1" topLeftCell="B1">
      <selection activeCell="E9" sqref="E9"/>
      <pageMargins left="0.7" right="0.7" top="0.75" bottom="0.75" header="0.3" footer="0.3"/>
      <pageSetup orientation="portrait" horizontalDpi="1200" verticalDpi="1200" r:id="rId1"/>
    </customSheetView>
    <customSheetView guid="{5C0BA3A5-859C-46C2-B685-44D9A90065E4}" hiddenRows="1" topLeftCell="B1">
      <selection activeCell="E9" sqref="E9"/>
      <pageMargins left="0.7" right="0.7" top="0.75" bottom="0.75" header="0.3" footer="0.3"/>
      <pageSetup orientation="portrait" horizontalDpi="1200" verticalDpi="1200" r:id="rId2"/>
    </customSheetView>
  </customSheetViews>
  <mergeCells count="9">
    <mergeCell ref="B22:C22"/>
    <mergeCell ref="B23:C23"/>
    <mergeCell ref="B24:C24"/>
    <mergeCell ref="A13:K16"/>
    <mergeCell ref="A3:L3"/>
    <mergeCell ref="B18:C18"/>
    <mergeCell ref="B19:C19"/>
    <mergeCell ref="B20:C20"/>
    <mergeCell ref="B21:C21"/>
  </mergeCells>
  <pageMargins left="0.7" right="0.7" top="0.75" bottom="0.75" header="0.3" footer="0.3"/>
  <pageSetup orientation="portrait" horizontalDpi="1200" verticalDpi="1200"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7"/>
  <dimension ref="A1:AC99"/>
  <sheetViews>
    <sheetView topLeftCell="D1" workbookViewId="0">
      <selection activeCell="K18" sqref="K18"/>
    </sheetView>
  </sheetViews>
  <sheetFormatPr defaultColWidth="9.1796875" defaultRowHeight="14.5" x14ac:dyDescent="0.35"/>
  <cols>
    <col min="1" max="1" width="6.54296875" customWidth="1"/>
    <col min="2" max="2" width="18.453125" customWidth="1"/>
    <col min="3" max="3" width="13" customWidth="1"/>
    <col min="4" max="12" width="20.26953125" customWidth="1"/>
    <col min="13" max="13" width="20.81640625" style="69" customWidth="1"/>
    <col min="14" max="14" width="36.7265625" customWidth="1"/>
    <col min="16" max="16" width="43.81640625" customWidth="1"/>
    <col min="17" max="18" width="32.7265625" customWidth="1"/>
  </cols>
  <sheetData>
    <row r="1" spans="1:29" ht="26" x14ac:dyDescent="0.6">
      <c r="A1" s="3" t="s">
        <v>777</v>
      </c>
      <c r="B1" s="3"/>
      <c r="C1" s="3"/>
    </row>
    <row r="2" spans="1:29" ht="21" x14ac:dyDescent="0.5">
      <c r="A2" s="2" t="s">
        <v>775</v>
      </c>
      <c r="B2" s="2"/>
      <c r="C2" s="2"/>
    </row>
    <row r="3" spans="1:29" ht="25" customHeight="1" x14ac:dyDescent="0.5">
      <c r="A3" s="5" t="s">
        <v>756</v>
      </c>
    </row>
    <row r="5" spans="1:29" x14ac:dyDescent="0.35">
      <c r="A5" s="1" t="s">
        <v>776</v>
      </c>
      <c r="C5" s="414" t="str">
        <f>Results!$C$6</f>
        <v>WellPower</v>
      </c>
      <c r="D5" s="233"/>
      <c r="E5" s="233"/>
      <c r="F5" s="233"/>
    </row>
    <row r="6" spans="1:29" x14ac:dyDescent="0.35">
      <c r="A6" s="1" t="s">
        <v>0</v>
      </c>
      <c r="C6" s="35">
        <f>Results!$C$7</f>
        <v>45473</v>
      </c>
      <c r="D6" s="35"/>
      <c r="E6" s="35"/>
      <c r="F6" s="35"/>
      <c r="G6" s="56"/>
      <c r="H6" s="56"/>
      <c r="I6" s="56"/>
      <c r="L6" s="40"/>
      <c r="P6" s="122"/>
      <c r="Q6" s="122"/>
      <c r="R6" s="122"/>
    </row>
    <row r="7" spans="1:29" x14ac:dyDescent="0.35">
      <c r="L7" s="40"/>
      <c r="P7" s="40"/>
      <c r="Q7" s="40"/>
      <c r="R7" s="40"/>
    </row>
    <row r="8" spans="1:29" x14ac:dyDescent="0.35">
      <c r="A8" s="1" t="s">
        <v>272</v>
      </c>
      <c r="L8" s="40"/>
      <c r="P8" s="40"/>
      <c r="Q8" s="40"/>
      <c r="R8" s="40"/>
    </row>
    <row r="9" spans="1:29" ht="15" customHeight="1" x14ac:dyDescent="0.35">
      <c r="A9" s="554" t="s">
        <v>491</v>
      </c>
      <c r="B9" s="554"/>
      <c r="C9" s="554"/>
      <c r="D9" s="554"/>
      <c r="E9" s="554"/>
      <c r="F9" s="554"/>
      <c r="G9" s="554"/>
      <c r="H9" s="554"/>
      <c r="I9" s="554"/>
      <c r="J9" s="554"/>
      <c r="K9" s="554"/>
      <c r="L9" s="554"/>
      <c r="M9" s="554"/>
      <c r="N9" s="554"/>
      <c r="O9" s="64"/>
      <c r="P9" s="40"/>
      <c r="Q9" s="40"/>
      <c r="R9" s="40"/>
      <c r="Y9" s="65"/>
      <c r="Z9" s="65"/>
      <c r="AA9" s="65"/>
      <c r="AB9" s="65"/>
      <c r="AC9" s="65"/>
    </row>
    <row r="10" spans="1:29" ht="15" customHeight="1" x14ac:dyDescent="0.35">
      <c r="A10" s="554"/>
      <c r="B10" s="554"/>
      <c r="C10" s="554"/>
      <c r="D10" s="554"/>
      <c r="E10" s="554"/>
      <c r="F10" s="554"/>
      <c r="G10" s="554"/>
      <c r="H10" s="554"/>
      <c r="I10" s="554"/>
      <c r="J10" s="554"/>
      <c r="K10" s="554"/>
      <c r="L10" s="554"/>
      <c r="M10" s="554"/>
      <c r="N10" s="554"/>
      <c r="O10" s="64"/>
      <c r="P10" s="40"/>
      <c r="Q10" s="40"/>
      <c r="R10" s="40"/>
      <c r="Y10" s="65"/>
      <c r="Z10" s="65"/>
      <c r="AA10" s="65"/>
      <c r="AB10" s="65"/>
      <c r="AC10" s="65"/>
    </row>
    <row r="11" spans="1:29" x14ac:dyDescent="0.35">
      <c r="A11" s="554"/>
      <c r="B11" s="554"/>
      <c r="C11" s="554"/>
      <c r="D11" s="554"/>
      <c r="E11" s="554"/>
      <c r="F11" s="554"/>
      <c r="G11" s="554"/>
      <c r="H11" s="554"/>
      <c r="I11" s="554"/>
      <c r="J11" s="554"/>
      <c r="K11" s="554"/>
      <c r="L11" s="554"/>
      <c r="M11" s="554"/>
      <c r="N11" s="554"/>
      <c r="O11" s="64"/>
      <c r="Y11" s="65"/>
      <c r="Z11" s="65"/>
      <c r="AA11" s="65"/>
      <c r="AB11" s="65"/>
      <c r="AC11" s="65"/>
    </row>
    <row r="12" spans="1:29" x14ac:dyDescent="0.35">
      <c r="A12" s="181"/>
      <c r="B12" s="181"/>
      <c r="C12" s="181"/>
      <c r="D12" s="181"/>
      <c r="E12" s="181"/>
      <c r="F12" s="181"/>
      <c r="G12" s="181"/>
      <c r="H12" s="181"/>
      <c r="I12" s="181"/>
      <c r="J12" s="181"/>
      <c r="K12" s="181"/>
      <c r="L12" s="181"/>
      <c r="M12" s="181"/>
      <c r="N12" s="181"/>
      <c r="O12" s="64"/>
      <c r="Y12" s="65"/>
      <c r="Z12" s="65"/>
      <c r="AA12" s="65"/>
      <c r="AB12" s="65"/>
      <c r="AC12" s="65"/>
    </row>
    <row r="13" spans="1:29" ht="15" customHeight="1" x14ac:dyDescent="0.35">
      <c r="A13" s="182"/>
      <c r="B13" s="555">
        <v>1</v>
      </c>
      <c r="C13" s="555"/>
      <c r="D13" s="167">
        <v>2</v>
      </c>
      <c r="E13" s="248" t="s">
        <v>550</v>
      </c>
      <c r="F13" s="249" t="s">
        <v>551</v>
      </c>
      <c r="G13" s="167">
        <v>3</v>
      </c>
      <c r="H13" s="248" t="s">
        <v>554</v>
      </c>
      <c r="I13" s="249" t="s">
        <v>555</v>
      </c>
      <c r="J13" s="167">
        <v>4</v>
      </c>
      <c r="K13" s="249" t="s">
        <v>559</v>
      </c>
      <c r="L13" s="167">
        <v>5</v>
      </c>
      <c r="M13" s="167">
        <v>6</v>
      </c>
      <c r="N13" s="167">
        <v>7</v>
      </c>
      <c r="O13" s="64"/>
      <c r="Y13" s="65"/>
      <c r="Z13" s="65"/>
      <c r="AA13" s="65"/>
      <c r="AB13" s="65"/>
      <c r="AC13" s="65"/>
    </row>
    <row r="14" spans="1:29" s="4" customFormat="1" ht="72.5" x14ac:dyDescent="0.35">
      <c r="A14" s="183"/>
      <c r="B14" s="550" t="s">
        <v>600</v>
      </c>
      <c r="C14" s="556"/>
      <c r="D14" s="142" t="s">
        <v>784</v>
      </c>
      <c r="E14" s="250" t="s">
        <v>785</v>
      </c>
      <c r="F14" s="251" t="s">
        <v>786</v>
      </c>
      <c r="G14" s="184" t="s">
        <v>263</v>
      </c>
      <c r="H14" s="301" t="s">
        <v>599</v>
      </c>
      <c r="I14" s="309" t="s">
        <v>586</v>
      </c>
      <c r="J14" s="142" t="s">
        <v>788</v>
      </c>
      <c r="K14" s="251" t="s">
        <v>789</v>
      </c>
      <c r="L14" s="185" t="s">
        <v>594</v>
      </c>
      <c r="M14" s="184" t="s">
        <v>601</v>
      </c>
      <c r="N14" s="142" t="s">
        <v>602</v>
      </c>
      <c r="O14" s="66"/>
      <c r="Y14" s="67"/>
      <c r="Z14" s="67"/>
      <c r="AA14" s="67"/>
      <c r="AB14" s="67"/>
      <c r="AC14" s="67"/>
    </row>
    <row r="15" spans="1:29" s="4" customFormat="1" ht="15" customHeight="1" x14ac:dyDescent="0.35">
      <c r="A15" s="174">
        <v>1</v>
      </c>
      <c r="B15" s="545" t="str">
        <f>IF('As-Filed Schedule 1C'!B15:C15=0,"",'As-Filed Schedule 1C'!B15:C15)</f>
        <v/>
      </c>
      <c r="C15" s="545"/>
      <c r="D15" s="172">
        <f>'As-Filed Schedule 1C'!D15</f>
        <v>0</v>
      </c>
      <c r="E15" s="307">
        <f>SUMIFS(Adjustments!$G:$G,Adjustments!$H:$H,"1C",Adjustments!$I:$I,'Schedule 1C Adjustments'!$D$13,Adjustments!$J:$J,'Schedule 1C Adjustments'!A15)</f>
        <v>0</v>
      </c>
      <c r="F15" s="303">
        <f>SUM(D15:E15)</f>
        <v>0</v>
      </c>
      <c r="G15" s="172">
        <f>'As-Filed Schedule 1C'!E15</f>
        <v>0</v>
      </c>
      <c r="H15" s="307">
        <f>SUMIFS(Adjustments!$G:$G,Adjustments!$H:$H,"1C",Adjustments!$I:$I,'Schedule 1C Adjustments'!$G$13,Adjustments!$J:$J,'Schedule 1C Adjustments'!A15)</f>
        <v>0</v>
      </c>
      <c r="I15" s="303">
        <f>SUM(G15:H15)</f>
        <v>0</v>
      </c>
      <c r="J15" s="186">
        <f>IF(D15-G15&lt;0,0,D15-G15)</f>
        <v>0</v>
      </c>
      <c r="K15" s="186">
        <f>IF(F15-I15&lt;0,0,F15-I15)</f>
        <v>0</v>
      </c>
      <c r="L15" s="187" t="str">
        <f>IF('As-Filed Schedule 1C'!G15=0,"",'As-Filed Schedule 1C'!G15)</f>
        <v/>
      </c>
      <c r="M15" s="170" t="str">
        <f>IF('As-Filed Schedule 1C'!H15=0,"",'As-Filed Schedule 1C'!H15)</f>
        <v/>
      </c>
      <c r="N15" s="188" t="str">
        <f>IF('As-Filed Schedule 1C'!I15=0,"",'As-Filed Schedule 1C'!I15)</f>
        <v/>
      </c>
      <c r="O15" s="66"/>
      <c r="Y15" s="67"/>
      <c r="Z15" s="67"/>
      <c r="AA15" s="67"/>
      <c r="AB15" s="67"/>
      <c r="AC15" s="67"/>
    </row>
    <row r="16" spans="1:29" s="4" customFormat="1" ht="15" customHeight="1" x14ac:dyDescent="0.35">
      <c r="A16" s="174">
        <f>A15+1</f>
        <v>2</v>
      </c>
      <c r="B16" s="545" t="str">
        <f>IF('As-Filed Schedule 1C'!B16:C16=0,"",'As-Filed Schedule 1C'!B16:C16)</f>
        <v/>
      </c>
      <c r="C16" s="545"/>
      <c r="D16" s="172">
        <f>'As-Filed Schedule 1C'!D16</f>
        <v>0</v>
      </c>
      <c r="E16" s="307">
        <f>SUMIFS(Adjustments!$G:$G,Adjustments!$H:$H,"1C",Adjustments!$I:$I,'Schedule 1C Adjustments'!$D$13,Adjustments!$J:$J,'Schedule 1C Adjustments'!A16)</f>
        <v>0</v>
      </c>
      <c r="F16" s="303">
        <f t="shared" ref="F16:F24" si="0">SUM(D16:E16)</f>
        <v>0</v>
      </c>
      <c r="G16" s="172">
        <f>'As-Filed Schedule 1C'!E16</f>
        <v>0</v>
      </c>
      <c r="H16" s="307">
        <f>SUMIFS(Adjustments!$G:$G,Adjustments!$H:$H,"1C",Adjustments!$I:$I,'Schedule 1C Adjustments'!$G$13,Adjustments!$J:$J,'Schedule 1C Adjustments'!A16)</f>
        <v>0</v>
      </c>
      <c r="I16" s="303">
        <f t="shared" ref="I16:I24" si="1">SUM(G16:H16)</f>
        <v>0</v>
      </c>
      <c r="J16" s="186">
        <f t="shared" ref="J16:J24" si="2">IF(D16-G16&lt;0,0,D16-G16)</f>
        <v>0</v>
      </c>
      <c r="K16" s="186">
        <f t="shared" ref="K16:K24" si="3">IF(F16-I16&lt;0,0,F16-I16)</f>
        <v>0</v>
      </c>
      <c r="L16" s="187" t="str">
        <f>IF('As-Filed Schedule 1C'!G16=0,"",'As-Filed Schedule 1C'!G16)</f>
        <v/>
      </c>
      <c r="M16" s="170" t="str">
        <f>IF('As-Filed Schedule 1C'!H16=0,"",'As-Filed Schedule 1C'!H16)</f>
        <v/>
      </c>
      <c r="N16" s="188" t="str">
        <f>IF('As-Filed Schedule 1C'!I16=0,"",'As-Filed Schedule 1C'!I16)</f>
        <v/>
      </c>
      <c r="O16" s="133"/>
      <c r="Y16" s="67"/>
      <c r="Z16" s="67"/>
      <c r="AA16" s="67"/>
      <c r="AB16" s="67"/>
      <c r="AC16" s="67"/>
    </row>
    <row r="17" spans="1:29" s="4" customFormat="1" ht="15" customHeight="1" x14ac:dyDescent="0.35">
      <c r="A17" s="174">
        <f t="shared" ref="A17:A30" si="4">A16+1</f>
        <v>3</v>
      </c>
      <c r="B17" s="545" t="str">
        <f>IF('As-Filed Schedule 1C'!B17:C17=0,"",'As-Filed Schedule 1C'!B17:C17)</f>
        <v/>
      </c>
      <c r="C17" s="545"/>
      <c r="D17" s="172">
        <f>'As-Filed Schedule 1C'!D17</f>
        <v>0</v>
      </c>
      <c r="E17" s="307">
        <f>SUMIFS(Adjustments!$G:$G,Adjustments!$H:$H,"1C",Adjustments!$I:$I,'Schedule 1C Adjustments'!$D$13,Adjustments!$J:$J,'Schedule 1C Adjustments'!A17)</f>
        <v>0</v>
      </c>
      <c r="F17" s="303">
        <f t="shared" si="0"/>
        <v>0</v>
      </c>
      <c r="G17" s="172">
        <f>'As-Filed Schedule 1C'!E17</f>
        <v>0</v>
      </c>
      <c r="H17" s="307">
        <f>SUMIFS(Adjustments!$G:$G,Adjustments!$H:$H,"1C",Adjustments!$I:$I,'Schedule 1C Adjustments'!$G$13,Adjustments!$J:$J,'Schedule 1C Adjustments'!A17)</f>
        <v>0</v>
      </c>
      <c r="I17" s="303">
        <f t="shared" si="1"/>
        <v>0</v>
      </c>
      <c r="J17" s="186">
        <f t="shared" si="2"/>
        <v>0</v>
      </c>
      <c r="K17" s="186">
        <f t="shared" si="3"/>
        <v>0</v>
      </c>
      <c r="L17" s="187" t="str">
        <f>IF('As-Filed Schedule 1C'!G17=0,"",'As-Filed Schedule 1C'!G17)</f>
        <v/>
      </c>
      <c r="M17" s="170" t="str">
        <f>IF('As-Filed Schedule 1C'!H17=0,"",'As-Filed Schedule 1C'!H17)</f>
        <v/>
      </c>
      <c r="N17" s="188" t="str">
        <f>IF('As-Filed Schedule 1C'!I17=0,"",'As-Filed Schedule 1C'!I17)</f>
        <v/>
      </c>
      <c r="O17" s="66"/>
      <c r="Y17" s="67"/>
      <c r="Z17" s="67"/>
      <c r="AA17" s="67"/>
      <c r="AB17" s="67"/>
      <c r="AC17" s="67"/>
    </row>
    <row r="18" spans="1:29" s="4" customFormat="1" ht="15" customHeight="1" x14ac:dyDescent="0.35">
      <c r="A18" s="174">
        <f t="shared" si="4"/>
        <v>4</v>
      </c>
      <c r="B18" s="545" t="str">
        <f>IF('As-Filed Schedule 1C'!B18:C18=0,"",'As-Filed Schedule 1C'!B18:C18)</f>
        <v/>
      </c>
      <c r="C18" s="545"/>
      <c r="D18" s="172">
        <f>'As-Filed Schedule 1C'!D18</f>
        <v>0</v>
      </c>
      <c r="E18" s="307">
        <f>SUMIFS(Adjustments!$G:$G,Adjustments!$H:$H,"1C",Adjustments!$I:$I,'Schedule 1C Adjustments'!$D$13,Adjustments!$J:$J,'Schedule 1C Adjustments'!A18)</f>
        <v>0</v>
      </c>
      <c r="F18" s="303">
        <f t="shared" si="0"/>
        <v>0</v>
      </c>
      <c r="G18" s="172">
        <f>'As-Filed Schedule 1C'!E18</f>
        <v>0</v>
      </c>
      <c r="H18" s="307">
        <f>SUMIFS(Adjustments!$G:$G,Adjustments!$H:$H,"1C",Adjustments!$I:$I,'Schedule 1C Adjustments'!$G$13,Adjustments!$J:$J,'Schedule 1C Adjustments'!A18)</f>
        <v>0</v>
      </c>
      <c r="I18" s="303">
        <f t="shared" si="1"/>
        <v>0</v>
      </c>
      <c r="J18" s="186">
        <f t="shared" si="2"/>
        <v>0</v>
      </c>
      <c r="K18" s="186">
        <f t="shared" si="3"/>
        <v>0</v>
      </c>
      <c r="L18" s="187" t="str">
        <f>IF('As-Filed Schedule 1C'!G18=0,"",'As-Filed Schedule 1C'!G18)</f>
        <v/>
      </c>
      <c r="M18" s="170" t="str">
        <f>IF('As-Filed Schedule 1C'!H18=0,"",'As-Filed Schedule 1C'!H18)</f>
        <v/>
      </c>
      <c r="N18" s="188" t="str">
        <f>IF('As-Filed Schedule 1C'!I18=0,"",'As-Filed Schedule 1C'!I18)</f>
        <v/>
      </c>
      <c r="O18" s="66"/>
      <c r="Y18" s="67"/>
      <c r="Z18" s="67"/>
      <c r="AA18" s="67"/>
      <c r="AB18" s="67"/>
      <c r="AC18" s="67"/>
    </row>
    <row r="19" spans="1:29" s="4" customFormat="1" ht="15" customHeight="1" x14ac:dyDescent="0.35">
      <c r="A19" s="174">
        <f t="shared" si="4"/>
        <v>5</v>
      </c>
      <c r="B19" s="545" t="str">
        <f>IF('As-Filed Schedule 1C'!B19:C19=0,"",'As-Filed Schedule 1C'!B19:C19)</f>
        <v/>
      </c>
      <c r="C19" s="545"/>
      <c r="D19" s="172">
        <f>'As-Filed Schedule 1C'!D19</f>
        <v>0</v>
      </c>
      <c r="E19" s="307">
        <f>SUMIFS(Adjustments!$G:$G,Adjustments!$H:$H,"1C",Adjustments!$I:$I,'Schedule 1C Adjustments'!$D$13,Adjustments!$J:$J,'Schedule 1C Adjustments'!A19)</f>
        <v>0</v>
      </c>
      <c r="F19" s="303">
        <f t="shared" si="0"/>
        <v>0</v>
      </c>
      <c r="G19" s="172">
        <f>'As-Filed Schedule 1C'!E19</f>
        <v>0</v>
      </c>
      <c r="H19" s="307">
        <f>SUMIFS(Adjustments!$G:$G,Adjustments!$H:$H,"1C",Adjustments!$I:$I,'Schedule 1C Adjustments'!$G$13,Adjustments!$J:$J,'Schedule 1C Adjustments'!A19)</f>
        <v>0</v>
      </c>
      <c r="I19" s="303">
        <f t="shared" si="1"/>
        <v>0</v>
      </c>
      <c r="J19" s="186">
        <f t="shared" si="2"/>
        <v>0</v>
      </c>
      <c r="K19" s="186">
        <f t="shared" si="3"/>
        <v>0</v>
      </c>
      <c r="L19" s="187" t="str">
        <f>IF('As-Filed Schedule 1C'!G19=0,"",'As-Filed Schedule 1C'!G19)</f>
        <v/>
      </c>
      <c r="M19" s="170" t="str">
        <f>IF('As-Filed Schedule 1C'!H19=0,"",'As-Filed Schedule 1C'!H19)</f>
        <v/>
      </c>
      <c r="N19" s="188" t="str">
        <f>IF('As-Filed Schedule 1C'!I19=0,"",'As-Filed Schedule 1C'!I19)</f>
        <v/>
      </c>
      <c r="O19" s="66"/>
      <c r="Y19" s="67"/>
      <c r="Z19" s="67"/>
      <c r="AA19" s="67"/>
      <c r="AB19" s="67"/>
      <c r="AC19" s="67"/>
    </row>
    <row r="20" spans="1:29" s="4" customFormat="1" ht="15" customHeight="1" x14ac:dyDescent="0.35">
      <c r="A20" s="174">
        <f t="shared" si="4"/>
        <v>6</v>
      </c>
      <c r="B20" s="545" t="str">
        <f>IF('As-Filed Schedule 1C'!B20:C20=0,"",'As-Filed Schedule 1C'!B20:C20)</f>
        <v/>
      </c>
      <c r="C20" s="545"/>
      <c r="D20" s="172">
        <f>'As-Filed Schedule 1C'!D20</f>
        <v>0</v>
      </c>
      <c r="E20" s="307">
        <f>SUMIFS(Adjustments!$G:$G,Adjustments!$H:$H,"1C",Adjustments!$I:$I,'Schedule 1C Adjustments'!$D$13,Adjustments!$J:$J,'Schedule 1C Adjustments'!A20)</f>
        <v>0</v>
      </c>
      <c r="F20" s="303">
        <f t="shared" si="0"/>
        <v>0</v>
      </c>
      <c r="G20" s="172">
        <f>'As-Filed Schedule 1C'!E20</f>
        <v>0</v>
      </c>
      <c r="H20" s="307">
        <f>SUMIFS(Adjustments!$G:$G,Adjustments!$H:$H,"1C",Adjustments!$I:$I,'Schedule 1C Adjustments'!$G$13,Adjustments!$J:$J,'Schedule 1C Adjustments'!A20)</f>
        <v>0</v>
      </c>
      <c r="I20" s="303">
        <f t="shared" si="1"/>
        <v>0</v>
      </c>
      <c r="J20" s="186">
        <f t="shared" si="2"/>
        <v>0</v>
      </c>
      <c r="K20" s="186">
        <f t="shared" si="3"/>
        <v>0</v>
      </c>
      <c r="L20" s="187" t="str">
        <f>IF('As-Filed Schedule 1C'!G20=0,"",'As-Filed Schedule 1C'!G20)</f>
        <v/>
      </c>
      <c r="M20" s="170" t="str">
        <f>IF('As-Filed Schedule 1C'!H20=0,"",'As-Filed Schedule 1C'!H20)</f>
        <v/>
      </c>
      <c r="N20" s="188" t="str">
        <f>IF('As-Filed Schedule 1C'!I20=0,"",'As-Filed Schedule 1C'!I20)</f>
        <v/>
      </c>
      <c r="O20" s="66"/>
      <c r="Y20" s="67"/>
      <c r="Z20" s="67"/>
      <c r="AA20" s="67"/>
      <c r="AB20" s="67"/>
      <c r="AC20" s="67"/>
    </row>
    <row r="21" spans="1:29" s="4" customFormat="1" ht="15" customHeight="1" x14ac:dyDescent="0.35">
      <c r="A21" s="174">
        <f t="shared" si="4"/>
        <v>7</v>
      </c>
      <c r="B21" s="545" t="str">
        <f>IF('As-Filed Schedule 1C'!B21:C21=0,"",'As-Filed Schedule 1C'!B21:C21)</f>
        <v/>
      </c>
      <c r="C21" s="545"/>
      <c r="D21" s="172">
        <f>'As-Filed Schedule 1C'!D21</f>
        <v>0</v>
      </c>
      <c r="E21" s="307">
        <f>SUMIFS(Adjustments!$G:$G,Adjustments!$H:$H,"1C",Adjustments!$I:$I,'Schedule 1C Adjustments'!$D$13,Adjustments!$J:$J,'Schedule 1C Adjustments'!A21)</f>
        <v>0</v>
      </c>
      <c r="F21" s="303">
        <f t="shared" si="0"/>
        <v>0</v>
      </c>
      <c r="G21" s="172">
        <f>'As-Filed Schedule 1C'!E21</f>
        <v>0</v>
      </c>
      <c r="H21" s="307">
        <f>SUMIFS(Adjustments!$G:$G,Adjustments!$H:$H,"1C",Adjustments!$I:$I,'Schedule 1C Adjustments'!$G$13,Adjustments!$J:$J,'Schedule 1C Adjustments'!A21)</f>
        <v>0</v>
      </c>
      <c r="I21" s="303">
        <f t="shared" si="1"/>
        <v>0</v>
      </c>
      <c r="J21" s="186">
        <f t="shared" si="2"/>
        <v>0</v>
      </c>
      <c r="K21" s="186">
        <f t="shared" si="3"/>
        <v>0</v>
      </c>
      <c r="L21" s="187" t="str">
        <f>IF('As-Filed Schedule 1C'!G21=0,"",'As-Filed Schedule 1C'!G21)</f>
        <v/>
      </c>
      <c r="M21" s="170" t="str">
        <f>IF('As-Filed Schedule 1C'!H21=0,"",'As-Filed Schedule 1C'!H21)</f>
        <v/>
      </c>
      <c r="N21" s="188" t="str">
        <f>IF('As-Filed Schedule 1C'!I21=0,"",'As-Filed Schedule 1C'!I21)</f>
        <v/>
      </c>
      <c r="O21" s="66"/>
      <c r="Y21" s="67"/>
      <c r="Z21" s="67"/>
      <c r="AA21" s="67"/>
      <c r="AB21" s="67"/>
      <c r="AC21" s="67"/>
    </row>
    <row r="22" spans="1:29" s="4" customFormat="1" ht="15" customHeight="1" x14ac:dyDescent="0.35">
      <c r="A22" s="174">
        <f t="shared" si="4"/>
        <v>8</v>
      </c>
      <c r="B22" s="545" t="str">
        <f>IF('As-Filed Schedule 1C'!B22:C22=0,"",'As-Filed Schedule 1C'!B22:C22)</f>
        <v/>
      </c>
      <c r="C22" s="545"/>
      <c r="D22" s="172">
        <f>'As-Filed Schedule 1C'!D22</f>
        <v>0</v>
      </c>
      <c r="E22" s="307">
        <f>SUMIFS(Adjustments!$G:$G,Adjustments!$H:$H,"1C",Adjustments!$I:$I,'Schedule 1C Adjustments'!$D$13,Adjustments!$J:$J,'Schedule 1C Adjustments'!A22)</f>
        <v>0</v>
      </c>
      <c r="F22" s="303">
        <f t="shared" si="0"/>
        <v>0</v>
      </c>
      <c r="G22" s="172">
        <f>'As-Filed Schedule 1C'!E22</f>
        <v>0</v>
      </c>
      <c r="H22" s="307">
        <f>SUMIFS(Adjustments!$G:$G,Adjustments!$H:$H,"1C",Adjustments!$I:$I,'Schedule 1C Adjustments'!$G$13,Adjustments!$J:$J,'Schedule 1C Adjustments'!A22)</f>
        <v>0</v>
      </c>
      <c r="I22" s="303">
        <f t="shared" si="1"/>
        <v>0</v>
      </c>
      <c r="J22" s="186">
        <f t="shared" si="2"/>
        <v>0</v>
      </c>
      <c r="K22" s="186">
        <f t="shared" si="3"/>
        <v>0</v>
      </c>
      <c r="L22" s="187" t="str">
        <f>IF('As-Filed Schedule 1C'!G22=0,"",'As-Filed Schedule 1C'!G22)</f>
        <v/>
      </c>
      <c r="M22" s="170" t="str">
        <f>IF('As-Filed Schedule 1C'!H22=0,"",'As-Filed Schedule 1C'!H22)</f>
        <v/>
      </c>
      <c r="N22" s="188" t="str">
        <f>IF('As-Filed Schedule 1C'!I22=0,"",'As-Filed Schedule 1C'!I22)</f>
        <v/>
      </c>
      <c r="O22" s="66"/>
      <c r="Y22" s="67"/>
      <c r="Z22" s="67"/>
      <c r="AA22" s="67"/>
      <c r="AB22" s="67"/>
      <c r="AC22" s="67"/>
    </row>
    <row r="23" spans="1:29" s="4" customFormat="1" ht="15" customHeight="1" x14ac:dyDescent="0.35">
      <c r="A23" s="174">
        <f t="shared" si="4"/>
        <v>9</v>
      </c>
      <c r="B23" s="545" t="str">
        <f>IF('As-Filed Schedule 1C'!B23:C23=0,"",'As-Filed Schedule 1C'!B23:C23)</f>
        <v/>
      </c>
      <c r="C23" s="545"/>
      <c r="D23" s="172">
        <f>'As-Filed Schedule 1C'!D23</f>
        <v>0</v>
      </c>
      <c r="E23" s="307">
        <f>SUMIFS(Adjustments!$G:$G,Adjustments!$H:$H,"1C",Adjustments!$I:$I,'Schedule 1C Adjustments'!$D$13,Adjustments!$J:$J,'Schedule 1C Adjustments'!A23)</f>
        <v>0</v>
      </c>
      <c r="F23" s="303">
        <f t="shared" si="0"/>
        <v>0</v>
      </c>
      <c r="G23" s="172">
        <f>'As-Filed Schedule 1C'!E23</f>
        <v>0</v>
      </c>
      <c r="H23" s="307">
        <f>SUMIFS(Adjustments!$G:$G,Adjustments!$H:$H,"1C",Adjustments!$I:$I,'Schedule 1C Adjustments'!$G$13,Adjustments!$J:$J,'Schedule 1C Adjustments'!A23)</f>
        <v>0</v>
      </c>
      <c r="I23" s="303">
        <f t="shared" si="1"/>
        <v>0</v>
      </c>
      <c r="J23" s="186">
        <f t="shared" si="2"/>
        <v>0</v>
      </c>
      <c r="K23" s="186">
        <f t="shared" si="3"/>
        <v>0</v>
      </c>
      <c r="L23" s="187" t="str">
        <f>IF('As-Filed Schedule 1C'!G23=0,"",'As-Filed Schedule 1C'!G23)</f>
        <v/>
      </c>
      <c r="M23" s="170" t="str">
        <f>IF('As-Filed Schedule 1C'!H23=0,"",'As-Filed Schedule 1C'!H23)</f>
        <v/>
      </c>
      <c r="N23" s="188" t="str">
        <f>IF('As-Filed Schedule 1C'!I23=0,"",'As-Filed Schedule 1C'!I23)</f>
        <v/>
      </c>
      <c r="O23" s="66"/>
      <c r="Y23" s="67"/>
      <c r="Z23" s="67"/>
      <c r="AA23" s="67"/>
      <c r="AB23" s="67"/>
      <c r="AC23" s="67"/>
    </row>
    <row r="24" spans="1:29" s="4" customFormat="1" ht="15" customHeight="1" x14ac:dyDescent="0.35">
      <c r="A24" s="174">
        <f t="shared" si="4"/>
        <v>10</v>
      </c>
      <c r="B24" s="545" t="str">
        <f>IF('As-Filed Schedule 1C'!B24:C24=0,"",'As-Filed Schedule 1C'!B24:C24)</f>
        <v/>
      </c>
      <c r="C24" s="545"/>
      <c r="D24" s="172">
        <f>'As-Filed Schedule 1C'!D24</f>
        <v>0</v>
      </c>
      <c r="E24" s="307">
        <f>SUMIFS(Adjustments!$G:$G,Adjustments!$H:$H,"1C",Adjustments!$I:$I,'Schedule 1C Adjustments'!$D$13,Adjustments!$J:$J,'Schedule 1C Adjustments'!A24)</f>
        <v>0</v>
      </c>
      <c r="F24" s="303">
        <f t="shared" si="0"/>
        <v>0</v>
      </c>
      <c r="G24" s="172">
        <f>'As-Filed Schedule 1C'!E24</f>
        <v>0</v>
      </c>
      <c r="H24" s="307">
        <f>SUMIFS(Adjustments!$G:$G,Adjustments!$H:$H,"1C",Adjustments!$I:$I,'Schedule 1C Adjustments'!$G$13,Adjustments!$J:$J,'Schedule 1C Adjustments'!A24)</f>
        <v>0</v>
      </c>
      <c r="I24" s="303">
        <f t="shared" si="1"/>
        <v>0</v>
      </c>
      <c r="J24" s="186">
        <f t="shared" si="2"/>
        <v>0</v>
      </c>
      <c r="K24" s="186">
        <f t="shared" si="3"/>
        <v>0</v>
      </c>
      <c r="L24" s="187" t="str">
        <f>IF('As-Filed Schedule 1C'!G24=0,"",'As-Filed Schedule 1C'!G24)</f>
        <v/>
      </c>
      <c r="M24" s="170" t="str">
        <f>IF('As-Filed Schedule 1C'!H24=0,"",'As-Filed Schedule 1C'!H24)</f>
        <v/>
      </c>
      <c r="N24" s="188" t="str">
        <f>IF('As-Filed Schedule 1C'!I24=0,"",'As-Filed Schedule 1C'!I24)</f>
        <v/>
      </c>
      <c r="O24" s="66"/>
      <c r="Y24" s="67"/>
      <c r="Z24" s="67"/>
      <c r="AA24" s="67"/>
      <c r="AB24" s="67"/>
      <c r="AC24" s="67"/>
    </row>
    <row r="25" spans="1:29" s="4" customFormat="1" ht="15" customHeight="1" x14ac:dyDescent="0.35">
      <c r="A25" s="174">
        <f t="shared" si="4"/>
        <v>11</v>
      </c>
      <c r="B25" s="308" t="s">
        <v>592</v>
      </c>
      <c r="C25" s="183"/>
      <c r="D25" s="189"/>
      <c r="E25" s="189"/>
      <c r="F25" s="189"/>
      <c r="G25" s="183"/>
      <c r="H25" s="183"/>
      <c r="I25" s="183"/>
      <c r="J25" s="177">
        <f>SUM(J15:J24)</f>
        <v>0</v>
      </c>
      <c r="K25" s="177">
        <f>SUM(K15:K24)</f>
        <v>0</v>
      </c>
      <c r="L25" s="183"/>
      <c r="M25" s="190"/>
      <c r="N25" s="183"/>
      <c r="O25" s="66"/>
      <c r="Y25" s="67"/>
      <c r="Z25" s="67"/>
      <c r="AA25" s="67"/>
      <c r="AB25" s="67"/>
      <c r="AC25" s="67"/>
    </row>
    <row r="26" spans="1:29" s="4" customFormat="1" ht="15" customHeight="1" x14ac:dyDescent="0.35">
      <c r="A26" s="191"/>
      <c r="B26" s="183"/>
      <c r="C26" s="183"/>
      <c r="D26" s="189"/>
      <c r="E26" s="189"/>
      <c r="F26" s="189"/>
      <c r="G26" s="183"/>
      <c r="H26" s="183"/>
      <c r="I26" s="183"/>
      <c r="J26" s="183"/>
      <c r="K26" s="310"/>
      <c r="L26" s="183"/>
      <c r="M26" s="190"/>
      <c r="N26" s="183"/>
      <c r="O26" s="66"/>
      <c r="Y26" s="67"/>
      <c r="Z26" s="67"/>
      <c r="AA26" s="67"/>
      <c r="AB26" s="67"/>
      <c r="AC26" s="67"/>
    </row>
    <row r="27" spans="1:29" x14ac:dyDescent="0.35">
      <c r="A27" s="174">
        <v>12</v>
      </c>
      <c r="B27" s="99"/>
      <c r="C27" s="99"/>
      <c r="D27" s="99"/>
      <c r="E27" s="99"/>
      <c r="F27" s="99"/>
      <c r="H27" s="176"/>
      <c r="I27" s="176" t="s">
        <v>184</v>
      </c>
      <c r="J27" s="177">
        <f>SUMIF($L$15:$L$24,2,$J$15:$J$24)</f>
        <v>0</v>
      </c>
      <c r="K27" s="177">
        <f>SUMIF($L$15:$L$24,2,$K$15:$K$24)</f>
        <v>0</v>
      </c>
      <c r="L27" s="183"/>
      <c r="M27" s="99"/>
      <c r="N27" s="99"/>
    </row>
    <row r="28" spans="1:29" x14ac:dyDescent="0.35">
      <c r="A28" s="174">
        <v>13</v>
      </c>
      <c r="B28" s="99"/>
      <c r="C28" s="99"/>
      <c r="D28" s="99"/>
      <c r="E28" s="99"/>
      <c r="F28" s="99"/>
      <c r="H28" s="176"/>
      <c r="I28" s="176" t="s">
        <v>182</v>
      </c>
      <c r="J28" s="177">
        <f>SUMIF($L$15:$L$24,3,$J$15:$J$24)</f>
        <v>0</v>
      </c>
      <c r="K28" s="177">
        <f>SUMIF($L$15:$L$24,3,$K$15:$K$24)</f>
        <v>0</v>
      </c>
      <c r="L28" s="183"/>
      <c r="M28" s="99"/>
      <c r="N28" s="99"/>
    </row>
    <row r="29" spans="1:29" x14ac:dyDescent="0.35">
      <c r="A29" s="174">
        <f t="shared" si="4"/>
        <v>14</v>
      </c>
      <c r="B29" s="99"/>
      <c r="C29" s="99"/>
      <c r="D29" s="99"/>
      <c r="E29" s="99"/>
      <c r="F29" s="99"/>
      <c r="H29" s="176"/>
      <c r="I29" s="176" t="s">
        <v>183</v>
      </c>
      <c r="J29" s="177">
        <f>SUMIF($L$15:$L$24,4,$J$15:$J$24)</f>
        <v>0</v>
      </c>
      <c r="K29" s="177">
        <f>SUMIF($L$15:$L$24,4,$K$15:$K$24)</f>
        <v>0</v>
      </c>
      <c r="L29" s="183"/>
      <c r="M29" s="99"/>
      <c r="N29" s="99"/>
    </row>
    <row r="30" spans="1:29" x14ac:dyDescent="0.35">
      <c r="A30" s="174">
        <f t="shared" si="4"/>
        <v>15</v>
      </c>
      <c r="B30" s="99"/>
      <c r="C30" s="99"/>
      <c r="D30" s="99"/>
      <c r="E30" s="99"/>
      <c r="F30" s="99"/>
      <c r="H30" s="176"/>
      <c r="I30" s="176" t="s">
        <v>185</v>
      </c>
      <c r="J30" s="177">
        <f>SUMIF($L$15:$L$24,5,$J$15:$J$24)</f>
        <v>0</v>
      </c>
      <c r="K30" s="177">
        <f>SUMIF($L$15:$L$24,5,$K$15:$K$24)</f>
        <v>0</v>
      </c>
      <c r="L30" s="183"/>
      <c r="M30" s="99"/>
      <c r="N30" s="99"/>
    </row>
    <row r="31" spans="1:29" x14ac:dyDescent="0.35">
      <c r="A31" s="99"/>
      <c r="B31" s="99"/>
      <c r="C31" s="99"/>
      <c r="D31" s="99"/>
      <c r="E31" s="99"/>
      <c r="F31" s="99"/>
      <c r="G31" s="99"/>
      <c r="H31" s="99"/>
      <c r="I31" s="99"/>
      <c r="J31" s="178" t="str">
        <f>IF(SUM(J27:J30)&lt;&gt;J25,"error","")</f>
        <v/>
      </c>
      <c r="K31" s="178"/>
      <c r="L31" s="183"/>
      <c r="M31" s="99"/>
      <c r="N31" s="99"/>
    </row>
    <row r="32" spans="1:29" ht="15.65" customHeight="1" x14ac:dyDescent="0.35">
      <c r="A32" s="99"/>
      <c r="B32" s="179"/>
      <c r="C32" s="179"/>
      <c r="D32" s="179"/>
      <c r="E32" s="179"/>
      <c r="F32" s="179"/>
      <c r="G32" s="179"/>
      <c r="H32" s="179"/>
      <c r="I32" s="179"/>
      <c r="J32" s="180" t="s">
        <v>271</v>
      </c>
      <c r="K32" s="180"/>
      <c r="L32" s="180"/>
      <c r="M32" s="179"/>
      <c r="N32" s="179"/>
      <c r="O32" s="64"/>
      <c r="Y32" s="65"/>
      <c r="Z32" s="65"/>
      <c r="AA32" s="65"/>
      <c r="AB32" s="65"/>
      <c r="AC32" s="65"/>
    </row>
    <row r="33" spans="1:29" x14ac:dyDescent="0.35">
      <c r="A33" s="192"/>
      <c r="B33" s="193"/>
      <c r="C33" s="193"/>
      <c r="D33" s="194"/>
      <c r="E33" s="194"/>
      <c r="F33" s="194"/>
      <c r="G33" s="193"/>
      <c r="H33" s="193"/>
      <c r="I33" s="193"/>
      <c r="J33" s="193"/>
      <c r="K33" s="193"/>
      <c r="L33" s="193"/>
      <c r="M33" s="195"/>
      <c r="N33" s="193"/>
      <c r="O33" s="64"/>
      <c r="Y33" s="65"/>
      <c r="Z33" s="65"/>
      <c r="AA33" s="65"/>
      <c r="AB33" s="65"/>
      <c r="AC33" s="65"/>
    </row>
    <row r="34" spans="1:29" ht="15.65" customHeight="1" x14ac:dyDescent="0.35">
      <c r="A34" s="553" t="s">
        <v>492</v>
      </c>
      <c r="B34" s="553"/>
      <c r="C34" s="553"/>
      <c r="D34" s="553"/>
      <c r="E34" s="553"/>
      <c r="F34" s="553"/>
      <c r="G34" s="553"/>
      <c r="H34" s="553"/>
      <c r="I34" s="553"/>
      <c r="J34" s="553"/>
      <c r="K34" s="553"/>
      <c r="L34" s="553"/>
      <c r="M34" s="553"/>
      <c r="N34" s="553"/>
      <c r="O34" s="64"/>
      <c r="Y34" s="65"/>
      <c r="Z34" s="65"/>
      <c r="AA34" s="65"/>
      <c r="AB34" s="65"/>
      <c r="AC34" s="65"/>
    </row>
    <row r="35" spans="1:29" x14ac:dyDescent="0.35">
      <c r="A35" s="553"/>
      <c r="B35" s="553"/>
      <c r="C35" s="553"/>
      <c r="D35" s="553"/>
      <c r="E35" s="553"/>
      <c r="F35" s="553"/>
      <c r="G35" s="553"/>
      <c r="H35" s="553"/>
      <c r="I35" s="553"/>
      <c r="J35" s="553"/>
      <c r="K35" s="553"/>
      <c r="L35" s="553"/>
      <c r="M35" s="553"/>
      <c r="N35" s="553"/>
      <c r="O35" s="64"/>
      <c r="Y35" s="65"/>
      <c r="Z35" s="65"/>
      <c r="AA35" s="65"/>
      <c r="AB35" s="65"/>
      <c r="AC35" s="65"/>
    </row>
    <row r="36" spans="1:29" x14ac:dyDescent="0.35">
      <c r="A36" s="553"/>
      <c r="B36" s="553"/>
      <c r="C36" s="553"/>
      <c r="D36" s="553"/>
      <c r="E36" s="553"/>
      <c r="F36" s="553"/>
      <c r="G36" s="553"/>
      <c r="H36" s="553"/>
      <c r="I36" s="553"/>
      <c r="J36" s="553"/>
      <c r="K36" s="553"/>
      <c r="L36" s="553"/>
      <c r="M36" s="553"/>
      <c r="N36" s="553"/>
      <c r="O36" s="64"/>
      <c r="Y36" s="65"/>
      <c r="Z36" s="65"/>
      <c r="AA36" s="65"/>
      <c r="AB36" s="65"/>
      <c r="AC36" s="65"/>
    </row>
    <row r="37" spans="1:29" x14ac:dyDescent="0.35">
      <c r="A37" s="553"/>
      <c r="B37" s="553"/>
      <c r="C37" s="553"/>
      <c r="D37" s="553"/>
      <c r="E37" s="553"/>
      <c r="F37" s="553"/>
      <c r="G37" s="553"/>
      <c r="H37" s="553"/>
      <c r="I37" s="553"/>
      <c r="J37" s="553"/>
      <c r="K37" s="553"/>
      <c r="L37" s="553"/>
      <c r="M37" s="553"/>
      <c r="N37" s="553"/>
      <c r="O37" s="64"/>
      <c r="Y37" s="65"/>
      <c r="Z37" s="65"/>
      <c r="AA37" s="65"/>
      <c r="AB37" s="65"/>
      <c r="AC37" s="65"/>
    </row>
    <row r="38" spans="1:29" x14ac:dyDescent="0.35">
      <c r="A38" s="553"/>
      <c r="B38" s="553"/>
      <c r="C38" s="553"/>
      <c r="D38" s="553"/>
      <c r="E38" s="553"/>
      <c r="F38" s="553"/>
      <c r="G38" s="553"/>
      <c r="H38" s="553"/>
      <c r="I38" s="553"/>
      <c r="J38" s="553"/>
      <c r="K38" s="553"/>
      <c r="L38" s="553"/>
      <c r="M38" s="553"/>
      <c r="N38" s="553"/>
      <c r="O38" s="64"/>
      <c r="Y38" s="65"/>
      <c r="Z38" s="65"/>
      <c r="AA38" s="65"/>
      <c r="AB38" s="65"/>
      <c r="AC38" s="65"/>
    </row>
    <row r="39" spans="1:29" x14ac:dyDescent="0.35">
      <c r="A39" s="553"/>
      <c r="B39" s="553"/>
      <c r="C39" s="553"/>
      <c r="D39" s="553"/>
      <c r="E39" s="553"/>
      <c r="F39" s="553"/>
      <c r="G39" s="553"/>
      <c r="H39" s="553"/>
      <c r="I39" s="553"/>
      <c r="J39" s="553"/>
      <c r="K39" s="553"/>
      <c r="L39" s="553"/>
      <c r="M39" s="553"/>
      <c r="N39" s="553"/>
      <c r="O39" s="64"/>
      <c r="Y39" s="65"/>
      <c r="Z39" s="65"/>
      <c r="AA39" s="65"/>
      <c r="AB39" s="65"/>
      <c r="AC39" s="65"/>
    </row>
    <row r="40" spans="1:29" ht="14.25" customHeight="1" x14ac:dyDescent="0.35">
      <c r="A40" s="99"/>
      <c r="B40" s="99"/>
      <c r="C40" s="99"/>
      <c r="D40" s="99"/>
      <c r="E40" s="99"/>
      <c r="F40" s="99"/>
      <c r="G40" s="99"/>
      <c r="H40" s="99"/>
      <c r="I40" s="99"/>
      <c r="J40" s="99"/>
      <c r="K40" s="99"/>
      <c r="L40" s="99"/>
      <c r="M40" s="112"/>
      <c r="N40" s="99"/>
    </row>
    <row r="41" spans="1:29" x14ac:dyDescent="0.35">
      <c r="A41" s="99"/>
      <c r="B41" s="99"/>
      <c r="C41" s="99"/>
      <c r="D41" s="99"/>
      <c r="E41" s="99"/>
      <c r="F41" s="99"/>
      <c r="G41" s="99"/>
      <c r="H41" s="99"/>
      <c r="I41" s="99"/>
      <c r="J41" s="99"/>
      <c r="K41" s="99"/>
      <c r="L41" s="99"/>
      <c r="M41" s="112"/>
      <c r="N41" s="99"/>
    </row>
    <row r="42" spans="1:29" x14ac:dyDescent="0.35">
      <c r="A42" s="99"/>
      <c r="B42" s="99"/>
      <c r="C42" s="99"/>
      <c r="D42" s="99"/>
      <c r="E42" s="99"/>
      <c r="F42" s="99"/>
      <c r="G42" s="99"/>
      <c r="H42" s="99"/>
      <c r="I42" s="99"/>
      <c r="J42" s="99"/>
      <c r="K42" s="99"/>
      <c r="L42" s="99"/>
      <c r="M42" s="112"/>
      <c r="N42" s="99"/>
    </row>
    <row r="43" spans="1:29" x14ac:dyDescent="0.35">
      <c r="A43" s="99"/>
      <c r="B43" s="99"/>
      <c r="C43" s="99"/>
      <c r="D43" s="99"/>
      <c r="E43" s="99"/>
      <c r="F43" s="99"/>
      <c r="G43" s="99"/>
      <c r="H43" s="99"/>
      <c r="I43" s="99"/>
      <c r="J43" s="99"/>
      <c r="K43" s="99"/>
      <c r="L43" s="99"/>
      <c r="M43" s="112"/>
      <c r="N43" s="99"/>
    </row>
    <row r="44" spans="1:29" x14ac:dyDescent="0.35">
      <c r="A44" s="99"/>
      <c r="B44" s="99"/>
      <c r="C44" s="99"/>
      <c r="D44" s="99"/>
      <c r="E44" s="99"/>
      <c r="F44" s="99"/>
      <c r="G44" s="99"/>
      <c r="H44" s="99"/>
      <c r="I44" s="99"/>
      <c r="J44" s="99"/>
      <c r="K44" s="99"/>
      <c r="L44" s="99"/>
      <c r="M44" s="112"/>
      <c r="N44" s="99"/>
    </row>
    <row r="45" spans="1:29" x14ac:dyDescent="0.35">
      <c r="A45" s="99"/>
      <c r="B45" s="99"/>
      <c r="C45" s="99"/>
      <c r="D45" s="99"/>
      <c r="E45" s="99"/>
      <c r="F45" s="99"/>
      <c r="G45" s="99"/>
      <c r="H45" s="99"/>
      <c r="I45" s="99"/>
      <c r="J45" s="99"/>
      <c r="K45" s="99"/>
      <c r="L45" s="99"/>
      <c r="M45" s="112"/>
      <c r="N45" s="99"/>
    </row>
    <row r="46" spans="1:29" x14ac:dyDescent="0.35">
      <c r="A46" s="99"/>
      <c r="B46" s="99"/>
      <c r="C46" s="99"/>
      <c r="D46" s="99"/>
      <c r="E46" s="99"/>
      <c r="F46" s="99"/>
      <c r="G46" s="99"/>
      <c r="H46" s="99"/>
      <c r="I46" s="99"/>
      <c r="J46" s="99"/>
      <c r="K46" s="99"/>
      <c r="L46" s="99"/>
      <c r="M46" s="112"/>
      <c r="N46" s="99"/>
    </row>
    <row r="47" spans="1:29" x14ac:dyDescent="0.35">
      <c r="A47" s="99"/>
      <c r="B47" s="99"/>
      <c r="C47" s="99"/>
      <c r="D47" s="99"/>
      <c r="E47" s="99"/>
      <c r="F47" s="99"/>
      <c r="G47" s="99"/>
      <c r="H47" s="99"/>
      <c r="I47" s="99"/>
      <c r="J47" s="99"/>
      <c r="K47" s="99"/>
      <c r="L47" s="99"/>
      <c r="M47" s="112"/>
      <c r="N47" s="99"/>
    </row>
    <row r="48" spans="1:29" x14ac:dyDescent="0.35">
      <c r="A48" s="99"/>
      <c r="B48" s="99"/>
      <c r="C48" s="99"/>
      <c r="D48" s="99"/>
      <c r="E48" s="99"/>
      <c r="F48" s="99"/>
      <c r="G48" s="99"/>
      <c r="H48" s="99"/>
      <c r="I48" s="99"/>
      <c r="J48" s="99"/>
      <c r="K48" s="99"/>
      <c r="L48" s="99"/>
      <c r="M48" s="112"/>
      <c r="N48" s="99"/>
    </row>
    <row r="49" spans="1:14" x14ac:dyDescent="0.35">
      <c r="A49" s="99"/>
      <c r="B49" s="99"/>
      <c r="C49" s="99"/>
      <c r="D49" s="99"/>
      <c r="E49" s="99"/>
      <c r="F49" s="99"/>
      <c r="G49" s="99"/>
      <c r="H49" s="99"/>
      <c r="I49" s="99"/>
      <c r="J49" s="99"/>
      <c r="K49" s="99"/>
      <c r="L49" s="99"/>
      <c r="M49" s="112"/>
      <c r="N49" s="99"/>
    </row>
    <row r="50" spans="1:14" x14ac:dyDescent="0.35">
      <c r="A50" s="99"/>
      <c r="B50" s="99"/>
      <c r="C50" s="99"/>
      <c r="D50" s="99"/>
      <c r="E50" s="99"/>
      <c r="F50" s="99"/>
      <c r="G50" s="99"/>
      <c r="H50" s="99"/>
      <c r="I50" s="99"/>
      <c r="J50" s="99"/>
      <c r="K50" s="99"/>
      <c r="L50" s="99"/>
      <c r="M50" s="112"/>
      <c r="N50" s="99"/>
    </row>
    <row r="51" spans="1:14" x14ac:dyDescent="0.35">
      <c r="A51" s="99"/>
      <c r="B51" s="99"/>
      <c r="C51" s="99"/>
      <c r="D51" s="99"/>
      <c r="E51" s="99"/>
      <c r="F51" s="99"/>
      <c r="G51" s="99"/>
      <c r="H51" s="99"/>
      <c r="I51" s="99"/>
      <c r="J51" s="99"/>
      <c r="K51" s="99"/>
      <c r="L51" s="99"/>
      <c r="M51" s="112"/>
      <c r="N51" s="99"/>
    </row>
    <row r="52" spans="1:14" x14ac:dyDescent="0.35">
      <c r="A52" s="99"/>
      <c r="B52" s="99"/>
      <c r="C52" s="99"/>
      <c r="D52" s="99"/>
      <c r="E52" s="99"/>
      <c r="F52" s="99"/>
      <c r="G52" s="99"/>
      <c r="H52" s="99"/>
      <c r="I52" s="99"/>
      <c r="J52" s="99"/>
      <c r="K52" s="99"/>
      <c r="L52" s="99"/>
      <c r="M52" s="112"/>
      <c r="N52" s="99"/>
    </row>
    <row r="53" spans="1:14" x14ac:dyDescent="0.35">
      <c r="A53" s="99"/>
      <c r="B53" s="99"/>
      <c r="C53" s="99"/>
      <c r="D53" s="99"/>
      <c r="E53" s="99"/>
      <c r="F53" s="99"/>
      <c r="G53" s="99"/>
      <c r="H53" s="99"/>
      <c r="I53" s="99"/>
      <c r="J53" s="99"/>
      <c r="K53" s="99"/>
      <c r="L53" s="99"/>
      <c r="M53" s="112"/>
      <c r="N53" s="99"/>
    </row>
    <row r="54" spans="1:14" x14ac:dyDescent="0.35">
      <c r="A54" s="99"/>
      <c r="B54" s="99"/>
      <c r="C54" s="99"/>
      <c r="D54" s="99"/>
      <c r="E54" s="99"/>
      <c r="F54" s="99"/>
      <c r="G54" s="99"/>
      <c r="H54" s="99"/>
      <c r="I54" s="99"/>
      <c r="J54" s="99"/>
      <c r="K54" s="99"/>
      <c r="L54" s="99"/>
      <c r="M54" s="112"/>
      <c r="N54" s="99"/>
    </row>
    <row r="55" spans="1:14" x14ac:dyDescent="0.35">
      <c r="A55" s="99"/>
      <c r="B55" s="99"/>
      <c r="C55" s="99"/>
      <c r="D55" s="99"/>
      <c r="E55" s="99"/>
      <c r="F55" s="99"/>
      <c r="G55" s="99"/>
      <c r="H55" s="99"/>
      <c r="I55" s="99"/>
      <c r="J55" s="99"/>
      <c r="K55" s="99"/>
      <c r="L55" s="99"/>
      <c r="M55" s="112"/>
      <c r="N55" s="99"/>
    </row>
    <row r="56" spans="1:14" x14ac:dyDescent="0.35">
      <c r="A56" s="99"/>
      <c r="B56" s="99"/>
      <c r="C56" s="99"/>
      <c r="D56" s="99"/>
      <c r="E56" s="99"/>
      <c r="F56" s="99"/>
      <c r="G56" s="99"/>
      <c r="H56" s="99"/>
      <c r="I56" s="99"/>
      <c r="J56" s="99"/>
      <c r="K56" s="99"/>
      <c r="L56" s="99"/>
      <c r="M56" s="112"/>
      <c r="N56" s="99"/>
    </row>
    <row r="57" spans="1:14" x14ac:dyDescent="0.35">
      <c r="A57" s="99"/>
      <c r="B57" s="99"/>
      <c r="C57" s="99"/>
      <c r="D57" s="99"/>
      <c r="E57" s="99"/>
      <c r="F57" s="99"/>
      <c r="G57" s="99"/>
      <c r="H57" s="99"/>
      <c r="I57" s="99"/>
      <c r="J57" s="99"/>
      <c r="K57" s="99"/>
      <c r="L57" s="99"/>
      <c r="M57" s="112"/>
      <c r="N57" s="99"/>
    </row>
    <row r="58" spans="1:14" x14ac:dyDescent="0.35">
      <c r="A58" s="99"/>
      <c r="B58" s="99"/>
      <c r="C58" s="99"/>
      <c r="D58" s="99"/>
      <c r="E58" s="99"/>
      <c r="F58" s="99"/>
      <c r="G58" s="99"/>
      <c r="H58" s="99"/>
      <c r="I58" s="99"/>
      <c r="J58" s="99"/>
      <c r="K58" s="99"/>
      <c r="L58" s="99"/>
      <c r="M58" s="112"/>
      <c r="N58" s="99"/>
    </row>
    <row r="59" spans="1:14" x14ac:dyDescent="0.35">
      <c r="A59" s="99"/>
      <c r="B59" s="99"/>
      <c r="C59" s="99"/>
      <c r="D59" s="99"/>
      <c r="E59" s="99"/>
      <c r="F59" s="99"/>
      <c r="G59" s="99"/>
      <c r="H59" s="99"/>
      <c r="I59" s="99"/>
      <c r="J59" s="99"/>
      <c r="K59" s="99"/>
      <c r="L59" s="99"/>
      <c r="M59" s="112"/>
      <c r="N59" s="99"/>
    </row>
    <row r="60" spans="1:14" x14ac:dyDescent="0.35">
      <c r="A60" s="99"/>
      <c r="B60" s="99"/>
      <c r="C60" s="99"/>
      <c r="D60" s="99"/>
      <c r="E60" s="99"/>
      <c r="F60" s="99"/>
      <c r="G60" s="99"/>
      <c r="H60" s="99"/>
      <c r="I60" s="99"/>
      <c r="J60" s="99"/>
      <c r="K60" s="99"/>
      <c r="L60" s="99"/>
      <c r="M60" s="112"/>
      <c r="N60" s="99"/>
    </row>
    <row r="61" spans="1:14" x14ac:dyDescent="0.35">
      <c r="A61" s="99"/>
      <c r="B61" s="99"/>
      <c r="C61" s="99"/>
      <c r="D61" s="99"/>
      <c r="E61" s="99"/>
      <c r="F61" s="99"/>
      <c r="G61" s="99"/>
      <c r="H61" s="99"/>
      <c r="I61" s="99"/>
      <c r="J61" s="99"/>
      <c r="K61" s="99"/>
      <c r="L61" s="99"/>
      <c r="M61" s="112"/>
      <c r="N61" s="99"/>
    </row>
    <row r="62" spans="1:14" x14ac:dyDescent="0.35">
      <c r="A62" s="99"/>
      <c r="B62" s="99"/>
      <c r="C62" s="99"/>
      <c r="D62" s="99"/>
      <c r="E62" s="99"/>
      <c r="F62" s="99"/>
      <c r="G62" s="99"/>
      <c r="H62" s="99"/>
      <c r="I62" s="99"/>
      <c r="J62" s="99"/>
      <c r="K62" s="99"/>
      <c r="L62" s="99"/>
      <c r="M62" s="112"/>
      <c r="N62" s="99"/>
    </row>
    <row r="63" spans="1:14" x14ac:dyDescent="0.35">
      <c r="A63" s="99"/>
      <c r="B63" s="99"/>
      <c r="C63" s="99"/>
      <c r="D63" s="99"/>
      <c r="E63" s="99"/>
      <c r="F63" s="99"/>
      <c r="G63" s="99"/>
      <c r="H63" s="99"/>
      <c r="I63" s="99"/>
      <c r="J63" s="99"/>
      <c r="K63" s="99"/>
      <c r="L63" s="99"/>
      <c r="M63" s="112"/>
      <c r="N63" s="99"/>
    </row>
    <row r="64" spans="1:14" x14ac:dyDescent="0.35">
      <c r="A64" s="99"/>
      <c r="B64" s="99"/>
      <c r="C64" s="99"/>
      <c r="D64" s="99"/>
      <c r="E64" s="99"/>
      <c r="F64" s="99"/>
      <c r="G64" s="99"/>
      <c r="H64" s="99"/>
      <c r="I64" s="99"/>
      <c r="J64" s="99"/>
      <c r="K64" s="99"/>
      <c r="L64" s="99"/>
      <c r="M64" s="112"/>
      <c r="N64" s="99"/>
    </row>
    <row r="65" spans="1:14" x14ac:dyDescent="0.35">
      <c r="A65" s="99"/>
      <c r="B65" s="99"/>
      <c r="C65" s="99"/>
      <c r="D65" s="99"/>
      <c r="E65" s="99"/>
      <c r="F65" s="99"/>
      <c r="G65" s="99"/>
      <c r="H65" s="99"/>
      <c r="I65" s="99"/>
      <c r="J65" s="99"/>
      <c r="K65" s="99"/>
      <c r="L65" s="99"/>
      <c r="M65" s="112"/>
      <c r="N65" s="99"/>
    </row>
    <row r="66" spans="1:14" x14ac:dyDescent="0.35">
      <c r="A66" s="99"/>
      <c r="B66" s="99"/>
      <c r="C66" s="99"/>
      <c r="D66" s="99"/>
      <c r="E66" s="99"/>
      <c r="F66" s="99"/>
      <c r="G66" s="99"/>
      <c r="H66" s="99"/>
      <c r="I66" s="99"/>
      <c r="J66" s="99"/>
      <c r="K66" s="99"/>
      <c r="L66" s="99"/>
      <c r="M66" s="112"/>
      <c r="N66" s="99"/>
    </row>
    <row r="67" spans="1:14" x14ac:dyDescent="0.35">
      <c r="A67" s="99"/>
      <c r="B67" s="99"/>
      <c r="C67" s="99"/>
      <c r="D67" s="99"/>
      <c r="E67" s="99"/>
      <c r="F67" s="99"/>
      <c r="G67" s="99"/>
      <c r="H67" s="99"/>
      <c r="I67" s="99"/>
      <c r="J67" s="99"/>
      <c r="K67" s="99"/>
      <c r="L67" s="99"/>
      <c r="M67" s="112"/>
      <c r="N67" s="99"/>
    </row>
    <row r="68" spans="1:14" x14ac:dyDescent="0.35">
      <c r="A68" s="99"/>
      <c r="B68" s="99"/>
      <c r="C68" s="99"/>
      <c r="D68" s="99"/>
      <c r="E68" s="99"/>
      <c r="F68" s="99"/>
      <c r="G68" s="99"/>
      <c r="H68" s="99"/>
      <c r="I68" s="99"/>
      <c r="J68" s="99"/>
      <c r="K68" s="99"/>
      <c r="L68" s="99"/>
      <c r="M68" s="112"/>
      <c r="N68" s="99"/>
    </row>
    <row r="69" spans="1:14" x14ac:dyDescent="0.35">
      <c r="A69" s="99"/>
      <c r="B69" s="99"/>
      <c r="C69" s="99"/>
      <c r="D69" s="99"/>
      <c r="E69" s="99"/>
      <c r="F69" s="99"/>
      <c r="G69" s="99"/>
      <c r="H69" s="99"/>
      <c r="I69" s="99"/>
      <c r="J69" s="99"/>
      <c r="K69" s="99"/>
      <c r="L69" s="99"/>
      <c r="M69" s="112"/>
      <c r="N69" s="99"/>
    </row>
    <row r="70" spans="1:14" x14ac:dyDescent="0.35">
      <c r="A70" s="99"/>
      <c r="B70" s="99"/>
      <c r="C70" s="99"/>
      <c r="D70" s="99"/>
      <c r="E70" s="99"/>
      <c r="F70" s="99"/>
      <c r="G70" s="99"/>
      <c r="H70" s="99"/>
      <c r="I70" s="99"/>
      <c r="J70" s="99"/>
      <c r="K70" s="99"/>
      <c r="L70" s="99"/>
      <c r="M70" s="112"/>
      <c r="N70" s="99"/>
    </row>
    <row r="71" spans="1:14" x14ac:dyDescent="0.35">
      <c r="A71" s="99"/>
      <c r="B71" s="99"/>
      <c r="C71" s="99"/>
      <c r="D71" s="99"/>
      <c r="E71" s="99"/>
      <c r="F71" s="99"/>
      <c r="G71" s="99"/>
      <c r="H71" s="99"/>
      <c r="I71" s="99"/>
      <c r="J71" s="99"/>
      <c r="K71" s="99"/>
      <c r="L71" s="99"/>
      <c r="M71" s="112"/>
      <c r="N71" s="99"/>
    </row>
    <row r="72" spans="1:14" x14ac:dyDescent="0.35">
      <c r="A72" s="99"/>
      <c r="B72" s="99"/>
      <c r="C72" s="99"/>
      <c r="D72" s="99"/>
      <c r="E72" s="99"/>
      <c r="F72" s="99"/>
      <c r="G72" s="99"/>
      <c r="H72" s="99"/>
      <c r="I72" s="99"/>
      <c r="J72" s="99"/>
      <c r="K72" s="99"/>
      <c r="L72" s="99"/>
      <c r="M72" s="112"/>
      <c r="N72" s="99"/>
    </row>
    <row r="73" spans="1:14" x14ac:dyDescent="0.35">
      <c r="A73" s="99"/>
      <c r="B73" s="99"/>
      <c r="C73" s="99"/>
      <c r="D73" s="99"/>
      <c r="E73" s="99"/>
      <c r="F73" s="99"/>
      <c r="G73" s="99"/>
      <c r="H73" s="99"/>
      <c r="I73" s="99"/>
      <c r="J73" s="99"/>
      <c r="K73" s="99"/>
      <c r="L73" s="99"/>
      <c r="M73" s="112"/>
      <c r="N73" s="99"/>
    </row>
    <row r="74" spans="1:14" x14ac:dyDescent="0.35">
      <c r="A74" s="99"/>
      <c r="B74" s="99"/>
      <c r="C74" s="99"/>
      <c r="D74" s="99"/>
      <c r="E74" s="99"/>
      <c r="F74" s="99"/>
      <c r="G74" s="99"/>
      <c r="H74" s="99"/>
      <c r="I74" s="99"/>
      <c r="J74" s="99"/>
      <c r="K74" s="99"/>
      <c r="L74" s="99"/>
      <c r="M74" s="112"/>
      <c r="N74" s="99"/>
    </row>
    <row r="75" spans="1:14" x14ac:dyDescent="0.35">
      <c r="A75" s="99"/>
      <c r="B75" s="99"/>
      <c r="C75" s="99"/>
      <c r="D75" s="99"/>
      <c r="E75" s="99"/>
      <c r="F75" s="99"/>
      <c r="G75" s="99"/>
      <c r="H75" s="99"/>
      <c r="I75" s="99"/>
      <c r="J75" s="99"/>
      <c r="K75" s="99"/>
      <c r="L75" s="99"/>
      <c r="M75" s="112"/>
      <c r="N75" s="99"/>
    </row>
    <row r="76" spans="1:14" x14ac:dyDescent="0.35">
      <c r="A76" s="99"/>
      <c r="B76" s="99"/>
      <c r="C76" s="99"/>
      <c r="D76" s="99"/>
      <c r="E76" s="99"/>
      <c r="F76" s="99"/>
      <c r="G76" s="99"/>
      <c r="H76" s="99"/>
      <c r="I76" s="99"/>
      <c r="J76" s="99"/>
      <c r="K76" s="99"/>
      <c r="L76" s="99"/>
      <c r="M76" s="112"/>
      <c r="N76" s="99"/>
    </row>
    <row r="77" spans="1:14" x14ac:dyDescent="0.35">
      <c r="A77" s="99"/>
      <c r="B77" s="99"/>
      <c r="C77" s="99"/>
      <c r="D77" s="99"/>
      <c r="E77" s="99"/>
      <c r="F77" s="99"/>
      <c r="G77" s="99"/>
      <c r="H77" s="99"/>
      <c r="I77" s="99"/>
      <c r="J77" s="99"/>
      <c r="K77" s="99"/>
      <c r="L77" s="99"/>
      <c r="M77" s="112"/>
      <c r="N77" s="99"/>
    </row>
    <row r="78" spans="1:14" x14ac:dyDescent="0.35">
      <c r="A78" s="99"/>
      <c r="B78" s="99"/>
      <c r="C78" s="99"/>
      <c r="D78" s="99"/>
      <c r="E78" s="99"/>
      <c r="F78" s="99"/>
      <c r="G78" s="99"/>
      <c r="H78" s="99"/>
      <c r="I78" s="99"/>
      <c r="J78" s="99"/>
      <c r="K78" s="99"/>
      <c r="L78" s="99"/>
      <c r="M78" s="112"/>
      <c r="N78" s="99"/>
    </row>
    <row r="79" spans="1:14" x14ac:dyDescent="0.35">
      <c r="A79" s="99"/>
      <c r="B79" s="99"/>
      <c r="C79" s="99"/>
      <c r="D79" s="99"/>
      <c r="E79" s="99"/>
      <c r="F79" s="99"/>
      <c r="G79" s="99"/>
      <c r="H79" s="99"/>
      <c r="I79" s="99"/>
      <c r="J79" s="99"/>
      <c r="K79" s="99"/>
      <c r="L79" s="99"/>
      <c r="M79" s="112"/>
      <c r="N79" s="99"/>
    </row>
    <row r="80" spans="1:14" x14ac:dyDescent="0.35">
      <c r="A80" s="99"/>
      <c r="B80" s="99"/>
      <c r="C80" s="99"/>
      <c r="D80" s="99"/>
      <c r="E80" s="99"/>
      <c r="F80" s="99"/>
      <c r="G80" s="99"/>
      <c r="H80" s="99"/>
      <c r="I80" s="99"/>
      <c r="J80" s="99"/>
      <c r="K80" s="99"/>
      <c r="L80" s="99"/>
      <c r="M80" s="112"/>
      <c r="N80" s="99"/>
    </row>
    <row r="81" spans="1:14" x14ac:dyDescent="0.35">
      <c r="A81" s="99"/>
      <c r="B81" s="99"/>
      <c r="C81" s="99"/>
      <c r="D81" s="99"/>
      <c r="E81" s="99"/>
      <c r="F81" s="99"/>
      <c r="G81" s="99"/>
      <c r="H81" s="99"/>
      <c r="I81" s="99"/>
      <c r="J81" s="99"/>
      <c r="K81" s="99"/>
      <c r="L81" s="99"/>
      <c r="M81" s="112"/>
      <c r="N81" s="99"/>
    </row>
    <row r="82" spans="1:14" x14ac:dyDescent="0.35">
      <c r="A82" s="99"/>
      <c r="B82" s="99"/>
      <c r="C82" s="99"/>
      <c r="D82" s="99"/>
      <c r="E82" s="99"/>
      <c r="F82" s="99"/>
      <c r="G82" s="99"/>
      <c r="H82" s="99"/>
      <c r="I82" s="99"/>
      <c r="J82" s="99"/>
      <c r="K82" s="99"/>
      <c r="L82" s="99"/>
      <c r="M82" s="112"/>
      <c r="N82" s="99"/>
    </row>
    <row r="83" spans="1:14" x14ac:dyDescent="0.35">
      <c r="A83" s="99"/>
      <c r="B83" s="99"/>
      <c r="C83" s="99"/>
      <c r="D83" s="99"/>
      <c r="E83" s="99"/>
      <c r="F83" s="99"/>
      <c r="G83" s="99"/>
      <c r="H83" s="99"/>
      <c r="I83" s="99"/>
      <c r="J83" s="99"/>
      <c r="K83" s="99"/>
      <c r="L83" s="99"/>
      <c r="M83" s="112"/>
      <c r="N83" s="99"/>
    </row>
    <row r="84" spans="1:14" x14ac:dyDescent="0.35">
      <c r="A84" s="99"/>
      <c r="B84" s="99"/>
      <c r="C84" s="99"/>
      <c r="D84" s="99"/>
      <c r="E84" s="99"/>
      <c r="F84" s="99"/>
      <c r="G84" s="99"/>
      <c r="H84" s="99"/>
      <c r="I84" s="99"/>
      <c r="J84" s="99"/>
      <c r="K84" s="99"/>
      <c r="L84" s="99"/>
      <c r="M84" s="112"/>
      <c r="N84" s="99"/>
    </row>
    <row r="85" spans="1:14" x14ac:dyDescent="0.35">
      <c r="A85" s="99"/>
      <c r="B85" s="99"/>
      <c r="C85" s="99"/>
      <c r="D85" s="99"/>
      <c r="E85" s="99"/>
      <c r="F85" s="99"/>
      <c r="G85" s="99"/>
      <c r="H85" s="99"/>
      <c r="I85" s="99"/>
      <c r="J85" s="99"/>
      <c r="K85" s="99"/>
      <c r="L85" s="99"/>
      <c r="M85" s="112"/>
      <c r="N85" s="99"/>
    </row>
    <row r="86" spans="1:14" x14ac:dyDescent="0.35">
      <c r="A86" s="99"/>
      <c r="B86" s="99"/>
      <c r="C86" s="99"/>
      <c r="D86" s="99"/>
      <c r="E86" s="99"/>
      <c r="F86" s="99"/>
      <c r="G86" s="99"/>
      <c r="H86" s="99"/>
      <c r="I86" s="99"/>
      <c r="J86" s="99"/>
      <c r="K86" s="99"/>
      <c r="L86" s="99"/>
      <c r="M86" s="112"/>
      <c r="N86" s="99"/>
    </row>
    <row r="87" spans="1:14" x14ac:dyDescent="0.35">
      <c r="A87" s="99"/>
      <c r="B87" s="99"/>
      <c r="C87" s="99"/>
      <c r="D87" s="99"/>
      <c r="E87" s="99"/>
      <c r="F87" s="99"/>
      <c r="G87" s="99"/>
      <c r="H87" s="99"/>
      <c r="I87" s="99"/>
      <c r="J87" s="99"/>
      <c r="K87" s="99"/>
      <c r="L87" s="99"/>
      <c r="M87" s="112"/>
      <c r="N87" s="99"/>
    </row>
    <row r="96" spans="1:14" hidden="1" x14ac:dyDescent="0.35">
      <c r="L96">
        <v>2</v>
      </c>
    </row>
    <row r="97" spans="12:12" hidden="1" x14ac:dyDescent="0.35">
      <c r="L97">
        <v>3</v>
      </c>
    </row>
    <row r="98" spans="12:12" hidden="1" x14ac:dyDescent="0.35">
      <c r="L98">
        <v>4</v>
      </c>
    </row>
    <row r="99" spans="12:12" hidden="1" x14ac:dyDescent="0.35">
      <c r="L99">
        <v>5</v>
      </c>
    </row>
  </sheetData>
  <sheetProtection sheet="1" objects="1" scenarios="1"/>
  <customSheetViews>
    <customSheetView guid="{17302493-42B1-4877-869E-E424A97AE78B}" hiddenRows="1" topLeftCell="D1">
      <selection activeCell="K18" sqref="K18"/>
      <pageMargins left="0.7" right="0.7" top="0.75" bottom="0.75" header="0.3" footer="0.3"/>
      <pageSetup orientation="portrait" horizontalDpi="1200" verticalDpi="1200" r:id="rId1"/>
    </customSheetView>
    <customSheetView guid="{5C0BA3A5-859C-46C2-B685-44D9A90065E4}" hiddenRows="1" topLeftCell="D1">
      <selection activeCell="K18" sqref="K18"/>
      <pageMargins left="0.7" right="0.7" top="0.75" bottom="0.75" header="0.3" footer="0.3"/>
      <pageSetup orientation="portrait" horizontalDpi="1200" verticalDpi="1200" r:id="rId2"/>
    </customSheetView>
  </customSheetViews>
  <mergeCells count="14">
    <mergeCell ref="B15:C15"/>
    <mergeCell ref="A9:N11"/>
    <mergeCell ref="B13:C13"/>
    <mergeCell ref="B14:C14"/>
    <mergeCell ref="B22:C22"/>
    <mergeCell ref="B23:C23"/>
    <mergeCell ref="B24:C24"/>
    <mergeCell ref="A34:N39"/>
    <mergeCell ref="B16:C16"/>
    <mergeCell ref="B17:C17"/>
    <mergeCell ref="B18:C18"/>
    <mergeCell ref="B19:C19"/>
    <mergeCell ref="B20:C20"/>
    <mergeCell ref="B21:C21"/>
  </mergeCells>
  <pageMargins left="0.7" right="0.7" top="0.75" bottom="0.75" header="0.3" footer="0.3"/>
  <pageSetup orientation="portrait" horizontalDpi="1200" verticalDpi="1200"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A1:AE76"/>
  <sheetViews>
    <sheetView workbookViewId="0">
      <selection activeCell="D8" sqref="D8"/>
    </sheetView>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6" width="18.54296875" customWidth="1"/>
    <col min="7" max="7" width="18.54296875" style="253" customWidth="1"/>
    <col min="8" max="8" width="18.54296875" style="48" customWidth="1"/>
    <col min="9" max="9" width="18.54296875" customWidth="1"/>
    <col min="10" max="10" width="18.54296875" style="48" customWidth="1"/>
    <col min="11" max="11" width="18.54296875" customWidth="1"/>
    <col min="12" max="12" width="18.54296875" style="48" customWidth="1"/>
    <col min="13" max="13" width="2.7265625" customWidth="1"/>
    <col min="14" max="14" width="18.54296875" customWidth="1"/>
    <col min="15" max="15" width="18.54296875" style="253" customWidth="1"/>
    <col min="16" max="16" width="18.54296875" style="48" customWidth="1"/>
    <col min="17" max="17" width="18.54296875" customWidth="1"/>
    <col min="18" max="18" width="18.54296875" style="48" customWidth="1"/>
    <col min="19" max="19" width="18.54296875" customWidth="1"/>
    <col min="20" max="20" width="18.54296875" style="48" customWidth="1"/>
    <col min="21" max="21" width="2.7265625" customWidth="1"/>
    <col min="22" max="22" width="12.1796875" customWidth="1"/>
    <col min="23" max="23" width="15" style="253" bestFit="1" customWidth="1"/>
    <col min="24" max="24" width="12.1796875" style="48" customWidth="1"/>
    <col min="25" max="25" width="12.1796875" customWidth="1"/>
    <col min="26" max="26" width="15.26953125" style="253" customWidth="1"/>
    <col min="27" max="27" width="12.1796875" style="48" customWidth="1"/>
    <col min="28" max="28" width="24.54296875" customWidth="1"/>
  </cols>
  <sheetData>
    <row r="1" spans="1:31" ht="26" x14ac:dyDescent="0.6">
      <c r="A1" s="3" t="s">
        <v>777</v>
      </c>
    </row>
    <row r="2" spans="1:31" ht="21" x14ac:dyDescent="0.5">
      <c r="A2" s="2" t="s">
        <v>775</v>
      </c>
    </row>
    <row r="3" spans="1:31" ht="25" customHeight="1" x14ac:dyDescent="0.5">
      <c r="A3" s="546" t="s">
        <v>755</v>
      </c>
      <c r="B3" s="546"/>
      <c r="C3" s="546"/>
      <c r="D3" s="546"/>
      <c r="E3" s="546"/>
      <c r="F3" s="546"/>
      <c r="G3" s="312"/>
      <c r="H3" s="315"/>
    </row>
    <row r="4" spans="1:31" x14ac:dyDescent="0.35">
      <c r="A4" s="48"/>
    </row>
    <row r="5" spans="1:31" x14ac:dyDescent="0.35">
      <c r="A5" s="1" t="s">
        <v>776</v>
      </c>
      <c r="C5" s="414" t="str">
        <f>Results!$C$6</f>
        <v>WellPower</v>
      </c>
    </row>
    <row r="6" spans="1:31" x14ac:dyDescent="0.35">
      <c r="A6" s="1" t="s">
        <v>0</v>
      </c>
      <c r="C6" s="35">
        <f>Results!$C$7</f>
        <v>45473</v>
      </c>
      <c r="F6" s="35"/>
      <c r="G6" s="313"/>
      <c r="H6" s="60"/>
      <c r="V6" s="122"/>
      <c r="W6" s="323"/>
      <c r="X6" s="122"/>
      <c r="Y6" s="122"/>
      <c r="Z6" s="323"/>
      <c r="AA6" s="122"/>
      <c r="AB6" s="122"/>
    </row>
    <row r="7" spans="1:31" x14ac:dyDescent="0.35">
      <c r="V7" s="40"/>
      <c r="W7" s="252"/>
      <c r="X7" s="40"/>
      <c r="Y7" s="40"/>
      <c r="Z7" s="252"/>
      <c r="AA7" s="40"/>
      <c r="AB7" s="40"/>
    </row>
    <row r="8" spans="1:31" x14ac:dyDescent="0.35">
      <c r="A8" s="1" t="s">
        <v>253</v>
      </c>
      <c r="B8" s="1" t="s">
        <v>605</v>
      </c>
      <c r="C8" s="1"/>
      <c r="D8" s="116" t="str">
        <f>'As-Filed Schedule 2A'!D8</f>
        <v>Yes</v>
      </c>
      <c r="E8" s="41" t="s">
        <v>259</v>
      </c>
      <c r="V8" s="40"/>
      <c r="W8" s="252"/>
      <c r="X8" s="40"/>
      <c r="Y8" s="40"/>
      <c r="Z8" s="252"/>
      <c r="AA8" s="40"/>
      <c r="AB8" s="40"/>
    </row>
    <row r="9" spans="1:31" x14ac:dyDescent="0.35">
      <c r="V9" s="122"/>
      <c r="W9" s="323"/>
      <c r="X9" s="122"/>
      <c r="Y9" s="122"/>
      <c r="Z9" s="323"/>
      <c r="AA9" s="122"/>
      <c r="AB9" s="122"/>
    </row>
    <row r="10" spans="1:31" x14ac:dyDescent="0.35">
      <c r="A10" s="1" t="s">
        <v>254</v>
      </c>
      <c r="B10" s="1" t="s">
        <v>256</v>
      </c>
      <c r="C10" s="1"/>
      <c r="V10" s="40"/>
      <c r="W10" s="252"/>
      <c r="X10" s="40"/>
      <c r="Y10" s="40"/>
      <c r="Z10" s="252"/>
      <c r="AA10" s="40"/>
      <c r="AB10" s="40"/>
    </row>
    <row r="11" spans="1:31" x14ac:dyDescent="0.35">
      <c r="A11" s="1"/>
      <c r="B11" s="316" t="s">
        <v>592</v>
      </c>
      <c r="C11" s="1"/>
      <c r="V11" s="40"/>
      <c r="W11" s="252"/>
      <c r="X11" s="40"/>
      <c r="Y11" s="40"/>
      <c r="Z11" s="252"/>
      <c r="AA11" s="40"/>
      <c r="AB11" s="40"/>
    </row>
    <row r="12" spans="1:31" x14ac:dyDescent="0.35">
      <c r="B12" s="560">
        <v>1</v>
      </c>
      <c r="C12" s="560"/>
      <c r="D12" s="560"/>
      <c r="F12" s="23">
        <v>2</v>
      </c>
      <c r="G12" s="248" t="s">
        <v>550</v>
      </c>
      <c r="H12" s="249" t="s">
        <v>551</v>
      </c>
      <c r="I12" s="23">
        <v>3</v>
      </c>
      <c r="J12" s="249" t="s">
        <v>555</v>
      </c>
      <c r="K12" s="23">
        <v>4</v>
      </c>
      <c r="L12" s="249" t="s">
        <v>608</v>
      </c>
      <c r="N12" s="23">
        <v>5</v>
      </c>
      <c r="O12" s="248" t="s">
        <v>560</v>
      </c>
      <c r="P12" s="249" t="s">
        <v>561</v>
      </c>
      <c r="Q12" s="23">
        <v>6</v>
      </c>
      <c r="R12" s="249" t="s">
        <v>565</v>
      </c>
      <c r="S12" s="23">
        <v>7</v>
      </c>
      <c r="T12" s="249" t="s">
        <v>569</v>
      </c>
      <c r="V12" s="23">
        <v>8</v>
      </c>
      <c r="W12" s="248" t="s">
        <v>610</v>
      </c>
      <c r="X12" s="249" t="s">
        <v>611</v>
      </c>
      <c r="Y12" s="23">
        <v>9</v>
      </c>
      <c r="Z12" s="248" t="s">
        <v>612</v>
      </c>
      <c r="AA12" s="249" t="s">
        <v>613</v>
      </c>
      <c r="AC12" s="40"/>
      <c r="AD12" s="40"/>
      <c r="AE12" s="40"/>
    </row>
    <row r="13" spans="1:31" x14ac:dyDescent="0.35">
      <c r="B13" s="569" t="s">
        <v>606</v>
      </c>
      <c r="C13" s="570"/>
      <c r="D13" s="571"/>
      <c r="F13" s="563" t="s">
        <v>261</v>
      </c>
      <c r="G13" s="568"/>
      <c r="H13" s="568"/>
      <c r="I13" s="568"/>
      <c r="J13" s="568"/>
      <c r="K13" s="564"/>
      <c r="L13" s="317"/>
      <c r="N13" s="563" t="s">
        <v>262</v>
      </c>
      <c r="O13" s="568"/>
      <c r="P13" s="568"/>
      <c r="Q13" s="568"/>
      <c r="R13" s="568"/>
      <c r="S13" s="564"/>
      <c r="T13" s="317"/>
      <c r="V13" s="566" t="s">
        <v>250</v>
      </c>
      <c r="W13" s="617" t="s">
        <v>614</v>
      </c>
      <c r="X13" s="619" t="s">
        <v>615</v>
      </c>
      <c r="Y13" s="566" t="s">
        <v>312</v>
      </c>
      <c r="Z13" s="617" t="s">
        <v>616</v>
      </c>
      <c r="AA13" s="619" t="s">
        <v>617</v>
      </c>
      <c r="AC13" s="40"/>
      <c r="AD13" s="40"/>
      <c r="AE13" s="40"/>
    </row>
    <row r="14" spans="1:31" ht="56.25" customHeight="1" x14ac:dyDescent="0.35">
      <c r="B14" s="572"/>
      <c r="C14" s="573"/>
      <c r="D14" s="574"/>
      <c r="F14" s="10" t="s">
        <v>214</v>
      </c>
      <c r="G14" s="250" t="s">
        <v>603</v>
      </c>
      <c r="H14" s="251" t="s">
        <v>604</v>
      </c>
      <c r="I14" s="142" t="s">
        <v>493</v>
      </c>
      <c r="J14" s="251" t="s">
        <v>607</v>
      </c>
      <c r="K14" s="142" t="s">
        <v>215</v>
      </c>
      <c r="L14" s="251" t="s">
        <v>609</v>
      </c>
      <c r="M14" s="99"/>
      <c r="N14" s="142" t="s">
        <v>214</v>
      </c>
      <c r="O14" s="250" t="s">
        <v>603</v>
      </c>
      <c r="P14" s="251" t="s">
        <v>604</v>
      </c>
      <c r="Q14" s="142" t="s">
        <v>493</v>
      </c>
      <c r="R14" s="251" t="s">
        <v>607</v>
      </c>
      <c r="S14" s="10" t="s">
        <v>215</v>
      </c>
      <c r="T14" s="251" t="s">
        <v>609</v>
      </c>
      <c r="V14" s="567"/>
      <c r="W14" s="618"/>
      <c r="X14" s="620"/>
      <c r="Y14" s="567"/>
      <c r="Z14" s="618"/>
      <c r="AA14" s="620"/>
    </row>
    <row r="15" spans="1:31" x14ac:dyDescent="0.35">
      <c r="A15" s="24">
        <v>1</v>
      </c>
      <c r="B15" s="565" t="str">
        <f>IF('As-Filed Schedule 2A'!B15:D15=0,"",'As-Filed Schedule 2A'!B15:D15)</f>
        <v>100-815-Co-Responder</v>
      </c>
      <c r="C15" s="565"/>
      <c r="D15" s="565"/>
      <c r="F15" s="114">
        <f>'As-Filed Schedule 2A'!F15</f>
        <v>4051436.3881671191</v>
      </c>
      <c r="G15" s="307">
        <f>SUMIFS(Adjustments!$G:$G,Adjustments!$H:$H,"2A",Adjustments!$I:$I,'Schedule 2A Adjustments'!$F$12,Adjustments!$J:$J,'Schedule 2A Adjustments'!A15)</f>
        <v>0</v>
      </c>
      <c r="H15" s="303">
        <f>SUM(F15:G15)</f>
        <v>4051436.3881671191</v>
      </c>
      <c r="I15" s="68">
        <f>IFERROR(F15*'As-Filed Schedule 1'!$E$103,0)</f>
        <v>1052977.4808569227</v>
      </c>
      <c r="J15" s="304">
        <f>IFERROR(H15*'Adjusted Schedule 1'!$E$104,0)</f>
        <v>1052977.4808569227</v>
      </c>
      <c r="K15" s="68">
        <f>SUM(F15,I15)</f>
        <v>5104413.869024042</v>
      </c>
      <c r="L15" s="304">
        <f>SUM(H15,J15)</f>
        <v>5104413.869024042</v>
      </c>
      <c r="N15" s="114">
        <f>'As-Filed Schedule 2A'!J15</f>
        <v>393.04816773938444</v>
      </c>
      <c r="O15" s="307">
        <f>SUMIFS(Adjustments!$G:$G,Adjustments!$H:$H,"2A",Adjustments!$I:$I,'Schedule 2A Adjustments'!$N$12,Adjustments!$J:$J,'Schedule 2A Adjustments'!A15)</f>
        <v>0</v>
      </c>
      <c r="P15" s="303">
        <f>SUM(N15:O15)</f>
        <v>393.04816773938444</v>
      </c>
      <c r="Q15" s="68">
        <f>IFERROR(N15*'As-Filed Schedule 1'!$E$103,0)</f>
        <v>102.15410779505847</v>
      </c>
      <c r="R15" s="304">
        <f>IFERROR(P15*'Adjusted Schedule 1'!$E$104,0)</f>
        <v>102.15410779505847</v>
      </c>
      <c r="S15" s="68">
        <f t="shared" ref="S15:S21" si="0">SUM(N15,Q15)</f>
        <v>495.20227553444289</v>
      </c>
      <c r="T15" s="304">
        <f>SUM(P15,R15)</f>
        <v>495.20227553444289</v>
      </c>
      <c r="V15" s="117">
        <f>'As-Filed Schedule 2A'!N15</f>
        <v>39.379125000000009</v>
      </c>
      <c r="W15" s="307">
        <f>SUMIFS(Adjustments!$G:$G,Adjustments!$H:$H,"2A",Adjustments!$I:$I,'Schedule 2A Adjustments'!$V$12,Adjustments!$J:$J,'Schedule 2A Adjustments'!A15)</f>
        <v>0</v>
      </c>
      <c r="X15" s="320">
        <f>SUM(V15:W15)</f>
        <v>39.379125000000009</v>
      </c>
      <c r="Y15" s="117">
        <f>'As-Filed Schedule 2A'!O15</f>
        <v>2910</v>
      </c>
      <c r="Z15" s="307">
        <f>SUMIFS(Adjustments!$G:$G,Adjustments!$H:$H,"2A",Adjustments!$I:$I,'Schedule 2A Adjustments'!$Y$12,Adjustments!$J:$J,'Schedule 2A Adjustments'!A15)</f>
        <v>0</v>
      </c>
      <c r="AA15" s="320">
        <f>SUM(Y15:Z15)</f>
        <v>2910</v>
      </c>
    </row>
    <row r="16" spans="1:31" x14ac:dyDescent="0.35">
      <c r="A16" s="24">
        <v>2</v>
      </c>
      <c r="B16" s="565" t="str">
        <f>IF('As-Filed Schedule 2A'!B16:D16=0,"",'As-Filed Schedule 2A'!B16:D16)</f>
        <v>100-818-STAR</v>
      </c>
      <c r="C16" s="565"/>
      <c r="D16" s="565"/>
      <c r="F16" s="114">
        <f>'As-Filed Schedule 2A'!F16</f>
        <v>1619494.454371474</v>
      </c>
      <c r="G16" s="307">
        <f>SUMIFS(Adjustments!$G:$G,Adjustments!$H:$H,"2A",Adjustments!$I:$I,'Schedule 2A Adjustments'!$F$12,Adjustments!$J:$J,'Schedule 2A Adjustments'!A16)</f>
        <v>0</v>
      </c>
      <c r="H16" s="303">
        <f t="shared" ref="H16:H72" si="1">SUM(F16:G16)</f>
        <v>1619494.454371474</v>
      </c>
      <c r="I16" s="68">
        <f>IFERROR(F16*'As-Filed Schedule 1'!$E$103,0)</f>
        <v>420910.27167708037</v>
      </c>
      <c r="J16" s="304">
        <f>IFERROR(H16*'Adjusted Schedule 1'!$E$104,0)</f>
        <v>420910.27167708037</v>
      </c>
      <c r="K16" s="68">
        <f>SUM(F16,I16)</f>
        <v>2040404.7260485543</v>
      </c>
      <c r="L16" s="304">
        <f t="shared" ref="L16:L72" si="2">SUM(H16,J16)</f>
        <v>2040404.7260485543</v>
      </c>
      <c r="N16" s="114">
        <f>'As-Filed Schedule 2A'!J16</f>
        <v>223.65621905355084</v>
      </c>
      <c r="O16" s="307">
        <f>SUMIFS(Adjustments!$G:$G,Adjustments!$H:$H,"2A",Adjustments!$I:$I,'Schedule 2A Adjustments'!$N$12,Adjustments!$J:$J,'Schedule 2A Adjustments'!A16)</f>
        <v>0</v>
      </c>
      <c r="P16" s="303">
        <f t="shared" ref="P16:P72" si="3">SUM(N16:O16)</f>
        <v>223.65621905355084</v>
      </c>
      <c r="Q16" s="68">
        <f>IFERROR(N16*'As-Filed Schedule 1'!$E$103,0)</f>
        <v>58.128757199501564</v>
      </c>
      <c r="R16" s="304">
        <f>IFERROR(P16*'Adjusted Schedule 1'!$E$104,0)</f>
        <v>58.128757199501564</v>
      </c>
      <c r="S16" s="68">
        <f t="shared" si="0"/>
        <v>281.78497625305238</v>
      </c>
      <c r="T16" s="304">
        <f t="shared" ref="T16:T72" si="4">SUM(P16,R16)</f>
        <v>281.78497625305238</v>
      </c>
      <c r="V16" s="117">
        <f>'As-Filed Schedule 2A'!N16</f>
        <v>15.781249999999998</v>
      </c>
      <c r="W16" s="307">
        <f>SUMIFS(Adjustments!$G:$G,Adjustments!$H:$H,"2A",Adjustments!$I:$I,'Schedule 2A Adjustments'!$V$12,Adjustments!$J:$J,'Schedule 2A Adjustments'!A16)</f>
        <v>0</v>
      </c>
      <c r="X16" s="320">
        <f t="shared" ref="X16:X72" si="5">SUM(V16:W16)</f>
        <v>15.781249999999998</v>
      </c>
      <c r="Y16" s="117">
        <f>'As-Filed Schedule 2A'!O16</f>
        <v>2911</v>
      </c>
      <c r="Z16" s="307">
        <f>SUMIFS(Adjustments!$G:$G,Adjustments!$H:$H,"2A",Adjustments!$I:$I,'Schedule 2A Adjustments'!$Y$12,Adjustments!$J:$J,'Schedule 2A Adjustments'!A16)</f>
        <v>0</v>
      </c>
      <c r="AA16" s="320">
        <f t="shared" ref="AA16:AA72" si="6">SUM(Y16:Z16)</f>
        <v>2911</v>
      </c>
    </row>
    <row r="17" spans="1:27" x14ac:dyDescent="0.35">
      <c r="A17" s="24">
        <v>3</v>
      </c>
      <c r="B17" s="565" t="str">
        <f>IF('As-Filed Schedule 2A'!B17:D17=0,"",'As-Filed Schedule 2A'!B17:D17)</f>
        <v>100-822-Adams County Co-Responder</v>
      </c>
      <c r="C17" s="565"/>
      <c r="D17" s="565"/>
      <c r="F17" s="114">
        <f>'As-Filed Schedule 2A'!F17</f>
        <v>188855.89809854078</v>
      </c>
      <c r="G17" s="307">
        <f>SUMIFS(Adjustments!$G:$G,Adjustments!$H:$H,"2A",Adjustments!$I:$I,'Schedule 2A Adjustments'!$F$12,Adjustments!$J:$J,'Schedule 2A Adjustments'!A17)</f>
        <v>0</v>
      </c>
      <c r="H17" s="303">
        <f t="shared" si="1"/>
        <v>188855.89809854078</v>
      </c>
      <c r="I17" s="68">
        <f>IFERROR(F17*'As-Filed Schedule 1'!$E$103,0)</f>
        <v>49084.075071641055</v>
      </c>
      <c r="J17" s="304">
        <f>IFERROR(H17*'Adjusted Schedule 1'!$E$104,0)</f>
        <v>49084.075071641055</v>
      </c>
      <c r="K17" s="68">
        <f>SUM(F17,I17)</f>
        <v>237939.97317018185</v>
      </c>
      <c r="L17" s="304">
        <f t="shared" si="2"/>
        <v>237939.97317018185</v>
      </c>
      <c r="N17" s="114">
        <f>'As-Filed Schedule 2A'!J17</f>
        <v>17.378348357224983</v>
      </c>
      <c r="O17" s="307">
        <f>SUMIFS(Adjustments!$G:$G,Adjustments!$H:$H,"2A",Adjustments!$I:$I,'Schedule 2A Adjustments'!$N$12,Adjustments!$J:$J,'Schedule 2A Adjustments'!A17)</f>
        <v>0</v>
      </c>
      <c r="P17" s="303">
        <f t="shared" si="3"/>
        <v>17.378348357224983</v>
      </c>
      <c r="Q17" s="68">
        <f>IFERROR(N17*'As-Filed Schedule 1'!$E$103,0)</f>
        <v>4.5166720445346362</v>
      </c>
      <c r="R17" s="304">
        <f>IFERROR(P17*'Adjusted Schedule 1'!$E$104,0)</f>
        <v>4.5166720445346362</v>
      </c>
      <c r="S17" s="68">
        <f t="shared" si="0"/>
        <v>21.89502040175962</v>
      </c>
      <c r="T17" s="304">
        <f>SUM(P17,R17)</f>
        <v>21.89502040175962</v>
      </c>
      <c r="V17" s="117">
        <f>'As-Filed Schedule 2A'!N17</f>
        <v>2.1</v>
      </c>
      <c r="W17" s="307">
        <f>SUMIFS(Adjustments!$G:$G,Adjustments!$H:$H,"2A",Adjustments!$I:$I,'Schedule 2A Adjustments'!$V$12,Adjustments!$J:$J,'Schedule 2A Adjustments'!A17)</f>
        <v>0</v>
      </c>
      <c r="X17" s="320">
        <f t="shared" si="5"/>
        <v>2.1</v>
      </c>
      <c r="Y17" s="117">
        <f>'As-Filed Schedule 2A'!O17</f>
        <v>95</v>
      </c>
      <c r="Z17" s="307">
        <f>SUMIFS(Adjustments!$G:$G,Adjustments!$H:$H,"2A",Adjustments!$I:$I,'Schedule 2A Adjustments'!$Y$12,Adjustments!$J:$J,'Schedule 2A Adjustments'!A17)</f>
        <v>0</v>
      </c>
      <c r="AA17" s="320">
        <f t="shared" si="6"/>
        <v>95</v>
      </c>
    </row>
    <row r="18" spans="1:27" x14ac:dyDescent="0.35">
      <c r="A18" s="24">
        <v>4</v>
      </c>
      <c r="B18" s="565" t="str">
        <f>IF('As-Filed Schedule 2A'!B18:D18=0,"",'As-Filed Schedule 2A'!B18:D18)</f>
        <v>100-826-Arvada Fire Dept STAR</v>
      </c>
      <c r="C18" s="565"/>
      <c r="D18" s="565"/>
      <c r="F18" s="114">
        <f>'As-Filed Schedule 2A'!F18</f>
        <v>105293.98982642549</v>
      </c>
      <c r="G18" s="307">
        <f>SUMIFS(Adjustments!$G:$G,Adjustments!$H:$H,"2A",Adjustments!$I:$I,'Schedule 2A Adjustments'!$F$12,Adjustments!$J:$J,'Schedule 2A Adjustments'!A18)</f>
        <v>0</v>
      </c>
      <c r="H18" s="303">
        <f t="shared" si="1"/>
        <v>105293.98982642549</v>
      </c>
      <c r="I18" s="68">
        <f>IFERROR(F18*'As-Filed Schedule 1'!$E$103,0)</f>
        <v>27366.146110703925</v>
      </c>
      <c r="J18" s="304">
        <f>IFERROR(H18*'Adjusted Schedule 1'!$E$104,0)</f>
        <v>27366.146110703925</v>
      </c>
      <c r="K18" s="68">
        <f t="shared" ref="K18:K72" si="7">SUM(F18,I18)</f>
        <v>132660.13593712941</v>
      </c>
      <c r="L18" s="304">
        <f t="shared" si="2"/>
        <v>132660.13593712941</v>
      </c>
      <c r="N18" s="114">
        <f>'As-Filed Schedule 2A'!J18</f>
        <v>11.378680471992549</v>
      </c>
      <c r="O18" s="307">
        <f>SUMIFS(Adjustments!$G:$G,Adjustments!$H:$H,"2A",Adjustments!$I:$I,'Schedule 2A Adjustments'!$N$12,Adjustments!$J:$J,'Schedule 2A Adjustments'!A18)</f>
        <v>0</v>
      </c>
      <c r="P18" s="303">
        <f t="shared" si="3"/>
        <v>11.378680471992549</v>
      </c>
      <c r="Q18" s="68">
        <f>IFERROR(N18*'As-Filed Schedule 1'!$E$103,0)</f>
        <v>2.9573447910643451</v>
      </c>
      <c r="R18" s="304">
        <f>IFERROR(P18*'Adjusted Schedule 1'!$E$104,0)</f>
        <v>2.9573447910643451</v>
      </c>
      <c r="S18" s="68">
        <f t="shared" si="0"/>
        <v>14.336025263056895</v>
      </c>
      <c r="T18" s="304">
        <f t="shared" si="4"/>
        <v>14.336025263056895</v>
      </c>
      <c r="V18" s="117">
        <f>'As-Filed Schedule 2A'!N18</f>
        <v>1.375</v>
      </c>
      <c r="W18" s="307">
        <f>SUMIFS(Adjustments!$G:$G,Adjustments!$H:$H,"2A",Adjustments!$I:$I,'Schedule 2A Adjustments'!$V$12,Adjustments!$J:$J,'Schedule 2A Adjustments'!A18)</f>
        <v>0</v>
      </c>
      <c r="X18" s="320">
        <f t="shared" si="5"/>
        <v>1.375</v>
      </c>
      <c r="Y18" s="117">
        <f>'As-Filed Schedule 2A'!O18</f>
        <v>124</v>
      </c>
      <c r="Z18" s="307">
        <f>SUMIFS(Adjustments!$G:$G,Adjustments!$H:$H,"2A",Adjustments!$I:$I,'Schedule 2A Adjustments'!$Y$12,Adjustments!$J:$J,'Schedule 2A Adjustments'!A18)</f>
        <v>0</v>
      </c>
      <c r="AA18" s="320">
        <f t="shared" si="6"/>
        <v>124</v>
      </c>
    </row>
    <row r="19" spans="1:27" x14ac:dyDescent="0.35">
      <c r="A19" s="24">
        <v>5</v>
      </c>
      <c r="B19" s="565" t="str">
        <f>IF('As-Filed Schedule 2A'!B19:D19=0,"",'As-Filed Schedule 2A'!B19:D19)</f>
        <v>100-870-Walk-in Center</v>
      </c>
      <c r="C19" s="565"/>
      <c r="D19" s="565"/>
      <c r="F19" s="114">
        <f>'As-Filed Schedule 2A'!F19</f>
        <v>2650811.6607168736</v>
      </c>
      <c r="G19" s="307">
        <f>SUMIFS(Adjustments!$G:$G,Adjustments!$H:$H,"2A",Adjustments!$I:$I,'Schedule 2A Adjustments'!$F$12,Adjustments!$J:$J,'Schedule 2A Adjustments'!A19)</f>
        <v>0</v>
      </c>
      <c r="H19" s="303">
        <f t="shared" si="1"/>
        <v>2650811.6607168736</v>
      </c>
      <c r="I19" s="68">
        <f>IFERROR(F19*'As-Filed Schedule 1'!$E$103,0)</f>
        <v>688951.94624802587</v>
      </c>
      <c r="J19" s="304">
        <f>IFERROR(H19*'Adjusted Schedule 1'!$E$104,0)</f>
        <v>688951.94624802587</v>
      </c>
      <c r="K19" s="68">
        <f t="shared" si="7"/>
        <v>3339763.6069648992</v>
      </c>
      <c r="L19" s="304">
        <f t="shared" si="2"/>
        <v>3339763.6069648992</v>
      </c>
      <c r="N19" s="114">
        <f>'As-Filed Schedule 2A'!J19</f>
        <v>9743.1602059014185</v>
      </c>
      <c r="O19" s="307">
        <f>SUMIFS(Adjustments!$G:$G,Adjustments!$H:$H,"2A",Adjustments!$I:$I,'Schedule 2A Adjustments'!$N$12,Adjustments!$J:$J,'Schedule 2A Adjustments'!A19)</f>
        <v>0</v>
      </c>
      <c r="P19" s="303">
        <f t="shared" si="3"/>
        <v>9743.1602059014185</v>
      </c>
      <c r="Q19" s="68">
        <f>IFERROR(N19*'As-Filed Schedule 1'!$E$103,0)</f>
        <v>2532.2693746740129</v>
      </c>
      <c r="R19" s="304">
        <f>IFERROR(P19*'Adjusted Schedule 1'!$E$104,0)</f>
        <v>2532.2693746740129</v>
      </c>
      <c r="S19" s="68">
        <f t="shared" si="0"/>
        <v>12275.429580575432</v>
      </c>
      <c r="T19" s="304">
        <f t="shared" si="4"/>
        <v>12275.429580575432</v>
      </c>
      <c r="V19" s="117">
        <f>'As-Filed Schedule 2A'!N19</f>
        <v>16.487437499999999</v>
      </c>
      <c r="W19" s="307">
        <f>SUMIFS(Adjustments!$G:$G,Adjustments!$H:$H,"2A",Adjustments!$I:$I,'Schedule 2A Adjustments'!$V$12,Adjustments!$J:$J,'Schedule 2A Adjustments'!A19)</f>
        <v>0</v>
      </c>
      <c r="X19" s="320">
        <f t="shared" si="5"/>
        <v>16.487437499999999</v>
      </c>
      <c r="Y19" s="117">
        <f>'As-Filed Schedule 2A'!O19</f>
        <v>2478</v>
      </c>
      <c r="Z19" s="307">
        <f>SUMIFS(Adjustments!$G:$G,Adjustments!$H:$H,"2A",Adjustments!$I:$I,'Schedule 2A Adjustments'!$Y$12,Adjustments!$J:$J,'Schedule 2A Adjustments'!A19)</f>
        <v>0</v>
      </c>
      <c r="AA19" s="320">
        <f t="shared" si="6"/>
        <v>2478</v>
      </c>
    </row>
    <row r="20" spans="1:27" x14ac:dyDescent="0.35">
      <c r="A20" s="24">
        <v>6</v>
      </c>
      <c r="B20" s="565" t="str">
        <f>IF('As-Filed Schedule 2A'!B20:D20=0,"",'As-Filed Schedule 2A'!B20:D20)</f>
        <v>100-872-TherapyDirect</v>
      </c>
      <c r="C20" s="565"/>
      <c r="D20" s="565"/>
      <c r="F20" s="114">
        <f>'As-Filed Schedule 2A'!F20</f>
        <v>1155467.1050661281</v>
      </c>
      <c r="G20" s="307">
        <f>SUMIFS(Adjustments!$G:$G,Adjustments!$H:$H,"2A",Adjustments!$I:$I,'Schedule 2A Adjustments'!$F$12,Adjustments!$J:$J,'Schedule 2A Adjustments'!A20)</f>
        <v>0</v>
      </c>
      <c r="H20" s="303">
        <f t="shared" si="1"/>
        <v>1155467.1050661281</v>
      </c>
      <c r="I20" s="68">
        <f>IFERROR(F20*'As-Filed Schedule 1'!$E$103,0)</f>
        <v>300308.51405172935</v>
      </c>
      <c r="J20" s="304">
        <f>IFERROR(H20*'Adjusted Schedule 1'!$E$104,0)</f>
        <v>300308.51405172935</v>
      </c>
      <c r="K20" s="68">
        <f t="shared" si="7"/>
        <v>1455775.6191178574</v>
      </c>
      <c r="L20" s="304">
        <f t="shared" si="2"/>
        <v>1455775.6191178574</v>
      </c>
      <c r="N20" s="114">
        <f>'As-Filed Schedule 2A'!J20</f>
        <v>70.993656315756411</v>
      </c>
      <c r="O20" s="307">
        <f>SUMIFS(Adjustments!$G:$G,Adjustments!$H:$H,"2A",Adjustments!$I:$I,'Schedule 2A Adjustments'!$N$12,Adjustments!$J:$J,'Schedule 2A Adjustments'!A20)</f>
        <v>0</v>
      </c>
      <c r="P20" s="303">
        <f t="shared" si="3"/>
        <v>70.993656315756411</v>
      </c>
      <c r="Q20" s="68">
        <f>IFERROR(N20*'As-Filed Schedule 1'!$E$103,0)</f>
        <v>18.451411850503369</v>
      </c>
      <c r="R20" s="304">
        <f>IFERROR(P20*'Adjusted Schedule 1'!$E$104,0)</f>
        <v>18.451411850503369</v>
      </c>
      <c r="S20" s="68">
        <f t="shared" si="0"/>
        <v>89.445068166259773</v>
      </c>
      <c r="T20" s="304">
        <f t="shared" si="4"/>
        <v>89.445068166259773</v>
      </c>
      <c r="V20" s="117">
        <f>'As-Filed Schedule 2A'!N20</f>
        <v>8.5788749999999983</v>
      </c>
      <c r="W20" s="307">
        <f>SUMIFS(Adjustments!$G:$G,Adjustments!$H:$H,"2A",Adjustments!$I:$I,'Schedule 2A Adjustments'!$V$12,Adjustments!$J:$J,'Schedule 2A Adjustments'!A20)</f>
        <v>0</v>
      </c>
      <c r="X20" s="320">
        <f t="shared" si="5"/>
        <v>8.5788749999999983</v>
      </c>
      <c r="Y20" s="117">
        <f>'As-Filed Schedule 2A'!O20</f>
        <v>854</v>
      </c>
      <c r="Z20" s="307">
        <f>SUMIFS(Adjustments!$G:$G,Adjustments!$H:$H,"2A",Adjustments!$I:$I,'Schedule 2A Adjustments'!$Y$12,Adjustments!$J:$J,'Schedule 2A Adjustments'!A20)</f>
        <v>0</v>
      </c>
      <c r="AA20" s="320">
        <f t="shared" si="6"/>
        <v>854</v>
      </c>
    </row>
    <row r="21" spans="1:27" x14ac:dyDescent="0.35">
      <c r="A21" s="24">
        <v>7</v>
      </c>
      <c r="B21" s="565" t="str">
        <f>IF('As-Filed Schedule 2A'!B21:D21=0,"",'As-Filed Schedule 2A'!B21:D21)</f>
        <v/>
      </c>
      <c r="C21" s="565"/>
      <c r="D21" s="565"/>
      <c r="F21" s="114">
        <f>'As-Filed Schedule 2A'!F21</f>
        <v>0</v>
      </c>
      <c r="G21" s="307">
        <f>SUMIFS(Adjustments!$G:$G,Adjustments!$H:$H,"2A",Adjustments!$I:$I,'Schedule 2A Adjustments'!$F$12,Adjustments!$J:$J,'Schedule 2A Adjustments'!A21)</f>
        <v>0</v>
      </c>
      <c r="H21" s="303">
        <f t="shared" si="1"/>
        <v>0</v>
      </c>
      <c r="I21" s="68">
        <f>IFERROR(F21*'As-Filed Schedule 1'!$E$103,0)</f>
        <v>0</v>
      </c>
      <c r="J21" s="304">
        <f>IFERROR(H21*'Adjusted Schedule 1'!$E$104,0)</f>
        <v>0</v>
      </c>
      <c r="K21" s="68">
        <f t="shared" si="7"/>
        <v>0</v>
      </c>
      <c r="L21" s="304">
        <f t="shared" si="2"/>
        <v>0</v>
      </c>
      <c r="N21" s="114">
        <f>'As-Filed Schedule 2A'!J21</f>
        <v>0</v>
      </c>
      <c r="O21" s="307">
        <f>SUMIFS(Adjustments!$G:$G,Adjustments!$H:$H,"2A",Adjustments!$I:$I,'Schedule 2A Adjustments'!$N$12,Adjustments!$J:$J,'Schedule 2A Adjustments'!A21)</f>
        <v>0</v>
      </c>
      <c r="P21" s="303">
        <f t="shared" si="3"/>
        <v>0</v>
      </c>
      <c r="Q21" s="68">
        <f>IFERROR(N21*'As-Filed Schedule 1'!$E$103,0)</f>
        <v>0</v>
      </c>
      <c r="R21" s="304">
        <f>IFERROR(P21*'Adjusted Schedule 1'!$E$104,0)</f>
        <v>0</v>
      </c>
      <c r="S21" s="68">
        <f t="shared" si="0"/>
        <v>0</v>
      </c>
      <c r="T21" s="304">
        <f t="shared" si="4"/>
        <v>0</v>
      </c>
      <c r="V21" s="117">
        <f>'As-Filed Schedule 2A'!N21</f>
        <v>0</v>
      </c>
      <c r="W21" s="307">
        <f>SUMIFS(Adjustments!$G:$G,Adjustments!$H:$H,"2A",Adjustments!$I:$I,'Schedule 2A Adjustments'!$V$12,Adjustments!$J:$J,'Schedule 2A Adjustments'!A21)</f>
        <v>0</v>
      </c>
      <c r="X21" s="320">
        <f t="shared" si="5"/>
        <v>0</v>
      </c>
      <c r="Y21" s="117">
        <f>'As-Filed Schedule 2A'!O21</f>
        <v>0</v>
      </c>
      <c r="Z21" s="307">
        <f>SUMIFS(Adjustments!$G:$G,Adjustments!$H:$H,"2A",Adjustments!$I:$I,'Schedule 2A Adjustments'!$Y$12,Adjustments!$J:$J,'Schedule 2A Adjustments'!A21)</f>
        <v>0</v>
      </c>
      <c r="AA21" s="320">
        <f t="shared" si="6"/>
        <v>0</v>
      </c>
    </row>
    <row r="22" spans="1:27" x14ac:dyDescent="0.35">
      <c r="A22" s="24">
        <v>8</v>
      </c>
      <c r="B22" s="565" t="str">
        <f>IF('As-Filed Schedule 2A'!B22:D22=0,"",'As-Filed Schedule 2A'!B22:D22)</f>
        <v/>
      </c>
      <c r="C22" s="565"/>
      <c r="D22" s="565"/>
      <c r="F22" s="114">
        <f>'As-Filed Schedule 2A'!F22</f>
        <v>0</v>
      </c>
      <c r="G22" s="307">
        <f>SUMIFS(Adjustments!$G:$G,Adjustments!$H:$H,"2A",Adjustments!$I:$I,'Schedule 2A Adjustments'!$F$12,Adjustments!$J:$J,'Schedule 2A Adjustments'!A22)</f>
        <v>0</v>
      </c>
      <c r="H22" s="303">
        <f t="shared" si="1"/>
        <v>0</v>
      </c>
      <c r="I22" s="68">
        <f>IFERROR(F22*'As-Filed Schedule 1'!$E$103,0)</f>
        <v>0</v>
      </c>
      <c r="J22" s="304">
        <f>IFERROR(H22*'Adjusted Schedule 1'!$E$104,0)</f>
        <v>0</v>
      </c>
      <c r="K22" s="68">
        <f t="shared" si="7"/>
        <v>0</v>
      </c>
      <c r="L22" s="304">
        <f t="shared" si="2"/>
        <v>0</v>
      </c>
      <c r="N22" s="114">
        <f>'As-Filed Schedule 2A'!J22</f>
        <v>0</v>
      </c>
      <c r="O22" s="307">
        <f>SUMIFS(Adjustments!$G:$G,Adjustments!$H:$H,"2A",Adjustments!$I:$I,'Schedule 2A Adjustments'!$N$12,Adjustments!$J:$J,'Schedule 2A Adjustments'!A22)</f>
        <v>0</v>
      </c>
      <c r="P22" s="303">
        <f t="shared" si="3"/>
        <v>0</v>
      </c>
      <c r="Q22" s="68">
        <f>IFERROR(N22*'As-Filed Schedule 1'!$E$103,0)</f>
        <v>0</v>
      </c>
      <c r="R22" s="304">
        <f>IFERROR(P22*'Adjusted Schedule 1'!$E$104,0)</f>
        <v>0</v>
      </c>
      <c r="S22" s="68">
        <f t="shared" ref="S22:S72" si="8">SUM(N22,Q22)</f>
        <v>0</v>
      </c>
      <c r="T22" s="304">
        <f>SUM(P22,R22)</f>
        <v>0</v>
      </c>
      <c r="V22" s="117">
        <f>'As-Filed Schedule 2A'!N22</f>
        <v>0</v>
      </c>
      <c r="W22" s="307">
        <f>SUMIFS(Adjustments!$G:$G,Adjustments!$H:$H,"2A",Adjustments!$I:$I,'Schedule 2A Adjustments'!$V$12,Adjustments!$J:$J,'Schedule 2A Adjustments'!A22)</f>
        <v>0</v>
      </c>
      <c r="X22" s="320">
        <f t="shared" si="5"/>
        <v>0</v>
      </c>
      <c r="Y22" s="117">
        <f>'As-Filed Schedule 2A'!O22</f>
        <v>0</v>
      </c>
      <c r="Z22" s="307">
        <f>SUMIFS(Adjustments!$G:$G,Adjustments!$H:$H,"2A",Adjustments!$I:$I,'Schedule 2A Adjustments'!$Y$12,Adjustments!$J:$J,'Schedule 2A Adjustments'!A22)</f>
        <v>0</v>
      </c>
      <c r="AA22" s="320">
        <f t="shared" si="6"/>
        <v>0</v>
      </c>
    </row>
    <row r="23" spans="1:27" x14ac:dyDescent="0.35">
      <c r="A23" s="24">
        <v>9</v>
      </c>
      <c r="B23" s="565" t="str">
        <f>IF('As-Filed Schedule 2A'!B23:D23=0,"",'As-Filed Schedule 2A'!B23:D23)</f>
        <v/>
      </c>
      <c r="C23" s="565"/>
      <c r="D23" s="565"/>
      <c r="F23" s="114">
        <f>'As-Filed Schedule 2A'!F23</f>
        <v>0</v>
      </c>
      <c r="G23" s="307">
        <f>SUMIFS(Adjustments!$G:$G,Adjustments!$H:$H,"2A",Adjustments!$I:$I,'Schedule 2A Adjustments'!$F$12,Adjustments!$J:$J,'Schedule 2A Adjustments'!A23)</f>
        <v>0</v>
      </c>
      <c r="H23" s="303">
        <f t="shared" si="1"/>
        <v>0</v>
      </c>
      <c r="I23" s="68">
        <f>IFERROR(F23*'As-Filed Schedule 1'!$E$103,0)</f>
        <v>0</v>
      </c>
      <c r="J23" s="304">
        <f>IFERROR(H23*'Adjusted Schedule 1'!$E$104,0)</f>
        <v>0</v>
      </c>
      <c r="K23" s="68">
        <f t="shared" si="7"/>
        <v>0</v>
      </c>
      <c r="L23" s="304">
        <f t="shared" si="2"/>
        <v>0</v>
      </c>
      <c r="N23" s="114">
        <f>'As-Filed Schedule 2A'!J23</f>
        <v>0</v>
      </c>
      <c r="O23" s="307">
        <f>SUMIFS(Adjustments!$G:$G,Adjustments!$H:$H,"2A",Adjustments!$I:$I,'Schedule 2A Adjustments'!$N$12,Adjustments!$J:$J,'Schedule 2A Adjustments'!A23)</f>
        <v>0</v>
      </c>
      <c r="P23" s="303">
        <f t="shared" si="3"/>
        <v>0</v>
      </c>
      <c r="Q23" s="68">
        <f>IFERROR(N23*'As-Filed Schedule 1'!$E$103,0)</f>
        <v>0</v>
      </c>
      <c r="R23" s="304">
        <f>IFERROR(P23*'Adjusted Schedule 1'!$E$104,0)</f>
        <v>0</v>
      </c>
      <c r="S23" s="68">
        <f t="shared" si="8"/>
        <v>0</v>
      </c>
      <c r="T23" s="304">
        <f t="shared" si="4"/>
        <v>0</v>
      </c>
      <c r="V23" s="117">
        <f>'As-Filed Schedule 2A'!N23</f>
        <v>0</v>
      </c>
      <c r="W23" s="307">
        <f>SUMIFS(Adjustments!$G:$G,Adjustments!$H:$H,"2A",Adjustments!$I:$I,'Schedule 2A Adjustments'!$V$12,Adjustments!$J:$J,'Schedule 2A Adjustments'!A23)</f>
        <v>0</v>
      </c>
      <c r="X23" s="320">
        <f t="shared" si="5"/>
        <v>0</v>
      </c>
      <c r="Y23" s="117">
        <f>'As-Filed Schedule 2A'!O23</f>
        <v>0</v>
      </c>
      <c r="Z23" s="307">
        <f>SUMIFS(Adjustments!$G:$G,Adjustments!$H:$H,"2A",Adjustments!$I:$I,'Schedule 2A Adjustments'!$Y$12,Adjustments!$J:$J,'Schedule 2A Adjustments'!A23)</f>
        <v>0</v>
      </c>
      <c r="AA23" s="320">
        <f t="shared" si="6"/>
        <v>0</v>
      </c>
    </row>
    <row r="24" spans="1:27" x14ac:dyDescent="0.35">
      <c r="A24" s="24">
        <v>10</v>
      </c>
      <c r="B24" s="565" t="str">
        <f>IF('As-Filed Schedule 2A'!B24:D24=0,"",'As-Filed Schedule 2A'!B24:D24)</f>
        <v/>
      </c>
      <c r="C24" s="565"/>
      <c r="D24" s="565"/>
      <c r="F24" s="114">
        <f>'As-Filed Schedule 2A'!F24</f>
        <v>0</v>
      </c>
      <c r="G24" s="307">
        <f>SUMIFS(Adjustments!$G:$G,Adjustments!$H:$H,"2A",Adjustments!$I:$I,'Schedule 2A Adjustments'!$F$12,Adjustments!$J:$J,'Schedule 2A Adjustments'!A24)</f>
        <v>0</v>
      </c>
      <c r="H24" s="303">
        <f t="shared" si="1"/>
        <v>0</v>
      </c>
      <c r="I24" s="68">
        <f>IFERROR(F24*'As-Filed Schedule 1'!$E$103,0)</f>
        <v>0</v>
      </c>
      <c r="J24" s="304">
        <f>IFERROR(H24*'Adjusted Schedule 1'!$E$104,0)</f>
        <v>0</v>
      </c>
      <c r="K24" s="68">
        <f t="shared" si="7"/>
        <v>0</v>
      </c>
      <c r="L24" s="304">
        <f t="shared" si="2"/>
        <v>0</v>
      </c>
      <c r="N24" s="114">
        <f>'As-Filed Schedule 2A'!J24</f>
        <v>0</v>
      </c>
      <c r="O24" s="307">
        <f>SUMIFS(Adjustments!$G:$G,Adjustments!$H:$H,"2A",Adjustments!$I:$I,'Schedule 2A Adjustments'!$N$12,Adjustments!$J:$J,'Schedule 2A Adjustments'!A24)</f>
        <v>0</v>
      </c>
      <c r="P24" s="303">
        <f t="shared" si="3"/>
        <v>0</v>
      </c>
      <c r="Q24" s="68">
        <f>IFERROR(N24*'As-Filed Schedule 1'!$E$103,0)</f>
        <v>0</v>
      </c>
      <c r="R24" s="304">
        <f>IFERROR(P24*'Adjusted Schedule 1'!$E$104,0)</f>
        <v>0</v>
      </c>
      <c r="S24" s="68">
        <f t="shared" si="8"/>
        <v>0</v>
      </c>
      <c r="T24" s="304">
        <f t="shared" si="4"/>
        <v>0</v>
      </c>
      <c r="V24" s="117">
        <f>'As-Filed Schedule 2A'!N24</f>
        <v>0</v>
      </c>
      <c r="W24" s="307">
        <f>SUMIFS(Adjustments!$G:$G,Adjustments!$H:$H,"2A",Adjustments!$I:$I,'Schedule 2A Adjustments'!$V$12,Adjustments!$J:$J,'Schedule 2A Adjustments'!A24)</f>
        <v>0</v>
      </c>
      <c r="X24" s="320">
        <f t="shared" si="5"/>
        <v>0</v>
      </c>
      <c r="Y24" s="117">
        <f>'As-Filed Schedule 2A'!O24</f>
        <v>0</v>
      </c>
      <c r="Z24" s="307">
        <f>SUMIFS(Adjustments!$G:$G,Adjustments!$H:$H,"2A",Adjustments!$I:$I,'Schedule 2A Adjustments'!$Y$12,Adjustments!$J:$J,'Schedule 2A Adjustments'!A24)</f>
        <v>0</v>
      </c>
      <c r="AA24" s="320">
        <f t="shared" si="6"/>
        <v>0</v>
      </c>
    </row>
    <row r="25" spans="1:27" x14ac:dyDescent="0.35">
      <c r="A25" s="24">
        <v>11</v>
      </c>
      <c r="B25" s="565" t="str">
        <f>IF('As-Filed Schedule 2A'!B25:D25=0,"",'As-Filed Schedule 2A'!B25:D25)</f>
        <v/>
      </c>
      <c r="C25" s="565"/>
      <c r="D25" s="565"/>
      <c r="F25" s="114">
        <f>'As-Filed Schedule 2A'!F25</f>
        <v>0</v>
      </c>
      <c r="G25" s="307">
        <f>SUMIFS(Adjustments!$G:$G,Adjustments!$H:$H,"2A",Adjustments!$I:$I,'Schedule 2A Adjustments'!$F$12,Adjustments!$J:$J,'Schedule 2A Adjustments'!A25)</f>
        <v>0</v>
      </c>
      <c r="H25" s="303">
        <f t="shared" si="1"/>
        <v>0</v>
      </c>
      <c r="I25" s="68">
        <f>IFERROR(F25*'As-Filed Schedule 1'!$E$103,0)</f>
        <v>0</v>
      </c>
      <c r="J25" s="304">
        <f>IFERROR(H25*'Adjusted Schedule 1'!$E$104,0)</f>
        <v>0</v>
      </c>
      <c r="K25" s="68">
        <f t="shared" si="7"/>
        <v>0</v>
      </c>
      <c r="L25" s="304">
        <f t="shared" si="2"/>
        <v>0</v>
      </c>
      <c r="N25" s="114">
        <f>'As-Filed Schedule 2A'!J25</f>
        <v>0</v>
      </c>
      <c r="O25" s="307">
        <f>SUMIFS(Adjustments!$G:$G,Adjustments!$H:$H,"2A",Adjustments!$I:$I,'Schedule 2A Adjustments'!$N$12,Adjustments!$J:$J,'Schedule 2A Adjustments'!A25)</f>
        <v>0</v>
      </c>
      <c r="P25" s="303">
        <f t="shared" si="3"/>
        <v>0</v>
      </c>
      <c r="Q25" s="68">
        <f>IFERROR(N25*'As-Filed Schedule 1'!$E$103,0)</f>
        <v>0</v>
      </c>
      <c r="R25" s="304">
        <f>IFERROR(P25*'Adjusted Schedule 1'!$E$104,0)</f>
        <v>0</v>
      </c>
      <c r="S25" s="68">
        <f t="shared" si="8"/>
        <v>0</v>
      </c>
      <c r="T25" s="304">
        <f t="shared" si="4"/>
        <v>0</v>
      </c>
      <c r="V25" s="117">
        <f>'As-Filed Schedule 2A'!N25</f>
        <v>0</v>
      </c>
      <c r="W25" s="307">
        <f>SUMIFS(Adjustments!$G:$G,Adjustments!$H:$H,"2A",Adjustments!$I:$I,'Schedule 2A Adjustments'!$V$12,Adjustments!$J:$J,'Schedule 2A Adjustments'!A25)</f>
        <v>0</v>
      </c>
      <c r="X25" s="320">
        <f t="shared" si="5"/>
        <v>0</v>
      </c>
      <c r="Y25" s="117">
        <f>'As-Filed Schedule 2A'!O25</f>
        <v>0</v>
      </c>
      <c r="Z25" s="307">
        <f>SUMIFS(Adjustments!$G:$G,Adjustments!$H:$H,"2A",Adjustments!$I:$I,'Schedule 2A Adjustments'!$Y$12,Adjustments!$J:$J,'Schedule 2A Adjustments'!A25)</f>
        <v>0</v>
      </c>
      <c r="AA25" s="320">
        <f t="shared" si="6"/>
        <v>0</v>
      </c>
    </row>
    <row r="26" spans="1:27" x14ac:dyDescent="0.35">
      <c r="A26" s="24">
        <v>12</v>
      </c>
      <c r="B26" s="565" t="str">
        <f>IF('As-Filed Schedule 2A'!B26:D26=0,"",'As-Filed Schedule 2A'!B26:D26)</f>
        <v/>
      </c>
      <c r="C26" s="565"/>
      <c r="D26" s="565"/>
      <c r="F26" s="114">
        <f>'As-Filed Schedule 2A'!F26</f>
        <v>0</v>
      </c>
      <c r="G26" s="307">
        <f>SUMIFS(Adjustments!$G:$G,Adjustments!$H:$H,"2A",Adjustments!$I:$I,'Schedule 2A Adjustments'!$F$12,Adjustments!$J:$J,'Schedule 2A Adjustments'!A26)</f>
        <v>0</v>
      </c>
      <c r="H26" s="303">
        <f t="shared" si="1"/>
        <v>0</v>
      </c>
      <c r="I26" s="68">
        <f>IFERROR(F26*'As-Filed Schedule 1'!$E$103,0)</f>
        <v>0</v>
      </c>
      <c r="J26" s="304">
        <f>IFERROR(H26*'Adjusted Schedule 1'!$E$104,0)</f>
        <v>0</v>
      </c>
      <c r="K26" s="68">
        <f t="shared" si="7"/>
        <v>0</v>
      </c>
      <c r="L26" s="304">
        <f t="shared" si="2"/>
        <v>0</v>
      </c>
      <c r="N26" s="114">
        <f>'As-Filed Schedule 2A'!J26</f>
        <v>0</v>
      </c>
      <c r="O26" s="307">
        <f>SUMIFS(Adjustments!$G:$G,Adjustments!$H:$H,"2A",Adjustments!$I:$I,'Schedule 2A Adjustments'!$N$12,Adjustments!$J:$J,'Schedule 2A Adjustments'!A26)</f>
        <v>0</v>
      </c>
      <c r="P26" s="303">
        <f t="shared" si="3"/>
        <v>0</v>
      </c>
      <c r="Q26" s="68">
        <f>IFERROR(N26*'As-Filed Schedule 1'!$E$103,0)</f>
        <v>0</v>
      </c>
      <c r="R26" s="304">
        <f>IFERROR(P26*'Adjusted Schedule 1'!$E$104,0)</f>
        <v>0</v>
      </c>
      <c r="S26" s="68">
        <f t="shared" si="8"/>
        <v>0</v>
      </c>
      <c r="T26" s="304">
        <f t="shared" si="4"/>
        <v>0</v>
      </c>
      <c r="V26" s="117">
        <f>'As-Filed Schedule 2A'!N26</f>
        <v>0</v>
      </c>
      <c r="W26" s="307">
        <f>SUMIFS(Adjustments!$G:$G,Adjustments!$H:$H,"2A",Adjustments!$I:$I,'Schedule 2A Adjustments'!$V$12,Adjustments!$J:$J,'Schedule 2A Adjustments'!A26)</f>
        <v>0</v>
      </c>
      <c r="X26" s="320">
        <f t="shared" si="5"/>
        <v>0</v>
      </c>
      <c r="Y26" s="117">
        <f>'As-Filed Schedule 2A'!O26</f>
        <v>0</v>
      </c>
      <c r="Z26" s="307">
        <f>SUMIFS(Adjustments!$G:$G,Adjustments!$H:$H,"2A",Adjustments!$I:$I,'Schedule 2A Adjustments'!$Y$12,Adjustments!$J:$J,'Schedule 2A Adjustments'!A26)</f>
        <v>0</v>
      </c>
      <c r="AA26" s="320">
        <f t="shared" si="6"/>
        <v>0</v>
      </c>
    </row>
    <row r="27" spans="1:27" x14ac:dyDescent="0.35">
      <c r="A27" s="24">
        <v>13</v>
      </c>
      <c r="B27" s="565" t="str">
        <f>IF('As-Filed Schedule 2A'!B27:D27=0,"",'As-Filed Schedule 2A'!B27:D27)</f>
        <v/>
      </c>
      <c r="C27" s="565"/>
      <c r="D27" s="565"/>
      <c r="F27" s="114">
        <f>'As-Filed Schedule 2A'!F27</f>
        <v>0</v>
      </c>
      <c r="G27" s="307">
        <f>SUMIFS(Adjustments!$G:$G,Adjustments!$H:$H,"2A",Adjustments!$I:$I,'Schedule 2A Adjustments'!$F$12,Adjustments!$J:$J,'Schedule 2A Adjustments'!A27)</f>
        <v>0</v>
      </c>
      <c r="H27" s="303">
        <f t="shared" si="1"/>
        <v>0</v>
      </c>
      <c r="I27" s="68">
        <f>IFERROR(F27*'As-Filed Schedule 1'!$E$103,0)</f>
        <v>0</v>
      </c>
      <c r="J27" s="304">
        <f>IFERROR(H27*'Adjusted Schedule 1'!$E$104,0)</f>
        <v>0</v>
      </c>
      <c r="K27" s="68">
        <f t="shared" si="7"/>
        <v>0</v>
      </c>
      <c r="L27" s="304">
        <f t="shared" si="2"/>
        <v>0</v>
      </c>
      <c r="N27" s="114">
        <f>'As-Filed Schedule 2A'!J27</f>
        <v>0</v>
      </c>
      <c r="O27" s="307">
        <f>SUMIFS(Adjustments!$G:$G,Adjustments!$H:$H,"2A",Adjustments!$I:$I,'Schedule 2A Adjustments'!$N$12,Adjustments!$J:$J,'Schedule 2A Adjustments'!A27)</f>
        <v>0</v>
      </c>
      <c r="P27" s="303">
        <f t="shared" si="3"/>
        <v>0</v>
      </c>
      <c r="Q27" s="68">
        <f>IFERROR(N27*'As-Filed Schedule 1'!$E$103,0)</f>
        <v>0</v>
      </c>
      <c r="R27" s="304">
        <f>IFERROR(P27*'Adjusted Schedule 1'!$E$104,0)</f>
        <v>0</v>
      </c>
      <c r="S27" s="68">
        <f t="shared" si="8"/>
        <v>0</v>
      </c>
      <c r="T27" s="304">
        <f t="shared" si="4"/>
        <v>0</v>
      </c>
      <c r="V27" s="117">
        <f>'As-Filed Schedule 2A'!N27</f>
        <v>0</v>
      </c>
      <c r="W27" s="307">
        <f>SUMIFS(Adjustments!$G:$G,Adjustments!$H:$H,"2A",Adjustments!$I:$I,'Schedule 2A Adjustments'!$V$12,Adjustments!$J:$J,'Schedule 2A Adjustments'!A27)</f>
        <v>0</v>
      </c>
      <c r="X27" s="320">
        <f t="shared" si="5"/>
        <v>0</v>
      </c>
      <c r="Y27" s="117">
        <f>'As-Filed Schedule 2A'!O27</f>
        <v>0</v>
      </c>
      <c r="Z27" s="307">
        <f>SUMIFS(Adjustments!$G:$G,Adjustments!$H:$H,"2A",Adjustments!$I:$I,'Schedule 2A Adjustments'!$Y$12,Adjustments!$J:$J,'Schedule 2A Adjustments'!A27)</f>
        <v>0</v>
      </c>
      <c r="AA27" s="320">
        <f t="shared" si="6"/>
        <v>0</v>
      </c>
    </row>
    <row r="28" spans="1:27" x14ac:dyDescent="0.35">
      <c r="A28" s="24">
        <v>14</v>
      </c>
      <c r="B28" s="565" t="str">
        <f>IF('As-Filed Schedule 2A'!B28:D28=0,"",'As-Filed Schedule 2A'!B28:D28)</f>
        <v/>
      </c>
      <c r="C28" s="565"/>
      <c r="D28" s="565"/>
      <c r="F28" s="114">
        <f>'As-Filed Schedule 2A'!F28</f>
        <v>0</v>
      </c>
      <c r="G28" s="307">
        <f>SUMIFS(Adjustments!$G:$G,Adjustments!$H:$H,"2A",Adjustments!$I:$I,'Schedule 2A Adjustments'!$F$12,Adjustments!$J:$J,'Schedule 2A Adjustments'!A28)</f>
        <v>0</v>
      </c>
      <c r="H28" s="303">
        <f t="shared" si="1"/>
        <v>0</v>
      </c>
      <c r="I28" s="68">
        <f>IFERROR(F28*'As-Filed Schedule 1'!$E$103,0)</f>
        <v>0</v>
      </c>
      <c r="J28" s="304">
        <f>IFERROR(H28*'Adjusted Schedule 1'!$E$104,0)</f>
        <v>0</v>
      </c>
      <c r="K28" s="68">
        <f t="shared" si="7"/>
        <v>0</v>
      </c>
      <c r="L28" s="304">
        <f t="shared" si="2"/>
        <v>0</v>
      </c>
      <c r="N28" s="114">
        <f>'As-Filed Schedule 2A'!J28</f>
        <v>0</v>
      </c>
      <c r="O28" s="307">
        <f>SUMIFS(Adjustments!$G:$G,Adjustments!$H:$H,"2A",Adjustments!$I:$I,'Schedule 2A Adjustments'!$N$12,Adjustments!$J:$J,'Schedule 2A Adjustments'!A28)</f>
        <v>0</v>
      </c>
      <c r="P28" s="303">
        <f t="shared" si="3"/>
        <v>0</v>
      </c>
      <c r="Q28" s="68">
        <f>IFERROR(N28*'As-Filed Schedule 1'!$E$103,0)</f>
        <v>0</v>
      </c>
      <c r="R28" s="304">
        <f>IFERROR(P28*'Adjusted Schedule 1'!$E$104,0)</f>
        <v>0</v>
      </c>
      <c r="S28" s="68">
        <f t="shared" si="8"/>
        <v>0</v>
      </c>
      <c r="T28" s="304">
        <f t="shared" si="4"/>
        <v>0</v>
      </c>
      <c r="V28" s="117">
        <f>'As-Filed Schedule 2A'!N28</f>
        <v>0</v>
      </c>
      <c r="W28" s="307">
        <f>SUMIFS(Adjustments!$G:$G,Adjustments!$H:$H,"2A",Adjustments!$I:$I,'Schedule 2A Adjustments'!$V$12,Adjustments!$J:$J,'Schedule 2A Adjustments'!A28)</f>
        <v>0</v>
      </c>
      <c r="X28" s="320">
        <f t="shared" si="5"/>
        <v>0</v>
      </c>
      <c r="Y28" s="117">
        <f>'As-Filed Schedule 2A'!O28</f>
        <v>0</v>
      </c>
      <c r="Z28" s="307">
        <f>SUMIFS(Adjustments!$G:$G,Adjustments!$H:$H,"2A",Adjustments!$I:$I,'Schedule 2A Adjustments'!$Y$12,Adjustments!$J:$J,'Schedule 2A Adjustments'!A28)</f>
        <v>0</v>
      </c>
      <c r="AA28" s="320">
        <f t="shared" si="6"/>
        <v>0</v>
      </c>
    </row>
    <row r="29" spans="1:27" x14ac:dyDescent="0.35">
      <c r="A29" s="24">
        <v>15</v>
      </c>
      <c r="B29" s="565" t="str">
        <f>IF('As-Filed Schedule 2A'!B29:D29=0,"",'As-Filed Schedule 2A'!B29:D29)</f>
        <v/>
      </c>
      <c r="C29" s="565"/>
      <c r="D29" s="565"/>
      <c r="F29" s="114">
        <f>'As-Filed Schedule 2A'!F29</f>
        <v>0</v>
      </c>
      <c r="G29" s="307">
        <f>SUMIFS(Adjustments!$G:$G,Adjustments!$H:$H,"2A",Adjustments!$I:$I,'Schedule 2A Adjustments'!$F$12,Adjustments!$J:$J,'Schedule 2A Adjustments'!A29)</f>
        <v>0</v>
      </c>
      <c r="H29" s="303">
        <f t="shared" si="1"/>
        <v>0</v>
      </c>
      <c r="I29" s="68">
        <f>IFERROR(F29*'As-Filed Schedule 1'!$E$103,0)</f>
        <v>0</v>
      </c>
      <c r="J29" s="304">
        <f>IFERROR(H29*'Adjusted Schedule 1'!$E$104,0)</f>
        <v>0</v>
      </c>
      <c r="K29" s="68">
        <f t="shared" si="7"/>
        <v>0</v>
      </c>
      <c r="L29" s="304">
        <f t="shared" si="2"/>
        <v>0</v>
      </c>
      <c r="N29" s="114">
        <f>'As-Filed Schedule 2A'!J29</f>
        <v>0</v>
      </c>
      <c r="O29" s="307">
        <f>SUMIFS(Adjustments!$G:$G,Adjustments!$H:$H,"2A",Adjustments!$I:$I,'Schedule 2A Adjustments'!$N$12,Adjustments!$J:$J,'Schedule 2A Adjustments'!A29)</f>
        <v>0</v>
      </c>
      <c r="P29" s="303">
        <f t="shared" si="3"/>
        <v>0</v>
      </c>
      <c r="Q29" s="68">
        <f>IFERROR(N29*'As-Filed Schedule 1'!$E$103,0)</f>
        <v>0</v>
      </c>
      <c r="R29" s="304">
        <f>IFERROR(P29*'Adjusted Schedule 1'!$E$104,0)</f>
        <v>0</v>
      </c>
      <c r="S29" s="68">
        <f t="shared" si="8"/>
        <v>0</v>
      </c>
      <c r="T29" s="304">
        <f t="shared" si="4"/>
        <v>0</v>
      </c>
      <c r="V29" s="117">
        <f>'As-Filed Schedule 2A'!N29</f>
        <v>0</v>
      </c>
      <c r="W29" s="307">
        <f>SUMIFS(Adjustments!$G:$G,Adjustments!$H:$H,"2A",Adjustments!$I:$I,'Schedule 2A Adjustments'!$V$12,Adjustments!$J:$J,'Schedule 2A Adjustments'!A29)</f>
        <v>0</v>
      </c>
      <c r="X29" s="320">
        <f t="shared" si="5"/>
        <v>0</v>
      </c>
      <c r="Y29" s="117">
        <f>'As-Filed Schedule 2A'!O29</f>
        <v>0</v>
      </c>
      <c r="Z29" s="307">
        <f>SUMIFS(Adjustments!$G:$G,Adjustments!$H:$H,"2A",Adjustments!$I:$I,'Schedule 2A Adjustments'!$Y$12,Adjustments!$J:$J,'Schedule 2A Adjustments'!A29)</f>
        <v>0</v>
      </c>
      <c r="AA29" s="320">
        <f t="shared" si="6"/>
        <v>0</v>
      </c>
    </row>
    <row r="30" spans="1:27" x14ac:dyDescent="0.35">
      <c r="A30" s="24">
        <v>16</v>
      </c>
      <c r="B30" s="565" t="str">
        <f>IF('As-Filed Schedule 2A'!B30:D30=0,"",'As-Filed Schedule 2A'!B30:D30)</f>
        <v/>
      </c>
      <c r="C30" s="565"/>
      <c r="D30" s="565"/>
      <c r="F30" s="114">
        <f>'As-Filed Schedule 2A'!F30</f>
        <v>0</v>
      </c>
      <c r="G30" s="307">
        <f>SUMIFS(Adjustments!$G:$G,Adjustments!$H:$H,"2A",Adjustments!$I:$I,'Schedule 2A Adjustments'!$F$12,Adjustments!$J:$J,'Schedule 2A Adjustments'!A30)</f>
        <v>0</v>
      </c>
      <c r="H30" s="303">
        <f t="shared" si="1"/>
        <v>0</v>
      </c>
      <c r="I30" s="68">
        <f>IFERROR(F30*'As-Filed Schedule 1'!$E$103,0)</f>
        <v>0</v>
      </c>
      <c r="J30" s="304">
        <f>IFERROR(H30*'Adjusted Schedule 1'!$E$104,0)</f>
        <v>0</v>
      </c>
      <c r="K30" s="68">
        <f t="shared" si="7"/>
        <v>0</v>
      </c>
      <c r="L30" s="304">
        <f t="shared" si="2"/>
        <v>0</v>
      </c>
      <c r="N30" s="114">
        <f>'As-Filed Schedule 2A'!J30</f>
        <v>0</v>
      </c>
      <c r="O30" s="307">
        <f>SUMIFS(Adjustments!$G:$G,Adjustments!$H:$H,"2A",Adjustments!$I:$I,'Schedule 2A Adjustments'!$N$12,Adjustments!$J:$J,'Schedule 2A Adjustments'!A30)</f>
        <v>0</v>
      </c>
      <c r="P30" s="303">
        <f t="shared" si="3"/>
        <v>0</v>
      </c>
      <c r="Q30" s="68">
        <f>IFERROR(N30*'As-Filed Schedule 1'!$E$103,0)</f>
        <v>0</v>
      </c>
      <c r="R30" s="304">
        <f>IFERROR(P30*'Adjusted Schedule 1'!$E$104,0)</f>
        <v>0</v>
      </c>
      <c r="S30" s="68">
        <f t="shared" si="8"/>
        <v>0</v>
      </c>
      <c r="T30" s="304">
        <f t="shared" si="4"/>
        <v>0</v>
      </c>
      <c r="V30" s="117">
        <f>'As-Filed Schedule 2A'!N30</f>
        <v>0</v>
      </c>
      <c r="W30" s="307">
        <f>SUMIFS(Adjustments!$G:$G,Adjustments!$H:$H,"2A",Adjustments!$I:$I,'Schedule 2A Adjustments'!$V$12,Adjustments!$J:$J,'Schedule 2A Adjustments'!A30)</f>
        <v>0</v>
      </c>
      <c r="X30" s="320">
        <f t="shared" si="5"/>
        <v>0</v>
      </c>
      <c r="Y30" s="117">
        <f>'As-Filed Schedule 2A'!O30</f>
        <v>0</v>
      </c>
      <c r="Z30" s="307">
        <f>SUMIFS(Adjustments!$G:$G,Adjustments!$H:$H,"2A",Adjustments!$I:$I,'Schedule 2A Adjustments'!$Y$12,Adjustments!$J:$J,'Schedule 2A Adjustments'!A30)</f>
        <v>0</v>
      </c>
      <c r="AA30" s="320">
        <f t="shared" si="6"/>
        <v>0</v>
      </c>
    </row>
    <row r="31" spans="1:27" x14ac:dyDescent="0.35">
      <c r="A31" s="24">
        <v>17</v>
      </c>
      <c r="B31" s="565" t="str">
        <f>IF('As-Filed Schedule 2A'!B31:D31=0,"",'As-Filed Schedule 2A'!B31:D31)</f>
        <v/>
      </c>
      <c r="C31" s="565"/>
      <c r="D31" s="565"/>
      <c r="F31" s="114">
        <f>'As-Filed Schedule 2A'!F31</f>
        <v>0</v>
      </c>
      <c r="G31" s="307">
        <f>SUMIFS(Adjustments!$G:$G,Adjustments!$H:$H,"2A",Adjustments!$I:$I,'Schedule 2A Adjustments'!$F$12,Adjustments!$J:$J,'Schedule 2A Adjustments'!A31)</f>
        <v>0</v>
      </c>
      <c r="H31" s="303">
        <f t="shared" si="1"/>
        <v>0</v>
      </c>
      <c r="I31" s="68">
        <f>IFERROR(F31*'As-Filed Schedule 1'!$E$103,0)</f>
        <v>0</v>
      </c>
      <c r="J31" s="304">
        <f>IFERROR(H31*'Adjusted Schedule 1'!$E$104,0)</f>
        <v>0</v>
      </c>
      <c r="K31" s="68">
        <f t="shared" si="7"/>
        <v>0</v>
      </c>
      <c r="L31" s="304">
        <f t="shared" si="2"/>
        <v>0</v>
      </c>
      <c r="N31" s="114">
        <f>'As-Filed Schedule 2A'!J31</f>
        <v>0</v>
      </c>
      <c r="O31" s="307">
        <f>SUMIFS(Adjustments!$G:$G,Adjustments!$H:$H,"2A",Adjustments!$I:$I,'Schedule 2A Adjustments'!$N$12,Adjustments!$J:$J,'Schedule 2A Adjustments'!A31)</f>
        <v>0</v>
      </c>
      <c r="P31" s="303">
        <f t="shared" si="3"/>
        <v>0</v>
      </c>
      <c r="Q31" s="68">
        <f>IFERROR(N31*'As-Filed Schedule 1'!$E$103,0)</f>
        <v>0</v>
      </c>
      <c r="R31" s="304">
        <f>IFERROR(P31*'Adjusted Schedule 1'!$E$104,0)</f>
        <v>0</v>
      </c>
      <c r="S31" s="68">
        <f t="shared" si="8"/>
        <v>0</v>
      </c>
      <c r="T31" s="304">
        <f t="shared" si="4"/>
        <v>0</v>
      </c>
      <c r="V31" s="117">
        <f>'As-Filed Schedule 2A'!N31</f>
        <v>0</v>
      </c>
      <c r="W31" s="307">
        <f>SUMIFS(Adjustments!$G:$G,Adjustments!$H:$H,"2A",Adjustments!$I:$I,'Schedule 2A Adjustments'!$V$12,Adjustments!$J:$J,'Schedule 2A Adjustments'!A31)</f>
        <v>0</v>
      </c>
      <c r="X31" s="320">
        <f t="shared" si="5"/>
        <v>0</v>
      </c>
      <c r="Y31" s="117">
        <f>'As-Filed Schedule 2A'!O31</f>
        <v>0</v>
      </c>
      <c r="Z31" s="307">
        <f>SUMIFS(Adjustments!$G:$G,Adjustments!$H:$H,"2A",Adjustments!$I:$I,'Schedule 2A Adjustments'!$Y$12,Adjustments!$J:$J,'Schedule 2A Adjustments'!A31)</f>
        <v>0</v>
      </c>
      <c r="AA31" s="320">
        <f t="shared" si="6"/>
        <v>0</v>
      </c>
    </row>
    <row r="32" spans="1:27" x14ac:dyDescent="0.35">
      <c r="A32" s="24">
        <v>18</v>
      </c>
      <c r="B32" s="565" t="str">
        <f>IF('As-Filed Schedule 2A'!B32:D32=0,"",'As-Filed Schedule 2A'!B32:D32)</f>
        <v/>
      </c>
      <c r="C32" s="565"/>
      <c r="D32" s="565"/>
      <c r="F32" s="114">
        <f>'As-Filed Schedule 2A'!F32</f>
        <v>0</v>
      </c>
      <c r="G32" s="307">
        <f>SUMIFS(Adjustments!$G:$G,Adjustments!$H:$H,"2A",Adjustments!$I:$I,'Schedule 2A Adjustments'!$F$12,Adjustments!$J:$J,'Schedule 2A Adjustments'!A32)</f>
        <v>0</v>
      </c>
      <c r="H32" s="303">
        <f t="shared" si="1"/>
        <v>0</v>
      </c>
      <c r="I32" s="68">
        <f>IFERROR(F32*'As-Filed Schedule 1'!$E$103,0)</f>
        <v>0</v>
      </c>
      <c r="J32" s="304">
        <f>IFERROR(H32*'Adjusted Schedule 1'!$E$104,0)</f>
        <v>0</v>
      </c>
      <c r="K32" s="68">
        <f t="shared" si="7"/>
        <v>0</v>
      </c>
      <c r="L32" s="304">
        <f t="shared" si="2"/>
        <v>0</v>
      </c>
      <c r="N32" s="114">
        <f>'As-Filed Schedule 2A'!J32</f>
        <v>0</v>
      </c>
      <c r="O32" s="307">
        <f>SUMIFS(Adjustments!$G:$G,Adjustments!$H:$H,"2A",Adjustments!$I:$I,'Schedule 2A Adjustments'!$N$12,Adjustments!$J:$J,'Schedule 2A Adjustments'!A32)</f>
        <v>0</v>
      </c>
      <c r="P32" s="303">
        <f t="shared" si="3"/>
        <v>0</v>
      </c>
      <c r="Q32" s="68">
        <f>IFERROR(N32*'As-Filed Schedule 1'!$E$103,0)</f>
        <v>0</v>
      </c>
      <c r="R32" s="304">
        <f>IFERROR(P32*'Adjusted Schedule 1'!$E$104,0)</f>
        <v>0</v>
      </c>
      <c r="S32" s="68">
        <f t="shared" si="8"/>
        <v>0</v>
      </c>
      <c r="T32" s="304">
        <f t="shared" si="4"/>
        <v>0</v>
      </c>
      <c r="V32" s="117">
        <f>'As-Filed Schedule 2A'!N32</f>
        <v>0</v>
      </c>
      <c r="W32" s="307">
        <f>SUMIFS(Adjustments!$G:$G,Adjustments!$H:$H,"2A",Adjustments!$I:$I,'Schedule 2A Adjustments'!$V$12,Adjustments!$J:$J,'Schedule 2A Adjustments'!A32)</f>
        <v>0</v>
      </c>
      <c r="X32" s="320">
        <f t="shared" si="5"/>
        <v>0</v>
      </c>
      <c r="Y32" s="117">
        <f>'As-Filed Schedule 2A'!O32</f>
        <v>0</v>
      </c>
      <c r="Z32" s="307">
        <f>SUMIFS(Adjustments!$G:$G,Adjustments!$H:$H,"2A",Adjustments!$I:$I,'Schedule 2A Adjustments'!$Y$12,Adjustments!$J:$J,'Schedule 2A Adjustments'!A32)</f>
        <v>0</v>
      </c>
      <c r="AA32" s="320">
        <f t="shared" si="6"/>
        <v>0</v>
      </c>
    </row>
    <row r="33" spans="1:27" x14ac:dyDescent="0.35">
      <c r="A33" s="24">
        <v>19</v>
      </c>
      <c r="B33" s="565" t="str">
        <f>IF('As-Filed Schedule 2A'!B33:D33=0,"",'As-Filed Schedule 2A'!B33:D33)</f>
        <v/>
      </c>
      <c r="C33" s="565"/>
      <c r="D33" s="565"/>
      <c r="F33" s="114">
        <f>'As-Filed Schedule 2A'!F33</f>
        <v>0</v>
      </c>
      <c r="G33" s="307">
        <f>SUMIFS(Adjustments!$G:$G,Adjustments!$H:$H,"2A",Adjustments!$I:$I,'Schedule 2A Adjustments'!$F$12,Adjustments!$J:$J,'Schedule 2A Adjustments'!A33)</f>
        <v>0</v>
      </c>
      <c r="H33" s="303">
        <f t="shared" si="1"/>
        <v>0</v>
      </c>
      <c r="I33" s="68">
        <f>IFERROR(F33*'As-Filed Schedule 1'!$E$103,0)</f>
        <v>0</v>
      </c>
      <c r="J33" s="304">
        <f>IFERROR(H33*'Adjusted Schedule 1'!$E$104,0)</f>
        <v>0</v>
      </c>
      <c r="K33" s="68">
        <f t="shared" si="7"/>
        <v>0</v>
      </c>
      <c r="L33" s="304">
        <f t="shared" si="2"/>
        <v>0</v>
      </c>
      <c r="N33" s="114">
        <f>'As-Filed Schedule 2A'!J33</f>
        <v>0</v>
      </c>
      <c r="O33" s="307">
        <f>SUMIFS(Adjustments!$G:$G,Adjustments!$H:$H,"2A",Adjustments!$I:$I,'Schedule 2A Adjustments'!$N$12,Adjustments!$J:$J,'Schedule 2A Adjustments'!A33)</f>
        <v>0</v>
      </c>
      <c r="P33" s="303">
        <f t="shared" si="3"/>
        <v>0</v>
      </c>
      <c r="Q33" s="68">
        <f>IFERROR(N33*'As-Filed Schedule 1'!$E$103,0)</f>
        <v>0</v>
      </c>
      <c r="R33" s="304">
        <f>IFERROR(P33*'Adjusted Schedule 1'!$E$104,0)</f>
        <v>0</v>
      </c>
      <c r="S33" s="68">
        <f t="shared" si="8"/>
        <v>0</v>
      </c>
      <c r="T33" s="304">
        <f t="shared" si="4"/>
        <v>0</v>
      </c>
      <c r="V33" s="117">
        <f>'As-Filed Schedule 2A'!N33</f>
        <v>0</v>
      </c>
      <c r="W33" s="307">
        <f>SUMIFS(Adjustments!$G:$G,Adjustments!$H:$H,"2A",Adjustments!$I:$I,'Schedule 2A Adjustments'!$V$12,Adjustments!$J:$J,'Schedule 2A Adjustments'!A33)</f>
        <v>0</v>
      </c>
      <c r="X33" s="320">
        <f t="shared" si="5"/>
        <v>0</v>
      </c>
      <c r="Y33" s="117">
        <f>'As-Filed Schedule 2A'!O33</f>
        <v>0</v>
      </c>
      <c r="Z33" s="307">
        <f>SUMIFS(Adjustments!$G:$G,Adjustments!$H:$H,"2A",Adjustments!$I:$I,'Schedule 2A Adjustments'!$Y$12,Adjustments!$J:$J,'Schedule 2A Adjustments'!A33)</f>
        <v>0</v>
      </c>
      <c r="AA33" s="320">
        <f t="shared" si="6"/>
        <v>0</v>
      </c>
    </row>
    <row r="34" spans="1:27" x14ac:dyDescent="0.35">
      <c r="A34" s="24">
        <v>20</v>
      </c>
      <c r="B34" s="565" t="str">
        <f>IF('As-Filed Schedule 2A'!B34:D34=0,"",'As-Filed Schedule 2A'!B34:D34)</f>
        <v/>
      </c>
      <c r="C34" s="565"/>
      <c r="D34" s="565"/>
      <c r="F34" s="114">
        <f>'As-Filed Schedule 2A'!F34</f>
        <v>0</v>
      </c>
      <c r="G34" s="307">
        <f>SUMIFS(Adjustments!$G:$G,Adjustments!$H:$H,"2A",Adjustments!$I:$I,'Schedule 2A Adjustments'!$F$12,Adjustments!$J:$J,'Schedule 2A Adjustments'!A34)</f>
        <v>0</v>
      </c>
      <c r="H34" s="303">
        <f t="shared" si="1"/>
        <v>0</v>
      </c>
      <c r="I34" s="68">
        <f>IFERROR(F34*'As-Filed Schedule 1'!$E$103,0)</f>
        <v>0</v>
      </c>
      <c r="J34" s="304">
        <f>IFERROR(H34*'Adjusted Schedule 1'!$E$104,0)</f>
        <v>0</v>
      </c>
      <c r="K34" s="68">
        <f t="shared" si="7"/>
        <v>0</v>
      </c>
      <c r="L34" s="304">
        <f t="shared" si="2"/>
        <v>0</v>
      </c>
      <c r="N34" s="114">
        <f>'As-Filed Schedule 2A'!J34</f>
        <v>0</v>
      </c>
      <c r="O34" s="307">
        <f>SUMIFS(Adjustments!$G:$G,Adjustments!$H:$H,"2A",Adjustments!$I:$I,'Schedule 2A Adjustments'!$N$12,Adjustments!$J:$J,'Schedule 2A Adjustments'!A34)</f>
        <v>0</v>
      </c>
      <c r="P34" s="303">
        <f t="shared" si="3"/>
        <v>0</v>
      </c>
      <c r="Q34" s="68">
        <f>IFERROR(N34*'As-Filed Schedule 1'!$E$103,0)</f>
        <v>0</v>
      </c>
      <c r="R34" s="304">
        <f>IFERROR(P34*'Adjusted Schedule 1'!$E$104,0)</f>
        <v>0</v>
      </c>
      <c r="S34" s="68">
        <f t="shared" si="8"/>
        <v>0</v>
      </c>
      <c r="T34" s="304">
        <f t="shared" si="4"/>
        <v>0</v>
      </c>
      <c r="V34" s="117">
        <f>'As-Filed Schedule 2A'!N34</f>
        <v>0</v>
      </c>
      <c r="W34" s="307">
        <f>SUMIFS(Adjustments!$G:$G,Adjustments!$H:$H,"2A",Adjustments!$I:$I,'Schedule 2A Adjustments'!$V$12,Adjustments!$J:$J,'Schedule 2A Adjustments'!A34)</f>
        <v>0</v>
      </c>
      <c r="X34" s="320">
        <f t="shared" si="5"/>
        <v>0</v>
      </c>
      <c r="Y34" s="117">
        <f>'As-Filed Schedule 2A'!O34</f>
        <v>0</v>
      </c>
      <c r="Z34" s="307">
        <f>SUMIFS(Adjustments!$G:$G,Adjustments!$H:$H,"2A",Adjustments!$I:$I,'Schedule 2A Adjustments'!$Y$12,Adjustments!$J:$J,'Schedule 2A Adjustments'!A34)</f>
        <v>0</v>
      </c>
      <c r="AA34" s="320">
        <f t="shared" si="6"/>
        <v>0</v>
      </c>
    </row>
    <row r="35" spans="1:27" x14ac:dyDescent="0.35">
      <c r="A35" s="24">
        <v>21</v>
      </c>
      <c r="B35" s="565" t="str">
        <f>IF('As-Filed Schedule 2A'!B35:D35=0,"",'As-Filed Schedule 2A'!B35:D35)</f>
        <v/>
      </c>
      <c r="C35" s="565"/>
      <c r="D35" s="565"/>
      <c r="F35" s="114">
        <f>'As-Filed Schedule 2A'!F35</f>
        <v>0</v>
      </c>
      <c r="G35" s="307">
        <f>SUMIFS(Adjustments!$G:$G,Adjustments!$H:$H,"2A",Adjustments!$I:$I,'Schedule 2A Adjustments'!$F$12,Adjustments!$J:$J,'Schedule 2A Adjustments'!A35)</f>
        <v>0</v>
      </c>
      <c r="H35" s="303">
        <f t="shared" si="1"/>
        <v>0</v>
      </c>
      <c r="I35" s="68">
        <f>IFERROR(F35*'As-Filed Schedule 1'!$E$103,0)</f>
        <v>0</v>
      </c>
      <c r="J35" s="304">
        <f>IFERROR(H35*'Adjusted Schedule 1'!$E$104,0)</f>
        <v>0</v>
      </c>
      <c r="K35" s="68">
        <f t="shared" si="7"/>
        <v>0</v>
      </c>
      <c r="L35" s="304">
        <f t="shared" si="2"/>
        <v>0</v>
      </c>
      <c r="N35" s="114">
        <f>'As-Filed Schedule 2A'!J35</f>
        <v>0</v>
      </c>
      <c r="O35" s="307">
        <f>SUMIFS(Adjustments!$G:$G,Adjustments!$H:$H,"2A",Adjustments!$I:$I,'Schedule 2A Adjustments'!$N$12,Adjustments!$J:$J,'Schedule 2A Adjustments'!A35)</f>
        <v>0</v>
      </c>
      <c r="P35" s="303">
        <f t="shared" si="3"/>
        <v>0</v>
      </c>
      <c r="Q35" s="68">
        <f>IFERROR(N35*'As-Filed Schedule 1'!$E$103,0)</f>
        <v>0</v>
      </c>
      <c r="R35" s="304">
        <f>IFERROR(P35*'Adjusted Schedule 1'!$E$104,0)</f>
        <v>0</v>
      </c>
      <c r="S35" s="68">
        <f t="shared" si="8"/>
        <v>0</v>
      </c>
      <c r="T35" s="304">
        <f t="shared" si="4"/>
        <v>0</v>
      </c>
      <c r="V35" s="117">
        <f>'As-Filed Schedule 2A'!N35</f>
        <v>0</v>
      </c>
      <c r="W35" s="307">
        <f>SUMIFS(Adjustments!$G:$G,Adjustments!$H:$H,"2A",Adjustments!$I:$I,'Schedule 2A Adjustments'!$V$12,Adjustments!$J:$J,'Schedule 2A Adjustments'!A35)</f>
        <v>0</v>
      </c>
      <c r="X35" s="320">
        <f t="shared" si="5"/>
        <v>0</v>
      </c>
      <c r="Y35" s="117">
        <f>'As-Filed Schedule 2A'!O35</f>
        <v>0</v>
      </c>
      <c r="Z35" s="307">
        <f>SUMIFS(Adjustments!$G:$G,Adjustments!$H:$H,"2A",Adjustments!$I:$I,'Schedule 2A Adjustments'!$Y$12,Adjustments!$J:$J,'Schedule 2A Adjustments'!A35)</f>
        <v>0</v>
      </c>
      <c r="AA35" s="320">
        <f t="shared" si="6"/>
        <v>0</v>
      </c>
    </row>
    <row r="36" spans="1:27" x14ac:dyDescent="0.35">
      <c r="A36" s="24">
        <v>22</v>
      </c>
      <c r="B36" s="565" t="str">
        <f>IF('As-Filed Schedule 2A'!B36:D36=0,"",'As-Filed Schedule 2A'!B36:D36)</f>
        <v/>
      </c>
      <c r="C36" s="565"/>
      <c r="D36" s="565"/>
      <c r="F36" s="114">
        <f>'As-Filed Schedule 2A'!F36</f>
        <v>0</v>
      </c>
      <c r="G36" s="307">
        <f>SUMIFS(Adjustments!$G:$G,Adjustments!$H:$H,"2A",Adjustments!$I:$I,'Schedule 2A Adjustments'!$F$12,Adjustments!$J:$J,'Schedule 2A Adjustments'!A36)</f>
        <v>0</v>
      </c>
      <c r="H36" s="303">
        <f t="shared" si="1"/>
        <v>0</v>
      </c>
      <c r="I36" s="68">
        <f>IFERROR(F36*'As-Filed Schedule 1'!$E$103,0)</f>
        <v>0</v>
      </c>
      <c r="J36" s="304">
        <f>IFERROR(H36*'Adjusted Schedule 1'!$E$104,0)</f>
        <v>0</v>
      </c>
      <c r="K36" s="68">
        <f t="shared" si="7"/>
        <v>0</v>
      </c>
      <c r="L36" s="304">
        <f t="shared" si="2"/>
        <v>0</v>
      </c>
      <c r="N36" s="114">
        <f>'As-Filed Schedule 2A'!J36</f>
        <v>0</v>
      </c>
      <c r="O36" s="307">
        <f>SUMIFS(Adjustments!$G:$G,Adjustments!$H:$H,"2A",Adjustments!$I:$I,'Schedule 2A Adjustments'!$N$12,Adjustments!$J:$J,'Schedule 2A Adjustments'!A36)</f>
        <v>0</v>
      </c>
      <c r="P36" s="303">
        <f t="shared" si="3"/>
        <v>0</v>
      </c>
      <c r="Q36" s="68">
        <f>IFERROR(N36*'As-Filed Schedule 1'!$E$103,0)</f>
        <v>0</v>
      </c>
      <c r="R36" s="304">
        <f>IFERROR(P36*'Adjusted Schedule 1'!$E$104,0)</f>
        <v>0</v>
      </c>
      <c r="S36" s="68">
        <f t="shared" si="8"/>
        <v>0</v>
      </c>
      <c r="T36" s="304">
        <f t="shared" si="4"/>
        <v>0</v>
      </c>
      <c r="V36" s="117">
        <f>'As-Filed Schedule 2A'!N36</f>
        <v>0</v>
      </c>
      <c r="W36" s="307">
        <f>SUMIFS(Adjustments!$G:$G,Adjustments!$H:$H,"2A",Adjustments!$I:$I,'Schedule 2A Adjustments'!$V$12,Adjustments!$J:$J,'Schedule 2A Adjustments'!A36)</f>
        <v>0</v>
      </c>
      <c r="X36" s="320">
        <f t="shared" si="5"/>
        <v>0</v>
      </c>
      <c r="Y36" s="117">
        <f>'As-Filed Schedule 2A'!O36</f>
        <v>0</v>
      </c>
      <c r="Z36" s="307">
        <f>SUMIFS(Adjustments!$G:$G,Adjustments!$H:$H,"2A",Adjustments!$I:$I,'Schedule 2A Adjustments'!$Y$12,Adjustments!$J:$J,'Schedule 2A Adjustments'!A36)</f>
        <v>0</v>
      </c>
      <c r="AA36" s="320">
        <f t="shared" si="6"/>
        <v>0</v>
      </c>
    </row>
    <row r="37" spans="1:27" x14ac:dyDescent="0.35">
      <c r="A37" s="24">
        <v>23</v>
      </c>
      <c r="B37" s="565" t="str">
        <f>IF('As-Filed Schedule 2A'!B37:D37=0,"",'As-Filed Schedule 2A'!B37:D37)</f>
        <v/>
      </c>
      <c r="C37" s="565"/>
      <c r="D37" s="565"/>
      <c r="F37" s="114">
        <f>'As-Filed Schedule 2A'!F37</f>
        <v>0</v>
      </c>
      <c r="G37" s="307">
        <f>SUMIFS(Adjustments!$G:$G,Adjustments!$H:$H,"2A",Adjustments!$I:$I,'Schedule 2A Adjustments'!$F$12,Adjustments!$J:$J,'Schedule 2A Adjustments'!A37)</f>
        <v>0</v>
      </c>
      <c r="H37" s="303">
        <f t="shared" si="1"/>
        <v>0</v>
      </c>
      <c r="I37" s="68">
        <f>IFERROR(F37*'As-Filed Schedule 1'!$E$103,0)</f>
        <v>0</v>
      </c>
      <c r="J37" s="304">
        <f>IFERROR(H37*'Adjusted Schedule 1'!$E$104,0)</f>
        <v>0</v>
      </c>
      <c r="K37" s="68">
        <f t="shared" si="7"/>
        <v>0</v>
      </c>
      <c r="L37" s="304">
        <f t="shared" si="2"/>
        <v>0</v>
      </c>
      <c r="N37" s="114">
        <f>'As-Filed Schedule 2A'!J37</f>
        <v>0</v>
      </c>
      <c r="O37" s="307">
        <f>SUMIFS(Adjustments!$G:$G,Adjustments!$H:$H,"2A",Adjustments!$I:$I,'Schedule 2A Adjustments'!$N$12,Adjustments!$J:$J,'Schedule 2A Adjustments'!A37)</f>
        <v>0</v>
      </c>
      <c r="P37" s="303">
        <f t="shared" si="3"/>
        <v>0</v>
      </c>
      <c r="Q37" s="68">
        <f>IFERROR(N37*'As-Filed Schedule 1'!$E$103,0)</f>
        <v>0</v>
      </c>
      <c r="R37" s="304">
        <f>IFERROR(P37*'Adjusted Schedule 1'!$E$104,0)</f>
        <v>0</v>
      </c>
      <c r="S37" s="68">
        <f t="shared" si="8"/>
        <v>0</v>
      </c>
      <c r="T37" s="304">
        <f t="shared" si="4"/>
        <v>0</v>
      </c>
      <c r="V37" s="117">
        <f>'As-Filed Schedule 2A'!N37</f>
        <v>0</v>
      </c>
      <c r="W37" s="307">
        <f>SUMIFS(Adjustments!$G:$G,Adjustments!$H:$H,"2A",Adjustments!$I:$I,'Schedule 2A Adjustments'!$V$12,Adjustments!$J:$J,'Schedule 2A Adjustments'!A37)</f>
        <v>0</v>
      </c>
      <c r="X37" s="320">
        <f t="shared" si="5"/>
        <v>0</v>
      </c>
      <c r="Y37" s="117">
        <f>'As-Filed Schedule 2A'!O37</f>
        <v>0</v>
      </c>
      <c r="Z37" s="307">
        <f>SUMIFS(Adjustments!$G:$G,Adjustments!$H:$H,"2A",Adjustments!$I:$I,'Schedule 2A Adjustments'!$Y$12,Adjustments!$J:$J,'Schedule 2A Adjustments'!A37)</f>
        <v>0</v>
      </c>
      <c r="AA37" s="320">
        <f t="shared" si="6"/>
        <v>0</v>
      </c>
    </row>
    <row r="38" spans="1:27" x14ac:dyDescent="0.35">
      <c r="A38" s="24">
        <v>24</v>
      </c>
      <c r="B38" s="565" t="str">
        <f>IF('As-Filed Schedule 2A'!B38:D38=0,"",'As-Filed Schedule 2A'!B38:D38)</f>
        <v/>
      </c>
      <c r="C38" s="565"/>
      <c r="D38" s="565"/>
      <c r="F38" s="114">
        <f>'As-Filed Schedule 2A'!F38</f>
        <v>0</v>
      </c>
      <c r="G38" s="307">
        <f>SUMIFS(Adjustments!$G:$G,Adjustments!$H:$H,"2A",Adjustments!$I:$I,'Schedule 2A Adjustments'!$F$12,Adjustments!$J:$J,'Schedule 2A Adjustments'!A38)</f>
        <v>0</v>
      </c>
      <c r="H38" s="303">
        <f t="shared" si="1"/>
        <v>0</v>
      </c>
      <c r="I38" s="68">
        <f>IFERROR(F38*'As-Filed Schedule 1'!$E$103,0)</f>
        <v>0</v>
      </c>
      <c r="J38" s="304">
        <f>IFERROR(H38*'Adjusted Schedule 1'!$E$104,0)</f>
        <v>0</v>
      </c>
      <c r="K38" s="68">
        <f t="shared" si="7"/>
        <v>0</v>
      </c>
      <c r="L38" s="304">
        <f t="shared" si="2"/>
        <v>0</v>
      </c>
      <c r="N38" s="114">
        <f>'As-Filed Schedule 2A'!J38</f>
        <v>0</v>
      </c>
      <c r="O38" s="307">
        <f>SUMIFS(Adjustments!$G:$G,Adjustments!$H:$H,"2A",Adjustments!$I:$I,'Schedule 2A Adjustments'!$N$12,Adjustments!$J:$J,'Schedule 2A Adjustments'!A38)</f>
        <v>0</v>
      </c>
      <c r="P38" s="303">
        <f t="shared" si="3"/>
        <v>0</v>
      </c>
      <c r="Q38" s="68">
        <f>IFERROR(N38*'As-Filed Schedule 1'!$E$103,0)</f>
        <v>0</v>
      </c>
      <c r="R38" s="304">
        <f>IFERROR(P38*'Adjusted Schedule 1'!$E$104,0)</f>
        <v>0</v>
      </c>
      <c r="S38" s="68">
        <f t="shared" si="8"/>
        <v>0</v>
      </c>
      <c r="T38" s="304">
        <f t="shared" si="4"/>
        <v>0</v>
      </c>
      <c r="V38" s="117">
        <f>'As-Filed Schedule 2A'!N38</f>
        <v>0</v>
      </c>
      <c r="W38" s="307">
        <f>SUMIFS(Adjustments!$G:$G,Adjustments!$H:$H,"2A",Adjustments!$I:$I,'Schedule 2A Adjustments'!$V$12,Adjustments!$J:$J,'Schedule 2A Adjustments'!A38)</f>
        <v>0</v>
      </c>
      <c r="X38" s="320">
        <f t="shared" si="5"/>
        <v>0</v>
      </c>
      <c r="Y38" s="117">
        <f>'As-Filed Schedule 2A'!O38</f>
        <v>0</v>
      </c>
      <c r="Z38" s="307">
        <f>SUMIFS(Adjustments!$G:$G,Adjustments!$H:$H,"2A",Adjustments!$I:$I,'Schedule 2A Adjustments'!$Y$12,Adjustments!$J:$J,'Schedule 2A Adjustments'!A38)</f>
        <v>0</v>
      </c>
      <c r="AA38" s="320">
        <f t="shared" si="6"/>
        <v>0</v>
      </c>
    </row>
    <row r="39" spans="1:27" x14ac:dyDescent="0.35">
      <c r="A39" s="24">
        <v>25</v>
      </c>
      <c r="B39" s="565" t="str">
        <f>IF('As-Filed Schedule 2A'!B39:D39=0,"",'As-Filed Schedule 2A'!B39:D39)</f>
        <v/>
      </c>
      <c r="C39" s="565"/>
      <c r="D39" s="565"/>
      <c r="F39" s="114">
        <f>'As-Filed Schedule 2A'!F39</f>
        <v>0</v>
      </c>
      <c r="G39" s="307">
        <f>SUMIFS(Adjustments!$G:$G,Adjustments!$H:$H,"2A",Adjustments!$I:$I,'Schedule 2A Adjustments'!$F$12,Adjustments!$J:$J,'Schedule 2A Adjustments'!A39)</f>
        <v>0</v>
      </c>
      <c r="H39" s="303">
        <f t="shared" si="1"/>
        <v>0</v>
      </c>
      <c r="I39" s="68">
        <f>IFERROR(F39*'As-Filed Schedule 1'!$E$103,0)</f>
        <v>0</v>
      </c>
      <c r="J39" s="304">
        <f>IFERROR(H39*'Adjusted Schedule 1'!$E$104,0)</f>
        <v>0</v>
      </c>
      <c r="K39" s="68">
        <f t="shared" si="7"/>
        <v>0</v>
      </c>
      <c r="L39" s="304">
        <f t="shared" si="2"/>
        <v>0</v>
      </c>
      <c r="N39" s="114">
        <f>'As-Filed Schedule 2A'!J39</f>
        <v>0</v>
      </c>
      <c r="O39" s="307">
        <f>SUMIFS(Adjustments!$G:$G,Adjustments!$H:$H,"2A",Adjustments!$I:$I,'Schedule 2A Adjustments'!$N$12,Adjustments!$J:$J,'Schedule 2A Adjustments'!A39)</f>
        <v>0</v>
      </c>
      <c r="P39" s="303">
        <f t="shared" si="3"/>
        <v>0</v>
      </c>
      <c r="Q39" s="68">
        <f>IFERROR(N39*'As-Filed Schedule 1'!$E$103,0)</f>
        <v>0</v>
      </c>
      <c r="R39" s="304">
        <f>IFERROR(P39*'Adjusted Schedule 1'!$E$104,0)</f>
        <v>0</v>
      </c>
      <c r="S39" s="68">
        <f t="shared" si="8"/>
        <v>0</v>
      </c>
      <c r="T39" s="304">
        <f t="shared" si="4"/>
        <v>0</v>
      </c>
      <c r="V39" s="117">
        <f>'As-Filed Schedule 2A'!N39</f>
        <v>0</v>
      </c>
      <c r="W39" s="307">
        <f>SUMIFS(Adjustments!$G:$G,Adjustments!$H:$H,"2A",Adjustments!$I:$I,'Schedule 2A Adjustments'!$V$12,Adjustments!$J:$J,'Schedule 2A Adjustments'!A39)</f>
        <v>0</v>
      </c>
      <c r="X39" s="320">
        <f t="shared" si="5"/>
        <v>0</v>
      </c>
      <c r="Y39" s="117">
        <f>'As-Filed Schedule 2A'!O39</f>
        <v>0</v>
      </c>
      <c r="Z39" s="307">
        <f>SUMIFS(Adjustments!$G:$G,Adjustments!$H:$H,"2A",Adjustments!$I:$I,'Schedule 2A Adjustments'!$Y$12,Adjustments!$J:$J,'Schedule 2A Adjustments'!A39)</f>
        <v>0</v>
      </c>
      <c r="AA39" s="320">
        <f t="shared" si="6"/>
        <v>0</v>
      </c>
    </row>
    <row r="40" spans="1:27" x14ac:dyDescent="0.35">
      <c r="A40" s="24">
        <v>26</v>
      </c>
      <c r="B40" s="565" t="str">
        <f>IF('As-Filed Schedule 2A'!B40:D40=0,"",'As-Filed Schedule 2A'!B40:D40)</f>
        <v/>
      </c>
      <c r="C40" s="565"/>
      <c r="D40" s="565"/>
      <c r="F40" s="114">
        <f>'As-Filed Schedule 2A'!F40</f>
        <v>0</v>
      </c>
      <c r="G40" s="307">
        <f>SUMIFS(Adjustments!$G:$G,Adjustments!$H:$H,"2A",Adjustments!$I:$I,'Schedule 2A Adjustments'!$F$12,Adjustments!$J:$J,'Schedule 2A Adjustments'!A40)</f>
        <v>0</v>
      </c>
      <c r="H40" s="303">
        <f t="shared" si="1"/>
        <v>0</v>
      </c>
      <c r="I40" s="68">
        <f>IFERROR(F40*'As-Filed Schedule 1'!$E$103,0)</f>
        <v>0</v>
      </c>
      <c r="J40" s="304">
        <f>IFERROR(H40*'Adjusted Schedule 1'!$E$104,0)</f>
        <v>0</v>
      </c>
      <c r="K40" s="68">
        <f t="shared" si="7"/>
        <v>0</v>
      </c>
      <c r="L40" s="304">
        <f t="shared" si="2"/>
        <v>0</v>
      </c>
      <c r="N40" s="114">
        <f>'As-Filed Schedule 2A'!J40</f>
        <v>0</v>
      </c>
      <c r="O40" s="307">
        <f>SUMIFS(Adjustments!$G:$G,Adjustments!$H:$H,"2A",Adjustments!$I:$I,'Schedule 2A Adjustments'!$N$12,Adjustments!$J:$J,'Schedule 2A Adjustments'!A40)</f>
        <v>0</v>
      </c>
      <c r="P40" s="303">
        <f t="shared" si="3"/>
        <v>0</v>
      </c>
      <c r="Q40" s="68">
        <f>IFERROR(N40*'As-Filed Schedule 1'!$E$103,0)</f>
        <v>0</v>
      </c>
      <c r="R40" s="304">
        <f>IFERROR(P40*'Adjusted Schedule 1'!$E$104,0)</f>
        <v>0</v>
      </c>
      <c r="S40" s="68">
        <f t="shared" si="8"/>
        <v>0</v>
      </c>
      <c r="T40" s="304">
        <f t="shared" si="4"/>
        <v>0</v>
      </c>
      <c r="V40" s="117">
        <f>'As-Filed Schedule 2A'!N40</f>
        <v>0</v>
      </c>
      <c r="W40" s="307">
        <f>SUMIFS(Adjustments!$G:$G,Adjustments!$H:$H,"2A",Adjustments!$I:$I,'Schedule 2A Adjustments'!$V$12,Adjustments!$J:$J,'Schedule 2A Adjustments'!A40)</f>
        <v>0</v>
      </c>
      <c r="X40" s="320">
        <f t="shared" si="5"/>
        <v>0</v>
      </c>
      <c r="Y40" s="117">
        <f>'As-Filed Schedule 2A'!O40</f>
        <v>0</v>
      </c>
      <c r="Z40" s="307">
        <f>SUMIFS(Adjustments!$G:$G,Adjustments!$H:$H,"2A",Adjustments!$I:$I,'Schedule 2A Adjustments'!$Y$12,Adjustments!$J:$J,'Schedule 2A Adjustments'!A40)</f>
        <v>0</v>
      </c>
      <c r="AA40" s="320">
        <f t="shared" si="6"/>
        <v>0</v>
      </c>
    </row>
    <row r="41" spans="1:27" x14ac:dyDescent="0.35">
      <c r="A41" s="24">
        <v>27</v>
      </c>
      <c r="B41" s="565" t="str">
        <f>IF('As-Filed Schedule 2A'!B41:D41=0,"",'As-Filed Schedule 2A'!B41:D41)</f>
        <v/>
      </c>
      <c r="C41" s="565"/>
      <c r="D41" s="565"/>
      <c r="F41" s="114">
        <f>'As-Filed Schedule 2A'!F41</f>
        <v>0</v>
      </c>
      <c r="G41" s="307">
        <f>SUMIFS(Adjustments!$G:$G,Adjustments!$H:$H,"2A",Adjustments!$I:$I,'Schedule 2A Adjustments'!$F$12,Adjustments!$J:$J,'Schedule 2A Adjustments'!A41)</f>
        <v>0</v>
      </c>
      <c r="H41" s="303">
        <f t="shared" si="1"/>
        <v>0</v>
      </c>
      <c r="I41" s="68">
        <f>IFERROR(F41*'As-Filed Schedule 1'!$E$103,0)</f>
        <v>0</v>
      </c>
      <c r="J41" s="304">
        <f>IFERROR(H41*'Adjusted Schedule 1'!$E$104,0)</f>
        <v>0</v>
      </c>
      <c r="K41" s="68">
        <f t="shared" si="7"/>
        <v>0</v>
      </c>
      <c r="L41" s="304">
        <f t="shared" si="2"/>
        <v>0</v>
      </c>
      <c r="N41" s="114">
        <f>'As-Filed Schedule 2A'!J41</f>
        <v>0</v>
      </c>
      <c r="O41" s="307">
        <f>SUMIFS(Adjustments!$G:$G,Adjustments!$H:$H,"2A",Adjustments!$I:$I,'Schedule 2A Adjustments'!$N$12,Adjustments!$J:$J,'Schedule 2A Adjustments'!A41)</f>
        <v>0</v>
      </c>
      <c r="P41" s="303">
        <f t="shared" si="3"/>
        <v>0</v>
      </c>
      <c r="Q41" s="68">
        <f>IFERROR(N41*'As-Filed Schedule 1'!$E$103,0)</f>
        <v>0</v>
      </c>
      <c r="R41" s="304">
        <f>IFERROR(P41*'Adjusted Schedule 1'!$E$104,0)</f>
        <v>0</v>
      </c>
      <c r="S41" s="68">
        <f t="shared" si="8"/>
        <v>0</v>
      </c>
      <c r="T41" s="304">
        <f t="shared" si="4"/>
        <v>0</v>
      </c>
      <c r="V41" s="117">
        <f>'As-Filed Schedule 2A'!N41</f>
        <v>0</v>
      </c>
      <c r="W41" s="307">
        <f>SUMIFS(Adjustments!$G:$G,Adjustments!$H:$H,"2A",Adjustments!$I:$I,'Schedule 2A Adjustments'!$V$12,Adjustments!$J:$J,'Schedule 2A Adjustments'!A41)</f>
        <v>0</v>
      </c>
      <c r="X41" s="320">
        <f t="shared" si="5"/>
        <v>0</v>
      </c>
      <c r="Y41" s="117">
        <f>'As-Filed Schedule 2A'!O41</f>
        <v>0</v>
      </c>
      <c r="Z41" s="307">
        <f>SUMIFS(Adjustments!$G:$G,Adjustments!$H:$H,"2A",Adjustments!$I:$I,'Schedule 2A Adjustments'!$Y$12,Adjustments!$J:$J,'Schedule 2A Adjustments'!A41)</f>
        <v>0</v>
      </c>
      <c r="AA41" s="320">
        <f t="shared" si="6"/>
        <v>0</v>
      </c>
    </row>
    <row r="42" spans="1:27" x14ac:dyDescent="0.35">
      <c r="A42" s="24">
        <v>28</v>
      </c>
      <c r="B42" s="565" t="str">
        <f>IF('As-Filed Schedule 2A'!B42:D42=0,"",'As-Filed Schedule 2A'!B42:D42)</f>
        <v/>
      </c>
      <c r="C42" s="565"/>
      <c r="D42" s="565"/>
      <c r="F42" s="114">
        <f>'As-Filed Schedule 2A'!F42</f>
        <v>0</v>
      </c>
      <c r="G42" s="307">
        <f>SUMIFS(Adjustments!$G:$G,Adjustments!$H:$H,"2A",Adjustments!$I:$I,'Schedule 2A Adjustments'!$F$12,Adjustments!$J:$J,'Schedule 2A Adjustments'!A42)</f>
        <v>0</v>
      </c>
      <c r="H42" s="303">
        <f t="shared" si="1"/>
        <v>0</v>
      </c>
      <c r="I42" s="68">
        <f>IFERROR(F42*'As-Filed Schedule 1'!$E$103,0)</f>
        <v>0</v>
      </c>
      <c r="J42" s="304">
        <f>IFERROR(H42*'Adjusted Schedule 1'!$E$104,0)</f>
        <v>0</v>
      </c>
      <c r="K42" s="68">
        <f t="shared" si="7"/>
        <v>0</v>
      </c>
      <c r="L42" s="304">
        <f t="shared" si="2"/>
        <v>0</v>
      </c>
      <c r="N42" s="114">
        <f>'As-Filed Schedule 2A'!J42</f>
        <v>0</v>
      </c>
      <c r="O42" s="307">
        <f>SUMIFS(Adjustments!$G:$G,Adjustments!$H:$H,"2A",Adjustments!$I:$I,'Schedule 2A Adjustments'!$N$12,Adjustments!$J:$J,'Schedule 2A Adjustments'!A42)</f>
        <v>0</v>
      </c>
      <c r="P42" s="303">
        <f t="shared" si="3"/>
        <v>0</v>
      </c>
      <c r="Q42" s="68">
        <f>IFERROR(N42*'As-Filed Schedule 1'!$E$103,0)</f>
        <v>0</v>
      </c>
      <c r="R42" s="304">
        <f>IFERROR(P42*'Adjusted Schedule 1'!$E$104,0)</f>
        <v>0</v>
      </c>
      <c r="S42" s="68">
        <f t="shared" si="8"/>
        <v>0</v>
      </c>
      <c r="T42" s="304">
        <f t="shared" si="4"/>
        <v>0</v>
      </c>
      <c r="V42" s="117">
        <f>'As-Filed Schedule 2A'!N42</f>
        <v>0</v>
      </c>
      <c r="W42" s="307">
        <f>SUMIFS(Adjustments!$G:$G,Adjustments!$H:$H,"2A",Adjustments!$I:$I,'Schedule 2A Adjustments'!$V$12,Adjustments!$J:$J,'Schedule 2A Adjustments'!A42)</f>
        <v>0</v>
      </c>
      <c r="X42" s="320">
        <f t="shared" si="5"/>
        <v>0</v>
      </c>
      <c r="Y42" s="117">
        <f>'As-Filed Schedule 2A'!O42</f>
        <v>0</v>
      </c>
      <c r="Z42" s="307">
        <f>SUMIFS(Adjustments!$G:$G,Adjustments!$H:$H,"2A",Adjustments!$I:$I,'Schedule 2A Adjustments'!$Y$12,Adjustments!$J:$J,'Schedule 2A Adjustments'!A42)</f>
        <v>0</v>
      </c>
      <c r="AA42" s="320">
        <f t="shared" si="6"/>
        <v>0</v>
      </c>
    </row>
    <row r="43" spans="1:27" x14ac:dyDescent="0.35">
      <c r="A43" s="24">
        <v>29</v>
      </c>
      <c r="B43" s="565" t="str">
        <f>IF('As-Filed Schedule 2A'!B43:D43=0,"",'As-Filed Schedule 2A'!B43:D43)</f>
        <v/>
      </c>
      <c r="C43" s="565"/>
      <c r="D43" s="565"/>
      <c r="F43" s="114">
        <f>'As-Filed Schedule 2A'!F43</f>
        <v>0</v>
      </c>
      <c r="G43" s="307">
        <f>SUMIFS(Adjustments!$G:$G,Adjustments!$H:$H,"2A",Adjustments!$I:$I,'Schedule 2A Adjustments'!$F$12,Adjustments!$J:$J,'Schedule 2A Adjustments'!A43)</f>
        <v>0</v>
      </c>
      <c r="H43" s="303">
        <f t="shared" si="1"/>
        <v>0</v>
      </c>
      <c r="I43" s="68">
        <f>IFERROR(F43*'As-Filed Schedule 1'!$E$103,0)</f>
        <v>0</v>
      </c>
      <c r="J43" s="304">
        <f>IFERROR(H43*'Adjusted Schedule 1'!$E$104,0)</f>
        <v>0</v>
      </c>
      <c r="K43" s="68">
        <f t="shared" si="7"/>
        <v>0</v>
      </c>
      <c r="L43" s="304">
        <f t="shared" si="2"/>
        <v>0</v>
      </c>
      <c r="N43" s="114">
        <f>'As-Filed Schedule 2A'!J43</f>
        <v>0</v>
      </c>
      <c r="O43" s="307">
        <f>SUMIFS(Adjustments!$G:$G,Adjustments!$H:$H,"2A",Adjustments!$I:$I,'Schedule 2A Adjustments'!$N$12,Adjustments!$J:$J,'Schedule 2A Adjustments'!A43)</f>
        <v>0</v>
      </c>
      <c r="P43" s="303">
        <f t="shared" si="3"/>
        <v>0</v>
      </c>
      <c r="Q43" s="68">
        <f>IFERROR(N43*'As-Filed Schedule 1'!$E$103,0)</f>
        <v>0</v>
      </c>
      <c r="R43" s="304">
        <f>IFERROR(P43*'Adjusted Schedule 1'!$E$104,0)</f>
        <v>0</v>
      </c>
      <c r="S43" s="68">
        <f t="shared" si="8"/>
        <v>0</v>
      </c>
      <c r="T43" s="304">
        <f t="shared" si="4"/>
        <v>0</v>
      </c>
      <c r="V43" s="117">
        <f>'As-Filed Schedule 2A'!N43</f>
        <v>0</v>
      </c>
      <c r="W43" s="307">
        <f>SUMIFS(Adjustments!$G:$G,Adjustments!$H:$H,"2A",Adjustments!$I:$I,'Schedule 2A Adjustments'!$V$12,Adjustments!$J:$J,'Schedule 2A Adjustments'!A43)</f>
        <v>0</v>
      </c>
      <c r="X43" s="320">
        <f t="shared" si="5"/>
        <v>0</v>
      </c>
      <c r="Y43" s="117">
        <f>'As-Filed Schedule 2A'!O43</f>
        <v>0</v>
      </c>
      <c r="Z43" s="307">
        <f>SUMIFS(Adjustments!$G:$G,Adjustments!$H:$H,"2A",Adjustments!$I:$I,'Schedule 2A Adjustments'!$Y$12,Adjustments!$J:$J,'Schedule 2A Adjustments'!A43)</f>
        <v>0</v>
      </c>
      <c r="AA43" s="320">
        <f t="shared" si="6"/>
        <v>0</v>
      </c>
    </row>
    <row r="44" spans="1:27" x14ac:dyDescent="0.35">
      <c r="A44" s="24">
        <v>30</v>
      </c>
      <c r="B44" s="565" t="str">
        <f>IF('As-Filed Schedule 2A'!B44:D44=0,"",'As-Filed Schedule 2A'!B44:D44)</f>
        <v/>
      </c>
      <c r="C44" s="565"/>
      <c r="D44" s="565"/>
      <c r="F44" s="114">
        <f>'As-Filed Schedule 2A'!F44</f>
        <v>0</v>
      </c>
      <c r="G44" s="307">
        <f>SUMIFS(Adjustments!$G:$G,Adjustments!$H:$H,"2A",Adjustments!$I:$I,'Schedule 2A Adjustments'!$F$12,Adjustments!$J:$J,'Schedule 2A Adjustments'!A44)</f>
        <v>0</v>
      </c>
      <c r="H44" s="303">
        <f t="shared" si="1"/>
        <v>0</v>
      </c>
      <c r="I44" s="68">
        <f>IFERROR(F44*'As-Filed Schedule 1'!$E$103,0)</f>
        <v>0</v>
      </c>
      <c r="J44" s="304">
        <f>IFERROR(H44*'Adjusted Schedule 1'!$E$104,0)</f>
        <v>0</v>
      </c>
      <c r="K44" s="68">
        <f t="shared" si="7"/>
        <v>0</v>
      </c>
      <c r="L44" s="304">
        <f t="shared" si="2"/>
        <v>0</v>
      </c>
      <c r="N44" s="114">
        <f>'As-Filed Schedule 2A'!J44</f>
        <v>0</v>
      </c>
      <c r="O44" s="307">
        <f>SUMIFS(Adjustments!$G:$G,Adjustments!$H:$H,"2A",Adjustments!$I:$I,'Schedule 2A Adjustments'!$N$12,Adjustments!$J:$J,'Schedule 2A Adjustments'!A44)</f>
        <v>0</v>
      </c>
      <c r="P44" s="303">
        <f t="shared" si="3"/>
        <v>0</v>
      </c>
      <c r="Q44" s="68">
        <f>IFERROR(N44*'As-Filed Schedule 1'!$E$103,0)</f>
        <v>0</v>
      </c>
      <c r="R44" s="304">
        <f>IFERROR(P44*'Adjusted Schedule 1'!$E$104,0)</f>
        <v>0</v>
      </c>
      <c r="S44" s="68">
        <f t="shared" si="8"/>
        <v>0</v>
      </c>
      <c r="T44" s="304">
        <f t="shared" si="4"/>
        <v>0</v>
      </c>
      <c r="V44" s="117">
        <f>'As-Filed Schedule 2A'!N44</f>
        <v>0</v>
      </c>
      <c r="W44" s="307">
        <f>SUMIFS(Adjustments!$G:$G,Adjustments!$H:$H,"2A",Adjustments!$I:$I,'Schedule 2A Adjustments'!$V$12,Adjustments!$J:$J,'Schedule 2A Adjustments'!A44)</f>
        <v>0</v>
      </c>
      <c r="X44" s="320">
        <f t="shared" si="5"/>
        <v>0</v>
      </c>
      <c r="Y44" s="117">
        <f>'As-Filed Schedule 2A'!O44</f>
        <v>0</v>
      </c>
      <c r="Z44" s="307">
        <f>SUMIFS(Adjustments!$G:$G,Adjustments!$H:$H,"2A",Adjustments!$I:$I,'Schedule 2A Adjustments'!$Y$12,Adjustments!$J:$J,'Schedule 2A Adjustments'!A44)</f>
        <v>0</v>
      </c>
      <c r="AA44" s="320">
        <f t="shared" si="6"/>
        <v>0</v>
      </c>
    </row>
    <row r="45" spans="1:27" x14ac:dyDescent="0.35">
      <c r="A45" s="24">
        <v>31</v>
      </c>
      <c r="B45" s="565" t="str">
        <f>IF('As-Filed Schedule 2A'!B45:D45=0,"",'As-Filed Schedule 2A'!B45:D45)</f>
        <v/>
      </c>
      <c r="C45" s="565"/>
      <c r="D45" s="565"/>
      <c r="F45" s="114">
        <f>'As-Filed Schedule 2A'!F45</f>
        <v>0</v>
      </c>
      <c r="G45" s="307">
        <f>SUMIFS(Adjustments!$G:$G,Adjustments!$H:$H,"2A",Adjustments!$I:$I,'Schedule 2A Adjustments'!$F$12,Adjustments!$J:$J,'Schedule 2A Adjustments'!A45)</f>
        <v>0</v>
      </c>
      <c r="H45" s="303">
        <f t="shared" si="1"/>
        <v>0</v>
      </c>
      <c r="I45" s="68">
        <f>IFERROR(F45*'As-Filed Schedule 1'!$E$103,0)</f>
        <v>0</v>
      </c>
      <c r="J45" s="304">
        <f>IFERROR(H45*'Adjusted Schedule 1'!$E$104,0)</f>
        <v>0</v>
      </c>
      <c r="K45" s="68">
        <f t="shared" si="7"/>
        <v>0</v>
      </c>
      <c r="L45" s="304">
        <f t="shared" si="2"/>
        <v>0</v>
      </c>
      <c r="N45" s="114">
        <f>'As-Filed Schedule 2A'!J45</f>
        <v>0</v>
      </c>
      <c r="O45" s="307">
        <f>SUMIFS(Adjustments!$G:$G,Adjustments!$H:$H,"2A",Adjustments!$I:$I,'Schedule 2A Adjustments'!$N$12,Adjustments!$J:$J,'Schedule 2A Adjustments'!A45)</f>
        <v>0</v>
      </c>
      <c r="P45" s="303">
        <f t="shared" si="3"/>
        <v>0</v>
      </c>
      <c r="Q45" s="68">
        <f>IFERROR(N45*'As-Filed Schedule 1'!$E$103,0)</f>
        <v>0</v>
      </c>
      <c r="R45" s="304">
        <f>IFERROR(P45*'Adjusted Schedule 1'!$E$104,0)</f>
        <v>0</v>
      </c>
      <c r="S45" s="68">
        <f t="shared" si="8"/>
        <v>0</v>
      </c>
      <c r="T45" s="304">
        <f t="shared" si="4"/>
        <v>0</v>
      </c>
      <c r="V45" s="117">
        <f>'As-Filed Schedule 2A'!N45</f>
        <v>0</v>
      </c>
      <c r="W45" s="307">
        <f>SUMIFS(Adjustments!$G:$G,Adjustments!$H:$H,"2A",Adjustments!$I:$I,'Schedule 2A Adjustments'!$V$12,Adjustments!$J:$J,'Schedule 2A Adjustments'!A45)</f>
        <v>0</v>
      </c>
      <c r="X45" s="320">
        <f t="shared" si="5"/>
        <v>0</v>
      </c>
      <c r="Y45" s="117">
        <f>'As-Filed Schedule 2A'!O45</f>
        <v>0</v>
      </c>
      <c r="Z45" s="307">
        <f>SUMIFS(Adjustments!$G:$G,Adjustments!$H:$H,"2A",Adjustments!$I:$I,'Schedule 2A Adjustments'!$Y$12,Adjustments!$J:$J,'Schedule 2A Adjustments'!A45)</f>
        <v>0</v>
      </c>
      <c r="AA45" s="320">
        <f t="shared" si="6"/>
        <v>0</v>
      </c>
    </row>
    <row r="46" spans="1:27" x14ac:dyDescent="0.35">
      <c r="A46" s="24">
        <v>32</v>
      </c>
      <c r="B46" s="565" t="str">
        <f>IF('As-Filed Schedule 2A'!B46:D46=0,"",'As-Filed Schedule 2A'!B46:D46)</f>
        <v/>
      </c>
      <c r="C46" s="565"/>
      <c r="D46" s="565"/>
      <c r="F46" s="114">
        <f>'As-Filed Schedule 2A'!F46</f>
        <v>0</v>
      </c>
      <c r="G46" s="307">
        <f>SUMIFS(Adjustments!$G:$G,Adjustments!$H:$H,"2A",Adjustments!$I:$I,'Schedule 2A Adjustments'!$F$12,Adjustments!$J:$J,'Schedule 2A Adjustments'!A46)</f>
        <v>0</v>
      </c>
      <c r="H46" s="303">
        <f t="shared" si="1"/>
        <v>0</v>
      </c>
      <c r="I46" s="68">
        <f>IFERROR(F46*'As-Filed Schedule 1'!$E$103,0)</f>
        <v>0</v>
      </c>
      <c r="J46" s="304">
        <f>IFERROR(H46*'Adjusted Schedule 1'!$E$104,0)</f>
        <v>0</v>
      </c>
      <c r="K46" s="68">
        <f t="shared" si="7"/>
        <v>0</v>
      </c>
      <c r="L46" s="304">
        <f t="shared" si="2"/>
        <v>0</v>
      </c>
      <c r="N46" s="114">
        <f>'As-Filed Schedule 2A'!J46</f>
        <v>0</v>
      </c>
      <c r="O46" s="307">
        <f>SUMIFS(Adjustments!$G:$G,Adjustments!$H:$H,"2A",Adjustments!$I:$I,'Schedule 2A Adjustments'!$N$12,Adjustments!$J:$J,'Schedule 2A Adjustments'!A46)</f>
        <v>0</v>
      </c>
      <c r="P46" s="303">
        <f t="shared" si="3"/>
        <v>0</v>
      </c>
      <c r="Q46" s="68">
        <f>IFERROR(N46*'As-Filed Schedule 1'!$E$103,0)</f>
        <v>0</v>
      </c>
      <c r="R46" s="304">
        <f>IFERROR(P46*'Adjusted Schedule 1'!$E$104,0)</f>
        <v>0</v>
      </c>
      <c r="S46" s="68">
        <f t="shared" si="8"/>
        <v>0</v>
      </c>
      <c r="T46" s="304">
        <f t="shared" si="4"/>
        <v>0</v>
      </c>
      <c r="V46" s="117">
        <f>'As-Filed Schedule 2A'!N46</f>
        <v>0</v>
      </c>
      <c r="W46" s="307">
        <f>SUMIFS(Adjustments!$G:$G,Adjustments!$H:$H,"2A",Adjustments!$I:$I,'Schedule 2A Adjustments'!$V$12,Adjustments!$J:$J,'Schedule 2A Adjustments'!A46)</f>
        <v>0</v>
      </c>
      <c r="X46" s="320">
        <f t="shared" si="5"/>
        <v>0</v>
      </c>
      <c r="Y46" s="117">
        <f>'As-Filed Schedule 2A'!O46</f>
        <v>0</v>
      </c>
      <c r="Z46" s="307">
        <f>SUMIFS(Adjustments!$G:$G,Adjustments!$H:$H,"2A",Adjustments!$I:$I,'Schedule 2A Adjustments'!$Y$12,Adjustments!$J:$J,'Schedule 2A Adjustments'!A46)</f>
        <v>0</v>
      </c>
      <c r="AA46" s="320">
        <f t="shared" si="6"/>
        <v>0</v>
      </c>
    </row>
    <row r="47" spans="1:27" x14ac:dyDescent="0.35">
      <c r="A47" s="24">
        <v>33</v>
      </c>
      <c r="B47" s="565" t="str">
        <f>IF('As-Filed Schedule 2A'!B47:D47=0,"",'As-Filed Schedule 2A'!B47:D47)</f>
        <v/>
      </c>
      <c r="C47" s="565"/>
      <c r="D47" s="565"/>
      <c r="F47" s="114">
        <f>'As-Filed Schedule 2A'!F47</f>
        <v>0</v>
      </c>
      <c r="G47" s="307">
        <f>SUMIFS(Adjustments!$G:$G,Adjustments!$H:$H,"2A",Adjustments!$I:$I,'Schedule 2A Adjustments'!$F$12,Adjustments!$J:$J,'Schedule 2A Adjustments'!A47)</f>
        <v>0</v>
      </c>
      <c r="H47" s="303">
        <f t="shared" si="1"/>
        <v>0</v>
      </c>
      <c r="I47" s="68">
        <f>IFERROR(F47*'As-Filed Schedule 1'!$E$103,0)</f>
        <v>0</v>
      </c>
      <c r="J47" s="304">
        <f>IFERROR(H47*'Adjusted Schedule 1'!$E$104,0)</f>
        <v>0</v>
      </c>
      <c r="K47" s="68">
        <f t="shared" si="7"/>
        <v>0</v>
      </c>
      <c r="L47" s="304">
        <f t="shared" si="2"/>
        <v>0</v>
      </c>
      <c r="N47" s="114">
        <f>'As-Filed Schedule 2A'!J47</f>
        <v>0</v>
      </c>
      <c r="O47" s="307">
        <f>SUMIFS(Adjustments!$G:$G,Adjustments!$H:$H,"2A",Adjustments!$I:$I,'Schedule 2A Adjustments'!$N$12,Adjustments!$J:$J,'Schedule 2A Adjustments'!A47)</f>
        <v>0</v>
      </c>
      <c r="P47" s="303">
        <f t="shared" si="3"/>
        <v>0</v>
      </c>
      <c r="Q47" s="68">
        <f>IFERROR(N47*'As-Filed Schedule 1'!$E$103,0)</f>
        <v>0</v>
      </c>
      <c r="R47" s="304">
        <f>IFERROR(P47*'Adjusted Schedule 1'!$E$104,0)</f>
        <v>0</v>
      </c>
      <c r="S47" s="68">
        <f t="shared" si="8"/>
        <v>0</v>
      </c>
      <c r="T47" s="304">
        <f t="shared" si="4"/>
        <v>0</v>
      </c>
      <c r="V47" s="117">
        <f>'As-Filed Schedule 2A'!N47</f>
        <v>0</v>
      </c>
      <c r="W47" s="307">
        <f>SUMIFS(Adjustments!$G:$G,Adjustments!$H:$H,"2A",Adjustments!$I:$I,'Schedule 2A Adjustments'!$V$12,Adjustments!$J:$J,'Schedule 2A Adjustments'!A47)</f>
        <v>0</v>
      </c>
      <c r="X47" s="320">
        <f t="shared" si="5"/>
        <v>0</v>
      </c>
      <c r="Y47" s="117">
        <f>'As-Filed Schedule 2A'!O47</f>
        <v>0</v>
      </c>
      <c r="Z47" s="307">
        <f>SUMIFS(Adjustments!$G:$G,Adjustments!$H:$H,"2A",Adjustments!$I:$I,'Schedule 2A Adjustments'!$Y$12,Adjustments!$J:$J,'Schedule 2A Adjustments'!A47)</f>
        <v>0</v>
      </c>
      <c r="AA47" s="320">
        <f t="shared" si="6"/>
        <v>0</v>
      </c>
    </row>
    <row r="48" spans="1:27" x14ac:dyDescent="0.35">
      <c r="A48" s="24">
        <v>34</v>
      </c>
      <c r="B48" s="565" t="str">
        <f>IF('As-Filed Schedule 2A'!B48:D48=0,"",'As-Filed Schedule 2A'!B48:D48)</f>
        <v/>
      </c>
      <c r="C48" s="565"/>
      <c r="D48" s="565"/>
      <c r="F48" s="114">
        <f>'As-Filed Schedule 2A'!F48</f>
        <v>0</v>
      </c>
      <c r="G48" s="307">
        <f>SUMIFS(Adjustments!$G:$G,Adjustments!$H:$H,"2A",Adjustments!$I:$I,'Schedule 2A Adjustments'!$F$12,Adjustments!$J:$J,'Schedule 2A Adjustments'!A48)</f>
        <v>0</v>
      </c>
      <c r="H48" s="303">
        <f t="shared" si="1"/>
        <v>0</v>
      </c>
      <c r="I48" s="68">
        <f>IFERROR(F48*'As-Filed Schedule 1'!$E$103,0)</f>
        <v>0</v>
      </c>
      <c r="J48" s="304">
        <f>IFERROR(H48*'Adjusted Schedule 1'!$E$104,0)</f>
        <v>0</v>
      </c>
      <c r="K48" s="68">
        <f t="shared" si="7"/>
        <v>0</v>
      </c>
      <c r="L48" s="304">
        <f t="shared" si="2"/>
        <v>0</v>
      </c>
      <c r="N48" s="114">
        <f>'As-Filed Schedule 2A'!J48</f>
        <v>0</v>
      </c>
      <c r="O48" s="307">
        <f>SUMIFS(Adjustments!$G:$G,Adjustments!$H:$H,"2A",Adjustments!$I:$I,'Schedule 2A Adjustments'!$N$12,Adjustments!$J:$J,'Schedule 2A Adjustments'!A48)</f>
        <v>0</v>
      </c>
      <c r="P48" s="303">
        <f t="shared" si="3"/>
        <v>0</v>
      </c>
      <c r="Q48" s="68">
        <f>IFERROR(N48*'As-Filed Schedule 1'!$E$103,0)</f>
        <v>0</v>
      </c>
      <c r="R48" s="304">
        <f>IFERROR(P48*'Adjusted Schedule 1'!$E$104,0)</f>
        <v>0</v>
      </c>
      <c r="S48" s="68">
        <f t="shared" si="8"/>
        <v>0</v>
      </c>
      <c r="T48" s="304">
        <f t="shared" si="4"/>
        <v>0</v>
      </c>
      <c r="V48" s="117">
        <f>'As-Filed Schedule 2A'!N48</f>
        <v>0</v>
      </c>
      <c r="W48" s="307">
        <f>SUMIFS(Adjustments!$G:$G,Adjustments!$H:$H,"2A",Adjustments!$I:$I,'Schedule 2A Adjustments'!$V$12,Adjustments!$J:$J,'Schedule 2A Adjustments'!A48)</f>
        <v>0</v>
      </c>
      <c r="X48" s="320">
        <f t="shared" si="5"/>
        <v>0</v>
      </c>
      <c r="Y48" s="117">
        <f>'As-Filed Schedule 2A'!O48</f>
        <v>0</v>
      </c>
      <c r="Z48" s="307">
        <f>SUMIFS(Adjustments!$G:$G,Adjustments!$H:$H,"2A",Adjustments!$I:$I,'Schedule 2A Adjustments'!$Y$12,Adjustments!$J:$J,'Schedule 2A Adjustments'!A48)</f>
        <v>0</v>
      </c>
      <c r="AA48" s="320">
        <f t="shared" si="6"/>
        <v>0</v>
      </c>
    </row>
    <row r="49" spans="1:27" x14ac:dyDescent="0.35">
      <c r="A49" s="24">
        <v>35</v>
      </c>
      <c r="B49" s="565" t="str">
        <f>IF('As-Filed Schedule 2A'!B49:D49=0,"",'As-Filed Schedule 2A'!B49:D49)</f>
        <v/>
      </c>
      <c r="C49" s="565"/>
      <c r="D49" s="565"/>
      <c r="F49" s="114">
        <f>'As-Filed Schedule 2A'!F49</f>
        <v>0</v>
      </c>
      <c r="G49" s="307">
        <f>SUMIFS(Adjustments!$G:$G,Adjustments!$H:$H,"2A",Adjustments!$I:$I,'Schedule 2A Adjustments'!$F$12,Adjustments!$J:$J,'Schedule 2A Adjustments'!A49)</f>
        <v>0</v>
      </c>
      <c r="H49" s="303">
        <f t="shared" si="1"/>
        <v>0</v>
      </c>
      <c r="I49" s="68">
        <f>IFERROR(F49*'As-Filed Schedule 1'!$E$103,0)</f>
        <v>0</v>
      </c>
      <c r="J49" s="304">
        <f>IFERROR(H49*'Adjusted Schedule 1'!$E$104,0)</f>
        <v>0</v>
      </c>
      <c r="K49" s="68">
        <f t="shared" si="7"/>
        <v>0</v>
      </c>
      <c r="L49" s="304">
        <f t="shared" si="2"/>
        <v>0</v>
      </c>
      <c r="N49" s="114">
        <f>'As-Filed Schedule 2A'!J49</f>
        <v>0</v>
      </c>
      <c r="O49" s="307">
        <f>SUMIFS(Adjustments!$G:$G,Adjustments!$H:$H,"2A",Adjustments!$I:$I,'Schedule 2A Adjustments'!$N$12,Adjustments!$J:$J,'Schedule 2A Adjustments'!A49)</f>
        <v>0</v>
      </c>
      <c r="P49" s="303">
        <f t="shared" si="3"/>
        <v>0</v>
      </c>
      <c r="Q49" s="68">
        <f>IFERROR(N49*'As-Filed Schedule 1'!$E$103,0)</f>
        <v>0</v>
      </c>
      <c r="R49" s="304">
        <f>IFERROR(P49*'Adjusted Schedule 1'!$E$104,0)</f>
        <v>0</v>
      </c>
      <c r="S49" s="68">
        <f t="shared" si="8"/>
        <v>0</v>
      </c>
      <c r="T49" s="304">
        <f t="shared" si="4"/>
        <v>0</v>
      </c>
      <c r="V49" s="117">
        <f>'As-Filed Schedule 2A'!N49</f>
        <v>0</v>
      </c>
      <c r="W49" s="307">
        <f>SUMIFS(Adjustments!$G:$G,Adjustments!$H:$H,"2A",Adjustments!$I:$I,'Schedule 2A Adjustments'!$V$12,Adjustments!$J:$J,'Schedule 2A Adjustments'!A49)</f>
        <v>0</v>
      </c>
      <c r="X49" s="320">
        <f t="shared" si="5"/>
        <v>0</v>
      </c>
      <c r="Y49" s="117">
        <f>'As-Filed Schedule 2A'!O49</f>
        <v>0</v>
      </c>
      <c r="Z49" s="307">
        <f>SUMIFS(Adjustments!$G:$G,Adjustments!$H:$H,"2A",Adjustments!$I:$I,'Schedule 2A Adjustments'!$Y$12,Adjustments!$J:$J,'Schedule 2A Adjustments'!A49)</f>
        <v>0</v>
      </c>
      <c r="AA49" s="320">
        <f t="shared" si="6"/>
        <v>0</v>
      </c>
    </row>
    <row r="50" spans="1:27" x14ac:dyDescent="0.35">
      <c r="A50" s="24">
        <v>36</v>
      </c>
      <c r="B50" s="565" t="str">
        <f>IF('As-Filed Schedule 2A'!B50:D50=0,"",'As-Filed Schedule 2A'!B50:D50)</f>
        <v/>
      </c>
      <c r="C50" s="565"/>
      <c r="D50" s="565"/>
      <c r="F50" s="114">
        <f>'As-Filed Schedule 2A'!F50</f>
        <v>0</v>
      </c>
      <c r="G50" s="307">
        <f>SUMIFS(Adjustments!$G:$G,Adjustments!$H:$H,"2A",Adjustments!$I:$I,'Schedule 2A Adjustments'!$F$12,Adjustments!$J:$J,'Schedule 2A Adjustments'!A50)</f>
        <v>0</v>
      </c>
      <c r="H50" s="303">
        <f t="shared" si="1"/>
        <v>0</v>
      </c>
      <c r="I50" s="68">
        <f>IFERROR(F50*'As-Filed Schedule 1'!$E$103,0)</f>
        <v>0</v>
      </c>
      <c r="J50" s="304">
        <f>IFERROR(H50*'Adjusted Schedule 1'!$E$104,0)</f>
        <v>0</v>
      </c>
      <c r="K50" s="68">
        <f t="shared" si="7"/>
        <v>0</v>
      </c>
      <c r="L50" s="304">
        <f t="shared" si="2"/>
        <v>0</v>
      </c>
      <c r="N50" s="114">
        <f>'As-Filed Schedule 2A'!J50</f>
        <v>0</v>
      </c>
      <c r="O50" s="307">
        <f>SUMIFS(Adjustments!$G:$G,Adjustments!$H:$H,"2A",Adjustments!$I:$I,'Schedule 2A Adjustments'!$N$12,Adjustments!$J:$J,'Schedule 2A Adjustments'!A50)</f>
        <v>0</v>
      </c>
      <c r="P50" s="303">
        <f t="shared" si="3"/>
        <v>0</v>
      </c>
      <c r="Q50" s="68">
        <f>IFERROR(N50*'As-Filed Schedule 1'!$E$103,0)</f>
        <v>0</v>
      </c>
      <c r="R50" s="304">
        <f>IFERROR(P50*'Adjusted Schedule 1'!$E$104,0)</f>
        <v>0</v>
      </c>
      <c r="S50" s="68">
        <f t="shared" si="8"/>
        <v>0</v>
      </c>
      <c r="T50" s="304">
        <f t="shared" si="4"/>
        <v>0</v>
      </c>
      <c r="V50" s="117">
        <f>'As-Filed Schedule 2A'!N50</f>
        <v>0</v>
      </c>
      <c r="W50" s="307">
        <f>SUMIFS(Adjustments!$G:$G,Adjustments!$H:$H,"2A",Adjustments!$I:$I,'Schedule 2A Adjustments'!$V$12,Adjustments!$J:$J,'Schedule 2A Adjustments'!A50)</f>
        <v>0</v>
      </c>
      <c r="X50" s="320">
        <f t="shared" si="5"/>
        <v>0</v>
      </c>
      <c r="Y50" s="117">
        <f>'As-Filed Schedule 2A'!O50</f>
        <v>0</v>
      </c>
      <c r="Z50" s="307">
        <f>SUMIFS(Adjustments!$G:$G,Adjustments!$H:$H,"2A",Adjustments!$I:$I,'Schedule 2A Adjustments'!$Y$12,Adjustments!$J:$J,'Schedule 2A Adjustments'!A50)</f>
        <v>0</v>
      </c>
      <c r="AA50" s="320">
        <f t="shared" si="6"/>
        <v>0</v>
      </c>
    </row>
    <row r="51" spans="1:27" x14ac:dyDescent="0.35">
      <c r="A51" s="24">
        <v>37</v>
      </c>
      <c r="B51" s="565" t="str">
        <f>IF('As-Filed Schedule 2A'!B51:D51=0,"",'As-Filed Schedule 2A'!B51:D51)</f>
        <v/>
      </c>
      <c r="C51" s="565"/>
      <c r="D51" s="565"/>
      <c r="F51" s="114">
        <f>'As-Filed Schedule 2A'!F51</f>
        <v>0</v>
      </c>
      <c r="G51" s="307">
        <f>SUMIFS(Adjustments!$G:$G,Adjustments!$H:$H,"2A",Adjustments!$I:$I,'Schedule 2A Adjustments'!$F$12,Adjustments!$J:$J,'Schedule 2A Adjustments'!A51)</f>
        <v>0</v>
      </c>
      <c r="H51" s="303">
        <f t="shared" si="1"/>
        <v>0</v>
      </c>
      <c r="I51" s="68">
        <f>IFERROR(F51*'As-Filed Schedule 1'!$E$103,0)</f>
        <v>0</v>
      </c>
      <c r="J51" s="304">
        <f>IFERROR(H51*'Adjusted Schedule 1'!$E$104,0)</f>
        <v>0</v>
      </c>
      <c r="K51" s="68">
        <f t="shared" si="7"/>
        <v>0</v>
      </c>
      <c r="L51" s="304">
        <f t="shared" si="2"/>
        <v>0</v>
      </c>
      <c r="N51" s="114">
        <f>'As-Filed Schedule 2A'!J51</f>
        <v>0</v>
      </c>
      <c r="O51" s="307">
        <f>SUMIFS(Adjustments!$G:$G,Adjustments!$H:$H,"2A",Adjustments!$I:$I,'Schedule 2A Adjustments'!$N$12,Adjustments!$J:$J,'Schedule 2A Adjustments'!A51)</f>
        <v>0</v>
      </c>
      <c r="P51" s="303">
        <f t="shared" si="3"/>
        <v>0</v>
      </c>
      <c r="Q51" s="68">
        <f>IFERROR(N51*'As-Filed Schedule 1'!$E$103,0)</f>
        <v>0</v>
      </c>
      <c r="R51" s="304">
        <f>IFERROR(P51*'Adjusted Schedule 1'!$E$104,0)</f>
        <v>0</v>
      </c>
      <c r="S51" s="68">
        <f t="shared" si="8"/>
        <v>0</v>
      </c>
      <c r="T51" s="304">
        <f t="shared" si="4"/>
        <v>0</v>
      </c>
      <c r="V51" s="117">
        <f>'As-Filed Schedule 2A'!N51</f>
        <v>0</v>
      </c>
      <c r="W51" s="307">
        <f>SUMIFS(Adjustments!$G:$G,Adjustments!$H:$H,"2A",Adjustments!$I:$I,'Schedule 2A Adjustments'!$V$12,Adjustments!$J:$J,'Schedule 2A Adjustments'!A51)</f>
        <v>0</v>
      </c>
      <c r="X51" s="320">
        <f t="shared" si="5"/>
        <v>0</v>
      </c>
      <c r="Y51" s="117">
        <f>'As-Filed Schedule 2A'!O51</f>
        <v>0</v>
      </c>
      <c r="Z51" s="307">
        <f>SUMIFS(Adjustments!$G:$G,Adjustments!$H:$H,"2A",Adjustments!$I:$I,'Schedule 2A Adjustments'!$Y$12,Adjustments!$J:$J,'Schedule 2A Adjustments'!A51)</f>
        <v>0</v>
      </c>
      <c r="AA51" s="320">
        <f t="shared" si="6"/>
        <v>0</v>
      </c>
    </row>
    <row r="52" spans="1:27" x14ac:dyDescent="0.35">
      <c r="A52" s="24">
        <v>38</v>
      </c>
      <c r="B52" s="565" t="str">
        <f>IF('As-Filed Schedule 2A'!B52:D52=0,"",'As-Filed Schedule 2A'!B52:D52)</f>
        <v/>
      </c>
      <c r="C52" s="565"/>
      <c r="D52" s="565"/>
      <c r="F52" s="114">
        <f>'As-Filed Schedule 2A'!F52</f>
        <v>0</v>
      </c>
      <c r="G52" s="307">
        <f>SUMIFS(Adjustments!$G:$G,Adjustments!$H:$H,"2A",Adjustments!$I:$I,'Schedule 2A Adjustments'!$F$12,Adjustments!$J:$J,'Schedule 2A Adjustments'!A52)</f>
        <v>0</v>
      </c>
      <c r="H52" s="303">
        <f t="shared" si="1"/>
        <v>0</v>
      </c>
      <c r="I52" s="68">
        <f>IFERROR(F52*'As-Filed Schedule 1'!$E$103,0)</f>
        <v>0</v>
      </c>
      <c r="J52" s="304">
        <f>IFERROR(H52*'Adjusted Schedule 1'!$E$104,0)</f>
        <v>0</v>
      </c>
      <c r="K52" s="68">
        <f t="shared" si="7"/>
        <v>0</v>
      </c>
      <c r="L52" s="304">
        <f t="shared" si="2"/>
        <v>0</v>
      </c>
      <c r="N52" s="114">
        <f>'As-Filed Schedule 2A'!J52</f>
        <v>0</v>
      </c>
      <c r="O52" s="307">
        <f>SUMIFS(Adjustments!$G:$G,Adjustments!$H:$H,"2A",Adjustments!$I:$I,'Schedule 2A Adjustments'!$N$12,Adjustments!$J:$J,'Schedule 2A Adjustments'!A52)</f>
        <v>0</v>
      </c>
      <c r="P52" s="303">
        <f t="shared" si="3"/>
        <v>0</v>
      </c>
      <c r="Q52" s="68">
        <f>IFERROR(N52*'As-Filed Schedule 1'!$E$103,0)</f>
        <v>0</v>
      </c>
      <c r="R52" s="304">
        <f>IFERROR(P52*'Adjusted Schedule 1'!$E$104,0)</f>
        <v>0</v>
      </c>
      <c r="S52" s="68">
        <f t="shared" si="8"/>
        <v>0</v>
      </c>
      <c r="T52" s="304">
        <f t="shared" si="4"/>
        <v>0</v>
      </c>
      <c r="V52" s="117">
        <f>'As-Filed Schedule 2A'!N52</f>
        <v>0</v>
      </c>
      <c r="W52" s="307">
        <f>SUMIFS(Adjustments!$G:$G,Adjustments!$H:$H,"2A",Adjustments!$I:$I,'Schedule 2A Adjustments'!$V$12,Adjustments!$J:$J,'Schedule 2A Adjustments'!A52)</f>
        <v>0</v>
      </c>
      <c r="X52" s="320">
        <f t="shared" si="5"/>
        <v>0</v>
      </c>
      <c r="Y52" s="117">
        <f>'As-Filed Schedule 2A'!O52</f>
        <v>0</v>
      </c>
      <c r="Z52" s="307">
        <f>SUMIFS(Adjustments!$G:$G,Adjustments!$H:$H,"2A",Adjustments!$I:$I,'Schedule 2A Adjustments'!$Y$12,Adjustments!$J:$J,'Schedule 2A Adjustments'!A52)</f>
        <v>0</v>
      </c>
      <c r="AA52" s="320">
        <f t="shared" si="6"/>
        <v>0</v>
      </c>
    </row>
    <row r="53" spans="1:27" x14ac:dyDescent="0.35">
      <c r="A53" s="24">
        <v>39</v>
      </c>
      <c r="B53" s="565" t="str">
        <f>IF('As-Filed Schedule 2A'!B53:D53=0,"",'As-Filed Schedule 2A'!B53:D53)</f>
        <v/>
      </c>
      <c r="C53" s="565"/>
      <c r="D53" s="565"/>
      <c r="F53" s="114">
        <f>'As-Filed Schedule 2A'!F53</f>
        <v>0</v>
      </c>
      <c r="G53" s="307">
        <f>SUMIFS(Adjustments!$G:$G,Adjustments!$H:$H,"2A",Adjustments!$I:$I,'Schedule 2A Adjustments'!$F$12,Adjustments!$J:$J,'Schedule 2A Adjustments'!A53)</f>
        <v>0</v>
      </c>
      <c r="H53" s="303">
        <f t="shared" si="1"/>
        <v>0</v>
      </c>
      <c r="I53" s="68">
        <f>IFERROR(F53*'As-Filed Schedule 1'!$E$103,0)</f>
        <v>0</v>
      </c>
      <c r="J53" s="304">
        <f>IFERROR(H53*'Adjusted Schedule 1'!$E$104,0)</f>
        <v>0</v>
      </c>
      <c r="K53" s="68">
        <f t="shared" si="7"/>
        <v>0</v>
      </c>
      <c r="L53" s="304">
        <f t="shared" si="2"/>
        <v>0</v>
      </c>
      <c r="N53" s="114">
        <f>'As-Filed Schedule 2A'!J53</f>
        <v>0</v>
      </c>
      <c r="O53" s="307">
        <f>SUMIFS(Adjustments!$G:$G,Adjustments!$H:$H,"2A",Adjustments!$I:$I,'Schedule 2A Adjustments'!$N$12,Adjustments!$J:$J,'Schedule 2A Adjustments'!A53)</f>
        <v>0</v>
      </c>
      <c r="P53" s="303">
        <f t="shared" si="3"/>
        <v>0</v>
      </c>
      <c r="Q53" s="68">
        <f>IFERROR(N53*'As-Filed Schedule 1'!$E$103,0)</f>
        <v>0</v>
      </c>
      <c r="R53" s="304">
        <f>IFERROR(P53*'Adjusted Schedule 1'!$E$104,0)</f>
        <v>0</v>
      </c>
      <c r="S53" s="68">
        <f t="shared" si="8"/>
        <v>0</v>
      </c>
      <c r="T53" s="304">
        <f t="shared" si="4"/>
        <v>0</v>
      </c>
      <c r="V53" s="117">
        <f>'As-Filed Schedule 2A'!N53</f>
        <v>0</v>
      </c>
      <c r="W53" s="307">
        <f>SUMIFS(Adjustments!$G:$G,Adjustments!$H:$H,"2A",Adjustments!$I:$I,'Schedule 2A Adjustments'!$V$12,Adjustments!$J:$J,'Schedule 2A Adjustments'!A53)</f>
        <v>0</v>
      </c>
      <c r="X53" s="320">
        <f t="shared" si="5"/>
        <v>0</v>
      </c>
      <c r="Y53" s="117">
        <f>'As-Filed Schedule 2A'!O53</f>
        <v>0</v>
      </c>
      <c r="Z53" s="307">
        <f>SUMIFS(Adjustments!$G:$G,Adjustments!$H:$H,"2A",Adjustments!$I:$I,'Schedule 2A Adjustments'!$Y$12,Adjustments!$J:$J,'Schedule 2A Adjustments'!A53)</f>
        <v>0</v>
      </c>
      <c r="AA53" s="320">
        <f t="shared" si="6"/>
        <v>0</v>
      </c>
    </row>
    <row r="54" spans="1:27" x14ac:dyDescent="0.35">
      <c r="A54" s="24">
        <v>40</v>
      </c>
      <c r="B54" s="565" t="str">
        <f>IF('As-Filed Schedule 2A'!B54:D54=0,"",'As-Filed Schedule 2A'!B54:D54)</f>
        <v/>
      </c>
      <c r="C54" s="565"/>
      <c r="D54" s="565"/>
      <c r="F54" s="114">
        <f>'As-Filed Schedule 2A'!F54</f>
        <v>0</v>
      </c>
      <c r="G54" s="307">
        <f>SUMIFS(Adjustments!$G:$G,Adjustments!$H:$H,"2A",Adjustments!$I:$I,'Schedule 2A Adjustments'!$F$12,Adjustments!$J:$J,'Schedule 2A Adjustments'!A54)</f>
        <v>0</v>
      </c>
      <c r="H54" s="303">
        <f t="shared" si="1"/>
        <v>0</v>
      </c>
      <c r="I54" s="68">
        <f>IFERROR(F54*'As-Filed Schedule 1'!$E$103,0)</f>
        <v>0</v>
      </c>
      <c r="J54" s="304">
        <f>IFERROR(H54*'Adjusted Schedule 1'!$E$104,0)</f>
        <v>0</v>
      </c>
      <c r="K54" s="68">
        <f t="shared" si="7"/>
        <v>0</v>
      </c>
      <c r="L54" s="304">
        <f t="shared" si="2"/>
        <v>0</v>
      </c>
      <c r="N54" s="114">
        <f>'As-Filed Schedule 2A'!J54</f>
        <v>0</v>
      </c>
      <c r="O54" s="307">
        <f>SUMIFS(Adjustments!$G:$G,Adjustments!$H:$H,"2A",Adjustments!$I:$I,'Schedule 2A Adjustments'!$N$12,Adjustments!$J:$J,'Schedule 2A Adjustments'!A54)</f>
        <v>0</v>
      </c>
      <c r="P54" s="303">
        <f t="shared" si="3"/>
        <v>0</v>
      </c>
      <c r="Q54" s="68">
        <f>IFERROR(N54*'As-Filed Schedule 1'!$E$103,0)</f>
        <v>0</v>
      </c>
      <c r="R54" s="304">
        <f>IFERROR(P54*'Adjusted Schedule 1'!$E$104,0)</f>
        <v>0</v>
      </c>
      <c r="S54" s="68">
        <f t="shared" si="8"/>
        <v>0</v>
      </c>
      <c r="T54" s="304">
        <f t="shared" si="4"/>
        <v>0</v>
      </c>
      <c r="V54" s="117">
        <f>'As-Filed Schedule 2A'!N54</f>
        <v>0</v>
      </c>
      <c r="W54" s="307">
        <f>SUMIFS(Adjustments!$G:$G,Adjustments!$H:$H,"2A",Adjustments!$I:$I,'Schedule 2A Adjustments'!$V$12,Adjustments!$J:$J,'Schedule 2A Adjustments'!A54)</f>
        <v>0</v>
      </c>
      <c r="X54" s="320">
        <f t="shared" si="5"/>
        <v>0</v>
      </c>
      <c r="Y54" s="117">
        <f>'As-Filed Schedule 2A'!O54</f>
        <v>0</v>
      </c>
      <c r="Z54" s="307">
        <f>SUMIFS(Adjustments!$G:$G,Adjustments!$H:$H,"2A",Adjustments!$I:$I,'Schedule 2A Adjustments'!$Y$12,Adjustments!$J:$J,'Schedule 2A Adjustments'!A54)</f>
        <v>0</v>
      </c>
      <c r="AA54" s="320">
        <f t="shared" si="6"/>
        <v>0</v>
      </c>
    </row>
    <row r="55" spans="1:27" x14ac:dyDescent="0.35">
      <c r="A55" s="24">
        <v>41</v>
      </c>
      <c r="B55" s="565" t="str">
        <f>IF('As-Filed Schedule 2A'!B55:D55=0,"",'As-Filed Schedule 2A'!B55:D55)</f>
        <v/>
      </c>
      <c r="C55" s="565"/>
      <c r="D55" s="565"/>
      <c r="F55" s="114">
        <f>'As-Filed Schedule 2A'!F55</f>
        <v>0</v>
      </c>
      <c r="G55" s="307">
        <f>SUMIFS(Adjustments!$G:$G,Adjustments!$H:$H,"2A",Adjustments!$I:$I,'Schedule 2A Adjustments'!$F$12,Adjustments!$J:$J,'Schedule 2A Adjustments'!A55)</f>
        <v>0</v>
      </c>
      <c r="H55" s="303">
        <f t="shared" si="1"/>
        <v>0</v>
      </c>
      <c r="I55" s="68">
        <f>IFERROR(F55*'As-Filed Schedule 1'!$E$103,0)</f>
        <v>0</v>
      </c>
      <c r="J55" s="304">
        <f>IFERROR(H55*'Adjusted Schedule 1'!$E$104,0)</f>
        <v>0</v>
      </c>
      <c r="K55" s="68">
        <f t="shared" si="7"/>
        <v>0</v>
      </c>
      <c r="L55" s="304">
        <f t="shared" si="2"/>
        <v>0</v>
      </c>
      <c r="N55" s="114">
        <f>'As-Filed Schedule 2A'!J55</f>
        <v>0</v>
      </c>
      <c r="O55" s="307">
        <f>SUMIFS(Adjustments!$G:$G,Adjustments!$H:$H,"2A",Adjustments!$I:$I,'Schedule 2A Adjustments'!$N$12,Adjustments!$J:$J,'Schedule 2A Adjustments'!A55)</f>
        <v>0</v>
      </c>
      <c r="P55" s="303">
        <f t="shared" si="3"/>
        <v>0</v>
      </c>
      <c r="Q55" s="68">
        <f>IFERROR(N55*'As-Filed Schedule 1'!$E$103,0)</f>
        <v>0</v>
      </c>
      <c r="R55" s="304">
        <f>IFERROR(P55*'Adjusted Schedule 1'!$E$104,0)</f>
        <v>0</v>
      </c>
      <c r="S55" s="68">
        <f t="shared" si="8"/>
        <v>0</v>
      </c>
      <c r="T55" s="304">
        <f t="shared" si="4"/>
        <v>0</v>
      </c>
      <c r="V55" s="117">
        <f>'As-Filed Schedule 2A'!N55</f>
        <v>0</v>
      </c>
      <c r="W55" s="307">
        <f>SUMIFS(Adjustments!$G:$G,Adjustments!$H:$H,"2A",Adjustments!$I:$I,'Schedule 2A Adjustments'!$V$12,Adjustments!$J:$J,'Schedule 2A Adjustments'!A55)</f>
        <v>0</v>
      </c>
      <c r="X55" s="320">
        <f t="shared" si="5"/>
        <v>0</v>
      </c>
      <c r="Y55" s="117">
        <f>'As-Filed Schedule 2A'!O55</f>
        <v>0</v>
      </c>
      <c r="Z55" s="307">
        <f>SUMIFS(Adjustments!$G:$G,Adjustments!$H:$H,"2A",Adjustments!$I:$I,'Schedule 2A Adjustments'!$Y$12,Adjustments!$J:$J,'Schedule 2A Adjustments'!A55)</f>
        <v>0</v>
      </c>
      <c r="AA55" s="320">
        <f t="shared" si="6"/>
        <v>0</v>
      </c>
    </row>
    <row r="56" spans="1:27" x14ac:dyDescent="0.35">
      <c r="A56" s="24">
        <v>42</v>
      </c>
      <c r="B56" s="565" t="str">
        <f>IF('As-Filed Schedule 2A'!B56:D56=0,"",'As-Filed Schedule 2A'!B56:D56)</f>
        <v/>
      </c>
      <c r="C56" s="565"/>
      <c r="D56" s="565"/>
      <c r="F56" s="114">
        <f>'As-Filed Schedule 2A'!F56</f>
        <v>0</v>
      </c>
      <c r="G56" s="307">
        <f>SUMIFS(Adjustments!$G:$G,Adjustments!$H:$H,"2A",Adjustments!$I:$I,'Schedule 2A Adjustments'!$F$12,Adjustments!$J:$J,'Schedule 2A Adjustments'!A56)</f>
        <v>0</v>
      </c>
      <c r="H56" s="303">
        <f t="shared" si="1"/>
        <v>0</v>
      </c>
      <c r="I56" s="68">
        <f>IFERROR(F56*'As-Filed Schedule 1'!$E$103,0)</f>
        <v>0</v>
      </c>
      <c r="J56" s="304">
        <f>IFERROR(H56*'Adjusted Schedule 1'!$E$104,0)</f>
        <v>0</v>
      </c>
      <c r="K56" s="68">
        <f t="shared" si="7"/>
        <v>0</v>
      </c>
      <c r="L56" s="304">
        <f t="shared" si="2"/>
        <v>0</v>
      </c>
      <c r="N56" s="114">
        <f>'As-Filed Schedule 2A'!J56</f>
        <v>0</v>
      </c>
      <c r="O56" s="307">
        <f>SUMIFS(Adjustments!$G:$G,Adjustments!$H:$H,"2A",Adjustments!$I:$I,'Schedule 2A Adjustments'!$N$12,Adjustments!$J:$J,'Schedule 2A Adjustments'!A56)</f>
        <v>0</v>
      </c>
      <c r="P56" s="303">
        <f t="shared" si="3"/>
        <v>0</v>
      </c>
      <c r="Q56" s="68">
        <f>IFERROR(N56*'As-Filed Schedule 1'!$E$103,0)</f>
        <v>0</v>
      </c>
      <c r="R56" s="304">
        <f>IFERROR(P56*'Adjusted Schedule 1'!$E$104,0)</f>
        <v>0</v>
      </c>
      <c r="S56" s="68">
        <f t="shared" si="8"/>
        <v>0</v>
      </c>
      <c r="T56" s="304">
        <f t="shared" si="4"/>
        <v>0</v>
      </c>
      <c r="V56" s="117">
        <f>'As-Filed Schedule 2A'!N56</f>
        <v>0</v>
      </c>
      <c r="W56" s="307">
        <f>SUMIFS(Adjustments!$G:$G,Adjustments!$H:$H,"2A",Adjustments!$I:$I,'Schedule 2A Adjustments'!$V$12,Adjustments!$J:$J,'Schedule 2A Adjustments'!A56)</f>
        <v>0</v>
      </c>
      <c r="X56" s="320">
        <f t="shared" si="5"/>
        <v>0</v>
      </c>
      <c r="Y56" s="117">
        <f>'As-Filed Schedule 2A'!O56</f>
        <v>0</v>
      </c>
      <c r="Z56" s="307">
        <f>SUMIFS(Adjustments!$G:$G,Adjustments!$H:$H,"2A",Adjustments!$I:$I,'Schedule 2A Adjustments'!$Y$12,Adjustments!$J:$J,'Schedule 2A Adjustments'!A56)</f>
        <v>0</v>
      </c>
      <c r="AA56" s="320">
        <f t="shared" si="6"/>
        <v>0</v>
      </c>
    </row>
    <row r="57" spans="1:27" x14ac:dyDescent="0.35">
      <c r="A57" s="24">
        <v>43</v>
      </c>
      <c r="B57" s="565" t="str">
        <f>IF('As-Filed Schedule 2A'!B57:D57=0,"",'As-Filed Schedule 2A'!B57:D57)</f>
        <v/>
      </c>
      <c r="C57" s="565"/>
      <c r="D57" s="565"/>
      <c r="F57" s="114">
        <f>'As-Filed Schedule 2A'!F57</f>
        <v>0</v>
      </c>
      <c r="G57" s="307">
        <f>SUMIFS(Adjustments!$G:$G,Adjustments!$H:$H,"2A",Adjustments!$I:$I,'Schedule 2A Adjustments'!$F$12,Adjustments!$J:$J,'Schedule 2A Adjustments'!A57)</f>
        <v>0</v>
      </c>
      <c r="H57" s="303">
        <f t="shared" si="1"/>
        <v>0</v>
      </c>
      <c r="I57" s="68">
        <f>IFERROR(F57*'As-Filed Schedule 1'!$E$103,0)</f>
        <v>0</v>
      </c>
      <c r="J57" s="304">
        <f>IFERROR(H57*'Adjusted Schedule 1'!$E$104,0)</f>
        <v>0</v>
      </c>
      <c r="K57" s="68">
        <f t="shared" si="7"/>
        <v>0</v>
      </c>
      <c r="L57" s="304">
        <f t="shared" si="2"/>
        <v>0</v>
      </c>
      <c r="N57" s="114">
        <f>'As-Filed Schedule 2A'!J57</f>
        <v>0</v>
      </c>
      <c r="O57" s="307">
        <f>SUMIFS(Adjustments!$G:$G,Adjustments!$H:$H,"2A",Adjustments!$I:$I,'Schedule 2A Adjustments'!$N$12,Adjustments!$J:$J,'Schedule 2A Adjustments'!A57)</f>
        <v>0</v>
      </c>
      <c r="P57" s="303">
        <f t="shared" si="3"/>
        <v>0</v>
      </c>
      <c r="Q57" s="68">
        <f>IFERROR(N57*'As-Filed Schedule 1'!$E$103,0)</f>
        <v>0</v>
      </c>
      <c r="R57" s="304">
        <f>IFERROR(P57*'Adjusted Schedule 1'!$E$104,0)</f>
        <v>0</v>
      </c>
      <c r="S57" s="68">
        <f t="shared" si="8"/>
        <v>0</v>
      </c>
      <c r="T57" s="304">
        <f t="shared" si="4"/>
        <v>0</v>
      </c>
      <c r="V57" s="117">
        <f>'As-Filed Schedule 2A'!N57</f>
        <v>0</v>
      </c>
      <c r="W57" s="307">
        <f>SUMIFS(Adjustments!$G:$G,Adjustments!$H:$H,"2A",Adjustments!$I:$I,'Schedule 2A Adjustments'!$V$12,Adjustments!$J:$J,'Schedule 2A Adjustments'!A57)</f>
        <v>0</v>
      </c>
      <c r="X57" s="320">
        <f t="shared" si="5"/>
        <v>0</v>
      </c>
      <c r="Y57" s="117">
        <f>'As-Filed Schedule 2A'!O57</f>
        <v>0</v>
      </c>
      <c r="Z57" s="307">
        <f>SUMIFS(Adjustments!$G:$G,Adjustments!$H:$H,"2A",Adjustments!$I:$I,'Schedule 2A Adjustments'!$Y$12,Adjustments!$J:$J,'Schedule 2A Adjustments'!A57)</f>
        <v>0</v>
      </c>
      <c r="AA57" s="320">
        <f t="shared" si="6"/>
        <v>0</v>
      </c>
    </row>
    <row r="58" spans="1:27" x14ac:dyDescent="0.35">
      <c r="A58" s="24">
        <v>44</v>
      </c>
      <c r="B58" s="565" t="str">
        <f>IF('As-Filed Schedule 2A'!B58:D58=0,"",'As-Filed Schedule 2A'!B58:D58)</f>
        <v/>
      </c>
      <c r="C58" s="565"/>
      <c r="D58" s="565"/>
      <c r="F58" s="114">
        <f>'As-Filed Schedule 2A'!F58</f>
        <v>0</v>
      </c>
      <c r="G58" s="307">
        <f>SUMIFS(Adjustments!$G:$G,Adjustments!$H:$H,"2A",Adjustments!$I:$I,'Schedule 2A Adjustments'!$F$12,Adjustments!$J:$J,'Schedule 2A Adjustments'!A58)</f>
        <v>0</v>
      </c>
      <c r="H58" s="303">
        <f t="shared" si="1"/>
        <v>0</v>
      </c>
      <c r="I58" s="68">
        <f>IFERROR(F58*'As-Filed Schedule 1'!$E$103,0)</f>
        <v>0</v>
      </c>
      <c r="J58" s="304">
        <f>IFERROR(H58*'Adjusted Schedule 1'!$E$104,0)</f>
        <v>0</v>
      </c>
      <c r="K58" s="68">
        <f t="shared" si="7"/>
        <v>0</v>
      </c>
      <c r="L58" s="304">
        <f t="shared" si="2"/>
        <v>0</v>
      </c>
      <c r="N58" s="114">
        <f>'As-Filed Schedule 2A'!J58</f>
        <v>0</v>
      </c>
      <c r="O58" s="307">
        <f>SUMIFS(Adjustments!$G:$G,Adjustments!$H:$H,"2A",Adjustments!$I:$I,'Schedule 2A Adjustments'!$N$12,Adjustments!$J:$J,'Schedule 2A Adjustments'!A58)</f>
        <v>0</v>
      </c>
      <c r="P58" s="303">
        <f t="shared" si="3"/>
        <v>0</v>
      </c>
      <c r="Q58" s="68">
        <f>IFERROR(N58*'As-Filed Schedule 1'!$E$103,0)</f>
        <v>0</v>
      </c>
      <c r="R58" s="304">
        <f>IFERROR(P58*'Adjusted Schedule 1'!$E$104,0)</f>
        <v>0</v>
      </c>
      <c r="S58" s="68">
        <f t="shared" si="8"/>
        <v>0</v>
      </c>
      <c r="T58" s="304">
        <f t="shared" si="4"/>
        <v>0</v>
      </c>
      <c r="V58" s="117">
        <f>'As-Filed Schedule 2A'!N58</f>
        <v>0</v>
      </c>
      <c r="W58" s="307">
        <f>SUMIFS(Adjustments!$G:$G,Adjustments!$H:$H,"2A",Adjustments!$I:$I,'Schedule 2A Adjustments'!$V$12,Adjustments!$J:$J,'Schedule 2A Adjustments'!A58)</f>
        <v>0</v>
      </c>
      <c r="X58" s="320">
        <f t="shared" si="5"/>
        <v>0</v>
      </c>
      <c r="Y58" s="117">
        <f>'As-Filed Schedule 2A'!O58</f>
        <v>0</v>
      </c>
      <c r="Z58" s="307">
        <f>SUMIFS(Adjustments!$G:$G,Adjustments!$H:$H,"2A",Adjustments!$I:$I,'Schedule 2A Adjustments'!$Y$12,Adjustments!$J:$J,'Schedule 2A Adjustments'!A58)</f>
        <v>0</v>
      </c>
      <c r="AA58" s="320">
        <f t="shared" si="6"/>
        <v>0</v>
      </c>
    </row>
    <row r="59" spans="1:27" x14ac:dyDescent="0.35">
      <c r="A59" s="24">
        <v>45</v>
      </c>
      <c r="B59" s="565" t="str">
        <f>IF('As-Filed Schedule 2A'!B59:D59=0,"",'As-Filed Schedule 2A'!B59:D59)</f>
        <v/>
      </c>
      <c r="C59" s="565"/>
      <c r="D59" s="565"/>
      <c r="F59" s="114">
        <f>'As-Filed Schedule 2A'!F59</f>
        <v>0</v>
      </c>
      <c r="G59" s="307">
        <f>SUMIFS(Adjustments!$G:$G,Adjustments!$H:$H,"2A",Adjustments!$I:$I,'Schedule 2A Adjustments'!$F$12,Adjustments!$J:$J,'Schedule 2A Adjustments'!A59)</f>
        <v>0</v>
      </c>
      <c r="H59" s="303">
        <f t="shared" si="1"/>
        <v>0</v>
      </c>
      <c r="I59" s="68">
        <f>IFERROR(F59*'As-Filed Schedule 1'!$E$103,0)</f>
        <v>0</v>
      </c>
      <c r="J59" s="304">
        <f>IFERROR(H59*'Adjusted Schedule 1'!$E$104,0)</f>
        <v>0</v>
      </c>
      <c r="K59" s="68">
        <f t="shared" si="7"/>
        <v>0</v>
      </c>
      <c r="L59" s="304">
        <f t="shared" si="2"/>
        <v>0</v>
      </c>
      <c r="N59" s="114">
        <f>'As-Filed Schedule 2A'!J59</f>
        <v>0</v>
      </c>
      <c r="O59" s="307">
        <f>SUMIFS(Adjustments!$G:$G,Adjustments!$H:$H,"2A",Adjustments!$I:$I,'Schedule 2A Adjustments'!$N$12,Adjustments!$J:$J,'Schedule 2A Adjustments'!A59)</f>
        <v>0</v>
      </c>
      <c r="P59" s="303">
        <f t="shared" si="3"/>
        <v>0</v>
      </c>
      <c r="Q59" s="68">
        <f>IFERROR(N59*'As-Filed Schedule 1'!$E$103,0)</f>
        <v>0</v>
      </c>
      <c r="R59" s="304">
        <f>IFERROR(P59*'Adjusted Schedule 1'!$E$104,0)</f>
        <v>0</v>
      </c>
      <c r="S59" s="68">
        <f t="shared" si="8"/>
        <v>0</v>
      </c>
      <c r="T59" s="304">
        <f t="shared" si="4"/>
        <v>0</v>
      </c>
      <c r="V59" s="117">
        <f>'As-Filed Schedule 2A'!N59</f>
        <v>0</v>
      </c>
      <c r="W59" s="307">
        <f>SUMIFS(Adjustments!$G:$G,Adjustments!$H:$H,"2A",Adjustments!$I:$I,'Schedule 2A Adjustments'!$V$12,Adjustments!$J:$J,'Schedule 2A Adjustments'!A59)</f>
        <v>0</v>
      </c>
      <c r="X59" s="320">
        <f t="shared" si="5"/>
        <v>0</v>
      </c>
      <c r="Y59" s="117">
        <f>'As-Filed Schedule 2A'!O59</f>
        <v>0</v>
      </c>
      <c r="Z59" s="307">
        <f>SUMIFS(Adjustments!$G:$G,Adjustments!$H:$H,"2A",Adjustments!$I:$I,'Schedule 2A Adjustments'!$Y$12,Adjustments!$J:$J,'Schedule 2A Adjustments'!A59)</f>
        <v>0</v>
      </c>
      <c r="AA59" s="320">
        <f t="shared" si="6"/>
        <v>0</v>
      </c>
    </row>
    <row r="60" spans="1:27" x14ac:dyDescent="0.35">
      <c r="A60" s="24">
        <v>46</v>
      </c>
      <c r="B60" s="565" t="str">
        <f>IF('As-Filed Schedule 2A'!B60:D60=0,"",'As-Filed Schedule 2A'!B60:D60)</f>
        <v/>
      </c>
      <c r="C60" s="565"/>
      <c r="D60" s="565"/>
      <c r="F60" s="114">
        <f>'As-Filed Schedule 2A'!F60</f>
        <v>0</v>
      </c>
      <c r="G60" s="307">
        <f>SUMIFS(Adjustments!$G:$G,Adjustments!$H:$H,"2A",Adjustments!$I:$I,'Schedule 2A Adjustments'!$F$12,Adjustments!$J:$J,'Schedule 2A Adjustments'!A60)</f>
        <v>0</v>
      </c>
      <c r="H60" s="303">
        <f t="shared" si="1"/>
        <v>0</v>
      </c>
      <c r="I60" s="68">
        <f>IFERROR(F60*'As-Filed Schedule 1'!$E$103,0)</f>
        <v>0</v>
      </c>
      <c r="J60" s="304">
        <f>IFERROR(H60*'Adjusted Schedule 1'!$E$104,0)</f>
        <v>0</v>
      </c>
      <c r="K60" s="68">
        <f t="shared" si="7"/>
        <v>0</v>
      </c>
      <c r="L60" s="304">
        <f t="shared" si="2"/>
        <v>0</v>
      </c>
      <c r="N60" s="114">
        <f>'As-Filed Schedule 2A'!J60</f>
        <v>0</v>
      </c>
      <c r="O60" s="307">
        <f>SUMIFS(Adjustments!$G:$G,Adjustments!$H:$H,"2A",Adjustments!$I:$I,'Schedule 2A Adjustments'!$N$12,Adjustments!$J:$J,'Schedule 2A Adjustments'!A60)</f>
        <v>0</v>
      </c>
      <c r="P60" s="303">
        <f t="shared" si="3"/>
        <v>0</v>
      </c>
      <c r="Q60" s="68">
        <f>IFERROR(N60*'As-Filed Schedule 1'!$E$103,0)</f>
        <v>0</v>
      </c>
      <c r="R60" s="304">
        <f>IFERROR(P60*'Adjusted Schedule 1'!$E$104,0)</f>
        <v>0</v>
      </c>
      <c r="S60" s="68">
        <f t="shared" si="8"/>
        <v>0</v>
      </c>
      <c r="T60" s="304">
        <f t="shared" si="4"/>
        <v>0</v>
      </c>
      <c r="V60" s="117">
        <f>'As-Filed Schedule 2A'!N60</f>
        <v>0</v>
      </c>
      <c r="W60" s="307">
        <f>SUMIFS(Adjustments!$G:$G,Adjustments!$H:$H,"2A",Adjustments!$I:$I,'Schedule 2A Adjustments'!$V$12,Adjustments!$J:$J,'Schedule 2A Adjustments'!A60)</f>
        <v>0</v>
      </c>
      <c r="X60" s="320">
        <f t="shared" si="5"/>
        <v>0</v>
      </c>
      <c r="Y60" s="117">
        <f>'As-Filed Schedule 2A'!O60</f>
        <v>0</v>
      </c>
      <c r="Z60" s="307">
        <f>SUMIFS(Adjustments!$G:$G,Adjustments!$H:$H,"2A",Adjustments!$I:$I,'Schedule 2A Adjustments'!$Y$12,Adjustments!$J:$J,'Schedule 2A Adjustments'!A60)</f>
        <v>0</v>
      </c>
      <c r="AA60" s="320">
        <f t="shared" si="6"/>
        <v>0</v>
      </c>
    </row>
    <row r="61" spans="1:27" x14ac:dyDescent="0.35">
      <c r="A61" s="24">
        <v>47</v>
      </c>
      <c r="B61" s="565" t="str">
        <f>IF('As-Filed Schedule 2A'!B61:D61=0,"",'As-Filed Schedule 2A'!B61:D61)</f>
        <v/>
      </c>
      <c r="C61" s="565"/>
      <c r="D61" s="565"/>
      <c r="F61" s="114">
        <f>'As-Filed Schedule 2A'!F61</f>
        <v>0</v>
      </c>
      <c r="G61" s="307">
        <f>SUMIFS(Adjustments!$G:$G,Adjustments!$H:$H,"2A",Adjustments!$I:$I,'Schedule 2A Adjustments'!$F$12,Adjustments!$J:$J,'Schedule 2A Adjustments'!A61)</f>
        <v>0</v>
      </c>
      <c r="H61" s="303">
        <f t="shared" si="1"/>
        <v>0</v>
      </c>
      <c r="I61" s="68">
        <f>IFERROR(F61*'As-Filed Schedule 1'!$E$103,0)</f>
        <v>0</v>
      </c>
      <c r="J61" s="304">
        <f>IFERROR(H61*'Adjusted Schedule 1'!$E$104,0)</f>
        <v>0</v>
      </c>
      <c r="K61" s="68">
        <f t="shared" si="7"/>
        <v>0</v>
      </c>
      <c r="L61" s="304">
        <f t="shared" si="2"/>
        <v>0</v>
      </c>
      <c r="N61" s="114">
        <f>'As-Filed Schedule 2A'!J61</f>
        <v>0</v>
      </c>
      <c r="O61" s="307">
        <f>SUMIFS(Adjustments!$G:$G,Adjustments!$H:$H,"2A",Adjustments!$I:$I,'Schedule 2A Adjustments'!$N$12,Adjustments!$J:$J,'Schedule 2A Adjustments'!A61)</f>
        <v>0</v>
      </c>
      <c r="P61" s="303">
        <f t="shared" si="3"/>
        <v>0</v>
      </c>
      <c r="Q61" s="68">
        <f>IFERROR(N61*'As-Filed Schedule 1'!$E$103,0)</f>
        <v>0</v>
      </c>
      <c r="R61" s="304">
        <f>IFERROR(P61*'Adjusted Schedule 1'!$E$104,0)</f>
        <v>0</v>
      </c>
      <c r="S61" s="68">
        <f t="shared" si="8"/>
        <v>0</v>
      </c>
      <c r="T61" s="304">
        <f t="shared" si="4"/>
        <v>0</v>
      </c>
      <c r="V61" s="117">
        <f>'As-Filed Schedule 2A'!N61</f>
        <v>0</v>
      </c>
      <c r="W61" s="307">
        <f>SUMIFS(Adjustments!$G:$G,Adjustments!$H:$H,"2A",Adjustments!$I:$I,'Schedule 2A Adjustments'!$V$12,Adjustments!$J:$J,'Schedule 2A Adjustments'!A61)</f>
        <v>0</v>
      </c>
      <c r="X61" s="320">
        <f t="shared" si="5"/>
        <v>0</v>
      </c>
      <c r="Y61" s="117">
        <f>'As-Filed Schedule 2A'!O61</f>
        <v>0</v>
      </c>
      <c r="Z61" s="307">
        <f>SUMIFS(Adjustments!$G:$G,Adjustments!$H:$H,"2A",Adjustments!$I:$I,'Schedule 2A Adjustments'!$Y$12,Adjustments!$J:$J,'Schedule 2A Adjustments'!A61)</f>
        <v>0</v>
      </c>
      <c r="AA61" s="320">
        <f t="shared" si="6"/>
        <v>0</v>
      </c>
    </row>
    <row r="62" spans="1:27" x14ac:dyDescent="0.35">
      <c r="A62" s="24">
        <v>48</v>
      </c>
      <c r="B62" s="565" t="str">
        <f>IF('As-Filed Schedule 2A'!B62:D62=0,"",'As-Filed Schedule 2A'!B62:D62)</f>
        <v/>
      </c>
      <c r="C62" s="565"/>
      <c r="D62" s="565"/>
      <c r="F62" s="114">
        <f>'As-Filed Schedule 2A'!F62</f>
        <v>0</v>
      </c>
      <c r="G62" s="307">
        <f>SUMIFS(Adjustments!$G:$G,Adjustments!$H:$H,"2A",Adjustments!$I:$I,'Schedule 2A Adjustments'!$F$12,Adjustments!$J:$J,'Schedule 2A Adjustments'!A62)</f>
        <v>0</v>
      </c>
      <c r="H62" s="303">
        <f t="shared" si="1"/>
        <v>0</v>
      </c>
      <c r="I62" s="68">
        <f>IFERROR(F62*'As-Filed Schedule 1'!$E$103,0)</f>
        <v>0</v>
      </c>
      <c r="J62" s="304">
        <f>IFERROR(H62*'Adjusted Schedule 1'!$E$104,0)</f>
        <v>0</v>
      </c>
      <c r="K62" s="68">
        <f t="shared" si="7"/>
        <v>0</v>
      </c>
      <c r="L62" s="304">
        <f t="shared" si="2"/>
        <v>0</v>
      </c>
      <c r="N62" s="114">
        <f>'As-Filed Schedule 2A'!J62</f>
        <v>0</v>
      </c>
      <c r="O62" s="307">
        <f>SUMIFS(Adjustments!$G:$G,Adjustments!$H:$H,"2A",Adjustments!$I:$I,'Schedule 2A Adjustments'!$N$12,Adjustments!$J:$J,'Schedule 2A Adjustments'!A62)</f>
        <v>0</v>
      </c>
      <c r="P62" s="303">
        <f t="shared" si="3"/>
        <v>0</v>
      </c>
      <c r="Q62" s="68">
        <f>IFERROR(N62*'As-Filed Schedule 1'!$E$103,0)</f>
        <v>0</v>
      </c>
      <c r="R62" s="304">
        <f>IFERROR(P62*'Adjusted Schedule 1'!$E$104,0)</f>
        <v>0</v>
      </c>
      <c r="S62" s="68">
        <f t="shared" si="8"/>
        <v>0</v>
      </c>
      <c r="T62" s="304">
        <f t="shared" si="4"/>
        <v>0</v>
      </c>
      <c r="V62" s="117">
        <f>'As-Filed Schedule 2A'!N62</f>
        <v>0</v>
      </c>
      <c r="W62" s="307">
        <f>SUMIFS(Adjustments!$G:$G,Adjustments!$H:$H,"2A",Adjustments!$I:$I,'Schedule 2A Adjustments'!$V$12,Adjustments!$J:$J,'Schedule 2A Adjustments'!A62)</f>
        <v>0</v>
      </c>
      <c r="X62" s="320">
        <f t="shared" si="5"/>
        <v>0</v>
      </c>
      <c r="Y62" s="117">
        <f>'As-Filed Schedule 2A'!O62</f>
        <v>0</v>
      </c>
      <c r="Z62" s="307">
        <f>SUMIFS(Adjustments!$G:$G,Adjustments!$H:$H,"2A",Adjustments!$I:$I,'Schedule 2A Adjustments'!$Y$12,Adjustments!$J:$J,'Schedule 2A Adjustments'!A62)</f>
        <v>0</v>
      </c>
      <c r="AA62" s="320">
        <f t="shared" si="6"/>
        <v>0</v>
      </c>
    </row>
    <row r="63" spans="1:27" x14ac:dyDescent="0.35">
      <c r="A63" s="24">
        <v>49</v>
      </c>
      <c r="B63" s="565" t="str">
        <f>IF('As-Filed Schedule 2A'!B63:D63=0,"",'As-Filed Schedule 2A'!B63:D63)</f>
        <v/>
      </c>
      <c r="C63" s="565"/>
      <c r="D63" s="565"/>
      <c r="F63" s="114">
        <f>'As-Filed Schedule 2A'!F63</f>
        <v>0</v>
      </c>
      <c r="G63" s="307">
        <f>SUMIFS(Adjustments!$G:$G,Adjustments!$H:$H,"2A",Adjustments!$I:$I,'Schedule 2A Adjustments'!$F$12,Adjustments!$J:$J,'Schedule 2A Adjustments'!A63)</f>
        <v>0</v>
      </c>
      <c r="H63" s="303">
        <f t="shared" si="1"/>
        <v>0</v>
      </c>
      <c r="I63" s="68">
        <f>IFERROR(F63*'As-Filed Schedule 1'!$E$103,0)</f>
        <v>0</v>
      </c>
      <c r="J63" s="304">
        <f>IFERROR(H63*'Adjusted Schedule 1'!$E$104,0)</f>
        <v>0</v>
      </c>
      <c r="K63" s="68">
        <f t="shared" si="7"/>
        <v>0</v>
      </c>
      <c r="L63" s="304">
        <f t="shared" si="2"/>
        <v>0</v>
      </c>
      <c r="N63" s="114">
        <f>'As-Filed Schedule 2A'!J63</f>
        <v>0</v>
      </c>
      <c r="O63" s="307">
        <f>SUMIFS(Adjustments!$G:$G,Adjustments!$H:$H,"2A",Adjustments!$I:$I,'Schedule 2A Adjustments'!$N$12,Adjustments!$J:$J,'Schedule 2A Adjustments'!A63)</f>
        <v>0</v>
      </c>
      <c r="P63" s="303">
        <f t="shared" si="3"/>
        <v>0</v>
      </c>
      <c r="Q63" s="68">
        <f>IFERROR(N63*'As-Filed Schedule 1'!$E$103,0)</f>
        <v>0</v>
      </c>
      <c r="R63" s="304">
        <f>IFERROR(P63*'Adjusted Schedule 1'!$E$104,0)</f>
        <v>0</v>
      </c>
      <c r="S63" s="68">
        <f t="shared" si="8"/>
        <v>0</v>
      </c>
      <c r="T63" s="304">
        <f t="shared" si="4"/>
        <v>0</v>
      </c>
      <c r="V63" s="117">
        <f>'As-Filed Schedule 2A'!N63</f>
        <v>0</v>
      </c>
      <c r="W63" s="307">
        <f>SUMIFS(Adjustments!$G:$G,Adjustments!$H:$H,"2A",Adjustments!$I:$I,'Schedule 2A Adjustments'!$V$12,Adjustments!$J:$J,'Schedule 2A Adjustments'!A63)</f>
        <v>0</v>
      </c>
      <c r="X63" s="320">
        <f t="shared" si="5"/>
        <v>0</v>
      </c>
      <c r="Y63" s="117">
        <f>'As-Filed Schedule 2A'!O63</f>
        <v>0</v>
      </c>
      <c r="Z63" s="307">
        <f>SUMIFS(Adjustments!$G:$G,Adjustments!$H:$H,"2A",Adjustments!$I:$I,'Schedule 2A Adjustments'!$Y$12,Adjustments!$J:$J,'Schedule 2A Adjustments'!A63)</f>
        <v>0</v>
      </c>
      <c r="AA63" s="320">
        <f t="shared" si="6"/>
        <v>0</v>
      </c>
    </row>
    <row r="64" spans="1:27" x14ac:dyDescent="0.35">
      <c r="A64" s="24">
        <v>50</v>
      </c>
      <c r="B64" s="565" t="str">
        <f>IF('As-Filed Schedule 2A'!B64:D64=0,"",'As-Filed Schedule 2A'!B64:D64)</f>
        <v/>
      </c>
      <c r="C64" s="565"/>
      <c r="D64" s="565"/>
      <c r="F64" s="114">
        <f>'As-Filed Schedule 2A'!F64</f>
        <v>0</v>
      </c>
      <c r="G64" s="307">
        <f>SUMIFS(Adjustments!$G:$G,Adjustments!$H:$H,"2A",Adjustments!$I:$I,'Schedule 2A Adjustments'!$F$12,Adjustments!$J:$J,'Schedule 2A Adjustments'!A64)</f>
        <v>0</v>
      </c>
      <c r="H64" s="303">
        <f t="shared" si="1"/>
        <v>0</v>
      </c>
      <c r="I64" s="68">
        <f>IFERROR(F64*'As-Filed Schedule 1'!$E$103,0)</f>
        <v>0</v>
      </c>
      <c r="J64" s="304">
        <f>IFERROR(H64*'Adjusted Schedule 1'!$E$104,0)</f>
        <v>0</v>
      </c>
      <c r="K64" s="68">
        <f t="shared" si="7"/>
        <v>0</v>
      </c>
      <c r="L64" s="304">
        <f t="shared" si="2"/>
        <v>0</v>
      </c>
      <c r="N64" s="114">
        <f>'As-Filed Schedule 2A'!J64</f>
        <v>0</v>
      </c>
      <c r="O64" s="307">
        <f>SUMIFS(Adjustments!$G:$G,Adjustments!$H:$H,"2A",Adjustments!$I:$I,'Schedule 2A Adjustments'!$N$12,Adjustments!$J:$J,'Schedule 2A Adjustments'!A64)</f>
        <v>0</v>
      </c>
      <c r="P64" s="303">
        <f t="shared" si="3"/>
        <v>0</v>
      </c>
      <c r="Q64" s="68">
        <f>IFERROR(N64*'As-Filed Schedule 1'!$E$103,0)</f>
        <v>0</v>
      </c>
      <c r="R64" s="304">
        <f>IFERROR(P64*'Adjusted Schedule 1'!$E$104,0)</f>
        <v>0</v>
      </c>
      <c r="S64" s="68">
        <f t="shared" si="8"/>
        <v>0</v>
      </c>
      <c r="T64" s="304">
        <f t="shared" si="4"/>
        <v>0</v>
      </c>
      <c r="V64" s="117">
        <f>'As-Filed Schedule 2A'!N64</f>
        <v>0</v>
      </c>
      <c r="W64" s="307">
        <f>SUMIFS(Adjustments!$G:$G,Adjustments!$H:$H,"2A",Adjustments!$I:$I,'Schedule 2A Adjustments'!$V$12,Adjustments!$J:$J,'Schedule 2A Adjustments'!A64)</f>
        <v>0</v>
      </c>
      <c r="X64" s="320">
        <f t="shared" si="5"/>
        <v>0</v>
      </c>
      <c r="Y64" s="117">
        <f>'As-Filed Schedule 2A'!O64</f>
        <v>0</v>
      </c>
      <c r="Z64" s="307">
        <f>SUMIFS(Adjustments!$G:$G,Adjustments!$H:$H,"2A",Adjustments!$I:$I,'Schedule 2A Adjustments'!$Y$12,Adjustments!$J:$J,'Schedule 2A Adjustments'!A64)</f>
        <v>0</v>
      </c>
      <c r="AA64" s="320">
        <f t="shared" si="6"/>
        <v>0</v>
      </c>
    </row>
    <row r="65" spans="1:27" x14ac:dyDescent="0.35">
      <c r="A65" s="24">
        <v>51</v>
      </c>
      <c r="B65" s="565" t="str">
        <f>IF('As-Filed Schedule 2A'!B65:D65=0,"",'As-Filed Schedule 2A'!B65:D65)</f>
        <v/>
      </c>
      <c r="C65" s="565"/>
      <c r="D65" s="565"/>
      <c r="F65" s="114">
        <f>'As-Filed Schedule 2A'!F65</f>
        <v>0</v>
      </c>
      <c r="G65" s="307">
        <f>SUMIFS(Adjustments!$G:$G,Adjustments!$H:$H,"2A",Adjustments!$I:$I,'Schedule 2A Adjustments'!$F$12,Adjustments!$J:$J,'Schedule 2A Adjustments'!A65)</f>
        <v>0</v>
      </c>
      <c r="H65" s="303">
        <f t="shared" si="1"/>
        <v>0</v>
      </c>
      <c r="I65" s="68">
        <f>IFERROR(F65*'As-Filed Schedule 1'!$E$103,0)</f>
        <v>0</v>
      </c>
      <c r="J65" s="304">
        <f>IFERROR(H65*'Adjusted Schedule 1'!$E$104,0)</f>
        <v>0</v>
      </c>
      <c r="K65" s="68">
        <f t="shared" si="7"/>
        <v>0</v>
      </c>
      <c r="L65" s="304">
        <f t="shared" si="2"/>
        <v>0</v>
      </c>
      <c r="N65" s="114">
        <f>'As-Filed Schedule 2A'!J65</f>
        <v>0</v>
      </c>
      <c r="O65" s="307">
        <f>SUMIFS(Adjustments!$G:$G,Adjustments!$H:$H,"2A",Adjustments!$I:$I,'Schedule 2A Adjustments'!$N$12,Adjustments!$J:$J,'Schedule 2A Adjustments'!A65)</f>
        <v>0</v>
      </c>
      <c r="P65" s="303">
        <f t="shared" si="3"/>
        <v>0</v>
      </c>
      <c r="Q65" s="68">
        <f>IFERROR(N65*'As-Filed Schedule 1'!$E$103,0)</f>
        <v>0</v>
      </c>
      <c r="R65" s="304">
        <f>IFERROR(P65*'Adjusted Schedule 1'!$E$104,0)</f>
        <v>0</v>
      </c>
      <c r="S65" s="68">
        <f t="shared" si="8"/>
        <v>0</v>
      </c>
      <c r="T65" s="304">
        <f t="shared" si="4"/>
        <v>0</v>
      </c>
      <c r="V65" s="117">
        <f>'As-Filed Schedule 2A'!N65</f>
        <v>0</v>
      </c>
      <c r="W65" s="307">
        <f>SUMIFS(Adjustments!$G:$G,Adjustments!$H:$H,"2A",Adjustments!$I:$I,'Schedule 2A Adjustments'!$V$12,Adjustments!$J:$J,'Schedule 2A Adjustments'!A65)</f>
        <v>0</v>
      </c>
      <c r="X65" s="320">
        <f t="shared" si="5"/>
        <v>0</v>
      </c>
      <c r="Y65" s="117">
        <f>'As-Filed Schedule 2A'!O65</f>
        <v>0</v>
      </c>
      <c r="Z65" s="307">
        <f>SUMIFS(Adjustments!$G:$G,Adjustments!$H:$H,"2A",Adjustments!$I:$I,'Schedule 2A Adjustments'!$Y$12,Adjustments!$J:$J,'Schedule 2A Adjustments'!A65)</f>
        <v>0</v>
      </c>
      <c r="AA65" s="320">
        <f t="shared" si="6"/>
        <v>0</v>
      </c>
    </row>
    <row r="66" spans="1:27" x14ac:dyDescent="0.35">
      <c r="A66" s="24">
        <v>52</v>
      </c>
      <c r="B66" s="565" t="str">
        <f>IF('As-Filed Schedule 2A'!B66:D66=0,"",'As-Filed Schedule 2A'!B66:D66)</f>
        <v/>
      </c>
      <c r="C66" s="565"/>
      <c r="D66" s="565"/>
      <c r="F66" s="114">
        <f>'As-Filed Schedule 2A'!F66</f>
        <v>0</v>
      </c>
      <c r="G66" s="307">
        <f>SUMIFS(Adjustments!$G:$G,Adjustments!$H:$H,"2A",Adjustments!$I:$I,'Schedule 2A Adjustments'!$F$12,Adjustments!$J:$J,'Schedule 2A Adjustments'!A66)</f>
        <v>0</v>
      </c>
      <c r="H66" s="303">
        <f t="shared" si="1"/>
        <v>0</v>
      </c>
      <c r="I66" s="68">
        <f>IFERROR(F66*'As-Filed Schedule 1'!$E$103,0)</f>
        <v>0</v>
      </c>
      <c r="J66" s="304">
        <f>IFERROR(H66*'Adjusted Schedule 1'!$E$104,0)</f>
        <v>0</v>
      </c>
      <c r="K66" s="68">
        <f t="shared" si="7"/>
        <v>0</v>
      </c>
      <c r="L66" s="304">
        <f t="shared" si="2"/>
        <v>0</v>
      </c>
      <c r="N66" s="114">
        <f>'As-Filed Schedule 2A'!J66</f>
        <v>0</v>
      </c>
      <c r="O66" s="307">
        <f>SUMIFS(Adjustments!$G:$G,Adjustments!$H:$H,"2A",Adjustments!$I:$I,'Schedule 2A Adjustments'!$N$12,Adjustments!$J:$J,'Schedule 2A Adjustments'!A66)</f>
        <v>0</v>
      </c>
      <c r="P66" s="303">
        <f t="shared" si="3"/>
        <v>0</v>
      </c>
      <c r="Q66" s="68">
        <f>IFERROR(N66*'As-Filed Schedule 1'!$E$103,0)</f>
        <v>0</v>
      </c>
      <c r="R66" s="304">
        <f>IFERROR(P66*'Adjusted Schedule 1'!$E$104,0)</f>
        <v>0</v>
      </c>
      <c r="S66" s="68">
        <f t="shared" si="8"/>
        <v>0</v>
      </c>
      <c r="T66" s="304">
        <f t="shared" si="4"/>
        <v>0</v>
      </c>
      <c r="V66" s="117">
        <f>'As-Filed Schedule 2A'!N66</f>
        <v>0</v>
      </c>
      <c r="W66" s="307">
        <f>SUMIFS(Adjustments!$G:$G,Adjustments!$H:$H,"2A",Adjustments!$I:$I,'Schedule 2A Adjustments'!$V$12,Adjustments!$J:$J,'Schedule 2A Adjustments'!A66)</f>
        <v>0</v>
      </c>
      <c r="X66" s="320">
        <f t="shared" si="5"/>
        <v>0</v>
      </c>
      <c r="Y66" s="117">
        <f>'As-Filed Schedule 2A'!O66</f>
        <v>0</v>
      </c>
      <c r="Z66" s="307">
        <f>SUMIFS(Adjustments!$G:$G,Adjustments!$H:$H,"2A",Adjustments!$I:$I,'Schedule 2A Adjustments'!$Y$12,Adjustments!$J:$J,'Schedule 2A Adjustments'!A66)</f>
        <v>0</v>
      </c>
      <c r="AA66" s="320">
        <f t="shared" si="6"/>
        <v>0</v>
      </c>
    </row>
    <row r="67" spans="1:27" x14ac:dyDescent="0.35">
      <c r="A67" s="24">
        <v>53</v>
      </c>
      <c r="B67" s="565" t="str">
        <f>IF('As-Filed Schedule 2A'!B67:D67=0,"",'As-Filed Schedule 2A'!B67:D67)</f>
        <v/>
      </c>
      <c r="C67" s="565"/>
      <c r="D67" s="565"/>
      <c r="F67" s="114">
        <f>'As-Filed Schedule 2A'!F67</f>
        <v>0</v>
      </c>
      <c r="G67" s="307">
        <f>SUMIFS(Adjustments!$G:$G,Adjustments!$H:$H,"2A",Adjustments!$I:$I,'Schedule 2A Adjustments'!$F$12,Adjustments!$J:$J,'Schedule 2A Adjustments'!A67)</f>
        <v>0</v>
      </c>
      <c r="H67" s="303">
        <f t="shared" si="1"/>
        <v>0</v>
      </c>
      <c r="I67" s="68">
        <f>IFERROR(F67*'As-Filed Schedule 1'!$E$103,0)</f>
        <v>0</v>
      </c>
      <c r="J67" s="304">
        <f>IFERROR(H67*'Adjusted Schedule 1'!$E$104,0)</f>
        <v>0</v>
      </c>
      <c r="K67" s="68">
        <f t="shared" si="7"/>
        <v>0</v>
      </c>
      <c r="L67" s="304">
        <f t="shared" si="2"/>
        <v>0</v>
      </c>
      <c r="N67" s="114">
        <f>'As-Filed Schedule 2A'!J67</f>
        <v>0</v>
      </c>
      <c r="O67" s="307">
        <f>SUMIFS(Adjustments!$G:$G,Adjustments!$H:$H,"2A",Adjustments!$I:$I,'Schedule 2A Adjustments'!$N$12,Adjustments!$J:$J,'Schedule 2A Adjustments'!A67)</f>
        <v>0</v>
      </c>
      <c r="P67" s="303">
        <f t="shared" si="3"/>
        <v>0</v>
      </c>
      <c r="Q67" s="68">
        <f>IFERROR(N67*'As-Filed Schedule 1'!$E$103,0)</f>
        <v>0</v>
      </c>
      <c r="R67" s="304">
        <f>IFERROR(P67*'Adjusted Schedule 1'!$E$104,0)</f>
        <v>0</v>
      </c>
      <c r="S67" s="68">
        <f t="shared" si="8"/>
        <v>0</v>
      </c>
      <c r="T67" s="304">
        <f t="shared" si="4"/>
        <v>0</v>
      </c>
      <c r="V67" s="117">
        <f>'As-Filed Schedule 2A'!N67</f>
        <v>0</v>
      </c>
      <c r="W67" s="307">
        <f>SUMIFS(Adjustments!$G:$G,Adjustments!$H:$H,"2A",Adjustments!$I:$I,'Schedule 2A Adjustments'!$V$12,Adjustments!$J:$J,'Schedule 2A Adjustments'!A67)</f>
        <v>0</v>
      </c>
      <c r="X67" s="320">
        <f t="shared" si="5"/>
        <v>0</v>
      </c>
      <c r="Y67" s="117">
        <f>'As-Filed Schedule 2A'!O67</f>
        <v>0</v>
      </c>
      <c r="Z67" s="307">
        <f>SUMIFS(Adjustments!$G:$G,Adjustments!$H:$H,"2A",Adjustments!$I:$I,'Schedule 2A Adjustments'!$Y$12,Adjustments!$J:$J,'Schedule 2A Adjustments'!A67)</f>
        <v>0</v>
      </c>
      <c r="AA67" s="320">
        <f t="shared" si="6"/>
        <v>0</v>
      </c>
    </row>
    <row r="68" spans="1:27" x14ac:dyDescent="0.35">
      <c r="A68" s="24">
        <v>54</v>
      </c>
      <c r="B68" s="565" t="str">
        <f>IF('As-Filed Schedule 2A'!B68:D68=0,"",'As-Filed Schedule 2A'!B68:D68)</f>
        <v/>
      </c>
      <c r="C68" s="565"/>
      <c r="D68" s="565"/>
      <c r="F68" s="114">
        <f>'As-Filed Schedule 2A'!F68</f>
        <v>0</v>
      </c>
      <c r="G68" s="307">
        <f>SUMIFS(Adjustments!$G:$G,Adjustments!$H:$H,"2A",Adjustments!$I:$I,'Schedule 2A Adjustments'!$F$12,Adjustments!$J:$J,'Schedule 2A Adjustments'!A68)</f>
        <v>0</v>
      </c>
      <c r="H68" s="303">
        <f t="shared" si="1"/>
        <v>0</v>
      </c>
      <c r="I68" s="68">
        <f>IFERROR(F68*'As-Filed Schedule 1'!$E$103,0)</f>
        <v>0</v>
      </c>
      <c r="J68" s="304">
        <f>IFERROR(H68*'Adjusted Schedule 1'!$E$104,0)</f>
        <v>0</v>
      </c>
      <c r="K68" s="68">
        <f t="shared" si="7"/>
        <v>0</v>
      </c>
      <c r="L68" s="304">
        <f t="shared" si="2"/>
        <v>0</v>
      </c>
      <c r="N68" s="114">
        <f>'As-Filed Schedule 2A'!J68</f>
        <v>0</v>
      </c>
      <c r="O68" s="307">
        <f>SUMIFS(Adjustments!$G:$G,Adjustments!$H:$H,"2A",Adjustments!$I:$I,'Schedule 2A Adjustments'!$N$12,Adjustments!$J:$J,'Schedule 2A Adjustments'!A68)</f>
        <v>0</v>
      </c>
      <c r="P68" s="303">
        <f t="shared" si="3"/>
        <v>0</v>
      </c>
      <c r="Q68" s="68">
        <f>IFERROR(N68*'As-Filed Schedule 1'!$E$103,0)</f>
        <v>0</v>
      </c>
      <c r="R68" s="304">
        <f>IFERROR(P68*'Adjusted Schedule 1'!$E$104,0)</f>
        <v>0</v>
      </c>
      <c r="S68" s="68">
        <f t="shared" si="8"/>
        <v>0</v>
      </c>
      <c r="T68" s="304">
        <f t="shared" si="4"/>
        <v>0</v>
      </c>
      <c r="V68" s="117">
        <f>'As-Filed Schedule 2A'!N68</f>
        <v>0</v>
      </c>
      <c r="W68" s="307">
        <f>SUMIFS(Adjustments!$G:$G,Adjustments!$H:$H,"2A",Adjustments!$I:$I,'Schedule 2A Adjustments'!$V$12,Adjustments!$J:$J,'Schedule 2A Adjustments'!A68)</f>
        <v>0</v>
      </c>
      <c r="X68" s="320">
        <f t="shared" si="5"/>
        <v>0</v>
      </c>
      <c r="Y68" s="117">
        <f>'As-Filed Schedule 2A'!O68</f>
        <v>0</v>
      </c>
      <c r="Z68" s="307">
        <f>SUMIFS(Adjustments!$G:$G,Adjustments!$H:$H,"2A",Adjustments!$I:$I,'Schedule 2A Adjustments'!$Y$12,Adjustments!$J:$J,'Schedule 2A Adjustments'!A68)</f>
        <v>0</v>
      </c>
      <c r="AA68" s="320">
        <f t="shared" si="6"/>
        <v>0</v>
      </c>
    </row>
    <row r="69" spans="1:27" x14ac:dyDescent="0.35">
      <c r="A69" s="24">
        <v>55</v>
      </c>
      <c r="B69" s="565" t="str">
        <f>IF('As-Filed Schedule 2A'!B69:D69=0,"",'As-Filed Schedule 2A'!B69:D69)</f>
        <v/>
      </c>
      <c r="C69" s="565"/>
      <c r="D69" s="565"/>
      <c r="F69" s="114">
        <f>'As-Filed Schedule 2A'!F69</f>
        <v>0</v>
      </c>
      <c r="G69" s="307">
        <f>SUMIFS(Adjustments!$G:$G,Adjustments!$H:$H,"2A",Adjustments!$I:$I,'Schedule 2A Adjustments'!$F$12,Adjustments!$J:$J,'Schedule 2A Adjustments'!A69)</f>
        <v>0</v>
      </c>
      <c r="H69" s="303">
        <f t="shared" si="1"/>
        <v>0</v>
      </c>
      <c r="I69" s="68">
        <f>IFERROR(F69*'As-Filed Schedule 1'!$E$103,0)</f>
        <v>0</v>
      </c>
      <c r="J69" s="304">
        <f>IFERROR(H69*'Adjusted Schedule 1'!$E$104,0)</f>
        <v>0</v>
      </c>
      <c r="K69" s="68">
        <f t="shared" si="7"/>
        <v>0</v>
      </c>
      <c r="L69" s="304">
        <f t="shared" si="2"/>
        <v>0</v>
      </c>
      <c r="N69" s="114">
        <f>'As-Filed Schedule 2A'!J69</f>
        <v>0</v>
      </c>
      <c r="O69" s="307">
        <f>SUMIFS(Adjustments!$G:$G,Adjustments!$H:$H,"2A",Adjustments!$I:$I,'Schedule 2A Adjustments'!$N$12,Adjustments!$J:$J,'Schedule 2A Adjustments'!A69)</f>
        <v>0</v>
      </c>
      <c r="P69" s="303">
        <f t="shared" si="3"/>
        <v>0</v>
      </c>
      <c r="Q69" s="68">
        <f>IFERROR(N69*'As-Filed Schedule 1'!$E$103,0)</f>
        <v>0</v>
      </c>
      <c r="R69" s="304">
        <f>IFERROR(P69*'Adjusted Schedule 1'!$E$104,0)</f>
        <v>0</v>
      </c>
      <c r="S69" s="68">
        <f t="shared" si="8"/>
        <v>0</v>
      </c>
      <c r="T69" s="304">
        <f t="shared" si="4"/>
        <v>0</v>
      </c>
      <c r="V69" s="117">
        <f>'As-Filed Schedule 2A'!N69</f>
        <v>0</v>
      </c>
      <c r="W69" s="307">
        <f>SUMIFS(Adjustments!$G:$G,Adjustments!$H:$H,"2A",Adjustments!$I:$I,'Schedule 2A Adjustments'!$V$12,Adjustments!$J:$J,'Schedule 2A Adjustments'!A69)</f>
        <v>0</v>
      </c>
      <c r="X69" s="320">
        <f t="shared" si="5"/>
        <v>0</v>
      </c>
      <c r="Y69" s="117">
        <f>'As-Filed Schedule 2A'!O69</f>
        <v>0</v>
      </c>
      <c r="Z69" s="307">
        <f>SUMIFS(Adjustments!$G:$G,Adjustments!$H:$H,"2A",Adjustments!$I:$I,'Schedule 2A Adjustments'!$Y$12,Adjustments!$J:$J,'Schedule 2A Adjustments'!A69)</f>
        <v>0</v>
      </c>
      <c r="AA69" s="320">
        <f t="shared" si="6"/>
        <v>0</v>
      </c>
    </row>
    <row r="70" spans="1:27" x14ac:dyDescent="0.35">
      <c r="A70" s="24">
        <v>56</v>
      </c>
      <c r="B70" s="565" t="str">
        <f>IF('As-Filed Schedule 2A'!B70:D70=0,"",'As-Filed Schedule 2A'!B70:D70)</f>
        <v/>
      </c>
      <c r="C70" s="565"/>
      <c r="D70" s="565"/>
      <c r="F70" s="114">
        <f>'As-Filed Schedule 2A'!F70</f>
        <v>0</v>
      </c>
      <c r="G70" s="307">
        <f>SUMIFS(Adjustments!$G:$G,Adjustments!$H:$H,"2A",Adjustments!$I:$I,'Schedule 2A Adjustments'!$F$12,Adjustments!$J:$J,'Schedule 2A Adjustments'!A70)</f>
        <v>0</v>
      </c>
      <c r="H70" s="303">
        <f t="shared" si="1"/>
        <v>0</v>
      </c>
      <c r="I70" s="68">
        <f>IFERROR(F70*'As-Filed Schedule 1'!$E$103,0)</f>
        <v>0</v>
      </c>
      <c r="J70" s="304">
        <f>IFERROR(H70*'Adjusted Schedule 1'!$E$104,0)</f>
        <v>0</v>
      </c>
      <c r="K70" s="68">
        <f t="shared" si="7"/>
        <v>0</v>
      </c>
      <c r="L70" s="304">
        <f t="shared" si="2"/>
        <v>0</v>
      </c>
      <c r="N70" s="114">
        <f>'As-Filed Schedule 2A'!J70</f>
        <v>0</v>
      </c>
      <c r="O70" s="307">
        <f>SUMIFS(Adjustments!$G:$G,Adjustments!$H:$H,"2A",Adjustments!$I:$I,'Schedule 2A Adjustments'!$N$12,Adjustments!$J:$J,'Schedule 2A Adjustments'!A70)</f>
        <v>0</v>
      </c>
      <c r="P70" s="303">
        <f t="shared" si="3"/>
        <v>0</v>
      </c>
      <c r="Q70" s="68">
        <f>IFERROR(N70*'As-Filed Schedule 1'!$E$103,0)</f>
        <v>0</v>
      </c>
      <c r="R70" s="304">
        <f>IFERROR(P70*'Adjusted Schedule 1'!$E$104,0)</f>
        <v>0</v>
      </c>
      <c r="S70" s="68">
        <f t="shared" si="8"/>
        <v>0</v>
      </c>
      <c r="T70" s="304">
        <f t="shared" si="4"/>
        <v>0</v>
      </c>
      <c r="V70" s="117">
        <f>'As-Filed Schedule 2A'!N70</f>
        <v>0</v>
      </c>
      <c r="W70" s="307">
        <f>SUMIFS(Adjustments!$G:$G,Adjustments!$H:$H,"2A",Adjustments!$I:$I,'Schedule 2A Adjustments'!$V$12,Adjustments!$J:$J,'Schedule 2A Adjustments'!A70)</f>
        <v>0</v>
      </c>
      <c r="X70" s="320">
        <f t="shared" si="5"/>
        <v>0</v>
      </c>
      <c r="Y70" s="117">
        <f>'As-Filed Schedule 2A'!O70</f>
        <v>0</v>
      </c>
      <c r="Z70" s="307">
        <f>SUMIFS(Adjustments!$G:$G,Adjustments!$H:$H,"2A",Adjustments!$I:$I,'Schedule 2A Adjustments'!$Y$12,Adjustments!$J:$J,'Schedule 2A Adjustments'!A70)</f>
        <v>0</v>
      </c>
      <c r="AA70" s="320">
        <f t="shared" si="6"/>
        <v>0</v>
      </c>
    </row>
    <row r="71" spans="1:27" x14ac:dyDescent="0.35">
      <c r="A71" s="24">
        <v>57</v>
      </c>
      <c r="B71" s="565" t="str">
        <f>IF('As-Filed Schedule 2A'!B71:D71=0,"",'As-Filed Schedule 2A'!B71:D71)</f>
        <v/>
      </c>
      <c r="C71" s="565"/>
      <c r="D71" s="565"/>
      <c r="F71" s="114">
        <f>'As-Filed Schedule 2A'!F71</f>
        <v>0</v>
      </c>
      <c r="G71" s="307">
        <f>SUMIFS(Adjustments!$G:$G,Adjustments!$H:$H,"2A",Adjustments!$I:$I,'Schedule 2A Adjustments'!$F$12,Adjustments!$J:$J,'Schedule 2A Adjustments'!A71)</f>
        <v>0</v>
      </c>
      <c r="H71" s="303">
        <f t="shared" si="1"/>
        <v>0</v>
      </c>
      <c r="I71" s="68">
        <f>IFERROR(F71*'As-Filed Schedule 1'!$E$103,0)</f>
        <v>0</v>
      </c>
      <c r="J71" s="304">
        <f>IFERROR(H71*'Adjusted Schedule 1'!$E$104,0)</f>
        <v>0</v>
      </c>
      <c r="K71" s="68">
        <f t="shared" si="7"/>
        <v>0</v>
      </c>
      <c r="L71" s="304">
        <f t="shared" si="2"/>
        <v>0</v>
      </c>
      <c r="N71" s="114">
        <f>'As-Filed Schedule 2A'!J71</f>
        <v>0</v>
      </c>
      <c r="O71" s="307">
        <f>SUMIFS(Adjustments!$G:$G,Adjustments!$H:$H,"2A",Adjustments!$I:$I,'Schedule 2A Adjustments'!$N$12,Adjustments!$J:$J,'Schedule 2A Adjustments'!A71)</f>
        <v>0</v>
      </c>
      <c r="P71" s="303">
        <f t="shared" si="3"/>
        <v>0</v>
      </c>
      <c r="Q71" s="68">
        <f>IFERROR(N71*'As-Filed Schedule 1'!$E$103,0)</f>
        <v>0</v>
      </c>
      <c r="R71" s="304">
        <f>IFERROR(P71*'Adjusted Schedule 1'!$E$104,0)</f>
        <v>0</v>
      </c>
      <c r="S71" s="68">
        <f t="shared" si="8"/>
        <v>0</v>
      </c>
      <c r="T71" s="304">
        <f t="shared" si="4"/>
        <v>0</v>
      </c>
      <c r="V71" s="117">
        <f>'As-Filed Schedule 2A'!N71</f>
        <v>0</v>
      </c>
      <c r="W71" s="307">
        <f>SUMIFS(Adjustments!$G:$G,Adjustments!$H:$H,"2A",Adjustments!$I:$I,'Schedule 2A Adjustments'!$V$12,Adjustments!$J:$J,'Schedule 2A Adjustments'!A71)</f>
        <v>0</v>
      </c>
      <c r="X71" s="320">
        <f t="shared" si="5"/>
        <v>0</v>
      </c>
      <c r="Y71" s="117">
        <f>'As-Filed Schedule 2A'!O71</f>
        <v>0</v>
      </c>
      <c r="Z71" s="307">
        <f>SUMIFS(Adjustments!$G:$G,Adjustments!$H:$H,"2A",Adjustments!$I:$I,'Schedule 2A Adjustments'!$Y$12,Adjustments!$J:$J,'Schedule 2A Adjustments'!A71)</f>
        <v>0</v>
      </c>
      <c r="AA71" s="320">
        <f t="shared" si="6"/>
        <v>0</v>
      </c>
    </row>
    <row r="72" spans="1:27" x14ac:dyDescent="0.35">
      <c r="A72" s="24">
        <v>58</v>
      </c>
      <c r="B72" s="565" t="str">
        <f>IF('As-Filed Schedule 2A'!B72:D72=0,"",'As-Filed Schedule 2A'!B72:D72)</f>
        <v/>
      </c>
      <c r="C72" s="565"/>
      <c r="D72" s="565"/>
      <c r="F72" s="114">
        <f>'As-Filed Schedule 2A'!F72</f>
        <v>0</v>
      </c>
      <c r="G72" s="307">
        <f>SUMIFS(Adjustments!$G:$G,Adjustments!$H:$H,"2A",Adjustments!$I:$I,'Schedule 2A Adjustments'!$F$12,Adjustments!$J:$J,'Schedule 2A Adjustments'!A72)</f>
        <v>0</v>
      </c>
      <c r="H72" s="303">
        <f t="shared" si="1"/>
        <v>0</v>
      </c>
      <c r="I72" s="68">
        <f>IFERROR(F72*'As-Filed Schedule 1'!$E$103,0)</f>
        <v>0</v>
      </c>
      <c r="J72" s="304">
        <f>IFERROR(H72*'Adjusted Schedule 1'!$E$104,0)</f>
        <v>0</v>
      </c>
      <c r="K72" s="68">
        <f t="shared" si="7"/>
        <v>0</v>
      </c>
      <c r="L72" s="304">
        <f t="shared" si="2"/>
        <v>0</v>
      </c>
      <c r="N72" s="114">
        <f>'As-Filed Schedule 2A'!J72</f>
        <v>0</v>
      </c>
      <c r="O72" s="307">
        <f>SUMIFS(Adjustments!$G:$G,Adjustments!$H:$H,"2A",Adjustments!$I:$I,'Schedule 2A Adjustments'!$N$12,Adjustments!$J:$J,'Schedule 2A Adjustments'!A72)</f>
        <v>0</v>
      </c>
      <c r="P72" s="303">
        <f t="shared" si="3"/>
        <v>0</v>
      </c>
      <c r="Q72" s="68">
        <f>IFERROR(N72*'As-Filed Schedule 1'!$E$103,0)</f>
        <v>0</v>
      </c>
      <c r="R72" s="304">
        <f>IFERROR(P72*'Adjusted Schedule 1'!$E$104,0)</f>
        <v>0</v>
      </c>
      <c r="S72" s="68">
        <f t="shared" si="8"/>
        <v>0</v>
      </c>
      <c r="T72" s="304">
        <f t="shared" si="4"/>
        <v>0</v>
      </c>
      <c r="V72" s="117">
        <f>'As-Filed Schedule 2A'!N72</f>
        <v>0</v>
      </c>
      <c r="W72" s="307">
        <f>SUMIFS(Adjustments!$G:$G,Adjustments!$H:$H,"2A",Adjustments!$I:$I,'Schedule 2A Adjustments'!$V$12,Adjustments!$J:$J,'Schedule 2A Adjustments'!A72)</f>
        <v>0</v>
      </c>
      <c r="X72" s="320">
        <f t="shared" si="5"/>
        <v>0</v>
      </c>
      <c r="Y72" s="117">
        <f>'As-Filed Schedule 2A'!O72</f>
        <v>0</v>
      </c>
      <c r="Z72" s="307">
        <f>SUMIFS(Adjustments!$G:$G,Adjustments!$H:$H,"2A",Adjustments!$I:$I,'Schedule 2A Adjustments'!$Y$12,Adjustments!$J:$J,'Schedule 2A Adjustments'!A72)</f>
        <v>0</v>
      </c>
      <c r="AA72" s="320">
        <f t="shared" si="6"/>
        <v>0</v>
      </c>
    </row>
    <row r="73" spans="1:27" x14ac:dyDescent="0.35">
      <c r="A73" s="24">
        <v>59</v>
      </c>
      <c r="F73" s="18">
        <f t="shared" ref="F73:L73" si="9">SUM(F15:F72)</f>
        <v>9771359.4962465614</v>
      </c>
      <c r="G73" s="314">
        <f t="shared" si="9"/>
        <v>0</v>
      </c>
      <c r="H73" s="305">
        <f t="shared" si="9"/>
        <v>9771359.4962465614</v>
      </c>
      <c r="I73" s="18">
        <f t="shared" si="9"/>
        <v>2539598.4340161034</v>
      </c>
      <c r="J73" s="305">
        <f t="shared" si="9"/>
        <v>2539598.4340161034</v>
      </c>
      <c r="K73" s="18">
        <f t="shared" si="9"/>
        <v>12310957.930262664</v>
      </c>
      <c r="L73" s="305">
        <f t="shared" si="9"/>
        <v>12310957.930262664</v>
      </c>
      <c r="N73" s="18">
        <f>SUM(N15:N72)</f>
        <v>10459.615277839328</v>
      </c>
      <c r="O73" s="314">
        <f t="shared" ref="O73:P73" si="10">SUM(O15:O72)</f>
        <v>0</v>
      </c>
      <c r="P73" s="305">
        <f t="shared" si="10"/>
        <v>10459.615277839328</v>
      </c>
      <c r="Q73" s="18">
        <f t="shared" ref="Q73" si="11">SUM(Q15:Q72)</f>
        <v>2718.4776683546752</v>
      </c>
      <c r="R73" s="305">
        <f>SUM(R15:R72)</f>
        <v>2718.4776683546752</v>
      </c>
      <c r="S73" s="18">
        <f>SUM(S15:S72)</f>
        <v>13178.092946194003</v>
      </c>
      <c r="T73" s="305">
        <f>SUM(T15:T72)</f>
        <v>13178.092946194003</v>
      </c>
      <c r="Y73" s="83" t="s">
        <v>313</v>
      </c>
      <c r="Z73" s="325"/>
      <c r="AA73" s="322"/>
    </row>
    <row r="74" spans="1:27" ht="15" thickBot="1" x14ac:dyDescent="0.4">
      <c r="K74" s="37" t="s">
        <v>257</v>
      </c>
      <c r="L74" s="318" t="s">
        <v>257</v>
      </c>
      <c r="S74" s="37" t="s">
        <v>258</v>
      </c>
      <c r="T74" s="318" t="s">
        <v>258</v>
      </c>
    </row>
    <row r="75" spans="1:27" ht="16" thickBot="1" x14ac:dyDescent="0.4">
      <c r="A75" s="24">
        <v>60</v>
      </c>
      <c r="B75" s="134" t="s">
        <v>463</v>
      </c>
      <c r="C75" s="72"/>
      <c r="E75" s="72"/>
      <c r="F75" s="75">
        <f>K73+S73</f>
        <v>12324136.023208858</v>
      </c>
      <c r="G75"/>
      <c r="H75" s="75">
        <f>L73+T73</f>
        <v>12324136.023208858</v>
      </c>
      <c r="M75" s="74"/>
      <c r="N75" s="74"/>
      <c r="O75" s="326"/>
      <c r="P75" s="319"/>
      <c r="Q75" s="74"/>
      <c r="R75" s="319"/>
      <c r="S75" s="74"/>
      <c r="T75" s="319"/>
      <c r="V75" s="72"/>
      <c r="W75" s="324"/>
      <c r="X75" s="321"/>
      <c r="Y75" s="72"/>
      <c r="Z75" s="324"/>
      <c r="AA75" s="321"/>
    </row>
    <row r="76" spans="1:27" x14ac:dyDescent="0.35">
      <c r="F76" s="78" t="s">
        <v>502</v>
      </c>
      <c r="H76" s="302" t="s">
        <v>590</v>
      </c>
    </row>
  </sheetData>
  <sheetProtection sheet="1" objects="1" scenarios="1"/>
  <customSheetViews>
    <customSheetView guid="{17302493-42B1-4877-869E-E424A97AE78B}">
      <selection activeCell="D8" sqref="D8"/>
      <pageMargins left="0.7" right="0.7" top="0.75" bottom="0.75" header="0.3" footer="0.3"/>
      <pageSetup orientation="portrait" horizontalDpi="1200" verticalDpi="1200" r:id="rId1"/>
    </customSheetView>
    <customSheetView guid="{5C0BA3A5-859C-46C2-B685-44D9A90065E4}">
      <selection activeCell="D8" sqref="D8"/>
      <pageMargins left="0.7" right="0.7" top="0.75" bottom="0.75" header="0.3" footer="0.3"/>
      <pageSetup orientation="portrait" horizontalDpi="1200" verticalDpi="1200" r:id="rId2"/>
    </customSheetView>
  </customSheetViews>
  <mergeCells count="69">
    <mergeCell ref="Z13:Z14"/>
    <mergeCell ref="AA13:AA14"/>
    <mergeCell ref="W13:W14"/>
    <mergeCell ref="X13:X14"/>
    <mergeCell ref="B19:D19"/>
    <mergeCell ref="B15:D15"/>
    <mergeCell ref="B16:D16"/>
    <mergeCell ref="B17:D17"/>
    <mergeCell ref="B18:D18"/>
    <mergeCell ref="A3:F3"/>
    <mergeCell ref="B12:D12"/>
    <mergeCell ref="B13:D14"/>
    <mergeCell ref="F13:K13"/>
    <mergeCell ref="Y13:Y14"/>
    <mergeCell ref="N13:S13"/>
    <mergeCell ref="V13:V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orientation="portrait" horizontalDpi="1200" verticalDpi="1200"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A1:AA75"/>
  <sheetViews>
    <sheetView workbookViewId="0">
      <selection activeCell="I10" sqref="I10"/>
    </sheetView>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6" width="18.1796875" customWidth="1"/>
    <col min="7" max="7" width="18.1796875" style="253"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53"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4.453125" style="253" customWidth="1"/>
    <col min="24" max="24" width="12.1796875" style="48" customWidth="1"/>
    <col min="25" max="25" width="12" customWidth="1"/>
    <col min="26" max="26" width="15.453125" style="253" customWidth="1"/>
    <col min="27" max="27" width="12" style="48" customWidth="1"/>
  </cols>
  <sheetData>
    <row r="1" spans="1:27" ht="26" x14ac:dyDescent="0.6">
      <c r="A1" s="3" t="s">
        <v>777</v>
      </c>
    </row>
    <row r="2" spans="1:27" ht="21" x14ac:dyDescent="0.5">
      <c r="A2" s="2" t="s">
        <v>775</v>
      </c>
    </row>
    <row r="3" spans="1:27" ht="25" customHeight="1" x14ac:dyDescent="0.5">
      <c r="A3" s="546" t="s">
        <v>754</v>
      </c>
      <c r="B3" s="546"/>
      <c r="C3" s="546"/>
      <c r="D3" s="546"/>
      <c r="E3" s="546"/>
      <c r="F3" s="546"/>
      <c r="G3" s="546"/>
      <c r="H3" s="546"/>
      <c r="I3" s="546"/>
      <c r="J3" s="546"/>
      <c r="K3" s="546"/>
      <c r="L3" s="315"/>
    </row>
    <row r="5" spans="1:27" x14ac:dyDescent="0.35">
      <c r="A5" s="1" t="s">
        <v>776</v>
      </c>
      <c r="C5" s="414" t="str">
        <f>Results!$C$6</f>
        <v>WellPower</v>
      </c>
    </row>
    <row r="6" spans="1:27" x14ac:dyDescent="0.35">
      <c r="A6" s="1" t="s">
        <v>0</v>
      </c>
      <c r="C6" s="35">
        <f>Results!$C$7</f>
        <v>45473</v>
      </c>
      <c r="F6" s="35"/>
      <c r="G6" s="313"/>
      <c r="H6" s="60"/>
    </row>
    <row r="8" spans="1:27" x14ac:dyDescent="0.35">
      <c r="A8" s="1" t="s">
        <v>253</v>
      </c>
      <c r="B8" s="1" t="s">
        <v>618</v>
      </c>
      <c r="C8" s="1"/>
      <c r="F8" s="116" t="str">
        <f>'As-Filed Schedule 2B'!F8</f>
        <v>Yes</v>
      </c>
      <c r="G8" s="41" t="s">
        <v>259</v>
      </c>
      <c r="J8" s="329"/>
    </row>
    <row r="10" spans="1:27" x14ac:dyDescent="0.35">
      <c r="A10" s="1" t="s">
        <v>254</v>
      </c>
      <c r="B10" s="1" t="s">
        <v>256</v>
      </c>
      <c r="C10" s="1"/>
    </row>
    <row r="11" spans="1:27" x14ac:dyDescent="0.35">
      <c r="B11" s="327" t="s">
        <v>592</v>
      </c>
    </row>
    <row r="12" spans="1:27" x14ac:dyDescent="0.35">
      <c r="B12" s="560">
        <v>1</v>
      </c>
      <c r="C12" s="560"/>
      <c r="D12" s="560"/>
      <c r="F12" s="23">
        <v>2</v>
      </c>
      <c r="G12" s="248" t="s">
        <v>550</v>
      </c>
      <c r="H12" s="249" t="s">
        <v>551</v>
      </c>
      <c r="I12" s="23">
        <v>3</v>
      </c>
      <c r="J12" s="249" t="s">
        <v>555</v>
      </c>
      <c r="K12" s="23">
        <v>4</v>
      </c>
      <c r="L12" s="249" t="s">
        <v>559</v>
      </c>
      <c r="N12" s="23">
        <v>5</v>
      </c>
      <c r="O12" s="248" t="s">
        <v>560</v>
      </c>
      <c r="P12" s="249" t="s">
        <v>561</v>
      </c>
      <c r="Q12" s="23">
        <v>6</v>
      </c>
      <c r="R12" s="249" t="s">
        <v>565</v>
      </c>
      <c r="S12" s="23">
        <v>7</v>
      </c>
      <c r="T12" s="249" t="s">
        <v>569</v>
      </c>
      <c r="V12" s="23">
        <v>8</v>
      </c>
      <c r="W12" s="248" t="s">
        <v>610</v>
      </c>
      <c r="X12" s="249" t="s">
        <v>611</v>
      </c>
      <c r="Y12" s="23">
        <v>9</v>
      </c>
      <c r="Z12" s="248" t="s">
        <v>612</v>
      </c>
      <c r="AA12" s="249" t="s">
        <v>613</v>
      </c>
    </row>
    <row r="13" spans="1:27" x14ac:dyDescent="0.35">
      <c r="B13" s="569" t="s">
        <v>606</v>
      </c>
      <c r="C13" s="570"/>
      <c r="D13" s="571"/>
      <c r="F13" s="563" t="s">
        <v>261</v>
      </c>
      <c r="G13" s="568"/>
      <c r="H13" s="568"/>
      <c r="I13" s="568"/>
      <c r="J13" s="568"/>
      <c r="K13" s="568"/>
      <c r="L13" s="564"/>
      <c r="N13" s="563" t="s">
        <v>262</v>
      </c>
      <c r="O13" s="568"/>
      <c r="P13" s="568"/>
      <c r="Q13" s="568"/>
      <c r="R13" s="568"/>
      <c r="S13" s="568"/>
      <c r="T13" s="564"/>
      <c r="V13" s="566" t="s">
        <v>250</v>
      </c>
      <c r="W13" s="617" t="s">
        <v>614</v>
      </c>
      <c r="X13" s="619" t="s">
        <v>615</v>
      </c>
      <c r="Y13" s="562" t="s">
        <v>312</v>
      </c>
      <c r="Z13" s="621" t="s">
        <v>616</v>
      </c>
      <c r="AA13" s="622" t="s">
        <v>619</v>
      </c>
    </row>
    <row r="14" spans="1:27" ht="55.5" customHeight="1" x14ac:dyDescent="0.35">
      <c r="B14" s="572"/>
      <c r="C14" s="573"/>
      <c r="D14" s="574"/>
      <c r="E14" s="48"/>
      <c r="F14" s="10" t="s">
        <v>214</v>
      </c>
      <c r="G14" s="250" t="s">
        <v>603</v>
      </c>
      <c r="H14" s="251" t="s">
        <v>604</v>
      </c>
      <c r="I14" s="142" t="s">
        <v>493</v>
      </c>
      <c r="J14" s="251" t="s">
        <v>607</v>
      </c>
      <c r="K14" s="142" t="s">
        <v>215</v>
      </c>
      <c r="L14" s="251" t="s">
        <v>609</v>
      </c>
      <c r="M14" s="99"/>
      <c r="N14" s="142" t="s">
        <v>214</v>
      </c>
      <c r="O14" s="250" t="s">
        <v>603</v>
      </c>
      <c r="P14" s="251" t="s">
        <v>604</v>
      </c>
      <c r="Q14" s="142" t="s">
        <v>493</v>
      </c>
      <c r="R14" s="251" t="s">
        <v>607</v>
      </c>
      <c r="S14" s="10" t="s">
        <v>215</v>
      </c>
      <c r="T14" s="251" t="s">
        <v>609</v>
      </c>
      <c r="U14" s="48"/>
      <c r="V14" s="567"/>
      <c r="W14" s="618"/>
      <c r="X14" s="620"/>
      <c r="Y14" s="562"/>
      <c r="Z14" s="621"/>
      <c r="AA14" s="622"/>
    </row>
    <row r="15" spans="1:27" x14ac:dyDescent="0.35">
      <c r="A15" s="24">
        <v>1</v>
      </c>
      <c r="B15" s="565" t="str">
        <f>IF('As-Filed Schedule 2B'!B15:D15=0,"",'As-Filed Schedule 2B'!B15:D15)</f>
        <v>100-883-Competency Restoration</v>
      </c>
      <c r="C15" s="565"/>
      <c r="D15" s="565"/>
      <c r="F15" s="114">
        <f>'As-Filed Schedule 2B'!F15</f>
        <v>492159.11870480696</v>
      </c>
      <c r="G15" s="307">
        <f>SUMIFS(Adjustments!$G:$G,Adjustments!$H:$H,"2B",Adjustments!$I:$I,'Schedule 2B Adjustments'!$F$12,Adjustments!$J:$J,'Schedule 2B Adjustments'!$A15)</f>
        <v>0</v>
      </c>
      <c r="H15" s="303">
        <f>SUM(F15:G15)</f>
        <v>492159.11870480696</v>
      </c>
      <c r="I15" s="173">
        <f>IFERROR(F15*'As-Filed Schedule 1'!$E$103,0)</f>
        <v>127913.26812093935</v>
      </c>
      <c r="J15" s="304">
        <f>IFERROR(H15*'Adjusted Schedule 1'!$E$104,0)</f>
        <v>127913.26812093935</v>
      </c>
      <c r="K15" s="173">
        <f>SUM(F15,I15)</f>
        <v>620072.38682574627</v>
      </c>
      <c r="L15" s="304">
        <f>SUM(H15,J15)</f>
        <v>620072.38682574627</v>
      </c>
      <c r="M15" s="99"/>
      <c r="N15" s="172">
        <f>'As-Filed Schedule 2B'!J15</f>
        <v>48.310409679635868</v>
      </c>
      <c r="O15" s="307">
        <f>SUMIFS(Adjustments!$G:$G,Adjustments!$H:$H,"2B",Adjustments!$I:$I,'Schedule 2B Adjustments'!$N$12,Adjustments!$J:$J,'Schedule 2B Adjustments'!$A15)</f>
        <v>0</v>
      </c>
      <c r="P15" s="303">
        <f>SUM(N15:O15)</f>
        <v>48.310409679635868</v>
      </c>
      <c r="Q15" s="173">
        <f>IFERROR(N15*'As-Filed Schedule 1'!$E$103,0)</f>
        <v>12.555984744621028</v>
      </c>
      <c r="R15" s="304">
        <f>IFERROR(P15*'Adjusted Schedule 1'!$E$104,0)</f>
        <v>12.555984744621028</v>
      </c>
      <c r="S15" s="68">
        <f>SUM(N15,Q15)</f>
        <v>60.866394424256896</v>
      </c>
      <c r="T15" s="304">
        <f>SUM(P15,R15)</f>
        <v>60.866394424256896</v>
      </c>
      <c r="V15" s="117">
        <f>'As-Filed Schedule 2B'!N15</f>
        <v>3.2458125</v>
      </c>
      <c r="W15" s="307">
        <f>SUMIFS(Adjustments!$G:$G,Adjustments!$H:$H,"2B",Adjustments!$I:$I,'Schedule 2B Adjustments'!$V$12,Adjustments!$J:$J,'Schedule 2B Adjustments'!$A15)</f>
        <v>0</v>
      </c>
      <c r="X15" s="320">
        <f>SUM(V15:W15)</f>
        <v>3.2458125</v>
      </c>
      <c r="Y15" s="117">
        <f>'As-Filed Schedule 2B'!O15</f>
        <v>5</v>
      </c>
      <c r="Z15" s="307">
        <f>SUMIFS(Adjustments!$G:$G,Adjustments!$H:$H,"2B",Adjustments!$I:$I,'Schedule 2B Adjustments'!$Y$12,Adjustments!$J:$J,'Schedule 2B Adjustments'!$A15)</f>
        <v>0</v>
      </c>
      <c r="AA15" s="320">
        <f>SUM(Y15:Z15)</f>
        <v>5</v>
      </c>
    </row>
    <row r="16" spans="1:27" x14ac:dyDescent="0.35">
      <c r="A16" s="24">
        <v>2</v>
      </c>
      <c r="B16" s="565" t="str">
        <f>IF('As-Filed Schedule 2B'!B16:D16=0,"",'As-Filed Schedule 2B'!B16:D16)</f>
        <v>200-448-Right Start Colorado</v>
      </c>
      <c r="C16" s="565"/>
      <c r="D16" s="565"/>
      <c r="F16" s="114">
        <f>'As-Filed Schedule 2B'!F16</f>
        <v>863339.47369365918</v>
      </c>
      <c r="G16" s="307">
        <f>SUMIFS(Adjustments!$G:$G,Adjustments!$H:$H,"2B",Adjustments!$I:$I,'Schedule 2B Adjustments'!$F$12,Adjustments!$J:$J,'Schedule 2B Adjustments'!$A16)</f>
        <v>0</v>
      </c>
      <c r="H16" s="303">
        <f t="shared" ref="H16:H72" si="0">SUM(F16:G16)</f>
        <v>863339.47369365918</v>
      </c>
      <c r="I16" s="68">
        <f>IFERROR(F16*'As-Filed Schedule 1'!$E$103,0)</f>
        <v>224383.88192133498</v>
      </c>
      <c r="J16" s="304">
        <f>IFERROR(H16*'Adjusted Schedule 1'!$E$104,0)</f>
        <v>224383.88192133498</v>
      </c>
      <c r="K16" s="173">
        <f t="shared" ref="K16:K72" si="1">SUM(F16,I16)</f>
        <v>1087723.3556149942</v>
      </c>
      <c r="L16" s="304">
        <f>SUM(H16,J16)</f>
        <v>1087723.3556149942</v>
      </c>
      <c r="N16" s="172">
        <f>'As-Filed Schedule 2B'!J16</f>
        <v>36.0497285862673</v>
      </c>
      <c r="O16" s="307">
        <f>SUMIFS(Adjustments!$G:$G,Adjustments!$H:$H,"2B",Adjustments!$I:$I,'Schedule 2B Adjustments'!$N$12,Adjustments!$J:$J,'Schedule 2B Adjustments'!$A16)</f>
        <v>0</v>
      </c>
      <c r="P16" s="303">
        <f t="shared" ref="P16:P72" si="2">SUM(N16:O16)</f>
        <v>36.0497285862673</v>
      </c>
      <c r="Q16" s="68">
        <f>IFERROR(N16*'As-Filed Schedule 1'!$E$103,0)</f>
        <v>9.3694059971447654</v>
      </c>
      <c r="R16" s="304">
        <f>IFERROR(P16*'Adjusted Schedule 1'!$E$104,0)</f>
        <v>9.3694059971447654</v>
      </c>
      <c r="S16" s="68">
        <f t="shared" ref="S16:S72" si="3">SUM(N16,Q16)</f>
        <v>45.419134583412067</v>
      </c>
      <c r="T16" s="304">
        <f t="shared" ref="T16:T72" si="4">SUM(P16,R16)</f>
        <v>45.419134583412067</v>
      </c>
      <c r="V16" s="117">
        <f>'As-Filed Schedule 2B'!N16</f>
        <v>4.3562499999999993</v>
      </c>
      <c r="W16" s="307">
        <f>SUMIFS(Adjustments!$G:$G,Adjustments!$H:$H,"2B",Adjustments!$I:$I,'Schedule 2B Adjustments'!$V$12,Adjustments!$J:$J,'Schedule 2B Adjustments'!$A16)</f>
        <v>0</v>
      </c>
      <c r="X16" s="320">
        <f t="shared" ref="X16:X72" si="5">SUM(V16:W16)</f>
        <v>4.3562499999999993</v>
      </c>
      <c r="Y16" s="117">
        <f>'As-Filed Schedule 2B'!O16</f>
        <v>85</v>
      </c>
      <c r="Z16" s="307">
        <f>SUMIFS(Adjustments!$G:$G,Adjustments!$H:$H,"2B",Adjustments!$I:$I,'Schedule 2B Adjustments'!$Y$12,Adjustments!$J:$J,'Schedule 2B Adjustments'!$A16)</f>
        <v>0</v>
      </c>
      <c r="AA16" s="320">
        <f t="shared" ref="AA16:AA72" si="6">SUM(Y16:Z16)</f>
        <v>85</v>
      </c>
    </row>
    <row r="17" spans="1:27" x14ac:dyDescent="0.35">
      <c r="A17" s="24">
        <v>3</v>
      </c>
      <c r="B17" s="565" t="str">
        <f>IF('As-Filed Schedule 2B'!B17:D17=0,"",'As-Filed Schedule 2B'!B17:D17)</f>
        <v>200-470-Dahlia Farm and Gardens</v>
      </c>
      <c r="C17" s="565"/>
      <c r="D17" s="565"/>
      <c r="F17" s="114">
        <f>'As-Filed Schedule 2B'!F17</f>
        <v>0</v>
      </c>
      <c r="G17" s="307">
        <f>SUMIFS(Adjustments!$G:$G,Adjustments!$H:$H,"2B",Adjustments!$I:$I,'Schedule 2B Adjustments'!$F$12,Adjustments!$J:$J,'Schedule 2B Adjustments'!$A17)</f>
        <v>0</v>
      </c>
      <c r="H17" s="303">
        <f t="shared" si="0"/>
        <v>0</v>
      </c>
      <c r="I17" s="68">
        <f>IFERROR(F17*'As-Filed Schedule 1'!$E$103,0)</f>
        <v>0</v>
      </c>
      <c r="J17" s="304">
        <f>IFERROR(H17*'Adjusted Schedule 1'!$E$104,0)</f>
        <v>0</v>
      </c>
      <c r="K17" s="173">
        <f t="shared" si="1"/>
        <v>0</v>
      </c>
      <c r="L17" s="304">
        <f>SUM(H17,J17)</f>
        <v>0</v>
      </c>
      <c r="N17" s="172">
        <f>'As-Filed Schedule 2B'!J17</f>
        <v>803255.4091492797</v>
      </c>
      <c r="O17" s="307">
        <f>SUMIFS(Adjustments!$G:$G,Adjustments!$H:$H,"2B",Adjustments!$I:$I,'Schedule 2B Adjustments'!$N$12,Adjustments!$J:$J,'Schedule 2B Adjustments'!$A17)</f>
        <v>0</v>
      </c>
      <c r="P17" s="303">
        <f t="shared" si="2"/>
        <v>803255.4091492797</v>
      </c>
      <c r="Q17" s="68">
        <f>IFERROR(N17*'As-Filed Schedule 1'!$E$103,0)</f>
        <v>208767.89764761727</v>
      </c>
      <c r="R17" s="304">
        <f>IFERROR(P17*'Adjusted Schedule 1'!$E$104,0)</f>
        <v>208767.89764761727</v>
      </c>
      <c r="S17" s="68">
        <f t="shared" si="3"/>
        <v>1012023.306796897</v>
      </c>
      <c r="T17" s="304">
        <f t="shared" si="4"/>
        <v>1012023.306796897</v>
      </c>
      <c r="V17" s="117">
        <f>'As-Filed Schedule 2B'!N17</f>
        <v>6.9390625000000004</v>
      </c>
      <c r="W17" s="307">
        <f>SUMIFS(Adjustments!$G:$G,Adjustments!$H:$H,"2B",Adjustments!$I:$I,'Schedule 2B Adjustments'!$V$12,Adjustments!$J:$J,'Schedule 2B Adjustments'!$A17)</f>
        <v>0</v>
      </c>
      <c r="X17" s="320">
        <f t="shared" si="5"/>
        <v>6.9390625000000004</v>
      </c>
      <c r="Y17" s="117">
        <f>'As-Filed Schedule 2B'!O17</f>
        <v>0</v>
      </c>
      <c r="Z17" s="307">
        <f>SUMIFS(Adjustments!$G:$G,Adjustments!$H:$H,"2B",Adjustments!$I:$I,'Schedule 2B Adjustments'!$Y$12,Adjustments!$J:$J,'Schedule 2B Adjustments'!$A17)</f>
        <v>0</v>
      </c>
      <c r="AA17" s="320">
        <f t="shared" si="6"/>
        <v>0</v>
      </c>
    </row>
    <row r="18" spans="1:27" x14ac:dyDescent="0.35">
      <c r="A18" s="24">
        <v>4</v>
      </c>
      <c r="B18" s="565" t="str">
        <f>IF('As-Filed Schedule 2B'!B18:D18=0,"",'As-Filed Schedule 2B'!B18:D18)</f>
        <v>200-727-Early Childhood MH Specialist</v>
      </c>
      <c r="C18" s="565"/>
      <c r="D18" s="565"/>
      <c r="F18" s="114">
        <f>'As-Filed Schedule 2B'!F18</f>
        <v>0</v>
      </c>
      <c r="G18" s="307">
        <f>SUMIFS(Adjustments!$G:$G,Adjustments!$H:$H,"2B",Adjustments!$I:$I,'Schedule 2B Adjustments'!$F$12,Adjustments!$J:$J,'Schedule 2B Adjustments'!$A18)</f>
        <v>0</v>
      </c>
      <c r="H18" s="303">
        <f t="shared" si="0"/>
        <v>0</v>
      </c>
      <c r="I18" s="68">
        <f>IFERROR(F18*'As-Filed Schedule 1'!$E$103,0)</f>
        <v>0</v>
      </c>
      <c r="J18" s="304">
        <f>IFERROR(H18*'Adjusted Schedule 1'!$E$104,0)</f>
        <v>0</v>
      </c>
      <c r="K18" s="173">
        <f t="shared" si="1"/>
        <v>0</v>
      </c>
      <c r="L18" s="304">
        <f t="shared" ref="L18:L72" si="7">SUM(H18,J18)</f>
        <v>0</v>
      </c>
      <c r="N18" s="172">
        <f>'As-Filed Schedule 2B'!J18</f>
        <v>579964.03814955102</v>
      </c>
      <c r="O18" s="307">
        <f>SUMIFS(Adjustments!$G:$G,Adjustments!$H:$H,"2B",Adjustments!$I:$I,'Schedule 2B Adjustments'!$N$12,Adjustments!$J:$J,'Schedule 2B Adjustments'!$A18)</f>
        <v>0</v>
      </c>
      <c r="P18" s="303">
        <f t="shared" si="2"/>
        <v>579964.03814955102</v>
      </c>
      <c r="Q18" s="68">
        <f>IFERROR(N18*'As-Filed Schedule 1'!$E$103,0)</f>
        <v>150733.96528252042</v>
      </c>
      <c r="R18" s="304">
        <f>IFERROR(P18*'Adjusted Schedule 1'!$E$104,0)</f>
        <v>150733.96528252042</v>
      </c>
      <c r="S18" s="68">
        <f t="shared" si="3"/>
        <v>730698.00343207142</v>
      </c>
      <c r="T18" s="304">
        <f t="shared" si="4"/>
        <v>730698.00343207142</v>
      </c>
      <c r="V18" s="117">
        <f>'As-Filed Schedule 2B'!N18</f>
        <v>3.9999999999999996</v>
      </c>
      <c r="W18" s="307">
        <f>SUMIFS(Adjustments!$G:$G,Adjustments!$H:$H,"2B",Adjustments!$I:$I,'Schedule 2B Adjustments'!$V$12,Adjustments!$J:$J,'Schedule 2B Adjustments'!$A18)</f>
        <v>0</v>
      </c>
      <c r="X18" s="320">
        <f t="shared" si="5"/>
        <v>3.9999999999999996</v>
      </c>
      <c r="Y18" s="117">
        <f>'As-Filed Schedule 2B'!O18</f>
        <v>0</v>
      </c>
      <c r="Z18" s="307">
        <f>SUMIFS(Adjustments!$G:$G,Adjustments!$H:$H,"2B",Adjustments!$I:$I,'Schedule 2B Adjustments'!$Y$12,Adjustments!$J:$J,'Schedule 2B Adjustments'!$A18)</f>
        <v>0</v>
      </c>
      <c r="AA18" s="320">
        <f t="shared" si="6"/>
        <v>0</v>
      </c>
    </row>
    <row r="19" spans="1:27" x14ac:dyDescent="0.35">
      <c r="A19" s="24">
        <v>5</v>
      </c>
      <c r="B19" s="565" t="str">
        <f>IF('As-Filed Schedule 2B'!B19:D19=0,"",'As-Filed Schedule 2B'!B19:D19)</f>
        <v>200-728-ABC Play</v>
      </c>
      <c r="C19" s="565"/>
      <c r="D19" s="565"/>
      <c r="F19" s="114">
        <f>'As-Filed Schedule 2B'!F19</f>
        <v>0</v>
      </c>
      <c r="G19" s="307">
        <f>SUMIFS(Adjustments!$G:$G,Adjustments!$H:$H,"2B",Adjustments!$I:$I,'Schedule 2B Adjustments'!$F$12,Adjustments!$J:$J,'Schedule 2B Adjustments'!$A19)</f>
        <v>705.52</v>
      </c>
      <c r="H19" s="303">
        <f t="shared" si="0"/>
        <v>705.52</v>
      </c>
      <c r="I19" s="68">
        <f>IFERROR(F19*'As-Filed Schedule 1'!$E$103,0)</f>
        <v>0</v>
      </c>
      <c r="J19" s="304">
        <f>IFERROR(H19*'Adjusted Schedule 1'!$E$104,0)</f>
        <v>183.36624375096375</v>
      </c>
      <c r="K19" s="173">
        <f>SUM(F19,I19)</f>
        <v>0</v>
      </c>
      <c r="L19" s="304">
        <f t="shared" si="7"/>
        <v>888.88624375096379</v>
      </c>
      <c r="N19" s="172">
        <f>'As-Filed Schedule 2B'!J19</f>
        <v>630952.95839511428</v>
      </c>
      <c r="O19" s="307">
        <f>SUMIFS(Adjustments!$G:$G,Adjustments!$H:$H,"2B",Adjustments!$I:$I,'Schedule 2B Adjustments'!$N$12,Adjustments!$J:$J,'Schedule 2B Adjustments'!$A19)</f>
        <v>-705.52</v>
      </c>
      <c r="P19" s="303">
        <f t="shared" si="2"/>
        <v>630247.43839511427</v>
      </c>
      <c r="Q19" s="68">
        <f>IFERROR(N19*'As-Filed Schedule 1'!$E$103,0)</f>
        <v>163986.10098150329</v>
      </c>
      <c r="R19" s="304">
        <f>IFERROR(P19*'Adjusted Schedule 1'!$E$104,0)</f>
        <v>163802.73473775233</v>
      </c>
      <c r="S19" s="68">
        <f t="shared" si="3"/>
        <v>794939.05937661754</v>
      </c>
      <c r="T19" s="304">
        <f t="shared" si="4"/>
        <v>794050.17313286662</v>
      </c>
      <c r="V19" s="117">
        <f>'As-Filed Schedule 2B'!N19</f>
        <v>4.5500000000000007</v>
      </c>
      <c r="W19" s="307">
        <f>SUMIFS(Adjustments!$G:$G,Adjustments!$H:$H,"2B",Adjustments!$I:$I,'Schedule 2B Adjustments'!$V$12,Adjustments!$J:$J,'Schedule 2B Adjustments'!$A19)</f>
        <v>0</v>
      </c>
      <c r="X19" s="320">
        <f t="shared" si="5"/>
        <v>4.5500000000000007</v>
      </c>
      <c r="Y19" s="117">
        <f>'As-Filed Schedule 2B'!O19</f>
        <v>1</v>
      </c>
      <c r="Z19" s="307">
        <f>SUMIFS(Adjustments!$G:$G,Adjustments!$H:$H,"2B",Adjustments!$I:$I,'Schedule 2B Adjustments'!$Y$12,Adjustments!$J:$J,'Schedule 2B Adjustments'!$A19)</f>
        <v>0</v>
      </c>
      <c r="AA19" s="320">
        <f t="shared" si="6"/>
        <v>1</v>
      </c>
    </row>
    <row r="20" spans="1:27" x14ac:dyDescent="0.35">
      <c r="A20" s="24">
        <v>6</v>
      </c>
      <c r="B20" s="565" t="str">
        <f>IF('As-Filed Schedule 2B'!B20:D20=0,"",'As-Filed Schedule 2B'!B20:D20)</f>
        <v/>
      </c>
      <c r="C20" s="565"/>
      <c r="D20" s="565"/>
      <c r="F20" s="114">
        <f>'As-Filed Schedule 2B'!F20</f>
        <v>0</v>
      </c>
      <c r="G20" s="307">
        <f>SUMIFS(Adjustments!$G:$G,Adjustments!$H:$H,"2B",Adjustments!$I:$I,'Schedule 2B Adjustments'!$F$12,Adjustments!$J:$J,'Schedule 2B Adjustments'!$A20)</f>
        <v>0</v>
      </c>
      <c r="H20" s="303">
        <f t="shared" si="0"/>
        <v>0</v>
      </c>
      <c r="I20" s="68">
        <f>IFERROR(F20*'As-Filed Schedule 1'!$E$103,0)</f>
        <v>0</v>
      </c>
      <c r="J20" s="304">
        <f>IFERROR(H20*'Adjusted Schedule 1'!$E$104,0)</f>
        <v>0</v>
      </c>
      <c r="K20" s="173">
        <f t="shared" si="1"/>
        <v>0</v>
      </c>
      <c r="L20" s="304">
        <f t="shared" si="7"/>
        <v>0</v>
      </c>
      <c r="N20" s="172">
        <f>'As-Filed Schedule 2B'!J20</f>
        <v>0</v>
      </c>
      <c r="O20" s="307">
        <f>SUMIFS(Adjustments!$G:$G,Adjustments!$H:$H,"2B",Adjustments!$I:$I,'Schedule 2B Adjustments'!$N$12,Adjustments!$J:$J,'Schedule 2B Adjustments'!$A20)</f>
        <v>0</v>
      </c>
      <c r="P20" s="303">
        <f t="shared" si="2"/>
        <v>0</v>
      </c>
      <c r="Q20" s="68">
        <f>IFERROR(N20*'As-Filed Schedule 1'!$E$103,0)</f>
        <v>0</v>
      </c>
      <c r="R20" s="304">
        <f>IFERROR(P20*'Adjusted Schedule 1'!$E$104,0)</f>
        <v>0</v>
      </c>
      <c r="S20" s="68">
        <f t="shared" si="3"/>
        <v>0</v>
      </c>
      <c r="T20" s="304">
        <f>SUM(P20,R20)</f>
        <v>0</v>
      </c>
      <c r="V20" s="117">
        <f>'As-Filed Schedule 2B'!N20</f>
        <v>0</v>
      </c>
      <c r="W20" s="307">
        <f>SUMIFS(Adjustments!$G:$G,Adjustments!$H:$H,"2B",Adjustments!$I:$I,'Schedule 2B Adjustments'!$V$12,Adjustments!$J:$J,'Schedule 2B Adjustments'!$A20)</f>
        <v>0</v>
      </c>
      <c r="X20" s="320">
        <f t="shared" si="5"/>
        <v>0</v>
      </c>
      <c r="Y20" s="117">
        <f>'As-Filed Schedule 2B'!O20</f>
        <v>0</v>
      </c>
      <c r="Z20" s="307">
        <f>SUMIFS(Adjustments!$G:$G,Adjustments!$H:$H,"2B",Adjustments!$I:$I,'Schedule 2B Adjustments'!$Y$12,Adjustments!$J:$J,'Schedule 2B Adjustments'!$A20)</f>
        <v>0</v>
      </c>
      <c r="AA20" s="320">
        <f t="shared" si="6"/>
        <v>0</v>
      </c>
    </row>
    <row r="21" spans="1:27" x14ac:dyDescent="0.35">
      <c r="A21" s="24">
        <v>7</v>
      </c>
      <c r="B21" s="565" t="str">
        <f>IF('As-Filed Schedule 2B'!B21:D21=0,"",'As-Filed Schedule 2B'!B21:D21)</f>
        <v/>
      </c>
      <c r="C21" s="565"/>
      <c r="D21" s="565"/>
      <c r="F21" s="114">
        <f>'As-Filed Schedule 2B'!F21</f>
        <v>0</v>
      </c>
      <c r="G21" s="307">
        <f>SUMIFS(Adjustments!$G:$G,Adjustments!$H:$H,"2B",Adjustments!$I:$I,'Schedule 2B Adjustments'!$F$12,Adjustments!$J:$J,'Schedule 2B Adjustments'!$A21)</f>
        <v>0</v>
      </c>
      <c r="H21" s="303">
        <f t="shared" si="0"/>
        <v>0</v>
      </c>
      <c r="I21" s="68">
        <f>IFERROR(F21*'As-Filed Schedule 1'!$E$103,0)</f>
        <v>0</v>
      </c>
      <c r="J21" s="304">
        <f>IFERROR(H21*'Adjusted Schedule 1'!$E$104,0)</f>
        <v>0</v>
      </c>
      <c r="K21" s="173">
        <f t="shared" si="1"/>
        <v>0</v>
      </c>
      <c r="L21" s="304">
        <f t="shared" si="7"/>
        <v>0</v>
      </c>
      <c r="N21" s="172">
        <f>'As-Filed Schedule 2B'!J21</f>
        <v>0</v>
      </c>
      <c r="O21" s="307">
        <f>SUMIFS(Adjustments!$G:$G,Adjustments!$H:$H,"2B",Adjustments!$I:$I,'Schedule 2B Adjustments'!$N$12,Adjustments!$J:$J,'Schedule 2B Adjustments'!$A21)</f>
        <v>0</v>
      </c>
      <c r="P21" s="303">
        <f t="shared" si="2"/>
        <v>0</v>
      </c>
      <c r="Q21" s="68">
        <f>IFERROR(N21*'As-Filed Schedule 1'!$E$103,0)</f>
        <v>0</v>
      </c>
      <c r="R21" s="304">
        <f>IFERROR(P21*'Adjusted Schedule 1'!$E$104,0)</f>
        <v>0</v>
      </c>
      <c r="S21" s="68">
        <f t="shared" si="3"/>
        <v>0</v>
      </c>
      <c r="T21" s="304">
        <f t="shared" si="4"/>
        <v>0</v>
      </c>
      <c r="V21" s="117">
        <f>'As-Filed Schedule 2B'!N21</f>
        <v>0</v>
      </c>
      <c r="W21" s="307">
        <f>SUMIFS(Adjustments!$G:$G,Adjustments!$H:$H,"2B",Adjustments!$I:$I,'Schedule 2B Adjustments'!$V$12,Adjustments!$J:$J,'Schedule 2B Adjustments'!$A21)</f>
        <v>0</v>
      </c>
      <c r="X21" s="320">
        <f t="shared" si="5"/>
        <v>0</v>
      </c>
      <c r="Y21" s="117">
        <f>'As-Filed Schedule 2B'!O21</f>
        <v>0</v>
      </c>
      <c r="Z21" s="307">
        <f>SUMIFS(Adjustments!$G:$G,Adjustments!$H:$H,"2B",Adjustments!$I:$I,'Schedule 2B Adjustments'!$Y$12,Adjustments!$J:$J,'Schedule 2B Adjustments'!$A21)</f>
        <v>0</v>
      </c>
      <c r="AA21" s="320">
        <f t="shared" si="6"/>
        <v>0</v>
      </c>
    </row>
    <row r="22" spans="1:27" x14ac:dyDescent="0.35">
      <c r="A22" s="24">
        <v>8</v>
      </c>
      <c r="B22" s="565" t="str">
        <f>IF('As-Filed Schedule 2B'!B22:D22=0,"",'As-Filed Schedule 2B'!B22:D22)</f>
        <v/>
      </c>
      <c r="C22" s="565"/>
      <c r="D22" s="565"/>
      <c r="F22" s="114">
        <f>'As-Filed Schedule 2B'!F22</f>
        <v>0</v>
      </c>
      <c r="G22" s="307">
        <f>SUMIFS(Adjustments!$G:$G,Adjustments!$H:$H,"2B",Adjustments!$I:$I,'Schedule 2B Adjustments'!$F$12,Adjustments!$J:$J,'Schedule 2B Adjustments'!$A22)</f>
        <v>0</v>
      </c>
      <c r="H22" s="303">
        <f t="shared" si="0"/>
        <v>0</v>
      </c>
      <c r="I22" s="68">
        <f>IFERROR(F22*'As-Filed Schedule 1'!$E$103,0)</f>
        <v>0</v>
      </c>
      <c r="J22" s="304">
        <f>IFERROR(H22*'Adjusted Schedule 1'!$E$104,0)</f>
        <v>0</v>
      </c>
      <c r="K22" s="173">
        <f t="shared" si="1"/>
        <v>0</v>
      </c>
      <c r="L22" s="304">
        <f t="shared" si="7"/>
        <v>0</v>
      </c>
      <c r="N22" s="172">
        <f>'As-Filed Schedule 2B'!J22</f>
        <v>0</v>
      </c>
      <c r="O22" s="307">
        <f>SUMIFS(Adjustments!$G:$G,Adjustments!$H:$H,"2B",Adjustments!$I:$I,'Schedule 2B Adjustments'!$N$12,Adjustments!$J:$J,'Schedule 2B Adjustments'!$A22)</f>
        <v>0</v>
      </c>
      <c r="P22" s="303">
        <f t="shared" si="2"/>
        <v>0</v>
      </c>
      <c r="Q22" s="68">
        <f>IFERROR(N22*'As-Filed Schedule 1'!$E$103,0)</f>
        <v>0</v>
      </c>
      <c r="R22" s="304">
        <f>IFERROR(P22*'Adjusted Schedule 1'!$E$104,0)</f>
        <v>0</v>
      </c>
      <c r="S22" s="68">
        <f t="shared" si="3"/>
        <v>0</v>
      </c>
      <c r="T22" s="304">
        <f t="shared" si="4"/>
        <v>0</v>
      </c>
      <c r="V22" s="117">
        <f>'As-Filed Schedule 2B'!N22</f>
        <v>0</v>
      </c>
      <c r="W22" s="307">
        <f>SUMIFS(Adjustments!$G:$G,Adjustments!$H:$H,"2B",Adjustments!$I:$I,'Schedule 2B Adjustments'!$V$12,Adjustments!$J:$J,'Schedule 2B Adjustments'!$A22)</f>
        <v>0</v>
      </c>
      <c r="X22" s="320">
        <f t="shared" si="5"/>
        <v>0</v>
      </c>
      <c r="Y22" s="117">
        <f>'As-Filed Schedule 2B'!O22</f>
        <v>0</v>
      </c>
      <c r="Z22" s="307">
        <f>SUMIFS(Adjustments!$G:$G,Adjustments!$H:$H,"2B",Adjustments!$I:$I,'Schedule 2B Adjustments'!$Y$12,Adjustments!$J:$J,'Schedule 2B Adjustments'!$A22)</f>
        <v>0</v>
      </c>
      <c r="AA22" s="320">
        <f t="shared" si="6"/>
        <v>0</v>
      </c>
    </row>
    <row r="23" spans="1:27" x14ac:dyDescent="0.35">
      <c r="A23" s="24">
        <v>9</v>
      </c>
      <c r="B23" s="565" t="str">
        <f>IF('As-Filed Schedule 2B'!B23:D23=0,"",'As-Filed Schedule 2B'!B23:D23)</f>
        <v/>
      </c>
      <c r="C23" s="565"/>
      <c r="D23" s="565"/>
      <c r="F23" s="114">
        <f>'As-Filed Schedule 2B'!F23</f>
        <v>0</v>
      </c>
      <c r="G23" s="307">
        <f>SUMIFS(Adjustments!$G:$G,Adjustments!$H:$H,"2B",Adjustments!$I:$I,'Schedule 2B Adjustments'!$F$12,Adjustments!$J:$J,'Schedule 2B Adjustments'!$A23)</f>
        <v>0</v>
      </c>
      <c r="H23" s="303">
        <f t="shared" si="0"/>
        <v>0</v>
      </c>
      <c r="I23" s="68">
        <f>IFERROR(F23*'As-Filed Schedule 1'!$E$103,0)</f>
        <v>0</v>
      </c>
      <c r="J23" s="304">
        <f>IFERROR(H23*'Adjusted Schedule 1'!$E$104,0)</f>
        <v>0</v>
      </c>
      <c r="K23" s="173">
        <f t="shared" si="1"/>
        <v>0</v>
      </c>
      <c r="L23" s="304">
        <f t="shared" si="7"/>
        <v>0</v>
      </c>
      <c r="N23" s="172">
        <f>'As-Filed Schedule 2B'!J23</f>
        <v>0</v>
      </c>
      <c r="O23" s="307">
        <f>SUMIFS(Adjustments!$G:$G,Adjustments!$H:$H,"2B",Adjustments!$I:$I,'Schedule 2B Adjustments'!$N$12,Adjustments!$J:$J,'Schedule 2B Adjustments'!$A23)</f>
        <v>0</v>
      </c>
      <c r="P23" s="303">
        <f t="shared" si="2"/>
        <v>0</v>
      </c>
      <c r="Q23" s="68">
        <f>IFERROR(N23*'As-Filed Schedule 1'!$E$103,0)</f>
        <v>0</v>
      </c>
      <c r="R23" s="304">
        <f>IFERROR(P23*'Adjusted Schedule 1'!$E$104,0)</f>
        <v>0</v>
      </c>
      <c r="S23" s="68">
        <f t="shared" si="3"/>
        <v>0</v>
      </c>
      <c r="T23" s="304">
        <f t="shared" si="4"/>
        <v>0</v>
      </c>
      <c r="V23" s="117">
        <f>'As-Filed Schedule 2B'!N23</f>
        <v>0</v>
      </c>
      <c r="W23" s="307">
        <f>SUMIFS(Adjustments!$G:$G,Adjustments!$H:$H,"2B",Adjustments!$I:$I,'Schedule 2B Adjustments'!$V$12,Adjustments!$J:$J,'Schedule 2B Adjustments'!$A23)</f>
        <v>0</v>
      </c>
      <c r="X23" s="320">
        <f t="shared" si="5"/>
        <v>0</v>
      </c>
      <c r="Y23" s="117">
        <f>'As-Filed Schedule 2B'!O23</f>
        <v>0</v>
      </c>
      <c r="Z23" s="307">
        <f>SUMIFS(Adjustments!$G:$G,Adjustments!$H:$H,"2B",Adjustments!$I:$I,'Schedule 2B Adjustments'!$Y$12,Adjustments!$J:$J,'Schedule 2B Adjustments'!$A23)</f>
        <v>0</v>
      </c>
      <c r="AA23" s="320">
        <f t="shared" si="6"/>
        <v>0</v>
      </c>
    </row>
    <row r="24" spans="1:27" x14ac:dyDescent="0.35">
      <c r="A24" s="24">
        <v>10</v>
      </c>
      <c r="B24" s="565" t="str">
        <f>IF('As-Filed Schedule 2B'!B24:D24=0,"",'As-Filed Schedule 2B'!B24:D24)</f>
        <v/>
      </c>
      <c r="C24" s="565"/>
      <c r="D24" s="565"/>
      <c r="F24" s="114">
        <f>'As-Filed Schedule 2B'!F24</f>
        <v>0</v>
      </c>
      <c r="G24" s="307">
        <f>SUMIFS(Adjustments!$G:$G,Adjustments!$H:$H,"2B",Adjustments!$I:$I,'Schedule 2B Adjustments'!$F$12,Adjustments!$J:$J,'Schedule 2B Adjustments'!$A24)</f>
        <v>0</v>
      </c>
      <c r="H24" s="303">
        <f t="shared" si="0"/>
        <v>0</v>
      </c>
      <c r="I24" s="68">
        <f>IFERROR(F24*'As-Filed Schedule 1'!$E$103,0)</f>
        <v>0</v>
      </c>
      <c r="J24" s="304">
        <f>IFERROR(H24*'Adjusted Schedule 1'!$E$104,0)</f>
        <v>0</v>
      </c>
      <c r="K24" s="173">
        <f t="shared" si="1"/>
        <v>0</v>
      </c>
      <c r="L24" s="304">
        <f t="shared" si="7"/>
        <v>0</v>
      </c>
      <c r="N24" s="172">
        <f>'As-Filed Schedule 2B'!J24</f>
        <v>0</v>
      </c>
      <c r="O24" s="307">
        <f>SUMIFS(Adjustments!$G:$G,Adjustments!$H:$H,"2B",Adjustments!$I:$I,'Schedule 2B Adjustments'!$N$12,Adjustments!$J:$J,'Schedule 2B Adjustments'!$A24)</f>
        <v>0</v>
      </c>
      <c r="P24" s="303">
        <f t="shared" si="2"/>
        <v>0</v>
      </c>
      <c r="Q24" s="68">
        <f>IFERROR(N24*'As-Filed Schedule 1'!$E$103,0)</f>
        <v>0</v>
      </c>
      <c r="R24" s="304">
        <f>IFERROR(P24*'Adjusted Schedule 1'!$E$104,0)</f>
        <v>0</v>
      </c>
      <c r="S24" s="68">
        <f t="shared" si="3"/>
        <v>0</v>
      </c>
      <c r="T24" s="304">
        <f t="shared" si="4"/>
        <v>0</v>
      </c>
      <c r="V24" s="117">
        <f>'As-Filed Schedule 2B'!N24</f>
        <v>0</v>
      </c>
      <c r="W24" s="307">
        <f>SUMIFS(Adjustments!$G:$G,Adjustments!$H:$H,"2B",Adjustments!$I:$I,'Schedule 2B Adjustments'!$V$12,Adjustments!$J:$J,'Schedule 2B Adjustments'!$A24)</f>
        <v>0</v>
      </c>
      <c r="X24" s="320">
        <f t="shared" si="5"/>
        <v>0</v>
      </c>
      <c r="Y24" s="117">
        <f>'As-Filed Schedule 2B'!O24</f>
        <v>0</v>
      </c>
      <c r="Z24" s="307">
        <f>SUMIFS(Adjustments!$G:$G,Adjustments!$H:$H,"2B",Adjustments!$I:$I,'Schedule 2B Adjustments'!$Y$12,Adjustments!$J:$J,'Schedule 2B Adjustments'!$A24)</f>
        <v>0</v>
      </c>
      <c r="AA24" s="320">
        <f t="shared" si="6"/>
        <v>0</v>
      </c>
    </row>
    <row r="25" spans="1:27" x14ac:dyDescent="0.35">
      <c r="A25" s="24">
        <v>11</v>
      </c>
      <c r="B25" s="565" t="str">
        <f>IF('As-Filed Schedule 2B'!B25:D25=0,"",'As-Filed Schedule 2B'!B25:D25)</f>
        <v/>
      </c>
      <c r="C25" s="565"/>
      <c r="D25" s="565"/>
      <c r="F25" s="114">
        <f>'As-Filed Schedule 2B'!F25</f>
        <v>0</v>
      </c>
      <c r="G25" s="307">
        <f>SUMIFS(Adjustments!$G:$G,Adjustments!$H:$H,"2B",Adjustments!$I:$I,'Schedule 2B Adjustments'!$F$12,Adjustments!$J:$J,'Schedule 2B Adjustments'!$A25)</f>
        <v>0</v>
      </c>
      <c r="H25" s="303">
        <f t="shared" si="0"/>
        <v>0</v>
      </c>
      <c r="I25" s="68">
        <f>IFERROR(F25*'As-Filed Schedule 1'!$E$103,0)</f>
        <v>0</v>
      </c>
      <c r="J25" s="304">
        <f>IFERROR(H25*'Adjusted Schedule 1'!$E$104,0)</f>
        <v>0</v>
      </c>
      <c r="K25" s="173">
        <f t="shared" si="1"/>
        <v>0</v>
      </c>
      <c r="L25" s="304">
        <f t="shared" si="7"/>
        <v>0</v>
      </c>
      <c r="N25" s="172">
        <f>'As-Filed Schedule 2B'!J25</f>
        <v>0</v>
      </c>
      <c r="O25" s="307">
        <f>SUMIFS(Adjustments!$G:$G,Adjustments!$H:$H,"2B",Adjustments!$I:$I,'Schedule 2B Adjustments'!$N$12,Adjustments!$J:$J,'Schedule 2B Adjustments'!$A25)</f>
        <v>0</v>
      </c>
      <c r="P25" s="303">
        <f t="shared" si="2"/>
        <v>0</v>
      </c>
      <c r="Q25" s="68">
        <f>IFERROR(N25*'As-Filed Schedule 1'!$E$103,0)</f>
        <v>0</v>
      </c>
      <c r="R25" s="304">
        <f>IFERROR(P25*'Adjusted Schedule 1'!$E$104,0)</f>
        <v>0</v>
      </c>
      <c r="S25" s="68">
        <f t="shared" si="3"/>
        <v>0</v>
      </c>
      <c r="T25" s="304">
        <f t="shared" si="4"/>
        <v>0</v>
      </c>
      <c r="V25" s="117">
        <f>'As-Filed Schedule 2B'!N25</f>
        <v>0</v>
      </c>
      <c r="W25" s="307">
        <f>SUMIFS(Adjustments!$G:$G,Adjustments!$H:$H,"2B",Adjustments!$I:$I,'Schedule 2B Adjustments'!$V$12,Adjustments!$J:$J,'Schedule 2B Adjustments'!$A25)</f>
        <v>0</v>
      </c>
      <c r="X25" s="320">
        <f t="shared" si="5"/>
        <v>0</v>
      </c>
      <c r="Y25" s="117">
        <f>'As-Filed Schedule 2B'!O25</f>
        <v>0</v>
      </c>
      <c r="Z25" s="307">
        <f>SUMIFS(Adjustments!$G:$G,Adjustments!$H:$H,"2B",Adjustments!$I:$I,'Schedule 2B Adjustments'!$Y$12,Adjustments!$J:$J,'Schedule 2B Adjustments'!$A25)</f>
        <v>0</v>
      </c>
      <c r="AA25" s="320">
        <f t="shared" si="6"/>
        <v>0</v>
      </c>
    </row>
    <row r="26" spans="1:27" x14ac:dyDescent="0.35">
      <c r="A26" s="24">
        <v>12</v>
      </c>
      <c r="B26" s="565" t="str">
        <f>IF('As-Filed Schedule 2B'!B26:D26=0,"",'As-Filed Schedule 2B'!B26:D26)</f>
        <v/>
      </c>
      <c r="C26" s="565"/>
      <c r="D26" s="565"/>
      <c r="F26" s="114">
        <f>'As-Filed Schedule 2B'!F26</f>
        <v>0</v>
      </c>
      <c r="G26" s="307">
        <f>SUMIFS(Adjustments!$G:$G,Adjustments!$H:$H,"2B",Adjustments!$I:$I,'Schedule 2B Adjustments'!$F$12,Adjustments!$J:$J,'Schedule 2B Adjustments'!$A26)</f>
        <v>0</v>
      </c>
      <c r="H26" s="303">
        <f t="shared" si="0"/>
        <v>0</v>
      </c>
      <c r="I26" s="68">
        <f>IFERROR(F26*'As-Filed Schedule 1'!$E$103,0)</f>
        <v>0</v>
      </c>
      <c r="J26" s="304">
        <f>IFERROR(H26*'Adjusted Schedule 1'!$E$104,0)</f>
        <v>0</v>
      </c>
      <c r="K26" s="173">
        <f t="shared" si="1"/>
        <v>0</v>
      </c>
      <c r="L26" s="304">
        <f t="shared" si="7"/>
        <v>0</v>
      </c>
      <c r="N26" s="172">
        <f>'As-Filed Schedule 2B'!J26</f>
        <v>0</v>
      </c>
      <c r="O26" s="307">
        <f>SUMIFS(Adjustments!$G:$G,Adjustments!$H:$H,"2B",Adjustments!$I:$I,'Schedule 2B Adjustments'!$N$12,Adjustments!$J:$J,'Schedule 2B Adjustments'!$A26)</f>
        <v>0</v>
      </c>
      <c r="P26" s="303">
        <f t="shared" si="2"/>
        <v>0</v>
      </c>
      <c r="Q26" s="68">
        <f>IFERROR(N26*'As-Filed Schedule 1'!$E$103,0)</f>
        <v>0</v>
      </c>
      <c r="R26" s="304">
        <f>IFERROR(P26*'Adjusted Schedule 1'!$E$104,0)</f>
        <v>0</v>
      </c>
      <c r="S26" s="68">
        <f t="shared" si="3"/>
        <v>0</v>
      </c>
      <c r="T26" s="304">
        <f t="shared" si="4"/>
        <v>0</v>
      </c>
      <c r="V26" s="117">
        <f>'As-Filed Schedule 2B'!N26</f>
        <v>0</v>
      </c>
      <c r="W26" s="307">
        <f>SUMIFS(Adjustments!$G:$G,Adjustments!$H:$H,"2B",Adjustments!$I:$I,'Schedule 2B Adjustments'!$V$12,Adjustments!$J:$J,'Schedule 2B Adjustments'!$A26)</f>
        <v>0</v>
      </c>
      <c r="X26" s="320">
        <f t="shared" si="5"/>
        <v>0</v>
      </c>
      <c r="Y26" s="117">
        <f>'As-Filed Schedule 2B'!O26</f>
        <v>0</v>
      </c>
      <c r="Z26" s="307">
        <f>SUMIFS(Adjustments!$G:$G,Adjustments!$H:$H,"2B",Adjustments!$I:$I,'Schedule 2B Adjustments'!$Y$12,Adjustments!$J:$J,'Schedule 2B Adjustments'!$A26)</f>
        <v>0</v>
      </c>
      <c r="AA26" s="320">
        <f t="shared" si="6"/>
        <v>0</v>
      </c>
    </row>
    <row r="27" spans="1:27" x14ac:dyDescent="0.35">
      <c r="A27" s="24">
        <v>13</v>
      </c>
      <c r="B27" s="565" t="str">
        <f>IF('As-Filed Schedule 2B'!B27:D27=0,"",'As-Filed Schedule 2B'!B27:D27)</f>
        <v/>
      </c>
      <c r="C27" s="565"/>
      <c r="D27" s="565"/>
      <c r="F27" s="114">
        <f>'As-Filed Schedule 2B'!F27</f>
        <v>0</v>
      </c>
      <c r="G27" s="307">
        <f>SUMIFS(Adjustments!$G:$G,Adjustments!$H:$H,"2B",Adjustments!$I:$I,'Schedule 2B Adjustments'!$F$12,Adjustments!$J:$J,'Schedule 2B Adjustments'!$A27)</f>
        <v>0</v>
      </c>
      <c r="H27" s="303">
        <f t="shared" si="0"/>
        <v>0</v>
      </c>
      <c r="I27" s="68">
        <f>IFERROR(F27*'As-Filed Schedule 1'!$E$103,0)</f>
        <v>0</v>
      </c>
      <c r="J27" s="304">
        <f>IFERROR(H27*'Adjusted Schedule 1'!$E$104,0)</f>
        <v>0</v>
      </c>
      <c r="K27" s="173">
        <f t="shared" si="1"/>
        <v>0</v>
      </c>
      <c r="L27" s="304">
        <f t="shared" si="7"/>
        <v>0</v>
      </c>
      <c r="N27" s="172">
        <f>'As-Filed Schedule 2B'!J27</f>
        <v>0</v>
      </c>
      <c r="O27" s="307">
        <f>SUMIFS(Adjustments!$G:$G,Adjustments!$H:$H,"2B",Adjustments!$I:$I,'Schedule 2B Adjustments'!$N$12,Adjustments!$J:$J,'Schedule 2B Adjustments'!$A27)</f>
        <v>0</v>
      </c>
      <c r="P27" s="303">
        <f t="shared" si="2"/>
        <v>0</v>
      </c>
      <c r="Q27" s="68">
        <f>IFERROR(N27*'As-Filed Schedule 1'!$E$103,0)</f>
        <v>0</v>
      </c>
      <c r="R27" s="304">
        <f>IFERROR(P27*'Adjusted Schedule 1'!$E$104,0)</f>
        <v>0</v>
      </c>
      <c r="S27" s="68">
        <f t="shared" si="3"/>
        <v>0</v>
      </c>
      <c r="T27" s="304">
        <f t="shared" si="4"/>
        <v>0</v>
      </c>
      <c r="V27" s="117">
        <f>'As-Filed Schedule 2B'!N27</f>
        <v>0</v>
      </c>
      <c r="W27" s="307">
        <f>SUMIFS(Adjustments!$G:$G,Adjustments!$H:$H,"2B",Adjustments!$I:$I,'Schedule 2B Adjustments'!$V$12,Adjustments!$J:$J,'Schedule 2B Adjustments'!$A27)</f>
        <v>0</v>
      </c>
      <c r="X27" s="320">
        <f t="shared" si="5"/>
        <v>0</v>
      </c>
      <c r="Y27" s="117">
        <f>'As-Filed Schedule 2B'!O27</f>
        <v>0</v>
      </c>
      <c r="Z27" s="307">
        <f>SUMIFS(Adjustments!$G:$G,Adjustments!$H:$H,"2B",Adjustments!$I:$I,'Schedule 2B Adjustments'!$Y$12,Adjustments!$J:$J,'Schedule 2B Adjustments'!$A27)</f>
        <v>0</v>
      </c>
      <c r="AA27" s="320">
        <f t="shared" si="6"/>
        <v>0</v>
      </c>
    </row>
    <row r="28" spans="1:27" x14ac:dyDescent="0.35">
      <c r="A28" s="24">
        <v>14</v>
      </c>
      <c r="B28" s="565" t="str">
        <f>IF('As-Filed Schedule 2B'!B28:D28=0,"",'As-Filed Schedule 2B'!B28:D28)</f>
        <v/>
      </c>
      <c r="C28" s="565"/>
      <c r="D28" s="565"/>
      <c r="F28" s="114">
        <f>'As-Filed Schedule 2B'!F28</f>
        <v>0</v>
      </c>
      <c r="G28" s="307">
        <f>SUMIFS(Adjustments!$G:$G,Adjustments!$H:$H,"2B",Adjustments!$I:$I,'Schedule 2B Adjustments'!$F$12,Adjustments!$J:$J,'Schedule 2B Adjustments'!$A28)</f>
        <v>0</v>
      </c>
      <c r="H28" s="303">
        <f t="shared" si="0"/>
        <v>0</v>
      </c>
      <c r="I28" s="68">
        <f>IFERROR(F28*'As-Filed Schedule 1'!$E$103,0)</f>
        <v>0</v>
      </c>
      <c r="J28" s="304">
        <f>IFERROR(H28*'Adjusted Schedule 1'!$E$104,0)</f>
        <v>0</v>
      </c>
      <c r="K28" s="173">
        <f t="shared" si="1"/>
        <v>0</v>
      </c>
      <c r="L28" s="304">
        <f>SUM(H28,J28)</f>
        <v>0</v>
      </c>
      <c r="N28" s="172">
        <f>'As-Filed Schedule 2B'!J28</f>
        <v>0</v>
      </c>
      <c r="O28" s="307">
        <f>SUMIFS(Adjustments!$G:$G,Adjustments!$H:$H,"2B",Adjustments!$I:$I,'Schedule 2B Adjustments'!$N$12,Adjustments!$J:$J,'Schedule 2B Adjustments'!$A28)</f>
        <v>0</v>
      </c>
      <c r="P28" s="303">
        <f t="shared" si="2"/>
        <v>0</v>
      </c>
      <c r="Q28" s="68">
        <f>IFERROR(N28*'As-Filed Schedule 1'!$E$103,0)</f>
        <v>0</v>
      </c>
      <c r="R28" s="304">
        <f>IFERROR(P28*'Adjusted Schedule 1'!$E$104,0)</f>
        <v>0</v>
      </c>
      <c r="S28" s="68">
        <f t="shared" si="3"/>
        <v>0</v>
      </c>
      <c r="T28" s="304">
        <f t="shared" si="4"/>
        <v>0</v>
      </c>
      <c r="V28" s="117">
        <f>'As-Filed Schedule 2B'!N28</f>
        <v>0</v>
      </c>
      <c r="W28" s="307">
        <f>SUMIFS(Adjustments!$G:$G,Adjustments!$H:$H,"2B",Adjustments!$I:$I,'Schedule 2B Adjustments'!$V$12,Adjustments!$J:$J,'Schedule 2B Adjustments'!$A28)</f>
        <v>0</v>
      </c>
      <c r="X28" s="320">
        <f t="shared" si="5"/>
        <v>0</v>
      </c>
      <c r="Y28" s="117">
        <f>'As-Filed Schedule 2B'!O28</f>
        <v>0</v>
      </c>
      <c r="Z28" s="307">
        <f>SUMIFS(Adjustments!$G:$G,Adjustments!$H:$H,"2B",Adjustments!$I:$I,'Schedule 2B Adjustments'!$Y$12,Adjustments!$J:$J,'Schedule 2B Adjustments'!$A28)</f>
        <v>0</v>
      </c>
      <c r="AA28" s="320">
        <f t="shared" si="6"/>
        <v>0</v>
      </c>
    </row>
    <row r="29" spans="1:27" x14ac:dyDescent="0.35">
      <c r="A29" s="24">
        <v>15</v>
      </c>
      <c r="B29" s="565" t="str">
        <f>IF('As-Filed Schedule 2B'!B29:D29=0,"",'As-Filed Schedule 2B'!B29:D29)</f>
        <v/>
      </c>
      <c r="C29" s="565"/>
      <c r="D29" s="565"/>
      <c r="F29" s="114">
        <f>'As-Filed Schedule 2B'!F29</f>
        <v>0</v>
      </c>
      <c r="G29" s="307">
        <f>SUMIFS(Adjustments!$G:$G,Adjustments!$H:$H,"2B",Adjustments!$I:$I,'Schedule 2B Adjustments'!$F$12,Adjustments!$J:$J,'Schedule 2B Adjustments'!$A29)</f>
        <v>0</v>
      </c>
      <c r="H29" s="303">
        <f t="shared" si="0"/>
        <v>0</v>
      </c>
      <c r="I29" s="68">
        <f>IFERROR(F29*'As-Filed Schedule 1'!$E$103,0)</f>
        <v>0</v>
      </c>
      <c r="J29" s="304">
        <f>IFERROR(H29*'Adjusted Schedule 1'!$E$104,0)</f>
        <v>0</v>
      </c>
      <c r="K29" s="173">
        <f t="shared" si="1"/>
        <v>0</v>
      </c>
      <c r="L29" s="304">
        <f t="shared" si="7"/>
        <v>0</v>
      </c>
      <c r="N29" s="172">
        <f>'As-Filed Schedule 2B'!J29</f>
        <v>0</v>
      </c>
      <c r="O29" s="307">
        <f>SUMIFS(Adjustments!$G:$G,Adjustments!$H:$H,"2B",Adjustments!$I:$I,'Schedule 2B Adjustments'!$N$12,Adjustments!$J:$J,'Schedule 2B Adjustments'!$A29)</f>
        <v>0</v>
      </c>
      <c r="P29" s="303">
        <f t="shared" si="2"/>
        <v>0</v>
      </c>
      <c r="Q29" s="68">
        <f>IFERROR(N29*'As-Filed Schedule 1'!$E$103,0)</f>
        <v>0</v>
      </c>
      <c r="R29" s="304">
        <f>IFERROR(P29*'Adjusted Schedule 1'!$E$104,0)</f>
        <v>0</v>
      </c>
      <c r="S29" s="68">
        <f t="shared" si="3"/>
        <v>0</v>
      </c>
      <c r="T29" s="304">
        <f t="shared" si="4"/>
        <v>0</v>
      </c>
      <c r="V29" s="117">
        <f>'As-Filed Schedule 2B'!N29</f>
        <v>0</v>
      </c>
      <c r="W29" s="307">
        <f>SUMIFS(Adjustments!$G:$G,Adjustments!$H:$H,"2B",Adjustments!$I:$I,'Schedule 2B Adjustments'!$V$12,Adjustments!$J:$J,'Schedule 2B Adjustments'!$A29)</f>
        <v>0</v>
      </c>
      <c r="X29" s="320">
        <f t="shared" si="5"/>
        <v>0</v>
      </c>
      <c r="Y29" s="117">
        <f>'As-Filed Schedule 2B'!O29</f>
        <v>0</v>
      </c>
      <c r="Z29" s="307">
        <f>SUMIFS(Adjustments!$G:$G,Adjustments!$H:$H,"2B",Adjustments!$I:$I,'Schedule 2B Adjustments'!$Y$12,Adjustments!$J:$J,'Schedule 2B Adjustments'!$A29)</f>
        <v>0</v>
      </c>
      <c r="AA29" s="320">
        <f t="shared" si="6"/>
        <v>0</v>
      </c>
    </row>
    <row r="30" spans="1:27" x14ac:dyDescent="0.35">
      <c r="A30" s="24">
        <v>16</v>
      </c>
      <c r="B30" s="565" t="str">
        <f>IF('As-Filed Schedule 2B'!B30:D30=0,"",'As-Filed Schedule 2B'!B30:D30)</f>
        <v/>
      </c>
      <c r="C30" s="565"/>
      <c r="D30" s="565"/>
      <c r="F30" s="114">
        <f>'As-Filed Schedule 2B'!F30</f>
        <v>0</v>
      </c>
      <c r="G30" s="307">
        <f>SUMIFS(Adjustments!$G:$G,Adjustments!$H:$H,"2B",Adjustments!$I:$I,'Schedule 2B Adjustments'!$F$12,Adjustments!$J:$J,'Schedule 2B Adjustments'!$A30)</f>
        <v>0</v>
      </c>
      <c r="H30" s="303">
        <f t="shared" si="0"/>
        <v>0</v>
      </c>
      <c r="I30" s="68">
        <f>IFERROR(F30*'As-Filed Schedule 1'!$E$103,0)</f>
        <v>0</v>
      </c>
      <c r="J30" s="304">
        <f>IFERROR(H30*'Adjusted Schedule 1'!$E$104,0)</f>
        <v>0</v>
      </c>
      <c r="K30" s="173">
        <f t="shared" si="1"/>
        <v>0</v>
      </c>
      <c r="L30" s="304">
        <f t="shared" si="7"/>
        <v>0</v>
      </c>
      <c r="N30" s="172">
        <f>'As-Filed Schedule 2B'!J30</f>
        <v>0</v>
      </c>
      <c r="O30" s="307">
        <f>SUMIFS(Adjustments!$G:$G,Adjustments!$H:$H,"2B",Adjustments!$I:$I,'Schedule 2B Adjustments'!$N$12,Adjustments!$J:$J,'Schedule 2B Adjustments'!$A30)</f>
        <v>0</v>
      </c>
      <c r="P30" s="303">
        <f t="shared" si="2"/>
        <v>0</v>
      </c>
      <c r="Q30" s="68">
        <f>IFERROR(N30*'As-Filed Schedule 1'!$E$103,0)</f>
        <v>0</v>
      </c>
      <c r="R30" s="304">
        <f>IFERROR(P30*'Adjusted Schedule 1'!$E$104,0)</f>
        <v>0</v>
      </c>
      <c r="S30" s="68">
        <f t="shared" si="3"/>
        <v>0</v>
      </c>
      <c r="T30" s="304">
        <f t="shared" si="4"/>
        <v>0</v>
      </c>
      <c r="V30" s="117">
        <f>'As-Filed Schedule 2B'!N30</f>
        <v>0</v>
      </c>
      <c r="W30" s="307">
        <f>SUMIFS(Adjustments!$G:$G,Adjustments!$H:$H,"2B",Adjustments!$I:$I,'Schedule 2B Adjustments'!$V$12,Adjustments!$J:$J,'Schedule 2B Adjustments'!$A30)</f>
        <v>0</v>
      </c>
      <c r="X30" s="320">
        <f t="shared" si="5"/>
        <v>0</v>
      </c>
      <c r="Y30" s="117">
        <f>'As-Filed Schedule 2B'!O30</f>
        <v>0</v>
      </c>
      <c r="Z30" s="307">
        <f>SUMIFS(Adjustments!$G:$G,Adjustments!$H:$H,"2B",Adjustments!$I:$I,'Schedule 2B Adjustments'!$Y$12,Adjustments!$J:$J,'Schedule 2B Adjustments'!$A30)</f>
        <v>0</v>
      </c>
      <c r="AA30" s="320">
        <f t="shared" si="6"/>
        <v>0</v>
      </c>
    </row>
    <row r="31" spans="1:27" x14ac:dyDescent="0.35">
      <c r="A31" s="24">
        <v>17</v>
      </c>
      <c r="B31" s="565" t="str">
        <f>IF('As-Filed Schedule 2B'!B31:D31=0,"",'As-Filed Schedule 2B'!B31:D31)</f>
        <v/>
      </c>
      <c r="C31" s="565"/>
      <c r="D31" s="565"/>
      <c r="F31" s="114">
        <f>'As-Filed Schedule 2B'!F31</f>
        <v>0</v>
      </c>
      <c r="G31" s="307">
        <f>SUMIFS(Adjustments!$G:$G,Adjustments!$H:$H,"2B",Adjustments!$I:$I,'Schedule 2B Adjustments'!$F$12,Adjustments!$J:$J,'Schedule 2B Adjustments'!$A31)</f>
        <v>0</v>
      </c>
      <c r="H31" s="303">
        <f t="shared" si="0"/>
        <v>0</v>
      </c>
      <c r="I31" s="68">
        <f>IFERROR(F31*'As-Filed Schedule 1'!$E$103,0)</f>
        <v>0</v>
      </c>
      <c r="J31" s="304">
        <f>IFERROR(H31*'Adjusted Schedule 1'!$E$104,0)</f>
        <v>0</v>
      </c>
      <c r="K31" s="173">
        <f t="shared" si="1"/>
        <v>0</v>
      </c>
      <c r="L31" s="304">
        <f t="shared" si="7"/>
        <v>0</v>
      </c>
      <c r="N31" s="172">
        <f>'As-Filed Schedule 2B'!J31</f>
        <v>0</v>
      </c>
      <c r="O31" s="307">
        <f>SUMIFS(Adjustments!$G:$G,Adjustments!$H:$H,"2B",Adjustments!$I:$I,'Schedule 2B Adjustments'!$N$12,Adjustments!$J:$J,'Schedule 2B Adjustments'!$A31)</f>
        <v>0</v>
      </c>
      <c r="P31" s="303">
        <f t="shared" si="2"/>
        <v>0</v>
      </c>
      <c r="Q31" s="68">
        <f>IFERROR(N31*'As-Filed Schedule 1'!$E$103,0)</f>
        <v>0</v>
      </c>
      <c r="R31" s="304">
        <f>IFERROR(P31*'Adjusted Schedule 1'!$E$104,0)</f>
        <v>0</v>
      </c>
      <c r="S31" s="68">
        <f t="shared" si="3"/>
        <v>0</v>
      </c>
      <c r="T31" s="304">
        <f t="shared" si="4"/>
        <v>0</v>
      </c>
      <c r="V31" s="117">
        <f>'As-Filed Schedule 2B'!N31</f>
        <v>0</v>
      </c>
      <c r="W31" s="307">
        <f>SUMIFS(Adjustments!$G:$G,Adjustments!$H:$H,"2B",Adjustments!$I:$I,'Schedule 2B Adjustments'!$V$12,Adjustments!$J:$J,'Schedule 2B Adjustments'!$A31)</f>
        <v>0</v>
      </c>
      <c r="X31" s="320">
        <f t="shared" si="5"/>
        <v>0</v>
      </c>
      <c r="Y31" s="117">
        <f>'As-Filed Schedule 2B'!O31</f>
        <v>0</v>
      </c>
      <c r="Z31" s="307">
        <f>SUMIFS(Adjustments!$G:$G,Adjustments!$H:$H,"2B",Adjustments!$I:$I,'Schedule 2B Adjustments'!$Y$12,Adjustments!$J:$J,'Schedule 2B Adjustments'!$A31)</f>
        <v>0</v>
      </c>
      <c r="AA31" s="320">
        <f t="shared" si="6"/>
        <v>0</v>
      </c>
    </row>
    <row r="32" spans="1:27" x14ac:dyDescent="0.35">
      <c r="A32" s="24">
        <v>18</v>
      </c>
      <c r="B32" s="565" t="str">
        <f>IF('As-Filed Schedule 2B'!B32:D32=0,"",'As-Filed Schedule 2B'!B32:D32)</f>
        <v/>
      </c>
      <c r="C32" s="565"/>
      <c r="D32" s="565"/>
      <c r="F32" s="114">
        <f>'As-Filed Schedule 2B'!F32</f>
        <v>0</v>
      </c>
      <c r="G32" s="307">
        <f>SUMIFS(Adjustments!$G:$G,Adjustments!$H:$H,"2B",Adjustments!$I:$I,'Schedule 2B Adjustments'!$F$12,Adjustments!$J:$J,'Schedule 2B Adjustments'!$A32)</f>
        <v>0</v>
      </c>
      <c r="H32" s="303">
        <f t="shared" si="0"/>
        <v>0</v>
      </c>
      <c r="I32" s="68">
        <f>IFERROR(F32*'As-Filed Schedule 1'!$E$103,0)</f>
        <v>0</v>
      </c>
      <c r="J32" s="304">
        <f>IFERROR(H32*'Adjusted Schedule 1'!$E$104,0)</f>
        <v>0</v>
      </c>
      <c r="K32" s="173">
        <f t="shared" si="1"/>
        <v>0</v>
      </c>
      <c r="L32" s="304">
        <f t="shared" si="7"/>
        <v>0</v>
      </c>
      <c r="N32" s="172">
        <f>'As-Filed Schedule 2B'!J32</f>
        <v>0</v>
      </c>
      <c r="O32" s="307">
        <f>SUMIFS(Adjustments!$G:$G,Adjustments!$H:$H,"2B",Adjustments!$I:$I,'Schedule 2B Adjustments'!$N$12,Adjustments!$J:$J,'Schedule 2B Adjustments'!$A32)</f>
        <v>0</v>
      </c>
      <c r="P32" s="303">
        <f t="shared" si="2"/>
        <v>0</v>
      </c>
      <c r="Q32" s="68">
        <f>IFERROR(N32*'As-Filed Schedule 1'!$E$103,0)</f>
        <v>0</v>
      </c>
      <c r="R32" s="304">
        <f>IFERROR(P32*'Adjusted Schedule 1'!$E$104,0)</f>
        <v>0</v>
      </c>
      <c r="S32" s="68">
        <f t="shared" si="3"/>
        <v>0</v>
      </c>
      <c r="T32" s="304">
        <f t="shared" si="4"/>
        <v>0</v>
      </c>
      <c r="V32" s="117">
        <f>'As-Filed Schedule 2B'!N32</f>
        <v>0</v>
      </c>
      <c r="W32" s="307">
        <f>SUMIFS(Adjustments!$G:$G,Adjustments!$H:$H,"2B",Adjustments!$I:$I,'Schedule 2B Adjustments'!$V$12,Adjustments!$J:$J,'Schedule 2B Adjustments'!$A32)</f>
        <v>0</v>
      </c>
      <c r="X32" s="320">
        <f t="shared" si="5"/>
        <v>0</v>
      </c>
      <c r="Y32" s="117">
        <f>'As-Filed Schedule 2B'!O32</f>
        <v>0</v>
      </c>
      <c r="Z32" s="307">
        <f>SUMIFS(Adjustments!$G:$G,Adjustments!$H:$H,"2B",Adjustments!$I:$I,'Schedule 2B Adjustments'!$Y$12,Adjustments!$J:$J,'Schedule 2B Adjustments'!$A32)</f>
        <v>0</v>
      </c>
      <c r="AA32" s="320">
        <f t="shared" si="6"/>
        <v>0</v>
      </c>
    </row>
    <row r="33" spans="1:27" x14ac:dyDescent="0.35">
      <c r="A33" s="24">
        <v>19</v>
      </c>
      <c r="B33" s="565" t="str">
        <f>IF('As-Filed Schedule 2B'!B33:D33=0,"",'As-Filed Schedule 2B'!B33:D33)</f>
        <v/>
      </c>
      <c r="C33" s="565"/>
      <c r="D33" s="565"/>
      <c r="F33" s="114">
        <f>'As-Filed Schedule 2B'!F33</f>
        <v>0</v>
      </c>
      <c r="G33" s="307">
        <f>SUMIFS(Adjustments!$G:$G,Adjustments!$H:$H,"2B",Adjustments!$I:$I,'Schedule 2B Adjustments'!$F$12,Adjustments!$J:$J,'Schedule 2B Adjustments'!$A33)</f>
        <v>0</v>
      </c>
      <c r="H33" s="303">
        <f t="shared" si="0"/>
        <v>0</v>
      </c>
      <c r="I33" s="68">
        <f>IFERROR(F33*'As-Filed Schedule 1'!$E$103,0)</f>
        <v>0</v>
      </c>
      <c r="J33" s="304">
        <f>IFERROR(H33*'Adjusted Schedule 1'!$E$104,0)</f>
        <v>0</v>
      </c>
      <c r="K33" s="173">
        <f t="shared" si="1"/>
        <v>0</v>
      </c>
      <c r="L33" s="304">
        <f t="shared" si="7"/>
        <v>0</v>
      </c>
      <c r="N33" s="172">
        <f>'As-Filed Schedule 2B'!J33</f>
        <v>0</v>
      </c>
      <c r="O33" s="307">
        <f>SUMIFS(Adjustments!$G:$G,Adjustments!$H:$H,"2B",Adjustments!$I:$I,'Schedule 2B Adjustments'!$N$12,Adjustments!$J:$J,'Schedule 2B Adjustments'!$A33)</f>
        <v>0</v>
      </c>
      <c r="P33" s="303">
        <f t="shared" si="2"/>
        <v>0</v>
      </c>
      <c r="Q33" s="68">
        <f>IFERROR(N33*'As-Filed Schedule 1'!$E$103,0)</f>
        <v>0</v>
      </c>
      <c r="R33" s="304">
        <f>IFERROR(P33*'Adjusted Schedule 1'!$E$104,0)</f>
        <v>0</v>
      </c>
      <c r="S33" s="68">
        <f t="shared" si="3"/>
        <v>0</v>
      </c>
      <c r="T33" s="304">
        <f t="shared" si="4"/>
        <v>0</v>
      </c>
      <c r="V33" s="117">
        <f>'As-Filed Schedule 2B'!N33</f>
        <v>0</v>
      </c>
      <c r="W33" s="307">
        <f>SUMIFS(Adjustments!$G:$G,Adjustments!$H:$H,"2B",Adjustments!$I:$I,'Schedule 2B Adjustments'!$V$12,Adjustments!$J:$J,'Schedule 2B Adjustments'!$A33)</f>
        <v>0</v>
      </c>
      <c r="X33" s="320">
        <f t="shared" si="5"/>
        <v>0</v>
      </c>
      <c r="Y33" s="117">
        <f>'As-Filed Schedule 2B'!O33</f>
        <v>0</v>
      </c>
      <c r="Z33" s="307">
        <f>SUMIFS(Adjustments!$G:$G,Adjustments!$H:$H,"2B",Adjustments!$I:$I,'Schedule 2B Adjustments'!$Y$12,Adjustments!$J:$J,'Schedule 2B Adjustments'!$A33)</f>
        <v>0</v>
      </c>
      <c r="AA33" s="320">
        <f t="shared" si="6"/>
        <v>0</v>
      </c>
    </row>
    <row r="34" spans="1:27" x14ac:dyDescent="0.35">
      <c r="A34" s="24">
        <v>20</v>
      </c>
      <c r="B34" s="565" t="str">
        <f>IF('As-Filed Schedule 2B'!B34:D34=0,"",'As-Filed Schedule 2B'!B34:D34)</f>
        <v/>
      </c>
      <c r="C34" s="565"/>
      <c r="D34" s="565"/>
      <c r="F34" s="114">
        <f>'As-Filed Schedule 2B'!F34</f>
        <v>0</v>
      </c>
      <c r="G34" s="307">
        <f>SUMIFS(Adjustments!$G:$G,Adjustments!$H:$H,"2B",Adjustments!$I:$I,'Schedule 2B Adjustments'!$F$12,Adjustments!$J:$J,'Schedule 2B Adjustments'!$A34)</f>
        <v>0</v>
      </c>
      <c r="H34" s="303">
        <f t="shared" si="0"/>
        <v>0</v>
      </c>
      <c r="I34" s="68">
        <f>IFERROR(F34*'As-Filed Schedule 1'!$E$103,0)</f>
        <v>0</v>
      </c>
      <c r="J34" s="304">
        <f>IFERROR(H34*'Adjusted Schedule 1'!$E$104,0)</f>
        <v>0</v>
      </c>
      <c r="K34" s="173">
        <f t="shared" si="1"/>
        <v>0</v>
      </c>
      <c r="L34" s="304">
        <f t="shared" si="7"/>
        <v>0</v>
      </c>
      <c r="N34" s="172">
        <f>'As-Filed Schedule 2B'!J34</f>
        <v>0</v>
      </c>
      <c r="O34" s="307">
        <f>SUMIFS(Adjustments!$G:$G,Adjustments!$H:$H,"2B",Adjustments!$I:$I,'Schedule 2B Adjustments'!$N$12,Adjustments!$J:$J,'Schedule 2B Adjustments'!$A34)</f>
        <v>0</v>
      </c>
      <c r="P34" s="303">
        <f t="shared" si="2"/>
        <v>0</v>
      </c>
      <c r="Q34" s="68">
        <f>IFERROR(N34*'As-Filed Schedule 1'!$E$103,0)</f>
        <v>0</v>
      </c>
      <c r="R34" s="304">
        <f>IFERROR(P34*'Adjusted Schedule 1'!$E$104,0)</f>
        <v>0</v>
      </c>
      <c r="S34" s="68">
        <f t="shared" si="3"/>
        <v>0</v>
      </c>
      <c r="T34" s="304">
        <f t="shared" si="4"/>
        <v>0</v>
      </c>
      <c r="V34" s="117">
        <f>'As-Filed Schedule 2B'!N34</f>
        <v>0</v>
      </c>
      <c r="W34" s="307">
        <f>SUMIFS(Adjustments!$G:$G,Adjustments!$H:$H,"2B",Adjustments!$I:$I,'Schedule 2B Adjustments'!$V$12,Adjustments!$J:$J,'Schedule 2B Adjustments'!$A34)</f>
        <v>0</v>
      </c>
      <c r="X34" s="320">
        <f t="shared" si="5"/>
        <v>0</v>
      </c>
      <c r="Y34" s="117">
        <f>'As-Filed Schedule 2B'!O34</f>
        <v>0</v>
      </c>
      <c r="Z34" s="307">
        <f>SUMIFS(Adjustments!$G:$G,Adjustments!$H:$H,"2B",Adjustments!$I:$I,'Schedule 2B Adjustments'!$Y$12,Adjustments!$J:$J,'Schedule 2B Adjustments'!$A34)</f>
        <v>0</v>
      </c>
      <c r="AA34" s="320">
        <f t="shared" si="6"/>
        <v>0</v>
      </c>
    </row>
    <row r="35" spans="1:27" x14ac:dyDescent="0.35">
      <c r="A35" s="24">
        <v>21</v>
      </c>
      <c r="B35" s="565" t="str">
        <f>IF('As-Filed Schedule 2B'!B35:D35=0,"",'As-Filed Schedule 2B'!B35:D35)</f>
        <v/>
      </c>
      <c r="C35" s="565"/>
      <c r="D35" s="565"/>
      <c r="F35" s="114">
        <f>'As-Filed Schedule 2B'!F35</f>
        <v>0</v>
      </c>
      <c r="G35" s="307">
        <f>SUMIFS(Adjustments!$G:$G,Adjustments!$H:$H,"2B",Adjustments!$I:$I,'Schedule 2B Adjustments'!$F$12,Adjustments!$J:$J,'Schedule 2B Adjustments'!$A35)</f>
        <v>0</v>
      </c>
      <c r="H35" s="303">
        <f t="shared" si="0"/>
        <v>0</v>
      </c>
      <c r="I35" s="68">
        <f>IFERROR(F35*'As-Filed Schedule 1'!$E$103,0)</f>
        <v>0</v>
      </c>
      <c r="J35" s="304">
        <f>IFERROR(H35*'Adjusted Schedule 1'!$E$104,0)</f>
        <v>0</v>
      </c>
      <c r="K35" s="173">
        <f t="shared" si="1"/>
        <v>0</v>
      </c>
      <c r="L35" s="304">
        <f t="shared" si="7"/>
        <v>0</v>
      </c>
      <c r="N35" s="172">
        <f>'As-Filed Schedule 2B'!J35</f>
        <v>0</v>
      </c>
      <c r="O35" s="307">
        <f>SUMIFS(Adjustments!$G:$G,Adjustments!$H:$H,"2B",Adjustments!$I:$I,'Schedule 2B Adjustments'!$N$12,Adjustments!$J:$J,'Schedule 2B Adjustments'!$A35)</f>
        <v>0</v>
      </c>
      <c r="P35" s="303">
        <f t="shared" si="2"/>
        <v>0</v>
      </c>
      <c r="Q35" s="68">
        <f>IFERROR(N35*'As-Filed Schedule 1'!$E$103,0)</f>
        <v>0</v>
      </c>
      <c r="R35" s="304">
        <f>IFERROR(P35*'Adjusted Schedule 1'!$E$104,0)</f>
        <v>0</v>
      </c>
      <c r="S35" s="68">
        <f t="shared" si="3"/>
        <v>0</v>
      </c>
      <c r="T35" s="304">
        <f t="shared" si="4"/>
        <v>0</v>
      </c>
      <c r="V35" s="117">
        <f>'As-Filed Schedule 2B'!N35</f>
        <v>0</v>
      </c>
      <c r="W35" s="307">
        <f>SUMIFS(Adjustments!$G:$G,Adjustments!$H:$H,"2B",Adjustments!$I:$I,'Schedule 2B Adjustments'!$V$12,Adjustments!$J:$J,'Schedule 2B Adjustments'!$A35)</f>
        <v>0</v>
      </c>
      <c r="X35" s="320">
        <f t="shared" si="5"/>
        <v>0</v>
      </c>
      <c r="Y35" s="117">
        <f>'As-Filed Schedule 2B'!O35</f>
        <v>0</v>
      </c>
      <c r="Z35" s="307">
        <f>SUMIFS(Adjustments!$G:$G,Adjustments!$H:$H,"2B",Adjustments!$I:$I,'Schedule 2B Adjustments'!$Y$12,Adjustments!$J:$J,'Schedule 2B Adjustments'!$A35)</f>
        <v>0</v>
      </c>
      <c r="AA35" s="320">
        <f t="shared" si="6"/>
        <v>0</v>
      </c>
    </row>
    <row r="36" spans="1:27" x14ac:dyDescent="0.35">
      <c r="A36" s="24">
        <v>22</v>
      </c>
      <c r="B36" s="565" t="str">
        <f>IF('As-Filed Schedule 2B'!B36:D36=0,"",'As-Filed Schedule 2B'!B36:D36)</f>
        <v/>
      </c>
      <c r="C36" s="565"/>
      <c r="D36" s="565"/>
      <c r="F36" s="114">
        <f>'As-Filed Schedule 2B'!F36</f>
        <v>0</v>
      </c>
      <c r="G36" s="307">
        <f>SUMIFS(Adjustments!$G:$G,Adjustments!$H:$H,"2B",Adjustments!$I:$I,'Schedule 2B Adjustments'!$F$12,Adjustments!$J:$J,'Schedule 2B Adjustments'!$A36)</f>
        <v>0</v>
      </c>
      <c r="H36" s="303">
        <f t="shared" si="0"/>
        <v>0</v>
      </c>
      <c r="I36" s="68">
        <f>IFERROR(F36*'As-Filed Schedule 1'!$E$103,0)</f>
        <v>0</v>
      </c>
      <c r="J36" s="304">
        <f>IFERROR(H36*'Adjusted Schedule 1'!$E$104,0)</f>
        <v>0</v>
      </c>
      <c r="K36" s="173">
        <f t="shared" si="1"/>
        <v>0</v>
      </c>
      <c r="L36" s="304">
        <f t="shared" si="7"/>
        <v>0</v>
      </c>
      <c r="N36" s="172">
        <f>'As-Filed Schedule 2B'!J36</f>
        <v>0</v>
      </c>
      <c r="O36" s="307">
        <f>SUMIFS(Adjustments!$G:$G,Adjustments!$H:$H,"2B",Adjustments!$I:$I,'Schedule 2B Adjustments'!$N$12,Adjustments!$J:$J,'Schedule 2B Adjustments'!$A36)</f>
        <v>0</v>
      </c>
      <c r="P36" s="303">
        <f t="shared" si="2"/>
        <v>0</v>
      </c>
      <c r="Q36" s="68">
        <f>IFERROR(N36*'As-Filed Schedule 1'!$E$103,0)</f>
        <v>0</v>
      </c>
      <c r="R36" s="304">
        <f>IFERROR(P36*'Adjusted Schedule 1'!$E$104,0)</f>
        <v>0</v>
      </c>
      <c r="S36" s="68">
        <f t="shared" si="3"/>
        <v>0</v>
      </c>
      <c r="T36" s="304">
        <f t="shared" si="4"/>
        <v>0</v>
      </c>
      <c r="V36" s="117">
        <f>'As-Filed Schedule 2B'!N36</f>
        <v>0</v>
      </c>
      <c r="W36" s="307">
        <f>SUMIFS(Adjustments!$G:$G,Adjustments!$H:$H,"2B",Adjustments!$I:$I,'Schedule 2B Adjustments'!$V$12,Adjustments!$J:$J,'Schedule 2B Adjustments'!$A36)</f>
        <v>0</v>
      </c>
      <c r="X36" s="320">
        <f t="shared" si="5"/>
        <v>0</v>
      </c>
      <c r="Y36" s="117">
        <f>'As-Filed Schedule 2B'!O36</f>
        <v>0</v>
      </c>
      <c r="Z36" s="307">
        <f>SUMIFS(Adjustments!$G:$G,Adjustments!$H:$H,"2B",Adjustments!$I:$I,'Schedule 2B Adjustments'!$Y$12,Adjustments!$J:$J,'Schedule 2B Adjustments'!$A36)</f>
        <v>0</v>
      </c>
      <c r="AA36" s="320">
        <f t="shared" si="6"/>
        <v>0</v>
      </c>
    </row>
    <row r="37" spans="1:27" x14ac:dyDescent="0.35">
      <c r="A37" s="24">
        <v>23</v>
      </c>
      <c r="B37" s="565" t="str">
        <f>IF('As-Filed Schedule 2B'!B37:D37=0,"",'As-Filed Schedule 2B'!B37:D37)</f>
        <v/>
      </c>
      <c r="C37" s="565"/>
      <c r="D37" s="565"/>
      <c r="F37" s="114">
        <f>'As-Filed Schedule 2B'!F37</f>
        <v>0</v>
      </c>
      <c r="G37" s="307">
        <f>SUMIFS(Adjustments!$G:$G,Adjustments!$H:$H,"2B",Adjustments!$I:$I,'Schedule 2B Adjustments'!$F$12,Adjustments!$J:$J,'Schedule 2B Adjustments'!$A37)</f>
        <v>0</v>
      </c>
      <c r="H37" s="303">
        <f t="shared" si="0"/>
        <v>0</v>
      </c>
      <c r="I37" s="68">
        <f>IFERROR(F37*'As-Filed Schedule 1'!$E$103,0)</f>
        <v>0</v>
      </c>
      <c r="J37" s="304">
        <f>IFERROR(H37*'Adjusted Schedule 1'!$E$104,0)</f>
        <v>0</v>
      </c>
      <c r="K37" s="173">
        <f t="shared" si="1"/>
        <v>0</v>
      </c>
      <c r="L37" s="304">
        <f t="shared" si="7"/>
        <v>0</v>
      </c>
      <c r="N37" s="172">
        <f>'As-Filed Schedule 2B'!J37</f>
        <v>0</v>
      </c>
      <c r="O37" s="307">
        <f>SUMIFS(Adjustments!$G:$G,Adjustments!$H:$H,"2B",Adjustments!$I:$I,'Schedule 2B Adjustments'!$N$12,Adjustments!$J:$J,'Schedule 2B Adjustments'!$A37)</f>
        <v>0</v>
      </c>
      <c r="P37" s="303">
        <f t="shared" si="2"/>
        <v>0</v>
      </c>
      <c r="Q37" s="68">
        <f>IFERROR(N37*'As-Filed Schedule 1'!$E$103,0)</f>
        <v>0</v>
      </c>
      <c r="R37" s="304">
        <f>IFERROR(P37*'Adjusted Schedule 1'!$E$104,0)</f>
        <v>0</v>
      </c>
      <c r="S37" s="68">
        <f t="shared" si="3"/>
        <v>0</v>
      </c>
      <c r="T37" s="304">
        <f t="shared" si="4"/>
        <v>0</v>
      </c>
      <c r="V37" s="117">
        <f>'As-Filed Schedule 2B'!N37</f>
        <v>0</v>
      </c>
      <c r="W37" s="307">
        <f>SUMIFS(Adjustments!$G:$G,Adjustments!$H:$H,"2B",Adjustments!$I:$I,'Schedule 2B Adjustments'!$V$12,Adjustments!$J:$J,'Schedule 2B Adjustments'!$A37)</f>
        <v>0</v>
      </c>
      <c r="X37" s="320">
        <f t="shared" si="5"/>
        <v>0</v>
      </c>
      <c r="Y37" s="117">
        <f>'As-Filed Schedule 2B'!O37</f>
        <v>0</v>
      </c>
      <c r="Z37" s="307">
        <f>SUMIFS(Adjustments!$G:$G,Adjustments!$H:$H,"2B",Adjustments!$I:$I,'Schedule 2B Adjustments'!$Y$12,Adjustments!$J:$J,'Schedule 2B Adjustments'!$A37)</f>
        <v>0</v>
      </c>
      <c r="AA37" s="320">
        <f t="shared" si="6"/>
        <v>0</v>
      </c>
    </row>
    <row r="38" spans="1:27" x14ac:dyDescent="0.35">
      <c r="A38" s="24">
        <v>24</v>
      </c>
      <c r="B38" s="565" t="str">
        <f>IF('As-Filed Schedule 2B'!B38:D38=0,"",'As-Filed Schedule 2B'!B38:D38)</f>
        <v/>
      </c>
      <c r="C38" s="565"/>
      <c r="D38" s="565"/>
      <c r="F38" s="114">
        <f>'As-Filed Schedule 2B'!F38</f>
        <v>0</v>
      </c>
      <c r="G38" s="307">
        <f>SUMIFS(Adjustments!$G:$G,Adjustments!$H:$H,"2B",Adjustments!$I:$I,'Schedule 2B Adjustments'!$F$12,Adjustments!$J:$J,'Schedule 2B Adjustments'!$A38)</f>
        <v>0</v>
      </c>
      <c r="H38" s="303">
        <f t="shared" si="0"/>
        <v>0</v>
      </c>
      <c r="I38" s="68">
        <f>IFERROR(F38*'As-Filed Schedule 1'!$E$103,0)</f>
        <v>0</v>
      </c>
      <c r="J38" s="304">
        <f>IFERROR(H38*'Adjusted Schedule 1'!$E$104,0)</f>
        <v>0</v>
      </c>
      <c r="K38" s="173">
        <f t="shared" si="1"/>
        <v>0</v>
      </c>
      <c r="L38" s="304">
        <f t="shared" si="7"/>
        <v>0</v>
      </c>
      <c r="N38" s="172">
        <f>'As-Filed Schedule 2B'!J38</f>
        <v>0</v>
      </c>
      <c r="O38" s="307">
        <f>SUMIFS(Adjustments!$G:$G,Adjustments!$H:$H,"2B",Adjustments!$I:$I,'Schedule 2B Adjustments'!$N$12,Adjustments!$J:$J,'Schedule 2B Adjustments'!$A38)</f>
        <v>0</v>
      </c>
      <c r="P38" s="303">
        <f t="shared" si="2"/>
        <v>0</v>
      </c>
      <c r="Q38" s="68">
        <f>IFERROR(N38*'As-Filed Schedule 1'!$E$103,0)</f>
        <v>0</v>
      </c>
      <c r="R38" s="304">
        <f>IFERROR(P38*'Adjusted Schedule 1'!$E$104,0)</f>
        <v>0</v>
      </c>
      <c r="S38" s="68">
        <f t="shared" si="3"/>
        <v>0</v>
      </c>
      <c r="T38" s="304">
        <f t="shared" si="4"/>
        <v>0</v>
      </c>
      <c r="V38" s="117">
        <f>'As-Filed Schedule 2B'!N38</f>
        <v>0</v>
      </c>
      <c r="W38" s="307">
        <f>SUMIFS(Adjustments!$G:$G,Adjustments!$H:$H,"2B",Adjustments!$I:$I,'Schedule 2B Adjustments'!$V$12,Adjustments!$J:$J,'Schedule 2B Adjustments'!$A38)</f>
        <v>0</v>
      </c>
      <c r="X38" s="320">
        <f t="shared" si="5"/>
        <v>0</v>
      </c>
      <c r="Y38" s="117">
        <f>'As-Filed Schedule 2B'!O38</f>
        <v>0</v>
      </c>
      <c r="Z38" s="307">
        <f>SUMIFS(Adjustments!$G:$G,Adjustments!$H:$H,"2B",Adjustments!$I:$I,'Schedule 2B Adjustments'!$Y$12,Adjustments!$J:$J,'Schedule 2B Adjustments'!$A38)</f>
        <v>0</v>
      </c>
      <c r="AA38" s="320">
        <f t="shared" si="6"/>
        <v>0</v>
      </c>
    </row>
    <row r="39" spans="1:27" x14ac:dyDescent="0.35">
      <c r="A39" s="24">
        <v>25</v>
      </c>
      <c r="B39" s="565" t="str">
        <f>IF('As-Filed Schedule 2B'!B39:D39=0,"",'As-Filed Schedule 2B'!B39:D39)</f>
        <v/>
      </c>
      <c r="C39" s="565"/>
      <c r="D39" s="565"/>
      <c r="F39" s="114">
        <f>'As-Filed Schedule 2B'!F39</f>
        <v>0</v>
      </c>
      <c r="G39" s="307">
        <f>SUMIFS(Adjustments!$G:$G,Adjustments!$H:$H,"2B",Adjustments!$I:$I,'Schedule 2B Adjustments'!$F$12,Adjustments!$J:$J,'Schedule 2B Adjustments'!$A39)</f>
        <v>0</v>
      </c>
      <c r="H39" s="303">
        <f t="shared" si="0"/>
        <v>0</v>
      </c>
      <c r="I39" s="68">
        <f>IFERROR(F39*'As-Filed Schedule 1'!$E$103,0)</f>
        <v>0</v>
      </c>
      <c r="J39" s="304">
        <f>IFERROR(H39*'Adjusted Schedule 1'!$E$104,0)</f>
        <v>0</v>
      </c>
      <c r="K39" s="173">
        <f t="shared" si="1"/>
        <v>0</v>
      </c>
      <c r="L39" s="304">
        <f t="shared" si="7"/>
        <v>0</v>
      </c>
      <c r="N39" s="172">
        <f>'As-Filed Schedule 2B'!J39</f>
        <v>0</v>
      </c>
      <c r="O39" s="307">
        <f>SUMIFS(Adjustments!$G:$G,Adjustments!$H:$H,"2B",Adjustments!$I:$I,'Schedule 2B Adjustments'!$N$12,Adjustments!$J:$J,'Schedule 2B Adjustments'!$A39)</f>
        <v>0</v>
      </c>
      <c r="P39" s="303">
        <f t="shared" si="2"/>
        <v>0</v>
      </c>
      <c r="Q39" s="68">
        <f>IFERROR(N39*'As-Filed Schedule 1'!$E$103,0)</f>
        <v>0</v>
      </c>
      <c r="R39" s="304">
        <f>IFERROR(P39*'Adjusted Schedule 1'!$E$104,0)</f>
        <v>0</v>
      </c>
      <c r="S39" s="68">
        <f t="shared" si="3"/>
        <v>0</v>
      </c>
      <c r="T39" s="304">
        <f t="shared" si="4"/>
        <v>0</v>
      </c>
      <c r="V39" s="117">
        <f>'As-Filed Schedule 2B'!N39</f>
        <v>0</v>
      </c>
      <c r="W39" s="307">
        <f>SUMIFS(Adjustments!$G:$G,Adjustments!$H:$H,"2B",Adjustments!$I:$I,'Schedule 2B Adjustments'!$V$12,Adjustments!$J:$J,'Schedule 2B Adjustments'!$A39)</f>
        <v>0</v>
      </c>
      <c r="X39" s="320">
        <f t="shared" si="5"/>
        <v>0</v>
      </c>
      <c r="Y39" s="117">
        <f>'As-Filed Schedule 2B'!O39</f>
        <v>0</v>
      </c>
      <c r="Z39" s="307">
        <f>SUMIFS(Adjustments!$G:$G,Adjustments!$H:$H,"2B",Adjustments!$I:$I,'Schedule 2B Adjustments'!$Y$12,Adjustments!$J:$J,'Schedule 2B Adjustments'!$A39)</f>
        <v>0</v>
      </c>
      <c r="AA39" s="320">
        <f t="shared" si="6"/>
        <v>0</v>
      </c>
    </row>
    <row r="40" spans="1:27" x14ac:dyDescent="0.35">
      <c r="A40" s="24">
        <v>26</v>
      </c>
      <c r="B40" s="565" t="str">
        <f>IF('As-Filed Schedule 2B'!B40:D40=0,"",'As-Filed Schedule 2B'!B40:D40)</f>
        <v/>
      </c>
      <c r="C40" s="565"/>
      <c r="D40" s="565"/>
      <c r="F40" s="114">
        <f>'As-Filed Schedule 2B'!F40</f>
        <v>0</v>
      </c>
      <c r="G40" s="307">
        <f>SUMIFS(Adjustments!$G:$G,Adjustments!$H:$H,"2B",Adjustments!$I:$I,'Schedule 2B Adjustments'!$F$12,Adjustments!$J:$J,'Schedule 2B Adjustments'!$A40)</f>
        <v>0</v>
      </c>
      <c r="H40" s="303">
        <f t="shared" si="0"/>
        <v>0</v>
      </c>
      <c r="I40" s="68">
        <f>IFERROR(F40*'As-Filed Schedule 1'!$E$103,0)</f>
        <v>0</v>
      </c>
      <c r="J40" s="304">
        <f>IFERROR(H40*'Adjusted Schedule 1'!$E$104,0)</f>
        <v>0</v>
      </c>
      <c r="K40" s="173">
        <f t="shared" si="1"/>
        <v>0</v>
      </c>
      <c r="L40" s="304">
        <f t="shared" si="7"/>
        <v>0</v>
      </c>
      <c r="N40" s="172">
        <f>'As-Filed Schedule 2B'!J40</f>
        <v>0</v>
      </c>
      <c r="O40" s="307">
        <f>SUMIFS(Adjustments!$G:$G,Adjustments!$H:$H,"2B",Adjustments!$I:$I,'Schedule 2B Adjustments'!$N$12,Adjustments!$J:$J,'Schedule 2B Adjustments'!$A40)</f>
        <v>0</v>
      </c>
      <c r="P40" s="303">
        <f t="shared" si="2"/>
        <v>0</v>
      </c>
      <c r="Q40" s="68">
        <f>IFERROR(N40*'As-Filed Schedule 1'!$E$103,0)</f>
        <v>0</v>
      </c>
      <c r="R40" s="304">
        <f>IFERROR(P40*'Adjusted Schedule 1'!$E$104,0)</f>
        <v>0</v>
      </c>
      <c r="S40" s="68">
        <f t="shared" si="3"/>
        <v>0</v>
      </c>
      <c r="T40" s="304">
        <f t="shared" si="4"/>
        <v>0</v>
      </c>
      <c r="V40" s="117">
        <f>'As-Filed Schedule 2B'!N40</f>
        <v>0</v>
      </c>
      <c r="W40" s="307">
        <f>SUMIFS(Adjustments!$G:$G,Adjustments!$H:$H,"2B",Adjustments!$I:$I,'Schedule 2B Adjustments'!$V$12,Adjustments!$J:$J,'Schedule 2B Adjustments'!$A40)</f>
        <v>0</v>
      </c>
      <c r="X40" s="320">
        <f t="shared" si="5"/>
        <v>0</v>
      </c>
      <c r="Y40" s="117">
        <f>'As-Filed Schedule 2B'!O40</f>
        <v>0</v>
      </c>
      <c r="Z40" s="307">
        <f>SUMIFS(Adjustments!$G:$G,Adjustments!$H:$H,"2B",Adjustments!$I:$I,'Schedule 2B Adjustments'!$Y$12,Adjustments!$J:$J,'Schedule 2B Adjustments'!$A40)</f>
        <v>0</v>
      </c>
      <c r="AA40" s="320">
        <f t="shared" si="6"/>
        <v>0</v>
      </c>
    </row>
    <row r="41" spans="1:27" x14ac:dyDescent="0.35">
      <c r="A41" s="24">
        <v>27</v>
      </c>
      <c r="B41" s="565" t="str">
        <f>IF('As-Filed Schedule 2B'!B41:D41=0,"",'As-Filed Schedule 2B'!B41:D41)</f>
        <v/>
      </c>
      <c r="C41" s="565"/>
      <c r="D41" s="565"/>
      <c r="F41" s="114">
        <f>'As-Filed Schedule 2B'!F41</f>
        <v>0</v>
      </c>
      <c r="G41" s="307">
        <f>SUMIFS(Adjustments!$G:$G,Adjustments!$H:$H,"2B",Adjustments!$I:$I,'Schedule 2B Adjustments'!$F$12,Adjustments!$J:$J,'Schedule 2B Adjustments'!$A41)</f>
        <v>0</v>
      </c>
      <c r="H41" s="303">
        <f t="shared" si="0"/>
        <v>0</v>
      </c>
      <c r="I41" s="68">
        <f>IFERROR(F41*'As-Filed Schedule 1'!$E$103,0)</f>
        <v>0</v>
      </c>
      <c r="J41" s="304">
        <f>IFERROR(H41*'Adjusted Schedule 1'!$E$104,0)</f>
        <v>0</v>
      </c>
      <c r="K41" s="173">
        <f t="shared" si="1"/>
        <v>0</v>
      </c>
      <c r="L41" s="304">
        <f t="shared" si="7"/>
        <v>0</v>
      </c>
      <c r="N41" s="172">
        <f>'As-Filed Schedule 2B'!J41</f>
        <v>0</v>
      </c>
      <c r="O41" s="307">
        <f>SUMIFS(Adjustments!$G:$G,Adjustments!$H:$H,"2B",Adjustments!$I:$I,'Schedule 2B Adjustments'!$N$12,Adjustments!$J:$J,'Schedule 2B Adjustments'!$A41)</f>
        <v>0</v>
      </c>
      <c r="P41" s="303">
        <f t="shared" si="2"/>
        <v>0</v>
      </c>
      <c r="Q41" s="68">
        <f>IFERROR(N41*'As-Filed Schedule 1'!$E$103,0)</f>
        <v>0</v>
      </c>
      <c r="R41" s="304">
        <f>IFERROR(P41*'Adjusted Schedule 1'!$E$104,0)</f>
        <v>0</v>
      </c>
      <c r="S41" s="68">
        <f t="shared" si="3"/>
        <v>0</v>
      </c>
      <c r="T41" s="304">
        <f t="shared" si="4"/>
        <v>0</v>
      </c>
      <c r="V41" s="117">
        <f>'As-Filed Schedule 2B'!N41</f>
        <v>0</v>
      </c>
      <c r="W41" s="307">
        <f>SUMIFS(Adjustments!$G:$G,Adjustments!$H:$H,"2B",Adjustments!$I:$I,'Schedule 2B Adjustments'!$V$12,Adjustments!$J:$J,'Schedule 2B Adjustments'!$A41)</f>
        <v>0</v>
      </c>
      <c r="X41" s="320">
        <f t="shared" si="5"/>
        <v>0</v>
      </c>
      <c r="Y41" s="117">
        <f>'As-Filed Schedule 2B'!O41</f>
        <v>0</v>
      </c>
      <c r="Z41" s="307">
        <f>SUMIFS(Adjustments!$G:$G,Adjustments!$H:$H,"2B",Adjustments!$I:$I,'Schedule 2B Adjustments'!$Y$12,Adjustments!$J:$J,'Schedule 2B Adjustments'!$A41)</f>
        <v>0</v>
      </c>
      <c r="AA41" s="320">
        <f t="shared" si="6"/>
        <v>0</v>
      </c>
    </row>
    <row r="42" spans="1:27" x14ac:dyDescent="0.35">
      <c r="A42" s="24">
        <v>28</v>
      </c>
      <c r="B42" s="565" t="str">
        <f>IF('As-Filed Schedule 2B'!B42:D42=0,"",'As-Filed Schedule 2B'!B42:D42)</f>
        <v/>
      </c>
      <c r="C42" s="565"/>
      <c r="D42" s="565"/>
      <c r="F42" s="114">
        <f>'As-Filed Schedule 2B'!F42</f>
        <v>0</v>
      </c>
      <c r="G42" s="307">
        <f>SUMIFS(Adjustments!$G:$G,Adjustments!$H:$H,"2B",Adjustments!$I:$I,'Schedule 2B Adjustments'!$F$12,Adjustments!$J:$J,'Schedule 2B Adjustments'!$A42)</f>
        <v>0</v>
      </c>
      <c r="H42" s="303">
        <f t="shared" si="0"/>
        <v>0</v>
      </c>
      <c r="I42" s="68">
        <f>IFERROR(F42*'As-Filed Schedule 1'!$E$103,0)</f>
        <v>0</v>
      </c>
      <c r="J42" s="304">
        <f>IFERROR(H42*'Adjusted Schedule 1'!$E$104,0)</f>
        <v>0</v>
      </c>
      <c r="K42" s="173">
        <f t="shared" si="1"/>
        <v>0</v>
      </c>
      <c r="L42" s="304">
        <f t="shared" si="7"/>
        <v>0</v>
      </c>
      <c r="N42" s="172">
        <f>'As-Filed Schedule 2B'!J42</f>
        <v>0</v>
      </c>
      <c r="O42" s="307">
        <f>SUMIFS(Adjustments!$G:$G,Adjustments!$H:$H,"2B",Adjustments!$I:$I,'Schedule 2B Adjustments'!$N$12,Adjustments!$J:$J,'Schedule 2B Adjustments'!$A42)</f>
        <v>0</v>
      </c>
      <c r="P42" s="303">
        <f t="shared" si="2"/>
        <v>0</v>
      </c>
      <c r="Q42" s="68">
        <f>IFERROR(N42*'As-Filed Schedule 1'!$E$103,0)</f>
        <v>0</v>
      </c>
      <c r="R42" s="304">
        <f>IFERROR(P42*'Adjusted Schedule 1'!$E$104,0)</f>
        <v>0</v>
      </c>
      <c r="S42" s="68">
        <f t="shared" si="3"/>
        <v>0</v>
      </c>
      <c r="T42" s="304">
        <f t="shared" si="4"/>
        <v>0</v>
      </c>
      <c r="V42" s="117">
        <f>'As-Filed Schedule 2B'!N42</f>
        <v>0</v>
      </c>
      <c r="W42" s="307">
        <f>SUMIFS(Adjustments!$G:$G,Adjustments!$H:$H,"2B",Adjustments!$I:$I,'Schedule 2B Adjustments'!$V$12,Adjustments!$J:$J,'Schedule 2B Adjustments'!$A42)</f>
        <v>0</v>
      </c>
      <c r="X42" s="320">
        <f t="shared" si="5"/>
        <v>0</v>
      </c>
      <c r="Y42" s="117">
        <f>'As-Filed Schedule 2B'!O42</f>
        <v>0</v>
      </c>
      <c r="Z42" s="307">
        <f>SUMIFS(Adjustments!$G:$G,Adjustments!$H:$H,"2B",Adjustments!$I:$I,'Schedule 2B Adjustments'!$Y$12,Adjustments!$J:$J,'Schedule 2B Adjustments'!$A42)</f>
        <v>0</v>
      </c>
      <c r="AA42" s="320">
        <f t="shared" si="6"/>
        <v>0</v>
      </c>
    </row>
    <row r="43" spans="1:27" x14ac:dyDescent="0.35">
      <c r="A43" s="24">
        <v>29</v>
      </c>
      <c r="B43" s="565" t="str">
        <f>IF('As-Filed Schedule 2B'!B43:D43=0,"",'As-Filed Schedule 2B'!B43:D43)</f>
        <v/>
      </c>
      <c r="C43" s="565"/>
      <c r="D43" s="565"/>
      <c r="F43" s="114">
        <f>'As-Filed Schedule 2B'!F43</f>
        <v>0</v>
      </c>
      <c r="G43" s="307">
        <f>SUMIFS(Adjustments!$G:$G,Adjustments!$H:$H,"2B",Adjustments!$I:$I,'Schedule 2B Adjustments'!$F$12,Adjustments!$J:$J,'Schedule 2B Adjustments'!$A43)</f>
        <v>0</v>
      </c>
      <c r="H43" s="303">
        <f t="shared" si="0"/>
        <v>0</v>
      </c>
      <c r="I43" s="68">
        <f>IFERROR(F43*'As-Filed Schedule 1'!$E$103,0)</f>
        <v>0</v>
      </c>
      <c r="J43" s="304">
        <f>IFERROR(H43*'Adjusted Schedule 1'!$E$104,0)</f>
        <v>0</v>
      </c>
      <c r="K43" s="173">
        <f t="shared" si="1"/>
        <v>0</v>
      </c>
      <c r="L43" s="304">
        <f t="shared" si="7"/>
        <v>0</v>
      </c>
      <c r="N43" s="172">
        <f>'As-Filed Schedule 2B'!J43</f>
        <v>0</v>
      </c>
      <c r="O43" s="307">
        <f>SUMIFS(Adjustments!$G:$G,Adjustments!$H:$H,"2B",Adjustments!$I:$I,'Schedule 2B Adjustments'!$N$12,Adjustments!$J:$J,'Schedule 2B Adjustments'!$A43)</f>
        <v>0</v>
      </c>
      <c r="P43" s="303">
        <f t="shared" si="2"/>
        <v>0</v>
      </c>
      <c r="Q43" s="68">
        <f>IFERROR(N43*'As-Filed Schedule 1'!$E$103,0)</f>
        <v>0</v>
      </c>
      <c r="R43" s="304">
        <f>IFERROR(P43*'Adjusted Schedule 1'!$E$104,0)</f>
        <v>0</v>
      </c>
      <c r="S43" s="68">
        <f t="shared" si="3"/>
        <v>0</v>
      </c>
      <c r="T43" s="304">
        <f t="shared" si="4"/>
        <v>0</v>
      </c>
      <c r="V43" s="117">
        <f>'As-Filed Schedule 2B'!N43</f>
        <v>0</v>
      </c>
      <c r="W43" s="307">
        <f>SUMIFS(Adjustments!$G:$G,Adjustments!$H:$H,"2B",Adjustments!$I:$I,'Schedule 2B Adjustments'!$V$12,Adjustments!$J:$J,'Schedule 2B Adjustments'!$A43)</f>
        <v>0</v>
      </c>
      <c r="X43" s="320">
        <f t="shared" si="5"/>
        <v>0</v>
      </c>
      <c r="Y43" s="117">
        <f>'As-Filed Schedule 2B'!O43</f>
        <v>0</v>
      </c>
      <c r="Z43" s="307">
        <f>SUMIFS(Adjustments!$G:$G,Adjustments!$H:$H,"2B",Adjustments!$I:$I,'Schedule 2B Adjustments'!$Y$12,Adjustments!$J:$J,'Schedule 2B Adjustments'!$A43)</f>
        <v>0</v>
      </c>
      <c r="AA43" s="320">
        <f t="shared" si="6"/>
        <v>0</v>
      </c>
    </row>
    <row r="44" spans="1:27" x14ac:dyDescent="0.35">
      <c r="A44" s="24">
        <v>30</v>
      </c>
      <c r="B44" s="565" t="str">
        <f>IF('As-Filed Schedule 2B'!B44:D44=0,"",'As-Filed Schedule 2B'!B44:D44)</f>
        <v/>
      </c>
      <c r="C44" s="565"/>
      <c r="D44" s="565"/>
      <c r="F44" s="114">
        <f>'As-Filed Schedule 2B'!F44</f>
        <v>0</v>
      </c>
      <c r="G44" s="307">
        <f>SUMIFS(Adjustments!$G:$G,Adjustments!$H:$H,"2B",Adjustments!$I:$I,'Schedule 2B Adjustments'!$F$12,Adjustments!$J:$J,'Schedule 2B Adjustments'!$A44)</f>
        <v>0</v>
      </c>
      <c r="H44" s="303">
        <f t="shared" si="0"/>
        <v>0</v>
      </c>
      <c r="I44" s="68">
        <f>IFERROR(F44*'As-Filed Schedule 1'!$E$103,0)</f>
        <v>0</v>
      </c>
      <c r="J44" s="304">
        <f>IFERROR(H44*'Adjusted Schedule 1'!$E$104,0)</f>
        <v>0</v>
      </c>
      <c r="K44" s="173">
        <f t="shared" si="1"/>
        <v>0</v>
      </c>
      <c r="L44" s="304">
        <f t="shared" si="7"/>
        <v>0</v>
      </c>
      <c r="N44" s="172">
        <f>'As-Filed Schedule 2B'!J44</f>
        <v>0</v>
      </c>
      <c r="O44" s="307">
        <f>SUMIFS(Adjustments!$G:$G,Adjustments!$H:$H,"2B",Adjustments!$I:$I,'Schedule 2B Adjustments'!$N$12,Adjustments!$J:$J,'Schedule 2B Adjustments'!$A44)</f>
        <v>0</v>
      </c>
      <c r="P44" s="303">
        <f t="shared" si="2"/>
        <v>0</v>
      </c>
      <c r="Q44" s="68">
        <f>IFERROR(N44*'As-Filed Schedule 1'!$E$103,0)</f>
        <v>0</v>
      </c>
      <c r="R44" s="304">
        <f>IFERROR(P44*'Adjusted Schedule 1'!$E$104,0)</f>
        <v>0</v>
      </c>
      <c r="S44" s="68">
        <f t="shared" si="3"/>
        <v>0</v>
      </c>
      <c r="T44" s="304">
        <f t="shared" si="4"/>
        <v>0</v>
      </c>
      <c r="V44" s="117">
        <f>'As-Filed Schedule 2B'!N44</f>
        <v>0</v>
      </c>
      <c r="W44" s="307">
        <f>SUMIFS(Adjustments!$G:$G,Adjustments!$H:$H,"2B",Adjustments!$I:$I,'Schedule 2B Adjustments'!$V$12,Adjustments!$J:$J,'Schedule 2B Adjustments'!$A44)</f>
        <v>0</v>
      </c>
      <c r="X44" s="320">
        <f t="shared" si="5"/>
        <v>0</v>
      </c>
      <c r="Y44" s="117">
        <f>'As-Filed Schedule 2B'!O44</f>
        <v>0</v>
      </c>
      <c r="Z44" s="307">
        <f>SUMIFS(Adjustments!$G:$G,Adjustments!$H:$H,"2B",Adjustments!$I:$I,'Schedule 2B Adjustments'!$Y$12,Adjustments!$J:$J,'Schedule 2B Adjustments'!$A44)</f>
        <v>0</v>
      </c>
      <c r="AA44" s="320">
        <f t="shared" si="6"/>
        <v>0</v>
      </c>
    </row>
    <row r="45" spans="1:27" x14ac:dyDescent="0.35">
      <c r="A45" s="24">
        <v>31</v>
      </c>
      <c r="B45" s="565" t="str">
        <f>IF('As-Filed Schedule 2B'!B45:D45=0,"",'As-Filed Schedule 2B'!B45:D45)</f>
        <v/>
      </c>
      <c r="C45" s="565"/>
      <c r="D45" s="565"/>
      <c r="F45" s="114">
        <f>'As-Filed Schedule 2B'!F45</f>
        <v>0</v>
      </c>
      <c r="G45" s="307">
        <f>SUMIFS(Adjustments!$G:$G,Adjustments!$H:$H,"2B",Adjustments!$I:$I,'Schedule 2B Adjustments'!$F$12,Adjustments!$J:$J,'Schedule 2B Adjustments'!$A45)</f>
        <v>0</v>
      </c>
      <c r="H45" s="303">
        <f t="shared" si="0"/>
        <v>0</v>
      </c>
      <c r="I45" s="68">
        <f>IFERROR(F45*'As-Filed Schedule 1'!$E$103,0)</f>
        <v>0</v>
      </c>
      <c r="J45" s="304">
        <f>IFERROR(H45*'Adjusted Schedule 1'!$E$104,0)</f>
        <v>0</v>
      </c>
      <c r="K45" s="173">
        <f t="shared" si="1"/>
        <v>0</v>
      </c>
      <c r="L45" s="304">
        <f t="shared" si="7"/>
        <v>0</v>
      </c>
      <c r="N45" s="172">
        <f>'As-Filed Schedule 2B'!J45</f>
        <v>0</v>
      </c>
      <c r="O45" s="307">
        <f>SUMIFS(Adjustments!$G:$G,Adjustments!$H:$H,"2B",Adjustments!$I:$I,'Schedule 2B Adjustments'!$N$12,Adjustments!$J:$J,'Schedule 2B Adjustments'!$A45)</f>
        <v>0</v>
      </c>
      <c r="P45" s="303">
        <f t="shared" si="2"/>
        <v>0</v>
      </c>
      <c r="Q45" s="68">
        <f>IFERROR(N45*'As-Filed Schedule 1'!$E$103,0)</f>
        <v>0</v>
      </c>
      <c r="R45" s="304">
        <f>IFERROR(P45*'Adjusted Schedule 1'!$E$104,0)</f>
        <v>0</v>
      </c>
      <c r="S45" s="68">
        <f t="shared" si="3"/>
        <v>0</v>
      </c>
      <c r="T45" s="304">
        <f t="shared" si="4"/>
        <v>0</v>
      </c>
      <c r="V45" s="117">
        <f>'As-Filed Schedule 2B'!N45</f>
        <v>0</v>
      </c>
      <c r="W45" s="307">
        <f>SUMIFS(Adjustments!$G:$G,Adjustments!$H:$H,"2B",Adjustments!$I:$I,'Schedule 2B Adjustments'!$V$12,Adjustments!$J:$J,'Schedule 2B Adjustments'!$A45)</f>
        <v>0</v>
      </c>
      <c r="X45" s="320">
        <f t="shared" si="5"/>
        <v>0</v>
      </c>
      <c r="Y45" s="117">
        <f>'As-Filed Schedule 2B'!O45</f>
        <v>0</v>
      </c>
      <c r="Z45" s="307">
        <f>SUMIFS(Adjustments!$G:$G,Adjustments!$H:$H,"2B",Adjustments!$I:$I,'Schedule 2B Adjustments'!$Y$12,Adjustments!$J:$J,'Schedule 2B Adjustments'!$A45)</f>
        <v>0</v>
      </c>
      <c r="AA45" s="320">
        <f t="shared" si="6"/>
        <v>0</v>
      </c>
    </row>
    <row r="46" spans="1:27" x14ac:dyDescent="0.35">
      <c r="A46" s="24">
        <v>32</v>
      </c>
      <c r="B46" s="565" t="str">
        <f>IF('As-Filed Schedule 2B'!B46:D46=0,"",'As-Filed Schedule 2B'!B46:D46)</f>
        <v/>
      </c>
      <c r="C46" s="565"/>
      <c r="D46" s="565"/>
      <c r="F46" s="114">
        <f>'As-Filed Schedule 2B'!F46</f>
        <v>0</v>
      </c>
      <c r="G46" s="307">
        <f>SUMIFS(Adjustments!$G:$G,Adjustments!$H:$H,"2B",Adjustments!$I:$I,'Schedule 2B Adjustments'!$F$12,Adjustments!$J:$J,'Schedule 2B Adjustments'!$A46)</f>
        <v>0</v>
      </c>
      <c r="H46" s="303">
        <f t="shared" si="0"/>
        <v>0</v>
      </c>
      <c r="I46" s="68">
        <f>IFERROR(F46*'As-Filed Schedule 1'!$E$103,0)</f>
        <v>0</v>
      </c>
      <c r="J46" s="304">
        <f>IFERROR(H46*'Adjusted Schedule 1'!$E$104,0)</f>
        <v>0</v>
      </c>
      <c r="K46" s="173">
        <f t="shared" si="1"/>
        <v>0</v>
      </c>
      <c r="L46" s="304">
        <f t="shared" si="7"/>
        <v>0</v>
      </c>
      <c r="N46" s="172">
        <f>'As-Filed Schedule 2B'!J46</f>
        <v>0</v>
      </c>
      <c r="O46" s="307">
        <f>SUMIFS(Adjustments!$G:$G,Adjustments!$H:$H,"2B",Adjustments!$I:$I,'Schedule 2B Adjustments'!$N$12,Adjustments!$J:$J,'Schedule 2B Adjustments'!$A46)</f>
        <v>0</v>
      </c>
      <c r="P46" s="303">
        <f t="shared" si="2"/>
        <v>0</v>
      </c>
      <c r="Q46" s="68">
        <f>IFERROR(N46*'As-Filed Schedule 1'!$E$103,0)</f>
        <v>0</v>
      </c>
      <c r="R46" s="304">
        <f>IFERROR(P46*'Adjusted Schedule 1'!$E$104,0)</f>
        <v>0</v>
      </c>
      <c r="S46" s="68">
        <f t="shared" si="3"/>
        <v>0</v>
      </c>
      <c r="T46" s="304">
        <f t="shared" si="4"/>
        <v>0</v>
      </c>
      <c r="V46" s="117">
        <f>'As-Filed Schedule 2B'!N46</f>
        <v>0</v>
      </c>
      <c r="W46" s="307">
        <f>SUMIFS(Adjustments!$G:$G,Adjustments!$H:$H,"2B",Adjustments!$I:$I,'Schedule 2B Adjustments'!$V$12,Adjustments!$J:$J,'Schedule 2B Adjustments'!$A46)</f>
        <v>0</v>
      </c>
      <c r="X46" s="320">
        <f t="shared" si="5"/>
        <v>0</v>
      </c>
      <c r="Y46" s="117">
        <f>'As-Filed Schedule 2B'!O46</f>
        <v>0</v>
      </c>
      <c r="Z46" s="307">
        <f>SUMIFS(Adjustments!$G:$G,Adjustments!$H:$H,"2B",Adjustments!$I:$I,'Schedule 2B Adjustments'!$Y$12,Adjustments!$J:$J,'Schedule 2B Adjustments'!$A46)</f>
        <v>0</v>
      </c>
      <c r="AA46" s="320">
        <f t="shared" si="6"/>
        <v>0</v>
      </c>
    </row>
    <row r="47" spans="1:27" x14ac:dyDescent="0.35">
      <c r="A47" s="24">
        <v>33</v>
      </c>
      <c r="B47" s="565" t="str">
        <f>IF('As-Filed Schedule 2B'!B47:D47=0,"",'As-Filed Schedule 2B'!B47:D47)</f>
        <v/>
      </c>
      <c r="C47" s="565"/>
      <c r="D47" s="565"/>
      <c r="F47" s="114">
        <f>'As-Filed Schedule 2B'!F47</f>
        <v>0</v>
      </c>
      <c r="G47" s="307">
        <f>SUMIFS(Adjustments!$G:$G,Adjustments!$H:$H,"2B",Adjustments!$I:$I,'Schedule 2B Adjustments'!$F$12,Adjustments!$J:$J,'Schedule 2B Adjustments'!$A47)</f>
        <v>0</v>
      </c>
      <c r="H47" s="303">
        <f t="shared" si="0"/>
        <v>0</v>
      </c>
      <c r="I47" s="68">
        <f>IFERROR(F47*'As-Filed Schedule 1'!$E$103,0)</f>
        <v>0</v>
      </c>
      <c r="J47" s="304">
        <f>IFERROR(H47*'Adjusted Schedule 1'!$E$104,0)</f>
        <v>0</v>
      </c>
      <c r="K47" s="173">
        <f t="shared" si="1"/>
        <v>0</v>
      </c>
      <c r="L47" s="304">
        <f t="shared" si="7"/>
        <v>0</v>
      </c>
      <c r="N47" s="172">
        <f>'As-Filed Schedule 2B'!J47</f>
        <v>0</v>
      </c>
      <c r="O47" s="307">
        <f>SUMIFS(Adjustments!$G:$G,Adjustments!$H:$H,"2B",Adjustments!$I:$I,'Schedule 2B Adjustments'!$N$12,Adjustments!$J:$J,'Schedule 2B Adjustments'!$A47)</f>
        <v>0</v>
      </c>
      <c r="P47" s="303">
        <f t="shared" si="2"/>
        <v>0</v>
      </c>
      <c r="Q47" s="68">
        <f>IFERROR(N47*'As-Filed Schedule 1'!$E$103,0)</f>
        <v>0</v>
      </c>
      <c r="R47" s="304">
        <f>IFERROR(P47*'Adjusted Schedule 1'!$E$104,0)</f>
        <v>0</v>
      </c>
      <c r="S47" s="68">
        <f t="shared" si="3"/>
        <v>0</v>
      </c>
      <c r="T47" s="304">
        <f t="shared" si="4"/>
        <v>0</v>
      </c>
      <c r="V47" s="117">
        <f>'As-Filed Schedule 2B'!N47</f>
        <v>0</v>
      </c>
      <c r="W47" s="307">
        <f>SUMIFS(Adjustments!$G:$G,Adjustments!$H:$H,"2B",Adjustments!$I:$I,'Schedule 2B Adjustments'!$V$12,Adjustments!$J:$J,'Schedule 2B Adjustments'!$A47)</f>
        <v>0</v>
      </c>
      <c r="X47" s="320">
        <f t="shared" si="5"/>
        <v>0</v>
      </c>
      <c r="Y47" s="117">
        <f>'As-Filed Schedule 2B'!O47</f>
        <v>0</v>
      </c>
      <c r="Z47" s="307">
        <f>SUMIFS(Adjustments!$G:$G,Adjustments!$H:$H,"2B",Adjustments!$I:$I,'Schedule 2B Adjustments'!$Y$12,Adjustments!$J:$J,'Schedule 2B Adjustments'!$A47)</f>
        <v>0</v>
      </c>
      <c r="AA47" s="320">
        <f t="shared" si="6"/>
        <v>0</v>
      </c>
    </row>
    <row r="48" spans="1:27" x14ac:dyDescent="0.35">
      <c r="A48" s="24">
        <v>34</v>
      </c>
      <c r="B48" s="565" t="str">
        <f>IF('As-Filed Schedule 2B'!B48:D48=0,"",'As-Filed Schedule 2B'!B48:D48)</f>
        <v/>
      </c>
      <c r="C48" s="565"/>
      <c r="D48" s="565"/>
      <c r="F48" s="114">
        <f>'As-Filed Schedule 2B'!F48</f>
        <v>0</v>
      </c>
      <c r="G48" s="307">
        <f>SUMIFS(Adjustments!$G:$G,Adjustments!$H:$H,"2B",Adjustments!$I:$I,'Schedule 2B Adjustments'!$F$12,Adjustments!$J:$J,'Schedule 2B Adjustments'!$A48)</f>
        <v>0</v>
      </c>
      <c r="H48" s="303">
        <f t="shared" si="0"/>
        <v>0</v>
      </c>
      <c r="I48" s="68">
        <f>IFERROR(F48*'As-Filed Schedule 1'!$E$103,0)</f>
        <v>0</v>
      </c>
      <c r="J48" s="304">
        <f>IFERROR(H48*'Adjusted Schedule 1'!$E$104,0)</f>
        <v>0</v>
      </c>
      <c r="K48" s="173">
        <f t="shared" si="1"/>
        <v>0</v>
      </c>
      <c r="L48" s="304">
        <f t="shared" si="7"/>
        <v>0</v>
      </c>
      <c r="N48" s="172">
        <f>'As-Filed Schedule 2B'!J48</f>
        <v>0</v>
      </c>
      <c r="O48" s="307">
        <f>SUMIFS(Adjustments!$G:$G,Adjustments!$H:$H,"2B",Adjustments!$I:$I,'Schedule 2B Adjustments'!$N$12,Adjustments!$J:$J,'Schedule 2B Adjustments'!$A48)</f>
        <v>0</v>
      </c>
      <c r="P48" s="303">
        <f t="shared" si="2"/>
        <v>0</v>
      </c>
      <c r="Q48" s="68">
        <f>IFERROR(N48*'As-Filed Schedule 1'!$E$103,0)</f>
        <v>0</v>
      </c>
      <c r="R48" s="304">
        <f>IFERROR(P48*'Adjusted Schedule 1'!$E$104,0)</f>
        <v>0</v>
      </c>
      <c r="S48" s="68">
        <f t="shared" si="3"/>
        <v>0</v>
      </c>
      <c r="T48" s="304">
        <f t="shared" si="4"/>
        <v>0</v>
      </c>
      <c r="V48" s="117">
        <f>'As-Filed Schedule 2B'!N48</f>
        <v>0</v>
      </c>
      <c r="W48" s="307">
        <f>SUMIFS(Adjustments!$G:$G,Adjustments!$H:$H,"2B",Adjustments!$I:$I,'Schedule 2B Adjustments'!$V$12,Adjustments!$J:$J,'Schedule 2B Adjustments'!$A48)</f>
        <v>0</v>
      </c>
      <c r="X48" s="320">
        <f t="shared" si="5"/>
        <v>0</v>
      </c>
      <c r="Y48" s="117">
        <f>'As-Filed Schedule 2B'!O48</f>
        <v>0</v>
      </c>
      <c r="Z48" s="307">
        <f>SUMIFS(Adjustments!$G:$G,Adjustments!$H:$H,"2B",Adjustments!$I:$I,'Schedule 2B Adjustments'!$Y$12,Adjustments!$J:$J,'Schedule 2B Adjustments'!$A48)</f>
        <v>0</v>
      </c>
      <c r="AA48" s="320">
        <f t="shared" si="6"/>
        <v>0</v>
      </c>
    </row>
    <row r="49" spans="1:27" x14ac:dyDescent="0.35">
      <c r="A49" s="24">
        <v>35</v>
      </c>
      <c r="B49" s="565" t="str">
        <f>IF('As-Filed Schedule 2B'!B49:D49=0,"",'As-Filed Schedule 2B'!B49:D49)</f>
        <v/>
      </c>
      <c r="C49" s="565"/>
      <c r="D49" s="565"/>
      <c r="F49" s="114">
        <f>'As-Filed Schedule 2B'!F49</f>
        <v>0</v>
      </c>
      <c r="G49" s="307">
        <f>SUMIFS(Adjustments!$G:$G,Adjustments!$H:$H,"2B",Adjustments!$I:$I,'Schedule 2B Adjustments'!$F$12,Adjustments!$J:$J,'Schedule 2B Adjustments'!$A49)</f>
        <v>0</v>
      </c>
      <c r="H49" s="303">
        <f t="shared" si="0"/>
        <v>0</v>
      </c>
      <c r="I49" s="68">
        <f>IFERROR(F49*'As-Filed Schedule 1'!$E$103,0)</f>
        <v>0</v>
      </c>
      <c r="J49" s="304">
        <f>IFERROR(H49*'Adjusted Schedule 1'!$E$104,0)</f>
        <v>0</v>
      </c>
      <c r="K49" s="173">
        <f t="shared" si="1"/>
        <v>0</v>
      </c>
      <c r="L49" s="304">
        <f t="shared" si="7"/>
        <v>0</v>
      </c>
      <c r="N49" s="172">
        <f>'As-Filed Schedule 2B'!J49</f>
        <v>0</v>
      </c>
      <c r="O49" s="307">
        <f>SUMIFS(Adjustments!$G:$G,Adjustments!$H:$H,"2B",Adjustments!$I:$I,'Schedule 2B Adjustments'!$N$12,Adjustments!$J:$J,'Schedule 2B Adjustments'!$A49)</f>
        <v>0</v>
      </c>
      <c r="P49" s="303">
        <f t="shared" si="2"/>
        <v>0</v>
      </c>
      <c r="Q49" s="68">
        <f>IFERROR(N49*'As-Filed Schedule 1'!$E$103,0)</f>
        <v>0</v>
      </c>
      <c r="R49" s="304">
        <f>IFERROR(P49*'Adjusted Schedule 1'!$E$104,0)</f>
        <v>0</v>
      </c>
      <c r="S49" s="68">
        <f t="shared" si="3"/>
        <v>0</v>
      </c>
      <c r="T49" s="304">
        <f t="shared" si="4"/>
        <v>0</v>
      </c>
      <c r="V49" s="117">
        <f>'As-Filed Schedule 2B'!N49</f>
        <v>0</v>
      </c>
      <c r="W49" s="307">
        <f>SUMIFS(Adjustments!$G:$G,Adjustments!$H:$H,"2B",Adjustments!$I:$I,'Schedule 2B Adjustments'!$V$12,Adjustments!$J:$J,'Schedule 2B Adjustments'!$A49)</f>
        <v>0</v>
      </c>
      <c r="X49" s="320">
        <f t="shared" si="5"/>
        <v>0</v>
      </c>
      <c r="Y49" s="117">
        <f>'As-Filed Schedule 2B'!O49</f>
        <v>0</v>
      </c>
      <c r="Z49" s="307">
        <f>SUMIFS(Adjustments!$G:$G,Adjustments!$H:$H,"2B",Adjustments!$I:$I,'Schedule 2B Adjustments'!$Y$12,Adjustments!$J:$J,'Schedule 2B Adjustments'!$A49)</f>
        <v>0</v>
      </c>
      <c r="AA49" s="320">
        <f t="shared" si="6"/>
        <v>0</v>
      </c>
    </row>
    <row r="50" spans="1:27" x14ac:dyDescent="0.35">
      <c r="A50" s="24">
        <v>36</v>
      </c>
      <c r="B50" s="565" t="str">
        <f>IF('As-Filed Schedule 2B'!B50:D50=0,"",'As-Filed Schedule 2B'!B50:D50)</f>
        <v/>
      </c>
      <c r="C50" s="565"/>
      <c r="D50" s="565"/>
      <c r="F50" s="114">
        <f>'As-Filed Schedule 2B'!F50</f>
        <v>0</v>
      </c>
      <c r="G50" s="307">
        <f>SUMIFS(Adjustments!$G:$G,Adjustments!$H:$H,"2B",Adjustments!$I:$I,'Schedule 2B Adjustments'!$F$12,Adjustments!$J:$J,'Schedule 2B Adjustments'!$A50)</f>
        <v>0</v>
      </c>
      <c r="H50" s="303">
        <f t="shared" si="0"/>
        <v>0</v>
      </c>
      <c r="I50" s="68">
        <f>IFERROR(F50*'As-Filed Schedule 1'!$E$103,0)</f>
        <v>0</v>
      </c>
      <c r="J50" s="304">
        <f>IFERROR(H50*'Adjusted Schedule 1'!$E$104,0)</f>
        <v>0</v>
      </c>
      <c r="K50" s="173">
        <f t="shared" si="1"/>
        <v>0</v>
      </c>
      <c r="L50" s="304">
        <f t="shared" si="7"/>
        <v>0</v>
      </c>
      <c r="N50" s="172">
        <f>'As-Filed Schedule 2B'!J50</f>
        <v>0</v>
      </c>
      <c r="O50" s="307">
        <f>SUMIFS(Adjustments!$G:$G,Adjustments!$H:$H,"2B",Adjustments!$I:$I,'Schedule 2B Adjustments'!$N$12,Adjustments!$J:$J,'Schedule 2B Adjustments'!$A50)</f>
        <v>0</v>
      </c>
      <c r="P50" s="303">
        <f t="shared" si="2"/>
        <v>0</v>
      </c>
      <c r="Q50" s="68">
        <f>IFERROR(N50*'As-Filed Schedule 1'!$E$103,0)</f>
        <v>0</v>
      </c>
      <c r="R50" s="304">
        <f>IFERROR(P50*'Adjusted Schedule 1'!$E$104,0)</f>
        <v>0</v>
      </c>
      <c r="S50" s="68">
        <f t="shared" si="3"/>
        <v>0</v>
      </c>
      <c r="T50" s="304">
        <f t="shared" si="4"/>
        <v>0</v>
      </c>
      <c r="V50" s="117">
        <f>'As-Filed Schedule 2B'!N50</f>
        <v>0</v>
      </c>
      <c r="W50" s="307">
        <f>SUMIFS(Adjustments!$G:$G,Adjustments!$H:$H,"2B",Adjustments!$I:$I,'Schedule 2B Adjustments'!$V$12,Adjustments!$J:$J,'Schedule 2B Adjustments'!$A50)</f>
        <v>0</v>
      </c>
      <c r="X50" s="320">
        <f t="shared" si="5"/>
        <v>0</v>
      </c>
      <c r="Y50" s="117">
        <f>'As-Filed Schedule 2B'!O50</f>
        <v>0</v>
      </c>
      <c r="Z50" s="307">
        <f>SUMIFS(Adjustments!$G:$G,Adjustments!$H:$H,"2B",Adjustments!$I:$I,'Schedule 2B Adjustments'!$Y$12,Adjustments!$J:$J,'Schedule 2B Adjustments'!$A50)</f>
        <v>0</v>
      </c>
      <c r="AA50" s="320">
        <f t="shared" si="6"/>
        <v>0</v>
      </c>
    </row>
    <row r="51" spans="1:27" x14ac:dyDescent="0.35">
      <c r="A51" s="24">
        <v>37</v>
      </c>
      <c r="B51" s="565" t="str">
        <f>IF('As-Filed Schedule 2B'!B51:D51=0,"",'As-Filed Schedule 2B'!B51:D51)</f>
        <v/>
      </c>
      <c r="C51" s="565"/>
      <c r="D51" s="565"/>
      <c r="F51" s="114">
        <f>'As-Filed Schedule 2B'!F51</f>
        <v>0</v>
      </c>
      <c r="G51" s="307">
        <f>SUMIFS(Adjustments!$G:$G,Adjustments!$H:$H,"2B",Adjustments!$I:$I,'Schedule 2B Adjustments'!$F$12,Adjustments!$J:$J,'Schedule 2B Adjustments'!$A51)</f>
        <v>0</v>
      </c>
      <c r="H51" s="303">
        <f t="shared" si="0"/>
        <v>0</v>
      </c>
      <c r="I51" s="68">
        <f>IFERROR(F51*'As-Filed Schedule 1'!$E$103,0)</f>
        <v>0</v>
      </c>
      <c r="J51" s="304">
        <f>IFERROR(H51*'Adjusted Schedule 1'!$E$104,0)</f>
        <v>0</v>
      </c>
      <c r="K51" s="173">
        <f t="shared" si="1"/>
        <v>0</v>
      </c>
      <c r="L51" s="304">
        <f t="shared" si="7"/>
        <v>0</v>
      </c>
      <c r="N51" s="172">
        <f>'As-Filed Schedule 2B'!J51</f>
        <v>0</v>
      </c>
      <c r="O51" s="307">
        <f>SUMIFS(Adjustments!$G:$G,Adjustments!$H:$H,"2B",Adjustments!$I:$I,'Schedule 2B Adjustments'!$N$12,Adjustments!$J:$J,'Schedule 2B Adjustments'!$A51)</f>
        <v>0</v>
      </c>
      <c r="P51" s="303">
        <f t="shared" si="2"/>
        <v>0</v>
      </c>
      <c r="Q51" s="68">
        <f>IFERROR(N51*'As-Filed Schedule 1'!$E$103,0)</f>
        <v>0</v>
      </c>
      <c r="R51" s="304">
        <f>IFERROR(P51*'Adjusted Schedule 1'!$E$104,0)</f>
        <v>0</v>
      </c>
      <c r="S51" s="68">
        <f t="shared" si="3"/>
        <v>0</v>
      </c>
      <c r="T51" s="304">
        <f t="shared" si="4"/>
        <v>0</v>
      </c>
      <c r="V51" s="117">
        <f>'As-Filed Schedule 2B'!N51</f>
        <v>0</v>
      </c>
      <c r="W51" s="307">
        <f>SUMIFS(Adjustments!$G:$G,Adjustments!$H:$H,"2B",Adjustments!$I:$I,'Schedule 2B Adjustments'!$V$12,Adjustments!$J:$J,'Schedule 2B Adjustments'!$A51)</f>
        <v>0</v>
      </c>
      <c r="X51" s="320">
        <f t="shared" si="5"/>
        <v>0</v>
      </c>
      <c r="Y51" s="117">
        <f>'As-Filed Schedule 2B'!O51</f>
        <v>0</v>
      </c>
      <c r="Z51" s="307">
        <f>SUMIFS(Adjustments!$G:$G,Adjustments!$H:$H,"2B",Adjustments!$I:$I,'Schedule 2B Adjustments'!$Y$12,Adjustments!$J:$J,'Schedule 2B Adjustments'!$A51)</f>
        <v>0</v>
      </c>
      <c r="AA51" s="320">
        <f t="shared" si="6"/>
        <v>0</v>
      </c>
    </row>
    <row r="52" spans="1:27" x14ac:dyDescent="0.35">
      <c r="A52" s="24">
        <v>38</v>
      </c>
      <c r="B52" s="565" t="str">
        <f>IF('As-Filed Schedule 2B'!B52:D52=0,"",'As-Filed Schedule 2B'!B52:D52)</f>
        <v/>
      </c>
      <c r="C52" s="565"/>
      <c r="D52" s="565"/>
      <c r="F52" s="114">
        <f>'As-Filed Schedule 2B'!F52</f>
        <v>0</v>
      </c>
      <c r="G52" s="307">
        <f>SUMIFS(Adjustments!$G:$G,Adjustments!$H:$H,"2B",Adjustments!$I:$I,'Schedule 2B Adjustments'!$F$12,Adjustments!$J:$J,'Schedule 2B Adjustments'!$A52)</f>
        <v>0</v>
      </c>
      <c r="H52" s="303">
        <f t="shared" si="0"/>
        <v>0</v>
      </c>
      <c r="I52" s="68">
        <f>IFERROR(F52*'As-Filed Schedule 1'!$E$103,0)</f>
        <v>0</v>
      </c>
      <c r="J52" s="304">
        <f>IFERROR(H52*'Adjusted Schedule 1'!$E$104,0)</f>
        <v>0</v>
      </c>
      <c r="K52" s="173">
        <f t="shared" si="1"/>
        <v>0</v>
      </c>
      <c r="L52" s="304">
        <f t="shared" si="7"/>
        <v>0</v>
      </c>
      <c r="N52" s="172">
        <f>'As-Filed Schedule 2B'!J52</f>
        <v>0</v>
      </c>
      <c r="O52" s="307">
        <f>SUMIFS(Adjustments!$G:$G,Adjustments!$H:$H,"2B",Adjustments!$I:$I,'Schedule 2B Adjustments'!$N$12,Adjustments!$J:$J,'Schedule 2B Adjustments'!$A52)</f>
        <v>0</v>
      </c>
      <c r="P52" s="303">
        <f t="shared" si="2"/>
        <v>0</v>
      </c>
      <c r="Q52" s="68">
        <f>IFERROR(N52*'As-Filed Schedule 1'!$E$103,0)</f>
        <v>0</v>
      </c>
      <c r="R52" s="304">
        <f>IFERROR(P52*'Adjusted Schedule 1'!$E$104,0)</f>
        <v>0</v>
      </c>
      <c r="S52" s="68">
        <f t="shared" si="3"/>
        <v>0</v>
      </c>
      <c r="T52" s="304">
        <f t="shared" si="4"/>
        <v>0</v>
      </c>
      <c r="V52" s="117">
        <f>'As-Filed Schedule 2B'!N52</f>
        <v>0</v>
      </c>
      <c r="W52" s="307">
        <f>SUMIFS(Adjustments!$G:$G,Adjustments!$H:$H,"2B",Adjustments!$I:$I,'Schedule 2B Adjustments'!$V$12,Adjustments!$J:$J,'Schedule 2B Adjustments'!$A52)</f>
        <v>0</v>
      </c>
      <c r="X52" s="320">
        <f t="shared" si="5"/>
        <v>0</v>
      </c>
      <c r="Y52" s="117">
        <f>'As-Filed Schedule 2B'!O52</f>
        <v>0</v>
      </c>
      <c r="Z52" s="307">
        <f>SUMIFS(Adjustments!$G:$G,Adjustments!$H:$H,"2B",Adjustments!$I:$I,'Schedule 2B Adjustments'!$Y$12,Adjustments!$J:$J,'Schedule 2B Adjustments'!$A52)</f>
        <v>0</v>
      </c>
      <c r="AA52" s="320">
        <f t="shared" si="6"/>
        <v>0</v>
      </c>
    </row>
    <row r="53" spans="1:27" x14ac:dyDescent="0.35">
      <c r="A53" s="24">
        <v>39</v>
      </c>
      <c r="B53" s="565" t="str">
        <f>IF('As-Filed Schedule 2B'!B53:D53=0,"",'As-Filed Schedule 2B'!B53:D53)</f>
        <v/>
      </c>
      <c r="C53" s="565"/>
      <c r="D53" s="565"/>
      <c r="F53" s="114">
        <f>'As-Filed Schedule 2B'!F53</f>
        <v>0</v>
      </c>
      <c r="G53" s="307">
        <f>SUMIFS(Adjustments!$G:$G,Adjustments!$H:$H,"2B",Adjustments!$I:$I,'Schedule 2B Adjustments'!$F$12,Adjustments!$J:$J,'Schedule 2B Adjustments'!$A53)</f>
        <v>0</v>
      </c>
      <c r="H53" s="303">
        <f t="shared" si="0"/>
        <v>0</v>
      </c>
      <c r="I53" s="68">
        <f>IFERROR(F53*'As-Filed Schedule 1'!$E$103,0)</f>
        <v>0</v>
      </c>
      <c r="J53" s="304">
        <f>IFERROR(H53*'Adjusted Schedule 1'!$E$104,0)</f>
        <v>0</v>
      </c>
      <c r="K53" s="173">
        <f t="shared" si="1"/>
        <v>0</v>
      </c>
      <c r="L53" s="304">
        <f t="shared" si="7"/>
        <v>0</v>
      </c>
      <c r="N53" s="172">
        <f>'As-Filed Schedule 2B'!J53</f>
        <v>0</v>
      </c>
      <c r="O53" s="307">
        <f>SUMIFS(Adjustments!$G:$G,Adjustments!$H:$H,"2B",Adjustments!$I:$I,'Schedule 2B Adjustments'!$N$12,Adjustments!$J:$J,'Schedule 2B Adjustments'!$A53)</f>
        <v>0</v>
      </c>
      <c r="P53" s="303">
        <f t="shared" si="2"/>
        <v>0</v>
      </c>
      <c r="Q53" s="68">
        <f>IFERROR(N53*'As-Filed Schedule 1'!$E$103,0)</f>
        <v>0</v>
      </c>
      <c r="R53" s="304">
        <f>IFERROR(P53*'Adjusted Schedule 1'!$E$104,0)</f>
        <v>0</v>
      </c>
      <c r="S53" s="68">
        <f t="shared" si="3"/>
        <v>0</v>
      </c>
      <c r="T53" s="304">
        <f t="shared" si="4"/>
        <v>0</v>
      </c>
      <c r="V53" s="117">
        <f>'As-Filed Schedule 2B'!N53</f>
        <v>0</v>
      </c>
      <c r="W53" s="307">
        <f>SUMIFS(Adjustments!$G:$G,Adjustments!$H:$H,"2B",Adjustments!$I:$I,'Schedule 2B Adjustments'!$V$12,Adjustments!$J:$J,'Schedule 2B Adjustments'!$A53)</f>
        <v>0</v>
      </c>
      <c r="X53" s="320">
        <f t="shared" si="5"/>
        <v>0</v>
      </c>
      <c r="Y53" s="117">
        <f>'As-Filed Schedule 2B'!O53</f>
        <v>0</v>
      </c>
      <c r="Z53" s="307">
        <f>SUMIFS(Adjustments!$G:$G,Adjustments!$H:$H,"2B",Adjustments!$I:$I,'Schedule 2B Adjustments'!$Y$12,Adjustments!$J:$J,'Schedule 2B Adjustments'!$A53)</f>
        <v>0</v>
      </c>
      <c r="AA53" s="320">
        <f t="shared" si="6"/>
        <v>0</v>
      </c>
    </row>
    <row r="54" spans="1:27" x14ac:dyDescent="0.35">
      <c r="A54" s="24">
        <v>40</v>
      </c>
      <c r="B54" s="565" t="str">
        <f>IF('As-Filed Schedule 2B'!B54:D54=0,"",'As-Filed Schedule 2B'!B54:D54)</f>
        <v/>
      </c>
      <c r="C54" s="565"/>
      <c r="D54" s="565"/>
      <c r="F54" s="114">
        <f>'As-Filed Schedule 2B'!F54</f>
        <v>0</v>
      </c>
      <c r="G54" s="307">
        <f>SUMIFS(Adjustments!$G:$G,Adjustments!$H:$H,"2B",Adjustments!$I:$I,'Schedule 2B Adjustments'!$F$12,Adjustments!$J:$J,'Schedule 2B Adjustments'!$A54)</f>
        <v>0</v>
      </c>
      <c r="H54" s="303">
        <f t="shared" si="0"/>
        <v>0</v>
      </c>
      <c r="I54" s="68">
        <f>IFERROR(F54*'As-Filed Schedule 1'!$E$103,0)</f>
        <v>0</v>
      </c>
      <c r="J54" s="304">
        <f>IFERROR(H54*'Adjusted Schedule 1'!$E$104,0)</f>
        <v>0</v>
      </c>
      <c r="K54" s="173">
        <f t="shared" si="1"/>
        <v>0</v>
      </c>
      <c r="L54" s="304">
        <f t="shared" si="7"/>
        <v>0</v>
      </c>
      <c r="N54" s="172">
        <f>'As-Filed Schedule 2B'!J54</f>
        <v>0</v>
      </c>
      <c r="O54" s="307">
        <f>SUMIFS(Adjustments!$G:$G,Adjustments!$H:$H,"2B",Adjustments!$I:$I,'Schedule 2B Adjustments'!$N$12,Adjustments!$J:$J,'Schedule 2B Adjustments'!$A54)</f>
        <v>0</v>
      </c>
      <c r="P54" s="303">
        <f t="shared" si="2"/>
        <v>0</v>
      </c>
      <c r="Q54" s="68">
        <f>IFERROR(N54*'As-Filed Schedule 1'!$E$103,0)</f>
        <v>0</v>
      </c>
      <c r="R54" s="304">
        <f>IFERROR(P54*'Adjusted Schedule 1'!$E$104,0)</f>
        <v>0</v>
      </c>
      <c r="S54" s="68">
        <f t="shared" si="3"/>
        <v>0</v>
      </c>
      <c r="T54" s="304">
        <f t="shared" si="4"/>
        <v>0</v>
      </c>
      <c r="V54" s="117">
        <f>'As-Filed Schedule 2B'!N54</f>
        <v>0</v>
      </c>
      <c r="W54" s="307">
        <f>SUMIFS(Adjustments!$G:$G,Adjustments!$H:$H,"2B",Adjustments!$I:$I,'Schedule 2B Adjustments'!$V$12,Adjustments!$J:$J,'Schedule 2B Adjustments'!$A54)</f>
        <v>0</v>
      </c>
      <c r="X54" s="320">
        <f t="shared" si="5"/>
        <v>0</v>
      </c>
      <c r="Y54" s="117">
        <f>'As-Filed Schedule 2B'!O54</f>
        <v>0</v>
      </c>
      <c r="Z54" s="307">
        <f>SUMIFS(Adjustments!$G:$G,Adjustments!$H:$H,"2B",Adjustments!$I:$I,'Schedule 2B Adjustments'!$Y$12,Adjustments!$J:$J,'Schedule 2B Adjustments'!$A54)</f>
        <v>0</v>
      </c>
      <c r="AA54" s="320">
        <f t="shared" si="6"/>
        <v>0</v>
      </c>
    </row>
    <row r="55" spans="1:27" x14ac:dyDescent="0.35">
      <c r="A55" s="24">
        <v>41</v>
      </c>
      <c r="B55" s="565" t="str">
        <f>IF('As-Filed Schedule 2B'!B55:D55=0,"",'As-Filed Schedule 2B'!B55:D55)</f>
        <v/>
      </c>
      <c r="C55" s="565"/>
      <c r="D55" s="565"/>
      <c r="F55" s="114">
        <f>'As-Filed Schedule 2B'!F55</f>
        <v>0</v>
      </c>
      <c r="G55" s="307">
        <f>SUMIFS(Adjustments!$G:$G,Adjustments!$H:$H,"2B",Adjustments!$I:$I,'Schedule 2B Adjustments'!$F$12,Adjustments!$J:$J,'Schedule 2B Adjustments'!$A55)</f>
        <v>0</v>
      </c>
      <c r="H55" s="303">
        <f t="shared" si="0"/>
        <v>0</v>
      </c>
      <c r="I55" s="68">
        <f>IFERROR(F55*'As-Filed Schedule 1'!$E$103,0)</f>
        <v>0</v>
      </c>
      <c r="J55" s="304">
        <f>IFERROR(H55*'Adjusted Schedule 1'!$E$104,0)</f>
        <v>0</v>
      </c>
      <c r="K55" s="173">
        <f t="shared" si="1"/>
        <v>0</v>
      </c>
      <c r="L55" s="304">
        <f t="shared" si="7"/>
        <v>0</v>
      </c>
      <c r="N55" s="172">
        <f>'As-Filed Schedule 2B'!J55</f>
        <v>0</v>
      </c>
      <c r="O55" s="307">
        <f>SUMIFS(Adjustments!$G:$G,Adjustments!$H:$H,"2B",Adjustments!$I:$I,'Schedule 2B Adjustments'!$N$12,Adjustments!$J:$J,'Schedule 2B Adjustments'!$A55)</f>
        <v>0</v>
      </c>
      <c r="P55" s="303">
        <f t="shared" si="2"/>
        <v>0</v>
      </c>
      <c r="Q55" s="68">
        <f>IFERROR(N55*'As-Filed Schedule 1'!$E$103,0)</f>
        <v>0</v>
      </c>
      <c r="R55" s="304">
        <f>IFERROR(P55*'Adjusted Schedule 1'!$E$104,0)</f>
        <v>0</v>
      </c>
      <c r="S55" s="68">
        <f t="shared" si="3"/>
        <v>0</v>
      </c>
      <c r="T55" s="304">
        <f t="shared" si="4"/>
        <v>0</v>
      </c>
      <c r="V55" s="117">
        <f>'As-Filed Schedule 2B'!N55</f>
        <v>0</v>
      </c>
      <c r="W55" s="307">
        <f>SUMIFS(Adjustments!$G:$G,Adjustments!$H:$H,"2B",Adjustments!$I:$I,'Schedule 2B Adjustments'!$V$12,Adjustments!$J:$J,'Schedule 2B Adjustments'!$A55)</f>
        <v>0</v>
      </c>
      <c r="X55" s="320">
        <f t="shared" si="5"/>
        <v>0</v>
      </c>
      <c r="Y55" s="117">
        <f>'As-Filed Schedule 2B'!O55</f>
        <v>0</v>
      </c>
      <c r="Z55" s="307">
        <f>SUMIFS(Adjustments!$G:$G,Adjustments!$H:$H,"2B",Adjustments!$I:$I,'Schedule 2B Adjustments'!$Y$12,Adjustments!$J:$J,'Schedule 2B Adjustments'!$A55)</f>
        <v>0</v>
      </c>
      <c r="AA55" s="320">
        <f t="shared" si="6"/>
        <v>0</v>
      </c>
    </row>
    <row r="56" spans="1:27" x14ac:dyDescent="0.35">
      <c r="A56" s="24">
        <v>42</v>
      </c>
      <c r="B56" s="565" t="str">
        <f>IF('As-Filed Schedule 2B'!B56:D56=0,"",'As-Filed Schedule 2B'!B56:D56)</f>
        <v/>
      </c>
      <c r="C56" s="565"/>
      <c r="D56" s="565"/>
      <c r="F56" s="114">
        <f>'As-Filed Schedule 2B'!F56</f>
        <v>0</v>
      </c>
      <c r="G56" s="307">
        <f>SUMIFS(Adjustments!$G:$G,Adjustments!$H:$H,"2B",Adjustments!$I:$I,'Schedule 2B Adjustments'!$F$12,Adjustments!$J:$J,'Schedule 2B Adjustments'!$A56)</f>
        <v>0</v>
      </c>
      <c r="H56" s="303">
        <f t="shared" si="0"/>
        <v>0</v>
      </c>
      <c r="I56" s="68">
        <f>IFERROR(F56*'As-Filed Schedule 1'!$E$103,0)</f>
        <v>0</v>
      </c>
      <c r="J56" s="304">
        <f>IFERROR(H56*'Adjusted Schedule 1'!$E$104,0)</f>
        <v>0</v>
      </c>
      <c r="K56" s="173">
        <f t="shared" si="1"/>
        <v>0</v>
      </c>
      <c r="L56" s="304">
        <f t="shared" si="7"/>
        <v>0</v>
      </c>
      <c r="N56" s="172">
        <f>'As-Filed Schedule 2B'!J56</f>
        <v>0</v>
      </c>
      <c r="O56" s="307">
        <f>SUMIFS(Adjustments!$G:$G,Adjustments!$H:$H,"2B",Adjustments!$I:$I,'Schedule 2B Adjustments'!$N$12,Adjustments!$J:$J,'Schedule 2B Adjustments'!$A56)</f>
        <v>0</v>
      </c>
      <c r="P56" s="303">
        <f t="shared" si="2"/>
        <v>0</v>
      </c>
      <c r="Q56" s="68">
        <f>IFERROR(N56*'As-Filed Schedule 1'!$E$103,0)</f>
        <v>0</v>
      </c>
      <c r="R56" s="304">
        <f>IFERROR(P56*'Adjusted Schedule 1'!$E$104,0)</f>
        <v>0</v>
      </c>
      <c r="S56" s="68">
        <f t="shared" si="3"/>
        <v>0</v>
      </c>
      <c r="T56" s="304">
        <f t="shared" si="4"/>
        <v>0</v>
      </c>
      <c r="V56" s="117">
        <f>'As-Filed Schedule 2B'!N56</f>
        <v>0</v>
      </c>
      <c r="W56" s="307">
        <f>SUMIFS(Adjustments!$G:$G,Adjustments!$H:$H,"2B",Adjustments!$I:$I,'Schedule 2B Adjustments'!$V$12,Adjustments!$J:$J,'Schedule 2B Adjustments'!$A56)</f>
        <v>0</v>
      </c>
      <c r="X56" s="320">
        <f t="shared" si="5"/>
        <v>0</v>
      </c>
      <c r="Y56" s="117">
        <f>'As-Filed Schedule 2B'!O56</f>
        <v>0</v>
      </c>
      <c r="Z56" s="307">
        <f>SUMIFS(Adjustments!$G:$G,Adjustments!$H:$H,"2B",Adjustments!$I:$I,'Schedule 2B Adjustments'!$Y$12,Adjustments!$J:$J,'Schedule 2B Adjustments'!$A56)</f>
        <v>0</v>
      </c>
      <c r="AA56" s="320">
        <f t="shared" si="6"/>
        <v>0</v>
      </c>
    </row>
    <row r="57" spans="1:27" x14ac:dyDescent="0.35">
      <c r="A57" s="24">
        <v>43</v>
      </c>
      <c r="B57" s="565" t="str">
        <f>IF('As-Filed Schedule 2B'!B57:D57=0,"",'As-Filed Schedule 2B'!B57:D57)</f>
        <v/>
      </c>
      <c r="C57" s="565"/>
      <c r="D57" s="565"/>
      <c r="F57" s="114">
        <f>'As-Filed Schedule 2B'!F57</f>
        <v>0</v>
      </c>
      <c r="G57" s="307">
        <f>SUMIFS(Adjustments!$G:$G,Adjustments!$H:$H,"2B",Adjustments!$I:$I,'Schedule 2B Adjustments'!$F$12,Adjustments!$J:$J,'Schedule 2B Adjustments'!$A57)</f>
        <v>0</v>
      </c>
      <c r="H57" s="303">
        <f t="shared" si="0"/>
        <v>0</v>
      </c>
      <c r="I57" s="68">
        <f>IFERROR(F57*'As-Filed Schedule 1'!$E$103,0)</f>
        <v>0</v>
      </c>
      <c r="J57" s="304">
        <f>IFERROR(H57*'Adjusted Schedule 1'!$E$104,0)</f>
        <v>0</v>
      </c>
      <c r="K57" s="173">
        <f t="shared" si="1"/>
        <v>0</v>
      </c>
      <c r="L57" s="304">
        <f t="shared" si="7"/>
        <v>0</v>
      </c>
      <c r="N57" s="172">
        <f>'As-Filed Schedule 2B'!J57</f>
        <v>0</v>
      </c>
      <c r="O57" s="307">
        <f>SUMIFS(Adjustments!$G:$G,Adjustments!$H:$H,"2B",Adjustments!$I:$I,'Schedule 2B Adjustments'!$N$12,Adjustments!$J:$J,'Schedule 2B Adjustments'!$A57)</f>
        <v>0</v>
      </c>
      <c r="P57" s="303">
        <f t="shared" si="2"/>
        <v>0</v>
      </c>
      <c r="Q57" s="68">
        <f>IFERROR(N57*'As-Filed Schedule 1'!$E$103,0)</f>
        <v>0</v>
      </c>
      <c r="R57" s="304">
        <f>IFERROR(P57*'Adjusted Schedule 1'!$E$104,0)</f>
        <v>0</v>
      </c>
      <c r="S57" s="68">
        <f t="shared" si="3"/>
        <v>0</v>
      </c>
      <c r="T57" s="304">
        <f t="shared" si="4"/>
        <v>0</v>
      </c>
      <c r="V57" s="117">
        <f>'As-Filed Schedule 2B'!N57</f>
        <v>0</v>
      </c>
      <c r="W57" s="307">
        <f>SUMIFS(Adjustments!$G:$G,Adjustments!$H:$H,"2B",Adjustments!$I:$I,'Schedule 2B Adjustments'!$V$12,Adjustments!$J:$J,'Schedule 2B Adjustments'!$A57)</f>
        <v>0</v>
      </c>
      <c r="X57" s="320">
        <f t="shared" si="5"/>
        <v>0</v>
      </c>
      <c r="Y57" s="117">
        <f>'As-Filed Schedule 2B'!O57</f>
        <v>0</v>
      </c>
      <c r="Z57" s="307">
        <f>SUMIFS(Adjustments!$G:$G,Adjustments!$H:$H,"2B",Adjustments!$I:$I,'Schedule 2B Adjustments'!$Y$12,Adjustments!$J:$J,'Schedule 2B Adjustments'!$A57)</f>
        <v>0</v>
      </c>
      <c r="AA57" s="320">
        <f t="shared" si="6"/>
        <v>0</v>
      </c>
    </row>
    <row r="58" spans="1:27" x14ac:dyDescent="0.35">
      <c r="A58" s="24">
        <v>44</v>
      </c>
      <c r="B58" s="565" t="str">
        <f>IF('As-Filed Schedule 2B'!B58:D58=0,"",'As-Filed Schedule 2B'!B58:D58)</f>
        <v/>
      </c>
      <c r="C58" s="565"/>
      <c r="D58" s="565"/>
      <c r="F58" s="114">
        <f>'As-Filed Schedule 2B'!F58</f>
        <v>0</v>
      </c>
      <c r="G58" s="307">
        <f>SUMIFS(Adjustments!$G:$G,Adjustments!$H:$H,"2B",Adjustments!$I:$I,'Schedule 2B Adjustments'!$F$12,Adjustments!$J:$J,'Schedule 2B Adjustments'!$A58)</f>
        <v>0</v>
      </c>
      <c r="H58" s="303">
        <f t="shared" si="0"/>
        <v>0</v>
      </c>
      <c r="I58" s="68">
        <f>IFERROR(F58*'As-Filed Schedule 1'!$E$103,0)</f>
        <v>0</v>
      </c>
      <c r="J58" s="304">
        <f>IFERROR(H58*'Adjusted Schedule 1'!$E$104,0)</f>
        <v>0</v>
      </c>
      <c r="K58" s="173">
        <f t="shared" si="1"/>
        <v>0</v>
      </c>
      <c r="L58" s="304">
        <f t="shared" si="7"/>
        <v>0</v>
      </c>
      <c r="N58" s="172">
        <f>'As-Filed Schedule 2B'!J58</f>
        <v>0</v>
      </c>
      <c r="O58" s="307">
        <f>SUMIFS(Adjustments!$G:$G,Adjustments!$H:$H,"2B",Adjustments!$I:$I,'Schedule 2B Adjustments'!$N$12,Adjustments!$J:$J,'Schedule 2B Adjustments'!$A58)</f>
        <v>0</v>
      </c>
      <c r="P58" s="303">
        <f t="shared" si="2"/>
        <v>0</v>
      </c>
      <c r="Q58" s="68">
        <f>IFERROR(N58*'As-Filed Schedule 1'!$E$103,0)</f>
        <v>0</v>
      </c>
      <c r="R58" s="304">
        <f>IFERROR(P58*'Adjusted Schedule 1'!$E$104,0)</f>
        <v>0</v>
      </c>
      <c r="S58" s="68">
        <f t="shared" si="3"/>
        <v>0</v>
      </c>
      <c r="T58" s="304">
        <f t="shared" si="4"/>
        <v>0</v>
      </c>
      <c r="V58" s="117">
        <f>'As-Filed Schedule 2B'!N58</f>
        <v>0</v>
      </c>
      <c r="W58" s="307">
        <f>SUMIFS(Adjustments!$G:$G,Adjustments!$H:$H,"2B",Adjustments!$I:$I,'Schedule 2B Adjustments'!$V$12,Adjustments!$J:$J,'Schedule 2B Adjustments'!$A58)</f>
        <v>0</v>
      </c>
      <c r="X58" s="320">
        <f t="shared" si="5"/>
        <v>0</v>
      </c>
      <c r="Y58" s="117">
        <f>'As-Filed Schedule 2B'!O58</f>
        <v>0</v>
      </c>
      <c r="Z58" s="307">
        <f>SUMIFS(Adjustments!$G:$G,Adjustments!$H:$H,"2B",Adjustments!$I:$I,'Schedule 2B Adjustments'!$Y$12,Adjustments!$J:$J,'Schedule 2B Adjustments'!$A58)</f>
        <v>0</v>
      </c>
      <c r="AA58" s="320">
        <f t="shared" si="6"/>
        <v>0</v>
      </c>
    </row>
    <row r="59" spans="1:27" x14ac:dyDescent="0.35">
      <c r="A59" s="24">
        <v>45</v>
      </c>
      <c r="B59" s="565" t="str">
        <f>IF('As-Filed Schedule 2B'!B59:D59=0,"",'As-Filed Schedule 2B'!B59:D59)</f>
        <v/>
      </c>
      <c r="C59" s="565"/>
      <c r="D59" s="565"/>
      <c r="F59" s="114">
        <f>'As-Filed Schedule 2B'!F59</f>
        <v>0</v>
      </c>
      <c r="G59" s="307">
        <f>SUMIFS(Adjustments!$G:$G,Adjustments!$H:$H,"2B",Adjustments!$I:$I,'Schedule 2B Adjustments'!$F$12,Adjustments!$J:$J,'Schedule 2B Adjustments'!$A59)</f>
        <v>0</v>
      </c>
      <c r="H59" s="303">
        <f t="shared" si="0"/>
        <v>0</v>
      </c>
      <c r="I59" s="68">
        <f>IFERROR(F59*'As-Filed Schedule 1'!$E$103,0)</f>
        <v>0</v>
      </c>
      <c r="J59" s="304">
        <f>IFERROR(H59*'Adjusted Schedule 1'!$E$104,0)</f>
        <v>0</v>
      </c>
      <c r="K59" s="173">
        <f t="shared" si="1"/>
        <v>0</v>
      </c>
      <c r="L59" s="304">
        <f t="shared" si="7"/>
        <v>0</v>
      </c>
      <c r="N59" s="172">
        <f>'As-Filed Schedule 2B'!J59</f>
        <v>0</v>
      </c>
      <c r="O59" s="307">
        <f>SUMIFS(Adjustments!$G:$G,Adjustments!$H:$H,"2B",Adjustments!$I:$I,'Schedule 2B Adjustments'!$N$12,Adjustments!$J:$J,'Schedule 2B Adjustments'!$A59)</f>
        <v>0</v>
      </c>
      <c r="P59" s="303">
        <f t="shared" si="2"/>
        <v>0</v>
      </c>
      <c r="Q59" s="68">
        <f>IFERROR(N59*'As-Filed Schedule 1'!$E$103,0)</f>
        <v>0</v>
      </c>
      <c r="R59" s="304">
        <f>IFERROR(P59*'Adjusted Schedule 1'!$E$104,0)</f>
        <v>0</v>
      </c>
      <c r="S59" s="68">
        <f t="shared" si="3"/>
        <v>0</v>
      </c>
      <c r="T59" s="304">
        <f t="shared" si="4"/>
        <v>0</v>
      </c>
      <c r="V59" s="117">
        <f>'As-Filed Schedule 2B'!N59</f>
        <v>0</v>
      </c>
      <c r="W59" s="307">
        <f>SUMIFS(Adjustments!$G:$G,Adjustments!$H:$H,"2B",Adjustments!$I:$I,'Schedule 2B Adjustments'!$V$12,Adjustments!$J:$J,'Schedule 2B Adjustments'!$A59)</f>
        <v>0</v>
      </c>
      <c r="X59" s="320">
        <f t="shared" si="5"/>
        <v>0</v>
      </c>
      <c r="Y59" s="117">
        <f>'As-Filed Schedule 2B'!O59</f>
        <v>0</v>
      </c>
      <c r="Z59" s="307">
        <f>SUMIFS(Adjustments!$G:$G,Adjustments!$H:$H,"2B",Adjustments!$I:$I,'Schedule 2B Adjustments'!$Y$12,Adjustments!$J:$J,'Schedule 2B Adjustments'!$A59)</f>
        <v>0</v>
      </c>
      <c r="AA59" s="320">
        <f t="shared" si="6"/>
        <v>0</v>
      </c>
    </row>
    <row r="60" spans="1:27" x14ac:dyDescent="0.35">
      <c r="A60" s="24">
        <v>46</v>
      </c>
      <c r="B60" s="565" t="str">
        <f>IF('As-Filed Schedule 2B'!B60:D60=0,"",'As-Filed Schedule 2B'!B60:D60)</f>
        <v/>
      </c>
      <c r="C60" s="565"/>
      <c r="D60" s="565"/>
      <c r="F60" s="114">
        <f>'As-Filed Schedule 2B'!F60</f>
        <v>0</v>
      </c>
      <c r="G60" s="307">
        <f>SUMIFS(Adjustments!$G:$G,Adjustments!$H:$H,"2B",Adjustments!$I:$I,'Schedule 2B Adjustments'!$F$12,Adjustments!$J:$J,'Schedule 2B Adjustments'!$A60)</f>
        <v>0</v>
      </c>
      <c r="H60" s="303">
        <f t="shared" si="0"/>
        <v>0</v>
      </c>
      <c r="I60" s="68">
        <f>IFERROR(F60*'As-Filed Schedule 1'!$E$103,0)</f>
        <v>0</v>
      </c>
      <c r="J60" s="304">
        <f>IFERROR(H60*'Adjusted Schedule 1'!$E$104,0)</f>
        <v>0</v>
      </c>
      <c r="K60" s="173">
        <f t="shared" si="1"/>
        <v>0</v>
      </c>
      <c r="L60" s="304">
        <f t="shared" si="7"/>
        <v>0</v>
      </c>
      <c r="N60" s="172">
        <f>'As-Filed Schedule 2B'!J60</f>
        <v>0</v>
      </c>
      <c r="O60" s="307">
        <f>SUMIFS(Adjustments!$G:$G,Adjustments!$H:$H,"2B",Adjustments!$I:$I,'Schedule 2B Adjustments'!$N$12,Adjustments!$J:$J,'Schedule 2B Adjustments'!$A60)</f>
        <v>0</v>
      </c>
      <c r="P60" s="303">
        <f t="shared" si="2"/>
        <v>0</v>
      </c>
      <c r="Q60" s="68">
        <f>IFERROR(N60*'As-Filed Schedule 1'!$E$103,0)</f>
        <v>0</v>
      </c>
      <c r="R60" s="304">
        <f>IFERROR(P60*'Adjusted Schedule 1'!$E$104,0)</f>
        <v>0</v>
      </c>
      <c r="S60" s="68">
        <f t="shared" si="3"/>
        <v>0</v>
      </c>
      <c r="T60" s="304">
        <f t="shared" si="4"/>
        <v>0</v>
      </c>
      <c r="V60" s="117">
        <f>'As-Filed Schedule 2B'!N60</f>
        <v>0</v>
      </c>
      <c r="W60" s="307">
        <f>SUMIFS(Adjustments!$G:$G,Adjustments!$H:$H,"2B",Adjustments!$I:$I,'Schedule 2B Adjustments'!$V$12,Adjustments!$J:$J,'Schedule 2B Adjustments'!$A60)</f>
        <v>0</v>
      </c>
      <c r="X60" s="320">
        <f t="shared" si="5"/>
        <v>0</v>
      </c>
      <c r="Y60" s="117">
        <f>'As-Filed Schedule 2B'!O60</f>
        <v>0</v>
      </c>
      <c r="Z60" s="307">
        <f>SUMIFS(Adjustments!$G:$G,Adjustments!$H:$H,"2B",Adjustments!$I:$I,'Schedule 2B Adjustments'!$Y$12,Adjustments!$J:$J,'Schedule 2B Adjustments'!$A60)</f>
        <v>0</v>
      </c>
      <c r="AA60" s="320">
        <f t="shared" si="6"/>
        <v>0</v>
      </c>
    </row>
    <row r="61" spans="1:27" x14ac:dyDescent="0.35">
      <c r="A61" s="24">
        <v>47</v>
      </c>
      <c r="B61" s="565" t="str">
        <f>IF('As-Filed Schedule 2B'!B61:D61=0,"",'As-Filed Schedule 2B'!B61:D61)</f>
        <v/>
      </c>
      <c r="C61" s="565"/>
      <c r="D61" s="565"/>
      <c r="F61" s="114">
        <f>'As-Filed Schedule 2B'!F61</f>
        <v>0</v>
      </c>
      <c r="G61" s="307">
        <f>SUMIFS(Adjustments!$G:$G,Adjustments!$H:$H,"2B",Adjustments!$I:$I,'Schedule 2B Adjustments'!$F$12,Adjustments!$J:$J,'Schedule 2B Adjustments'!$A61)</f>
        <v>0</v>
      </c>
      <c r="H61" s="303">
        <f t="shared" si="0"/>
        <v>0</v>
      </c>
      <c r="I61" s="68">
        <f>IFERROR(F61*'As-Filed Schedule 1'!$E$103,0)</f>
        <v>0</v>
      </c>
      <c r="J61" s="304">
        <f>IFERROR(H61*'Adjusted Schedule 1'!$E$104,0)</f>
        <v>0</v>
      </c>
      <c r="K61" s="173">
        <f t="shared" si="1"/>
        <v>0</v>
      </c>
      <c r="L61" s="304">
        <f t="shared" si="7"/>
        <v>0</v>
      </c>
      <c r="N61" s="172">
        <f>'As-Filed Schedule 2B'!J61</f>
        <v>0</v>
      </c>
      <c r="O61" s="307">
        <f>SUMIFS(Adjustments!$G:$G,Adjustments!$H:$H,"2B",Adjustments!$I:$I,'Schedule 2B Adjustments'!$N$12,Adjustments!$J:$J,'Schedule 2B Adjustments'!$A61)</f>
        <v>0</v>
      </c>
      <c r="P61" s="303">
        <f t="shared" si="2"/>
        <v>0</v>
      </c>
      <c r="Q61" s="68">
        <f>IFERROR(N61*'As-Filed Schedule 1'!$E$103,0)</f>
        <v>0</v>
      </c>
      <c r="R61" s="304">
        <f>IFERROR(P61*'Adjusted Schedule 1'!$E$104,0)</f>
        <v>0</v>
      </c>
      <c r="S61" s="68">
        <f t="shared" si="3"/>
        <v>0</v>
      </c>
      <c r="T61" s="304">
        <f t="shared" si="4"/>
        <v>0</v>
      </c>
      <c r="V61" s="117">
        <f>'As-Filed Schedule 2B'!N61</f>
        <v>0</v>
      </c>
      <c r="W61" s="307">
        <f>SUMIFS(Adjustments!$G:$G,Adjustments!$H:$H,"2B",Adjustments!$I:$I,'Schedule 2B Adjustments'!$V$12,Adjustments!$J:$J,'Schedule 2B Adjustments'!$A61)</f>
        <v>0</v>
      </c>
      <c r="X61" s="320">
        <f t="shared" si="5"/>
        <v>0</v>
      </c>
      <c r="Y61" s="117">
        <f>'As-Filed Schedule 2B'!O61</f>
        <v>0</v>
      </c>
      <c r="Z61" s="307">
        <f>SUMIFS(Adjustments!$G:$G,Adjustments!$H:$H,"2B",Adjustments!$I:$I,'Schedule 2B Adjustments'!$Y$12,Adjustments!$J:$J,'Schedule 2B Adjustments'!$A61)</f>
        <v>0</v>
      </c>
      <c r="AA61" s="320">
        <f t="shared" si="6"/>
        <v>0</v>
      </c>
    </row>
    <row r="62" spans="1:27" x14ac:dyDescent="0.35">
      <c r="A62" s="24">
        <v>48</v>
      </c>
      <c r="B62" s="565" t="str">
        <f>IF('As-Filed Schedule 2B'!B62:D62=0,"",'As-Filed Schedule 2B'!B62:D62)</f>
        <v/>
      </c>
      <c r="C62" s="565"/>
      <c r="D62" s="565"/>
      <c r="F62" s="114">
        <f>'As-Filed Schedule 2B'!F62</f>
        <v>0</v>
      </c>
      <c r="G62" s="307">
        <f>SUMIFS(Adjustments!$G:$G,Adjustments!$H:$H,"2B",Adjustments!$I:$I,'Schedule 2B Adjustments'!$F$12,Adjustments!$J:$J,'Schedule 2B Adjustments'!$A62)</f>
        <v>0</v>
      </c>
      <c r="H62" s="303">
        <f t="shared" si="0"/>
        <v>0</v>
      </c>
      <c r="I62" s="68">
        <f>IFERROR(F62*'As-Filed Schedule 1'!$E$103,0)</f>
        <v>0</v>
      </c>
      <c r="J62" s="304">
        <f>IFERROR(H62*'Adjusted Schedule 1'!$E$104,0)</f>
        <v>0</v>
      </c>
      <c r="K62" s="173">
        <f t="shared" si="1"/>
        <v>0</v>
      </c>
      <c r="L62" s="304">
        <f t="shared" si="7"/>
        <v>0</v>
      </c>
      <c r="N62" s="172">
        <f>'As-Filed Schedule 2B'!J62</f>
        <v>0</v>
      </c>
      <c r="O62" s="307">
        <f>SUMIFS(Adjustments!$G:$G,Adjustments!$H:$H,"2B",Adjustments!$I:$I,'Schedule 2B Adjustments'!$N$12,Adjustments!$J:$J,'Schedule 2B Adjustments'!$A62)</f>
        <v>0</v>
      </c>
      <c r="P62" s="303">
        <f t="shared" si="2"/>
        <v>0</v>
      </c>
      <c r="Q62" s="68">
        <f>IFERROR(N62*'As-Filed Schedule 1'!$E$103,0)</f>
        <v>0</v>
      </c>
      <c r="R62" s="304">
        <f>IFERROR(P62*'Adjusted Schedule 1'!$E$104,0)</f>
        <v>0</v>
      </c>
      <c r="S62" s="68">
        <f t="shared" si="3"/>
        <v>0</v>
      </c>
      <c r="T62" s="304">
        <f t="shared" si="4"/>
        <v>0</v>
      </c>
      <c r="V62" s="117">
        <f>'As-Filed Schedule 2B'!N62</f>
        <v>0</v>
      </c>
      <c r="W62" s="307">
        <f>SUMIFS(Adjustments!$G:$G,Adjustments!$H:$H,"2B",Adjustments!$I:$I,'Schedule 2B Adjustments'!$V$12,Adjustments!$J:$J,'Schedule 2B Adjustments'!$A62)</f>
        <v>0</v>
      </c>
      <c r="X62" s="320">
        <f t="shared" si="5"/>
        <v>0</v>
      </c>
      <c r="Y62" s="117">
        <f>'As-Filed Schedule 2B'!O62</f>
        <v>0</v>
      </c>
      <c r="Z62" s="307">
        <f>SUMIFS(Adjustments!$G:$G,Adjustments!$H:$H,"2B",Adjustments!$I:$I,'Schedule 2B Adjustments'!$Y$12,Adjustments!$J:$J,'Schedule 2B Adjustments'!$A62)</f>
        <v>0</v>
      </c>
      <c r="AA62" s="320">
        <f t="shared" si="6"/>
        <v>0</v>
      </c>
    </row>
    <row r="63" spans="1:27" x14ac:dyDescent="0.35">
      <c r="A63" s="24">
        <v>49</v>
      </c>
      <c r="B63" s="565" t="str">
        <f>IF('As-Filed Schedule 2B'!B63:D63=0,"",'As-Filed Schedule 2B'!B63:D63)</f>
        <v/>
      </c>
      <c r="C63" s="565"/>
      <c r="D63" s="565"/>
      <c r="F63" s="114">
        <f>'As-Filed Schedule 2B'!F63</f>
        <v>0</v>
      </c>
      <c r="G63" s="307">
        <f>SUMIFS(Adjustments!$G:$G,Adjustments!$H:$H,"2B",Adjustments!$I:$I,'Schedule 2B Adjustments'!$F$12,Adjustments!$J:$J,'Schedule 2B Adjustments'!$A63)</f>
        <v>0</v>
      </c>
      <c r="H63" s="303">
        <f t="shared" si="0"/>
        <v>0</v>
      </c>
      <c r="I63" s="68">
        <f>IFERROR(F63*'As-Filed Schedule 1'!$E$103,0)</f>
        <v>0</v>
      </c>
      <c r="J63" s="304">
        <f>IFERROR(H63*'Adjusted Schedule 1'!$E$104,0)</f>
        <v>0</v>
      </c>
      <c r="K63" s="173">
        <f t="shared" si="1"/>
        <v>0</v>
      </c>
      <c r="L63" s="304">
        <f t="shared" si="7"/>
        <v>0</v>
      </c>
      <c r="N63" s="172">
        <f>'As-Filed Schedule 2B'!J63</f>
        <v>0</v>
      </c>
      <c r="O63" s="307">
        <f>SUMIFS(Adjustments!$G:$G,Adjustments!$H:$H,"2B",Adjustments!$I:$I,'Schedule 2B Adjustments'!$N$12,Adjustments!$J:$J,'Schedule 2B Adjustments'!$A63)</f>
        <v>0</v>
      </c>
      <c r="P63" s="303">
        <f t="shared" si="2"/>
        <v>0</v>
      </c>
      <c r="Q63" s="68">
        <f>IFERROR(N63*'As-Filed Schedule 1'!$E$103,0)</f>
        <v>0</v>
      </c>
      <c r="R63" s="304">
        <f>IFERROR(P63*'Adjusted Schedule 1'!$E$104,0)</f>
        <v>0</v>
      </c>
      <c r="S63" s="68">
        <f t="shared" si="3"/>
        <v>0</v>
      </c>
      <c r="T63" s="304">
        <f t="shared" si="4"/>
        <v>0</v>
      </c>
      <c r="V63" s="117">
        <f>'As-Filed Schedule 2B'!N63</f>
        <v>0</v>
      </c>
      <c r="W63" s="307">
        <f>SUMIFS(Adjustments!$G:$G,Adjustments!$H:$H,"2B",Adjustments!$I:$I,'Schedule 2B Adjustments'!$V$12,Adjustments!$J:$J,'Schedule 2B Adjustments'!$A63)</f>
        <v>0</v>
      </c>
      <c r="X63" s="320">
        <f t="shared" si="5"/>
        <v>0</v>
      </c>
      <c r="Y63" s="117">
        <f>'As-Filed Schedule 2B'!O63</f>
        <v>0</v>
      </c>
      <c r="Z63" s="307">
        <f>SUMIFS(Adjustments!$G:$G,Adjustments!$H:$H,"2B",Adjustments!$I:$I,'Schedule 2B Adjustments'!$Y$12,Adjustments!$J:$J,'Schedule 2B Adjustments'!$A63)</f>
        <v>0</v>
      </c>
      <c r="AA63" s="320">
        <f t="shared" si="6"/>
        <v>0</v>
      </c>
    </row>
    <row r="64" spans="1:27" x14ac:dyDescent="0.35">
      <c r="A64" s="24">
        <v>50</v>
      </c>
      <c r="B64" s="565" t="str">
        <f>IF('As-Filed Schedule 2B'!B64:D64=0,"",'As-Filed Schedule 2B'!B64:D64)</f>
        <v/>
      </c>
      <c r="C64" s="565"/>
      <c r="D64" s="565"/>
      <c r="F64" s="114">
        <f>'As-Filed Schedule 2B'!F64</f>
        <v>0</v>
      </c>
      <c r="G64" s="307">
        <f>SUMIFS(Adjustments!$G:$G,Adjustments!$H:$H,"2B",Adjustments!$I:$I,'Schedule 2B Adjustments'!$F$12,Adjustments!$J:$J,'Schedule 2B Adjustments'!$A64)</f>
        <v>0</v>
      </c>
      <c r="H64" s="303">
        <f t="shared" si="0"/>
        <v>0</v>
      </c>
      <c r="I64" s="68">
        <f>IFERROR(F64*'As-Filed Schedule 1'!$E$103,0)</f>
        <v>0</v>
      </c>
      <c r="J64" s="304">
        <f>IFERROR(H64*'Adjusted Schedule 1'!$E$104,0)</f>
        <v>0</v>
      </c>
      <c r="K64" s="173">
        <f t="shared" si="1"/>
        <v>0</v>
      </c>
      <c r="L64" s="304">
        <f t="shared" si="7"/>
        <v>0</v>
      </c>
      <c r="N64" s="172">
        <f>'As-Filed Schedule 2B'!J64</f>
        <v>0</v>
      </c>
      <c r="O64" s="307">
        <f>SUMIFS(Adjustments!$G:$G,Adjustments!$H:$H,"2B",Adjustments!$I:$I,'Schedule 2B Adjustments'!$N$12,Adjustments!$J:$J,'Schedule 2B Adjustments'!$A64)</f>
        <v>0</v>
      </c>
      <c r="P64" s="303">
        <f t="shared" si="2"/>
        <v>0</v>
      </c>
      <c r="Q64" s="68">
        <f>IFERROR(N64*'As-Filed Schedule 1'!$E$103,0)</f>
        <v>0</v>
      </c>
      <c r="R64" s="304">
        <f>IFERROR(P64*'Adjusted Schedule 1'!$E$104,0)</f>
        <v>0</v>
      </c>
      <c r="S64" s="68">
        <f t="shared" si="3"/>
        <v>0</v>
      </c>
      <c r="T64" s="304">
        <f t="shared" si="4"/>
        <v>0</v>
      </c>
      <c r="V64" s="117">
        <f>'As-Filed Schedule 2B'!N64</f>
        <v>0</v>
      </c>
      <c r="W64" s="307">
        <f>SUMIFS(Adjustments!$G:$G,Adjustments!$H:$H,"2B",Adjustments!$I:$I,'Schedule 2B Adjustments'!$V$12,Adjustments!$J:$J,'Schedule 2B Adjustments'!$A64)</f>
        <v>0</v>
      </c>
      <c r="X64" s="320">
        <f t="shared" si="5"/>
        <v>0</v>
      </c>
      <c r="Y64" s="117">
        <f>'As-Filed Schedule 2B'!O64</f>
        <v>0</v>
      </c>
      <c r="Z64" s="307">
        <f>SUMIFS(Adjustments!$G:$G,Adjustments!$H:$H,"2B",Adjustments!$I:$I,'Schedule 2B Adjustments'!$Y$12,Adjustments!$J:$J,'Schedule 2B Adjustments'!$A64)</f>
        <v>0</v>
      </c>
      <c r="AA64" s="320">
        <f t="shared" si="6"/>
        <v>0</v>
      </c>
    </row>
    <row r="65" spans="1:27" x14ac:dyDescent="0.35">
      <c r="A65" s="24">
        <v>51</v>
      </c>
      <c r="B65" s="565" t="str">
        <f>IF('As-Filed Schedule 2B'!B65:D65=0,"",'As-Filed Schedule 2B'!B65:D65)</f>
        <v/>
      </c>
      <c r="C65" s="565"/>
      <c r="D65" s="565"/>
      <c r="F65" s="114">
        <f>'As-Filed Schedule 2B'!F65</f>
        <v>0</v>
      </c>
      <c r="G65" s="307">
        <f>SUMIFS(Adjustments!$G:$G,Adjustments!$H:$H,"2B",Adjustments!$I:$I,'Schedule 2B Adjustments'!$F$12,Adjustments!$J:$J,'Schedule 2B Adjustments'!$A65)</f>
        <v>0</v>
      </c>
      <c r="H65" s="303">
        <f t="shared" si="0"/>
        <v>0</v>
      </c>
      <c r="I65" s="68">
        <f>IFERROR(F65*'As-Filed Schedule 1'!$E$103,0)</f>
        <v>0</v>
      </c>
      <c r="J65" s="304">
        <f>IFERROR(H65*'Adjusted Schedule 1'!$E$104,0)</f>
        <v>0</v>
      </c>
      <c r="K65" s="173">
        <f t="shared" si="1"/>
        <v>0</v>
      </c>
      <c r="L65" s="304">
        <f t="shared" si="7"/>
        <v>0</v>
      </c>
      <c r="N65" s="172">
        <f>'As-Filed Schedule 2B'!J65</f>
        <v>0</v>
      </c>
      <c r="O65" s="307">
        <f>SUMIFS(Adjustments!$G:$G,Adjustments!$H:$H,"2B",Adjustments!$I:$I,'Schedule 2B Adjustments'!$N$12,Adjustments!$J:$J,'Schedule 2B Adjustments'!$A65)</f>
        <v>0</v>
      </c>
      <c r="P65" s="303">
        <f t="shared" si="2"/>
        <v>0</v>
      </c>
      <c r="Q65" s="68">
        <f>IFERROR(N65*'As-Filed Schedule 1'!$E$103,0)</f>
        <v>0</v>
      </c>
      <c r="R65" s="304">
        <f>IFERROR(P65*'Adjusted Schedule 1'!$E$104,0)</f>
        <v>0</v>
      </c>
      <c r="S65" s="68">
        <f t="shared" si="3"/>
        <v>0</v>
      </c>
      <c r="T65" s="304">
        <f t="shared" si="4"/>
        <v>0</v>
      </c>
      <c r="V65" s="117">
        <f>'As-Filed Schedule 2B'!N65</f>
        <v>0</v>
      </c>
      <c r="W65" s="307">
        <f>SUMIFS(Adjustments!$G:$G,Adjustments!$H:$H,"2B",Adjustments!$I:$I,'Schedule 2B Adjustments'!$V$12,Adjustments!$J:$J,'Schedule 2B Adjustments'!$A65)</f>
        <v>0</v>
      </c>
      <c r="X65" s="320">
        <f t="shared" si="5"/>
        <v>0</v>
      </c>
      <c r="Y65" s="117">
        <f>'As-Filed Schedule 2B'!O65</f>
        <v>0</v>
      </c>
      <c r="Z65" s="307">
        <f>SUMIFS(Adjustments!$G:$G,Adjustments!$H:$H,"2B",Adjustments!$I:$I,'Schedule 2B Adjustments'!$Y$12,Adjustments!$J:$J,'Schedule 2B Adjustments'!$A65)</f>
        <v>0</v>
      </c>
      <c r="AA65" s="320">
        <f t="shared" si="6"/>
        <v>0</v>
      </c>
    </row>
    <row r="66" spans="1:27" x14ac:dyDescent="0.35">
      <c r="A66" s="24">
        <v>52</v>
      </c>
      <c r="B66" s="565" t="str">
        <f>IF('As-Filed Schedule 2B'!B66:D66=0,"",'As-Filed Schedule 2B'!B66:D66)</f>
        <v/>
      </c>
      <c r="C66" s="565"/>
      <c r="D66" s="565"/>
      <c r="F66" s="114">
        <f>'As-Filed Schedule 2B'!F66</f>
        <v>0</v>
      </c>
      <c r="G66" s="307">
        <f>SUMIFS(Adjustments!$G:$G,Adjustments!$H:$H,"2B",Adjustments!$I:$I,'Schedule 2B Adjustments'!$F$12,Adjustments!$J:$J,'Schedule 2B Adjustments'!$A66)</f>
        <v>0</v>
      </c>
      <c r="H66" s="303">
        <f t="shared" si="0"/>
        <v>0</v>
      </c>
      <c r="I66" s="68">
        <f>IFERROR(F66*'As-Filed Schedule 1'!$E$103,0)</f>
        <v>0</v>
      </c>
      <c r="J66" s="304">
        <f>IFERROR(H66*'Adjusted Schedule 1'!$E$104,0)</f>
        <v>0</v>
      </c>
      <c r="K66" s="173">
        <f t="shared" si="1"/>
        <v>0</v>
      </c>
      <c r="L66" s="304">
        <f t="shared" si="7"/>
        <v>0</v>
      </c>
      <c r="N66" s="172">
        <f>'As-Filed Schedule 2B'!J66</f>
        <v>0</v>
      </c>
      <c r="O66" s="307">
        <f>SUMIFS(Adjustments!$G:$G,Adjustments!$H:$H,"2B",Adjustments!$I:$I,'Schedule 2B Adjustments'!$N$12,Adjustments!$J:$J,'Schedule 2B Adjustments'!$A66)</f>
        <v>0</v>
      </c>
      <c r="P66" s="303">
        <f t="shared" si="2"/>
        <v>0</v>
      </c>
      <c r="Q66" s="68">
        <f>IFERROR(N66*'As-Filed Schedule 1'!$E$103,0)</f>
        <v>0</v>
      </c>
      <c r="R66" s="304">
        <f>IFERROR(P66*'Adjusted Schedule 1'!$E$104,0)</f>
        <v>0</v>
      </c>
      <c r="S66" s="68">
        <f t="shared" si="3"/>
        <v>0</v>
      </c>
      <c r="T66" s="304">
        <f t="shared" si="4"/>
        <v>0</v>
      </c>
      <c r="V66" s="117">
        <f>'As-Filed Schedule 2B'!N66</f>
        <v>0</v>
      </c>
      <c r="W66" s="307">
        <f>SUMIFS(Adjustments!$G:$G,Adjustments!$H:$H,"2B",Adjustments!$I:$I,'Schedule 2B Adjustments'!$V$12,Adjustments!$J:$J,'Schedule 2B Adjustments'!$A66)</f>
        <v>0</v>
      </c>
      <c r="X66" s="320">
        <f t="shared" si="5"/>
        <v>0</v>
      </c>
      <c r="Y66" s="117">
        <f>'As-Filed Schedule 2B'!O66</f>
        <v>0</v>
      </c>
      <c r="Z66" s="307">
        <f>SUMIFS(Adjustments!$G:$G,Adjustments!$H:$H,"2B",Adjustments!$I:$I,'Schedule 2B Adjustments'!$Y$12,Adjustments!$J:$J,'Schedule 2B Adjustments'!$A66)</f>
        <v>0</v>
      </c>
      <c r="AA66" s="320">
        <f t="shared" si="6"/>
        <v>0</v>
      </c>
    </row>
    <row r="67" spans="1:27" x14ac:dyDescent="0.35">
      <c r="A67" s="24">
        <v>53</v>
      </c>
      <c r="B67" s="565" t="str">
        <f>IF('As-Filed Schedule 2B'!B67:D67=0,"",'As-Filed Schedule 2B'!B67:D67)</f>
        <v/>
      </c>
      <c r="C67" s="565"/>
      <c r="D67" s="565"/>
      <c r="F67" s="114">
        <f>'As-Filed Schedule 2B'!F67</f>
        <v>0</v>
      </c>
      <c r="G67" s="307">
        <f>SUMIFS(Adjustments!$G:$G,Adjustments!$H:$H,"2B",Adjustments!$I:$I,'Schedule 2B Adjustments'!$F$12,Adjustments!$J:$J,'Schedule 2B Adjustments'!$A67)</f>
        <v>0</v>
      </c>
      <c r="H67" s="303">
        <f t="shared" si="0"/>
        <v>0</v>
      </c>
      <c r="I67" s="68">
        <f>IFERROR(F67*'As-Filed Schedule 1'!$E$103,0)</f>
        <v>0</v>
      </c>
      <c r="J67" s="304">
        <f>IFERROR(H67*'Adjusted Schedule 1'!$E$104,0)</f>
        <v>0</v>
      </c>
      <c r="K67" s="173">
        <f t="shared" si="1"/>
        <v>0</v>
      </c>
      <c r="L67" s="304">
        <f t="shared" si="7"/>
        <v>0</v>
      </c>
      <c r="N67" s="172">
        <f>'As-Filed Schedule 2B'!J67</f>
        <v>0</v>
      </c>
      <c r="O67" s="307">
        <f>SUMIFS(Adjustments!$G:$G,Adjustments!$H:$H,"2B",Adjustments!$I:$I,'Schedule 2B Adjustments'!$N$12,Adjustments!$J:$J,'Schedule 2B Adjustments'!$A67)</f>
        <v>0</v>
      </c>
      <c r="P67" s="303">
        <f t="shared" si="2"/>
        <v>0</v>
      </c>
      <c r="Q67" s="68">
        <f>IFERROR(N67*'As-Filed Schedule 1'!$E$103,0)</f>
        <v>0</v>
      </c>
      <c r="R67" s="304">
        <f>IFERROR(P67*'Adjusted Schedule 1'!$E$104,0)</f>
        <v>0</v>
      </c>
      <c r="S67" s="68">
        <f t="shared" si="3"/>
        <v>0</v>
      </c>
      <c r="T67" s="304">
        <f t="shared" si="4"/>
        <v>0</v>
      </c>
      <c r="V67" s="117">
        <f>'As-Filed Schedule 2B'!N67</f>
        <v>0</v>
      </c>
      <c r="W67" s="307">
        <f>SUMIFS(Adjustments!$G:$G,Adjustments!$H:$H,"2B",Adjustments!$I:$I,'Schedule 2B Adjustments'!$V$12,Adjustments!$J:$J,'Schedule 2B Adjustments'!$A67)</f>
        <v>0</v>
      </c>
      <c r="X67" s="320">
        <f t="shared" si="5"/>
        <v>0</v>
      </c>
      <c r="Y67" s="117">
        <f>'As-Filed Schedule 2B'!O67</f>
        <v>0</v>
      </c>
      <c r="Z67" s="307">
        <f>SUMIFS(Adjustments!$G:$G,Adjustments!$H:$H,"2B",Adjustments!$I:$I,'Schedule 2B Adjustments'!$Y$12,Adjustments!$J:$J,'Schedule 2B Adjustments'!$A67)</f>
        <v>0</v>
      </c>
      <c r="AA67" s="320">
        <f t="shared" si="6"/>
        <v>0</v>
      </c>
    </row>
    <row r="68" spans="1:27" x14ac:dyDescent="0.35">
      <c r="A68" s="24">
        <v>54</v>
      </c>
      <c r="B68" s="565" t="str">
        <f>IF('As-Filed Schedule 2B'!B68:D68=0,"",'As-Filed Schedule 2B'!B68:D68)</f>
        <v/>
      </c>
      <c r="C68" s="565"/>
      <c r="D68" s="565"/>
      <c r="F68" s="114">
        <f>'As-Filed Schedule 2B'!F68</f>
        <v>0</v>
      </c>
      <c r="G68" s="307">
        <f>SUMIFS(Adjustments!$G:$G,Adjustments!$H:$H,"2B",Adjustments!$I:$I,'Schedule 2B Adjustments'!$F$12,Adjustments!$J:$J,'Schedule 2B Adjustments'!$A68)</f>
        <v>0</v>
      </c>
      <c r="H68" s="303">
        <f t="shared" si="0"/>
        <v>0</v>
      </c>
      <c r="I68" s="68">
        <f>IFERROR(F68*'As-Filed Schedule 1'!$E$103,0)</f>
        <v>0</v>
      </c>
      <c r="J68" s="304">
        <f>IFERROR(H68*'Adjusted Schedule 1'!$E$104,0)</f>
        <v>0</v>
      </c>
      <c r="K68" s="173">
        <f t="shared" si="1"/>
        <v>0</v>
      </c>
      <c r="L68" s="304">
        <f t="shared" si="7"/>
        <v>0</v>
      </c>
      <c r="N68" s="172">
        <f>'As-Filed Schedule 2B'!J68</f>
        <v>0</v>
      </c>
      <c r="O68" s="307">
        <f>SUMIFS(Adjustments!$G:$G,Adjustments!$H:$H,"2B",Adjustments!$I:$I,'Schedule 2B Adjustments'!$N$12,Adjustments!$J:$J,'Schedule 2B Adjustments'!$A68)</f>
        <v>0</v>
      </c>
      <c r="P68" s="303">
        <f t="shared" si="2"/>
        <v>0</v>
      </c>
      <c r="Q68" s="68">
        <f>IFERROR(N68*'As-Filed Schedule 1'!$E$103,0)</f>
        <v>0</v>
      </c>
      <c r="R68" s="304">
        <f>IFERROR(P68*'Adjusted Schedule 1'!$E$104,0)</f>
        <v>0</v>
      </c>
      <c r="S68" s="68">
        <f t="shared" si="3"/>
        <v>0</v>
      </c>
      <c r="T68" s="304">
        <f t="shared" si="4"/>
        <v>0</v>
      </c>
      <c r="V68" s="117">
        <f>'As-Filed Schedule 2B'!N68</f>
        <v>0</v>
      </c>
      <c r="W68" s="307">
        <f>SUMIFS(Adjustments!$G:$G,Adjustments!$H:$H,"2B",Adjustments!$I:$I,'Schedule 2B Adjustments'!$V$12,Adjustments!$J:$J,'Schedule 2B Adjustments'!$A68)</f>
        <v>0</v>
      </c>
      <c r="X68" s="320">
        <f t="shared" si="5"/>
        <v>0</v>
      </c>
      <c r="Y68" s="117">
        <f>'As-Filed Schedule 2B'!O68</f>
        <v>0</v>
      </c>
      <c r="Z68" s="307">
        <f>SUMIFS(Adjustments!$G:$G,Adjustments!$H:$H,"2B",Adjustments!$I:$I,'Schedule 2B Adjustments'!$Y$12,Adjustments!$J:$J,'Schedule 2B Adjustments'!$A68)</f>
        <v>0</v>
      </c>
      <c r="AA68" s="320">
        <f t="shared" si="6"/>
        <v>0</v>
      </c>
    </row>
    <row r="69" spans="1:27" x14ac:dyDescent="0.35">
      <c r="A69" s="24">
        <v>55</v>
      </c>
      <c r="B69" s="565" t="str">
        <f>IF('As-Filed Schedule 2B'!B69:D69=0,"",'As-Filed Schedule 2B'!B69:D69)</f>
        <v/>
      </c>
      <c r="C69" s="565"/>
      <c r="D69" s="565"/>
      <c r="F69" s="114">
        <f>'As-Filed Schedule 2B'!F69</f>
        <v>0</v>
      </c>
      <c r="G69" s="307">
        <f>SUMIFS(Adjustments!$G:$G,Adjustments!$H:$H,"2B",Adjustments!$I:$I,'Schedule 2B Adjustments'!$F$12,Adjustments!$J:$J,'Schedule 2B Adjustments'!$A69)</f>
        <v>0</v>
      </c>
      <c r="H69" s="303">
        <f t="shared" si="0"/>
        <v>0</v>
      </c>
      <c r="I69" s="68">
        <f>IFERROR(F69*'As-Filed Schedule 1'!$E$103,0)</f>
        <v>0</v>
      </c>
      <c r="J69" s="304">
        <f>IFERROR(H69*'Adjusted Schedule 1'!$E$104,0)</f>
        <v>0</v>
      </c>
      <c r="K69" s="173">
        <f t="shared" si="1"/>
        <v>0</v>
      </c>
      <c r="L69" s="304">
        <f t="shared" si="7"/>
        <v>0</v>
      </c>
      <c r="N69" s="172">
        <f>'As-Filed Schedule 2B'!J69</f>
        <v>0</v>
      </c>
      <c r="O69" s="307">
        <f>SUMIFS(Adjustments!$G:$G,Adjustments!$H:$H,"2B",Adjustments!$I:$I,'Schedule 2B Adjustments'!$N$12,Adjustments!$J:$J,'Schedule 2B Adjustments'!$A69)</f>
        <v>0</v>
      </c>
      <c r="P69" s="303">
        <f t="shared" si="2"/>
        <v>0</v>
      </c>
      <c r="Q69" s="68">
        <f>IFERROR(N69*'As-Filed Schedule 1'!$E$103,0)</f>
        <v>0</v>
      </c>
      <c r="R69" s="304">
        <f>IFERROR(P69*'Adjusted Schedule 1'!$E$104,0)</f>
        <v>0</v>
      </c>
      <c r="S69" s="68">
        <f t="shared" si="3"/>
        <v>0</v>
      </c>
      <c r="T69" s="304">
        <f t="shared" si="4"/>
        <v>0</v>
      </c>
      <c r="V69" s="117">
        <f>'As-Filed Schedule 2B'!N69</f>
        <v>0</v>
      </c>
      <c r="W69" s="307">
        <f>SUMIFS(Adjustments!$G:$G,Adjustments!$H:$H,"2B",Adjustments!$I:$I,'Schedule 2B Adjustments'!$V$12,Adjustments!$J:$J,'Schedule 2B Adjustments'!$A69)</f>
        <v>0</v>
      </c>
      <c r="X69" s="320">
        <f t="shared" si="5"/>
        <v>0</v>
      </c>
      <c r="Y69" s="117">
        <f>'As-Filed Schedule 2B'!O69</f>
        <v>0</v>
      </c>
      <c r="Z69" s="307">
        <f>SUMIFS(Adjustments!$G:$G,Adjustments!$H:$H,"2B",Adjustments!$I:$I,'Schedule 2B Adjustments'!$Y$12,Adjustments!$J:$J,'Schedule 2B Adjustments'!$A69)</f>
        <v>0</v>
      </c>
      <c r="AA69" s="320">
        <f t="shared" si="6"/>
        <v>0</v>
      </c>
    </row>
    <row r="70" spans="1:27" x14ac:dyDescent="0.35">
      <c r="A70" s="24">
        <v>56</v>
      </c>
      <c r="B70" s="565" t="str">
        <f>IF('As-Filed Schedule 2B'!B70:D70=0,"",'As-Filed Schedule 2B'!B70:D70)</f>
        <v/>
      </c>
      <c r="C70" s="565"/>
      <c r="D70" s="565"/>
      <c r="F70" s="114">
        <f>'As-Filed Schedule 2B'!F70</f>
        <v>0</v>
      </c>
      <c r="G70" s="307">
        <f>SUMIFS(Adjustments!$G:$G,Adjustments!$H:$H,"2B",Adjustments!$I:$I,'Schedule 2B Adjustments'!$F$12,Adjustments!$J:$J,'Schedule 2B Adjustments'!$A70)</f>
        <v>0</v>
      </c>
      <c r="H70" s="303">
        <f t="shared" si="0"/>
        <v>0</v>
      </c>
      <c r="I70" s="68">
        <f>IFERROR(F70*'As-Filed Schedule 1'!$E$103,0)</f>
        <v>0</v>
      </c>
      <c r="J70" s="304">
        <f>IFERROR(H70*'Adjusted Schedule 1'!$E$104,0)</f>
        <v>0</v>
      </c>
      <c r="K70" s="173">
        <f t="shared" si="1"/>
        <v>0</v>
      </c>
      <c r="L70" s="304">
        <f t="shared" si="7"/>
        <v>0</v>
      </c>
      <c r="N70" s="172">
        <f>'As-Filed Schedule 2B'!J70</f>
        <v>0</v>
      </c>
      <c r="O70" s="307">
        <f>SUMIFS(Adjustments!$G:$G,Adjustments!$H:$H,"2B",Adjustments!$I:$I,'Schedule 2B Adjustments'!$N$12,Adjustments!$J:$J,'Schedule 2B Adjustments'!$A70)</f>
        <v>0</v>
      </c>
      <c r="P70" s="303">
        <f t="shared" si="2"/>
        <v>0</v>
      </c>
      <c r="Q70" s="68">
        <f>IFERROR(N70*'As-Filed Schedule 1'!$E$103,0)</f>
        <v>0</v>
      </c>
      <c r="R70" s="304">
        <f>IFERROR(P70*'Adjusted Schedule 1'!$E$104,0)</f>
        <v>0</v>
      </c>
      <c r="S70" s="68">
        <f t="shared" si="3"/>
        <v>0</v>
      </c>
      <c r="T70" s="304">
        <f t="shared" si="4"/>
        <v>0</v>
      </c>
      <c r="V70" s="117">
        <f>'As-Filed Schedule 2B'!N70</f>
        <v>0</v>
      </c>
      <c r="W70" s="307">
        <f>SUMIFS(Adjustments!$G:$G,Adjustments!$H:$H,"2B",Adjustments!$I:$I,'Schedule 2B Adjustments'!$V$12,Adjustments!$J:$J,'Schedule 2B Adjustments'!$A70)</f>
        <v>0</v>
      </c>
      <c r="X70" s="320">
        <f t="shared" si="5"/>
        <v>0</v>
      </c>
      <c r="Y70" s="117">
        <f>'As-Filed Schedule 2B'!O70</f>
        <v>0</v>
      </c>
      <c r="Z70" s="307">
        <f>SUMIFS(Adjustments!$G:$G,Adjustments!$H:$H,"2B",Adjustments!$I:$I,'Schedule 2B Adjustments'!$Y$12,Adjustments!$J:$J,'Schedule 2B Adjustments'!$A70)</f>
        <v>0</v>
      </c>
      <c r="AA70" s="320">
        <f t="shared" si="6"/>
        <v>0</v>
      </c>
    </row>
    <row r="71" spans="1:27" x14ac:dyDescent="0.35">
      <c r="A71" s="24">
        <v>57</v>
      </c>
      <c r="B71" s="565" t="str">
        <f>IF('As-Filed Schedule 2B'!B71:D71=0,"",'As-Filed Schedule 2B'!B71:D71)</f>
        <v/>
      </c>
      <c r="C71" s="565"/>
      <c r="D71" s="565"/>
      <c r="F71" s="114">
        <f>'As-Filed Schedule 2B'!F71</f>
        <v>0</v>
      </c>
      <c r="G71" s="307">
        <f>SUMIFS(Adjustments!$G:$G,Adjustments!$H:$H,"2B",Adjustments!$I:$I,'Schedule 2B Adjustments'!$F$12,Adjustments!$J:$J,'Schedule 2B Adjustments'!$A71)</f>
        <v>0</v>
      </c>
      <c r="H71" s="303">
        <f t="shared" si="0"/>
        <v>0</v>
      </c>
      <c r="I71" s="68">
        <f>IFERROR(F71*'As-Filed Schedule 1'!$E$103,0)</f>
        <v>0</v>
      </c>
      <c r="J71" s="304">
        <f>IFERROR(H71*'Adjusted Schedule 1'!$E$104,0)</f>
        <v>0</v>
      </c>
      <c r="K71" s="173">
        <f t="shared" si="1"/>
        <v>0</v>
      </c>
      <c r="L71" s="304">
        <f t="shared" si="7"/>
        <v>0</v>
      </c>
      <c r="N71" s="172">
        <f>'As-Filed Schedule 2B'!J71</f>
        <v>0</v>
      </c>
      <c r="O71" s="307">
        <f>SUMIFS(Adjustments!$G:$G,Adjustments!$H:$H,"2B",Adjustments!$I:$I,'Schedule 2B Adjustments'!$N$12,Adjustments!$J:$J,'Schedule 2B Adjustments'!$A71)</f>
        <v>0</v>
      </c>
      <c r="P71" s="303">
        <f t="shared" si="2"/>
        <v>0</v>
      </c>
      <c r="Q71" s="68">
        <f>IFERROR(N71*'As-Filed Schedule 1'!$E$103,0)</f>
        <v>0</v>
      </c>
      <c r="R71" s="304">
        <f>IFERROR(P71*'Adjusted Schedule 1'!$E$104,0)</f>
        <v>0</v>
      </c>
      <c r="S71" s="68">
        <f t="shared" si="3"/>
        <v>0</v>
      </c>
      <c r="T71" s="304">
        <f t="shared" si="4"/>
        <v>0</v>
      </c>
      <c r="V71" s="117">
        <f>'As-Filed Schedule 2B'!N71</f>
        <v>0</v>
      </c>
      <c r="W71" s="307">
        <f>SUMIFS(Adjustments!$G:$G,Adjustments!$H:$H,"2B",Adjustments!$I:$I,'Schedule 2B Adjustments'!$V$12,Adjustments!$J:$J,'Schedule 2B Adjustments'!$A71)</f>
        <v>0</v>
      </c>
      <c r="X71" s="320">
        <f t="shared" si="5"/>
        <v>0</v>
      </c>
      <c r="Y71" s="117">
        <f>'As-Filed Schedule 2B'!O71</f>
        <v>0</v>
      </c>
      <c r="Z71" s="307">
        <f>SUMIFS(Adjustments!$G:$G,Adjustments!$H:$H,"2B",Adjustments!$I:$I,'Schedule 2B Adjustments'!$Y$12,Adjustments!$J:$J,'Schedule 2B Adjustments'!$A71)</f>
        <v>0</v>
      </c>
      <c r="AA71" s="320">
        <f t="shared" si="6"/>
        <v>0</v>
      </c>
    </row>
    <row r="72" spans="1:27" x14ac:dyDescent="0.35">
      <c r="A72" s="24">
        <v>58</v>
      </c>
      <c r="B72" s="565" t="str">
        <f>IF('As-Filed Schedule 2B'!B72:D72=0,"",'As-Filed Schedule 2B'!B72:D72)</f>
        <v/>
      </c>
      <c r="C72" s="565"/>
      <c r="D72" s="565"/>
      <c r="F72" s="114">
        <f>'As-Filed Schedule 2B'!F72</f>
        <v>0</v>
      </c>
      <c r="G72" s="307">
        <f>SUMIFS(Adjustments!$G:$G,Adjustments!$H:$H,"2B",Adjustments!$I:$I,'Schedule 2B Adjustments'!$F$12,Adjustments!$J:$J,'Schedule 2B Adjustments'!$A72)</f>
        <v>0</v>
      </c>
      <c r="H72" s="303">
        <f t="shared" si="0"/>
        <v>0</v>
      </c>
      <c r="I72" s="68">
        <f>IFERROR(F72*'As-Filed Schedule 1'!$E$103,0)</f>
        <v>0</v>
      </c>
      <c r="J72" s="304">
        <f>IFERROR(H72*'Adjusted Schedule 1'!$E$104,0)</f>
        <v>0</v>
      </c>
      <c r="K72" s="173">
        <f t="shared" si="1"/>
        <v>0</v>
      </c>
      <c r="L72" s="304">
        <f t="shared" si="7"/>
        <v>0</v>
      </c>
      <c r="N72" s="172">
        <f>'As-Filed Schedule 2B'!J72</f>
        <v>0</v>
      </c>
      <c r="O72" s="307">
        <f>SUMIFS(Adjustments!$G:$G,Adjustments!$H:$H,"2B",Adjustments!$I:$I,'Schedule 2B Adjustments'!$N$12,Adjustments!$J:$J,'Schedule 2B Adjustments'!$A72)</f>
        <v>0</v>
      </c>
      <c r="P72" s="303">
        <f t="shared" si="2"/>
        <v>0</v>
      </c>
      <c r="Q72" s="68">
        <f>IFERROR(N72*'As-Filed Schedule 1'!$E$103,0)</f>
        <v>0</v>
      </c>
      <c r="R72" s="304">
        <f>IFERROR(P72*'Adjusted Schedule 1'!$E$104,0)</f>
        <v>0</v>
      </c>
      <c r="S72" s="68">
        <f t="shared" si="3"/>
        <v>0</v>
      </c>
      <c r="T72" s="304">
        <f t="shared" si="4"/>
        <v>0</v>
      </c>
      <c r="V72" s="117">
        <f>'As-Filed Schedule 2B'!N72</f>
        <v>0</v>
      </c>
      <c r="W72" s="307">
        <f>SUMIFS(Adjustments!$G:$G,Adjustments!$H:$H,"2B",Adjustments!$I:$I,'Schedule 2B Adjustments'!$V$12,Adjustments!$J:$J,'Schedule 2B Adjustments'!$A72)</f>
        <v>0</v>
      </c>
      <c r="X72" s="320">
        <f t="shared" si="5"/>
        <v>0</v>
      </c>
      <c r="Y72" s="117">
        <f>'As-Filed Schedule 2B'!O72</f>
        <v>0</v>
      </c>
      <c r="Z72" s="307">
        <f>SUMIFS(Adjustments!$G:$G,Adjustments!$H:$H,"2B",Adjustments!$I:$I,'Schedule 2B Adjustments'!$Y$12,Adjustments!$J:$J,'Schedule 2B Adjustments'!$A72)</f>
        <v>0</v>
      </c>
      <c r="AA72" s="320">
        <f t="shared" si="6"/>
        <v>0</v>
      </c>
    </row>
    <row r="73" spans="1:27" x14ac:dyDescent="0.35">
      <c r="A73" s="24">
        <v>59</v>
      </c>
      <c r="F73" s="18">
        <f>SUM(F15:F72)</f>
        <v>1355498.5923984661</v>
      </c>
      <c r="G73" s="314">
        <f t="shared" ref="G73:H73" si="8">SUM(G15:G72)</f>
        <v>705.52</v>
      </c>
      <c r="H73" s="305">
        <f t="shared" si="8"/>
        <v>1356204.1123984661</v>
      </c>
      <c r="I73" s="18">
        <f t="shared" ref="I73:K73" si="9">SUM(I15:I72)</f>
        <v>352297.15004227433</v>
      </c>
      <c r="J73" s="305">
        <f t="shared" ref="J73" si="10">SUM(J15:J72)</f>
        <v>352480.51628602529</v>
      </c>
      <c r="K73" s="18">
        <f t="shared" si="9"/>
        <v>1707795.7424407406</v>
      </c>
      <c r="L73" s="305">
        <f t="shared" ref="L73" si="11">SUM(L15:L72)</f>
        <v>1708684.6286844916</v>
      </c>
      <c r="N73" s="18">
        <f>SUM(N15:N72)</f>
        <v>2014256.7658322109</v>
      </c>
      <c r="O73" s="314">
        <f t="shared" ref="O73:P73" si="12">SUM(O15:O72)</f>
        <v>-705.52</v>
      </c>
      <c r="P73" s="305">
        <f t="shared" si="12"/>
        <v>2013551.2458322109</v>
      </c>
      <c r="Q73" s="18">
        <f t="shared" ref="Q73:S73" si="13">SUM(Q15:Q72)</f>
        <v>523509.88930238271</v>
      </c>
      <c r="R73" s="304">
        <f>IFERROR(P73*'Adjusted Schedule 1'!$E$104,0)</f>
        <v>523326.52305863175</v>
      </c>
      <c r="S73" s="18">
        <f t="shared" si="13"/>
        <v>2537766.6551345936</v>
      </c>
      <c r="T73" s="305">
        <f>SUM(T15:T72)</f>
        <v>2536877.7688908428</v>
      </c>
      <c r="Y73" s="83" t="s">
        <v>313</v>
      </c>
      <c r="Z73" s="325"/>
      <c r="AA73" s="322"/>
    </row>
    <row r="74" spans="1:27" ht="15" thickBot="1" x14ac:dyDescent="0.4">
      <c r="K74" s="37" t="s">
        <v>257</v>
      </c>
      <c r="L74" s="318" t="s">
        <v>257</v>
      </c>
      <c r="S74" s="37" t="s">
        <v>258</v>
      </c>
      <c r="T74" s="318" t="s">
        <v>258</v>
      </c>
    </row>
    <row r="75" spans="1:27" s="72" customFormat="1" ht="16" thickBot="1" x14ac:dyDescent="0.4">
      <c r="A75" s="24">
        <v>60</v>
      </c>
      <c r="B75" s="73" t="s">
        <v>460</v>
      </c>
      <c r="F75" s="75">
        <f>K73+S73</f>
        <v>4245562.3975753337</v>
      </c>
      <c r="G75"/>
      <c r="H75" s="328">
        <f>L73+T73</f>
        <v>4245562.3975753346</v>
      </c>
      <c r="I75" s="74"/>
      <c r="J75" s="319"/>
      <c r="K75" s="74"/>
      <c r="L75" s="319"/>
      <c r="M75" s="74"/>
      <c r="N75" s="74"/>
      <c r="O75" s="326"/>
      <c r="P75" s="319"/>
      <c r="Q75" s="74"/>
      <c r="R75" s="319"/>
      <c r="T75" s="321"/>
      <c r="W75" s="324"/>
      <c r="X75" s="321"/>
      <c r="Z75" s="324"/>
      <c r="AA75" s="321"/>
    </row>
  </sheetData>
  <sheetProtection sheet="1" objects="1" scenarios="1"/>
  <customSheetViews>
    <customSheetView guid="{17302493-42B1-4877-869E-E424A97AE78B}">
      <selection activeCell="I10" sqref="I10"/>
      <pageMargins left="0.7" right="0.7" top="0.75" bottom="0.75" header="0.3" footer="0.3"/>
      <pageSetup orientation="portrait" horizontalDpi="1200" verticalDpi="1200" r:id="rId1"/>
    </customSheetView>
    <customSheetView guid="{5C0BA3A5-859C-46C2-B685-44D9A90065E4}">
      <selection activeCell="I10" sqref="I10"/>
      <pageMargins left="0.7" right="0.7" top="0.75" bottom="0.75" header="0.3" footer="0.3"/>
      <pageSetup orientation="portrait" horizontalDpi="1200" verticalDpi="1200" r:id="rId2"/>
    </customSheetView>
  </customSheetViews>
  <mergeCells count="69">
    <mergeCell ref="Z13:Z14"/>
    <mergeCell ref="AA13:AA14"/>
    <mergeCell ref="W13:W14"/>
    <mergeCell ref="X13:X14"/>
    <mergeCell ref="N13:T13"/>
    <mergeCell ref="Y13:Y14"/>
    <mergeCell ref="V13:V14"/>
    <mergeCell ref="B19:D19"/>
    <mergeCell ref="A3:K3"/>
    <mergeCell ref="B12:D12"/>
    <mergeCell ref="B13:D14"/>
    <mergeCell ref="F13:L13"/>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orientation="portrait" horizontalDpi="1200" verticalDpi="1200"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1"/>
  <dimension ref="A1:AA75"/>
  <sheetViews>
    <sheetView topLeftCell="A28" workbookViewId="0">
      <selection activeCell="E45" sqref="E45"/>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53"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53"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5" style="253" customWidth="1"/>
    <col min="24" max="24" width="11.54296875" style="48" customWidth="1"/>
    <col min="25" max="25" width="12" customWidth="1"/>
    <col min="26" max="26" width="15" style="253" customWidth="1"/>
    <col min="27" max="27" width="12" style="48" customWidth="1"/>
  </cols>
  <sheetData>
    <row r="1" spans="1:27" ht="26" x14ac:dyDescent="0.6">
      <c r="A1" s="3" t="s">
        <v>777</v>
      </c>
    </row>
    <row r="2" spans="1:27" ht="21" x14ac:dyDescent="0.5">
      <c r="A2" s="2" t="s">
        <v>775</v>
      </c>
    </row>
    <row r="3" spans="1:27" ht="25" customHeight="1" x14ac:dyDescent="0.5">
      <c r="A3" s="546" t="s">
        <v>753</v>
      </c>
      <c r="B3" s="546"/>
      <c r="C3" s="546"/>
      <c r="D3" s="546"/>
      <c r="E3" s="546"/>
      <c r="F3" s="546"/>
      <c r="G3" s="546"/>
      <c r="H3" s="546"/>
      <c r="I3" s="546"/>
      <c r="J3" s="546"/>
      <c r="K3" s="546"/>
      <c r="L3" s="315"/>
    </row>
    <row r="5" spans="1:27" x14ac:dyDescent="0.35">
      <c r="A5" s="1" t="s">
        <v>776</v>
      </c>
      <c r="C5" s="414" t="str">
        <f>Results!$C$6</f>
        <v>WellPower</v>
      </c>
    </row>
    <row r="6" spans="1:27" x14ac:dyDescent="0.35">
      <c r="A6" s="1" t="s">
        <v>0</v>
      </c>
      <c r="C6" s="35">
        <f>Results!$C$7</f>
        <v>45473</v>
      </c>
      <c r="F6" s="35"/>
      <c r="G6" s="313"/>
      <c r="H6" s="60"/>
    </row>
    <row r="8" spans="1:27" x14ac:dyDescent="0.35">
      <c r="A8" s="1" t="s">
        <v>253</v>
      </c>
      <c r="B8" s="1" t="s">
        <v>621</v>
      </c>
      <c r="C8" s="1"/>
      <c r="D8" s="116" t="str">
        <f>'As-Filed Schedule 2C'!D8</f>
        <v>Yes</v>
      </c>
      <c r="E8" s="41" t="s">
        <v>259</v>
      </c>
    </row>
    <row r="10" spans="1:27" x14ac:dyDescent="0.35">
      <c r="A10" s="1" t="s">
        <v>254</v>
      </c>
      <c r="B10" s="1" t="s">
        <v>256</v>
      </c>
      <c r="C10" s="1"/>
    </row>
    <row r="11" spans="1:27" x14ac:dyDescent="0.35">
      <c r="B11" s="327" t="s">
        <v>592</v>
      </c>
    </row>
    <row r="12" spans="1:27" x14ac:dyDescent="0.35">
      <c r="B12" s="560">
        <v>1</v>
      </c>
      <c r="C12" s="560"/>
      <c r="D12" s="560"/>
      <c r="F12" s="23">
        <v>2</v>
      </c>
      <c r="G12" s="248" t="s">
        <v>550</v>
      </c>
      <c r="H12" s="249" t="s">
        <v>620</v>
      </c>
      <c r="I12" s="23">
        <v>3</v>
      </c>
      <c r="J12" s="249" t="s">
        <v>555</v>
      </c>
      <c r="K12" s="23">
        <v>4</v>
      </c>
      <c r="L12" s="249" t="s">
        <v>559</v>
      </c>
      <c r="N12" s="23">
        <v>5</v>
      </c>
      <c r="O12" s="248" t="s">
        <v>560</v>
      </c>
      <c r="P12" s="249" t="s">
        <v>561</v>
      </c>
      <c r="Q12" s="23">
        <v>6</v>
      </c>
      <c r="R12" s="249" t="s">
        <v>565</v>
      </c>
      <c r="S12" s="23">
        <v>7</v>
      </c>
      <c r="T12" s="249" t="s">
        <v>569</v>
      </c>
      <c r="V12" s="23">
        <v>8</v>
      </c>
      <c r="W12" s="248" t="s">
        <v>610</v>
      </c>
      <c r="X12" s="249" t="s">
        <v>611</v>
      </c>
      <c r="Y12" s="23">
        <v>9</v>
      </c>
      <c r="Z12" s="248" t="s">
        <v>612</v>
      </c>
      <c r="AA12" s="249" t="s">
        <v>613</v>
      </c>
    </row>
    <row r="13" spans="1:27" x14ac:dyDescent="0.35">
      <c r="B13" s="569" t="s">
        <v>606</v>
      </c>
      <c r="C13" s="570"/>
      <c r="D13" s="571"/>
      <c r="F13" s="563" t="s">
        <v>261</v>
      </c>
      <c r="G13" s="568"/>
      <c r="H13" s="568"/>
      <c r="I13" s="568"/>
      <c r="J13" s="568"/>
      <c r="K13" s="568"/>
      <c r="L13" s="564"/>
      <c r="N13" s="563" t="s">
        <v>262</v>
      </c>
      <c r="O13" s="568"/>
      <c r="P13" s="568"/>
      <c r="Q13" s="568"/>
      <c r="R13" s="568"/>
      <c r="S13" s="568"/>
      <c r="T13" s="564"/>
      <c r="V13" s="566" t="s">
        <v>250</v>
      </c>
      <c r="W13" s="617" t="s">
        <v>614</v>
      </c>
      <c r="X13" s="619" t="s">
        <v>615</v>
      </c>
      <c r="Y13" s="562" t="s">
        <v>312</v>
      </c>
      <c r="Z13" s="621" t="s">
        <v>616</v>
      </c>
      <c r="AA13" s="622" t="s">
        <v>617</v>
      </c>
    </row>
    <row r="14" spans="1:27" ht="55.5" customHeight="1" x14ac:dyDescent="0.35">
      <c r="B14" s="572"/>
      <c r="C14" s="573"/>
      <c r="D14" s="574"/>
      <c r="E14" s="48"/>
      <c r="F14" s="10" t="s">
        <v>214</v>
      </c>
      <c r="G14" s="250" t="s">
        <v>603</v>
      </c>
      <c r="H14" s="251" t="s">
        <v>604</v>
      </c>
      <c r="I14" s="142" t="s">
        <v>493</v>
      </c>
      <c r="J14" s="251" t="s">
        <v>607</v>
      </c>
      <c r="K14" s="142" t="s">
        <v>215</v>
      </c>
      <c r="L14" s="251" t="s">
        <v>609</v>
      </c>
      <c r="M14" s="99"/>
      <c r="N14" s="142" t="s">
        <v>214</v>
      </c>
      <c r="O14" s="250" t="s">
        <v>603</v>
      </c>
      <c r="P14" s="251" t="s">
        <v>604</v>
      </c>
      <c r="Q14" s="142" t="s">
        <v>493</v>
      </c>
      <c r="R14" s="251" t="s">
        <v>607</v>
      </c>
      <c r="S14" s="10" t="s">
        <v>215</v>
      </c>
      <c r="T14" s="251" t="s">
        <v>609</v>
      </c>
      <c r="U14" s="48"/>
      <c r="V14" s="567"/>
      <c r="W14" s="618"/>
      <c r="X14" s="620"/>
      <c r="Y14" s="562"/>
      <c r="Z14" s="621"/>
      <c r="AA14" s="622"/>
    </row>
    <row r="15" spans="1:27" x14ac:dyDescent="0.35">
      <c r="A15" s="24">
        <v>1</v>
      </c>
      <c r="B15" s="565" t="str">
        <f>IF('As-Filed Schedule 2C'!B15:D15=0,"",'As-Filed Schedule 2C'!B15:D15)</f>
        <v>100-222-ARS Outpatient Willow</v>
      </c>
      <c r="C15" s="565"/>
      <c r="D15" s="565"/>
      <c r="F15" s="114">
        <f>'As-Filed Schedule 2C'!F15</f>
        <v>3042604.8020187248</v>
      </c>
      <c r="G15" s="307">
        <f>SUMIFS(Adjustments!$G:$G,Adjustments!$H:$H,"2C",Adjustments!$I:$I,'Schedule 2C Adjustments'!$F$12,Adjustments!$J:$J,'Schedule 2C Adjustments'!$A15)</f>
        <v>0</v>
      </c>
      <c r="H15" s="303">
        <f>SUM(F15:G15)</f>
        <v>3042604.8020187248</v>
      </c>
      <c r="I15" s="68">
        <f>IFERROR(F15*'As-Filed Schedule 1'!$E$103,0)</f>
        <v>790779.86983334029</v>
      </c>
      <c r="J15" s="304">
        <f>IFERROR(H15*'Adjusted Schedule 1'!$E$104,0)</f>
        <v>790779.86983334029</v>
      </c>
      <c r="K15" s="68">
        <f>SUM(F15,I15)</f>
        <v>3833384.6718520653</v>
      </c>
      <c r="L15" s="304">
        <f>SUM(H15,J15)</f>
        <v>3833384.6718520653</v>
      </c>
      <c r="N15" s="114">
        <f>'As-Filed Schedule 2C'!J15</f>
        <v>52044.997659355424</v>
      </c>
      <c r="O15" s="307">
        <f>SUMIFS(Adjustments!$G:$G,Adjustments!$H:$H,"2C",Adjustments!$I:$I,'Schedule 2C Adjustments'!$N$12,Adjustments!$J:$J,'Schedule 2C Adjustments'!$A15)</f>
        <v>0</v>
      </c>
      <c r="P15" s="303">
        <f>SUM(N15:O15)</f>
        <v>52044.997659355424</v>
      </c>
      <c r="Q15" s="68">
        <f>IFERROR(N15*'As-Filed Schedule 1'!$E$103,0)</f>
        <v>13526.612607472083</v>
      </c>
      <c r="R15" s="304">
        <f>IFERROR(P15*'Adjusted Schedule 1'!$E$104,0)</f>
        <v>13526.612607472083</v>
      </c>
      <c r="S15" s="68">
        <f>SUM(N15,Q15)</f>
        <v>65571.610266827513</v>
      </c>
      <c r="T15" s="304">
        <f>SUM(P15,R15)</f>
        <v>65571.610266827513</v>
      </c>
      <c r="V15" s="117">
        <f>'As-Filed Schedule 2C'!N15</f>
        <v>23.175625</v>
      </c>
      <c r="W15" s="307">
        <f>SUMIFS(Adjustments!$G:$G,Adjustments!$H:$H,"2C",Adjustments!$I:$I,'Schedule 2C Adjustments'!$V$12,Adjustments!$J:$J,'Schedule 2C Adjustments'!$A15)</f>
        <v>0</v>
      </c>
      <c r="X15" s="303">
        <f>SUM(V15:W15)</f>
        <v>23.175625</v>
      </c>
      <c r="Y15" s="117">
        <f>'As-Filed Schedule 2C'!O15</f>
        <v>2448</v>
      </c>
      <c r="Z15" s="307">
        <f>SUMIFS(Adjustments!$G:$G,Adjustments!$H:$H,"2C",Adjustments!$I:$I,'Schedule 2C Adjustments'!$Y$12,Adjustments!$J:$J,'Schedule 2C Adjustments'!$A15)</f>
        <v>0</v>
      </c>
      <c r="AA15" s="303">
        <f>SUM(Y15:Z15)</f>
        <v>2448</v>
      </c>
    </row>
    <row r="16" spans="1:27" x14ac:dyDescent="0.35">
      <c r="A16" s="24">
        <v>2</v>
      </c>
      <c r="B16" s="565" t="str">
        <f>IF('As-Filed Schedule 2C'!B16:D16=0,"",'As-Filed Schedule 2C'!B16:D16)</f>
        <v>100-225-Zero Suicide Peer Specialists</v>
      </c>
      <c r="C16" s="565"/>
      <c r="D16" s="565"/>
      <c r="F16" s="114">
        <f>'As-Filed Schedule 2C'!F16</f>
        <v>0</v>
      </c>
      <c r="G16" s="307">
        <f>SUMIFS(Adjustments!$G:$G,Adjustments!$H:$H,"2C",Adjustments!$I:$I,'Schedule 2C Adjustments'!$F$12,Adjustments!$J:$J,'Schedule 2C Adjustments'!$A16)</f>
        <v>228443</v>
      </c>
      <c r="H16" s="303">
        <f t="shared" ref="H16:H72" si="0">SUM(F16:G16)</f>
        <v>228443</v>
      </c>
      <c r="I16" s="68">
        <f>IFERROR(F16*'As-Filed Schedule 1'!$E$103,0)</f>
        <v>0</v>
      </c>
      <c r="J16" s="304">
        <f>IFERROR(H16*'Adjusted Schedule 1'!$E$104,0)</f>
        <v>59372.852394264388</v>
      </c>
      <c r="K16" s="68">
        <f t="shared" ref="K16:K72" si="1">SUM(F16,I16)</f>
        <v>0</v>
      </c>
      <c r="L16" s="304">
        <f t="shared" ref="L16:L72" si="2">SUM(H16,J16)</f>
        <v>287815.85239426437</v>
      </c>
      <c r="N16" s="114">
        <f>'As-Filed Schedule 2C'!J16</f>
        <v>228442.55749172549</v>
      </c>
      <c r="O16" s="307">
        <f>SUMIFS(Adjustments!$G:$G,Adjustments!$H:$H,"2C",Adjustments!$I:$I,'Schedule 2C Adjustments'!$N$12,Adjustments!$J:$J,'Schedule 2C Adjustments'!$A16)</f>
        <v>-228443</v>
      </c>
      <c r="P16" s="303">
        <f t="shared" ref="P16:P72" si="3">SUM(N16:O16)</f>
        <v>-0.44250827451469377</v>
      </c>
      <c r="Q16" s="68">
        <f>IFERROR(N16*'As-Filed Schedule 1'!$E$103,0)</f>
        <v>59372.737385362969</v>
      </c>
      <c r="R16" s="304">
        <f>IFERROR(P16*'Adjusted Schedule 1'!$E$104,0)</f>
        <v>-0.11500890141523942</v>
      </c>
      <c r="S16" s="68">
        <f t="shared" ref="S16:S72" si="4">SUM(N16,Q16)</f>
        <v>287815.29487708845</v>
      </c>
      <c r="T16" s="304">
        <f t="shared" ref="T16:T72" si="5">SUM(P16,R16)</f>
        <v>-0.55751717592993322</v>
      </c>
      <c r="V16" s="117">
        <f>'As-Filed Schedule 2C'!N16</f>
        <v>1.9750000000000001</v>
      </c>
      <c r="W16" s="307">
        <f>SUMIFS(Adjustments!$G:$G,Adjustments!$H:$H,"2C",Adjustments!$I:$I,'Schedule 2C Adjustments'!$V$12,Adjustments!$J:$J,'Schedule 2C Adjustments'!$A16)</f>
        <v>0</v>
      </c>
      <c r="X16" s="303">
        <f t="shared" ref="X16:X72" si="6">SUM(V16:W16)</f>
        <v>1.9750000000000001</v>
      </c>
      <c r="Y16" s="117">
        <f>'As-Filed Schedule 2C'!O16</f>
        <v>195</v>
      </c>
      <c r="Z16" s="307">
        <f>SUMIFS(Adjustments!$G:$G,Adjustments!$H:$H,"2C",Adjustments!$I:$I,'Schedule 2C Adjustments'!$Y$12,Adjustments!$J:$J,'Schedule 2C Adjustments'!$A16)</f>
        <v>0</v>
      </c>
      <c r="AA16" s="303">
        <f t="shared" ref="AA16:AA72" si="7">SUM(Y16:Z16)</f>
        <v>195</v>
      </c>
    </row>
    <row r="17" spans="1:27" x14ac:dyDescent="0.35">
      <c r="A17" s="24">
        <v>3</v>
      </c>
      <c r="B17" s="565" t="str">
        <f>IF('As-Filed Schedule 2C'!B17:D17=0,"",'As-Filed Schedule 2C'!B17:D17)</f>
        <v>100-226-ARS Outpatient Evergreen</v>
      </c>
      <c r="C17" s="565"/>
      <c r="D17" s="565"/>
      <c r="F17" s="114">
        <f>'As-Filed Schedule 2C'!F17</f>
        <v>2508560.3483315012</v>
      </c>
      <c r="G17" s="307">
        <f>SUMIFS(Adjustments!$G:$G,Adjustments!$H:$H,"2C",Adjustments!$I:$I,'Schedule 2C Adjustments'!$F$12,Adjustments!$J:$J,'Schedule 2C Adjustments'!$A17)</f>
        <v>0</v>
      </c>
      <c r="H17" s="303">
        <f t="shared" si="0"/>
        <v>2508560.3483315012</v>
      </c>
      <c r="I17" s="68">
        <f>IFERROR(F17*'As-Filed Schedule 1'!$E$103,0)</f>
        <v>651980.50841387419</v>
      </c>
      <c r="J17" s="304">
        <f>IFERROR(H17*'Adjusted Schedule 1'!$E$104,0)</f>
        <v>651980.50841387419</v>
      </c>
      <c r="K17" s="68">
        <f t="shared" si="1"/>
        <v>3160540.8567453753</v>
      </c>
      <c r="L17" s="304">
        <f t="shared" si="2"/>
        <v>3160540.8567453753</v>
      </c>
      <c r="N17" s="114">
        <f>'As-Filed Schedule 2C'!J17</f>
        <v>38194.557536292785</v>
      </c>
      <c r="O17" s="307">
        <f>SUMIFS(Adjustments!$G:$G,Adjustments!$H:$H,"2C",Adjustments!$I:$I,'Schedule 2C Adjustments'!$N$12,Adjustments!$J:$J,'Schedule 2C Adjustments'!$A17)</f>
        <v>0</v>
      </c>
      <c r="P17" s="303">
        <f t="shared" si="3"/>
        <v>38194.557536292785</v>
      </c>
      <c r="Q17" s="68">
        <f>IFERROR(N17*'As-Filed Schedule 1'!$E$103,0)</f>
        <v>9926.851892448225</v>
      </c>
      <c r="R17" s="304">
        <f>IFERROR(P17*'Adjusted Schedule 1'!$E$104,0)</f>
        <v>9926.851892448225</v>
      </c>
      <c r="S17" s="68">
        <f t="shared" si="4"/>
        <v>48121.409428741012</v>
      </c>
      <c r="T17" s="304">
        <f t="shared" si="5"/>
        <v>48121.409428741012</v>
      </c>
      <c r="V17" s="117">
        <f>'As-Filed Schedule 2C'!N17</f>
        <v>15.916749999999997</v>
      </c>
      <c r="W17" s="307">
        <f>SUMIFS(Adjustments!$G:$G,Adjustments!$H:$H,"2C",Adjustments!$I:$I,'Schedule 2C Adjustments'!$V$12,Adjustments!$J:$J,'Schedule 2C Adjustments'!$A17)</f>
        <v>0</v>
      </c>
      <c r="X17" s="303">
        <f t="shared" si="6"/>
        <v>15.916749999999997</v>
      </c>
      <c r="Y17" s="117">
        <f>'As-Filed Schedule 2C'!O17</f>
        <v>1953</v>
      </c>
      <c r="Z17" s="307">
        <f>SUMIFS(Adjustments!$G:$G,Adjustments!$H:$H,"2C",Adjustments!$I:$I,'Schedule 2C Adjustments'!$Y$12,Adjustments!$J:$J,'Schedule 2C Adjustments'!$A17)</f>
        <v>0</v>
      </c>
      <c r="AA17" s="303">
        <f t="shared" si="7"/>
        <v>1953</v>
      </c>
    </row>
    <row r="18" spans="1:27" x14ac:dyDescent="0.35">
      <c r="A18" s="24">
        <v>4</v>
      </c>
      <c r="B18" s="565" t="str">
        <f>IF('As-Filed Schedule 2C'!B18:D18=0,"",'As-Filed Schedule 2C'!B18:D18)</f>
        <v>100-227-ARS Outpatient Aspen</v>
      </c>
      <c r="C18" s="565"/>
      <c r="D18" s="565"/>
      <c r="F18" s="114">
        <f>'As-Filed Schedule 2C'!F18</f>
        <v>2022971.3102476548</v>
      </c>
      <c r="G18" s="307">
        <f>SUMIFS(Adjustments!$G:$G,Adjustments!$H:$H,"2C",Adjustments!$I:$I,'Schedule 2C Adjustments'!$F$12,Adjustments!$J:$J,'Schedule 2C Adjustments'!$A18)</f>
        <v>0</v>
      </c>
      <c r="H18" s="303">
        <f t="shared" si="0"/>
        <v>2022971.3102476548</v>
      </c>
      <c r="I18" s="68">
        <f>IFERROR(F18*'As-Filed Schedule 1'!$E$103,0)</f>
        <v>525774.81910658511</v>
      </c>
      <c r="J18" s="304">
        <f>IFERROR(H18*'Adjusted Schedule 1'!$E$104,0)</f>
        <v>525774.81910658511</v>
      </c>
      <c r="K18" s="68">
        <f t="shared" si="1"/>
        <v>2548746.1293542399</v>
      </c>
      <c r="L18" s="304">
        <f>SUM(H18,J18)</f>
        <v>2548746.1293542399</v>
      </c>
      <c r="N18" s="114">
        <f>'As-Filed Schedule 2C'!J18</f>
        <v>98404.333030055408</v>
      </c>
      <c r="O18" s="307">
        <f>SUMIFS(Adjustments!$G:$G,Adjustments!$H:$H,"2C",Adjustments!$I:$I,'Schedule 2C Adjustments'!$N$12,Adjustments!$J:$J,'Schedule 2C Adjustments'!$A18)</f>
        <v>0</v>
      </c>
      <c r="P18" s="303">
        <f t="shared" si="3"/>
        <v>98404.333030055408</v>
      </c>
      <c r="Q18" s="68">
        <f>IFERROR(N18*'As-Filed Schedule 1'!$E$103,0)</f>
        <v>25575.508726244687</v>
      </c>
      <c r="R18" s="304">
        <f>IFERROR(P18*'Adjusted Schedule 1'!$E$104,0)</f>
        <v>25575.508726244687</v>
      </c>
      <c r="S18" s="68">
        <f>SUM(N18,Q18)</f>
        <v>123979.8417563001</v>
      </c>
      <c r="T18" s="304">
        <f t="shared" si="5"/>
        <v>123979.8417563001</v>
      </c>
      <c r="V18" s="117">
        <f>'As-Filed Schedule 2C'!N18</f>
        <v>14.4625</v>
      </c>
      <c r="W18" s="307">
        <f>SUMIFS(Adjustments!$G:$G,Adjustments!$H:$H,"2C",Adjustments!$I:$I,'Schedule 2C Adjustments'!$V$12,Adjustments!$J:$J,'Schedule 2C Adjustments'!$A18)</f>
        <v>0</v>
      </c>
      <c r="X18" s="303">
        <f t="shared" si="6"/>
        <v>14.4625</v>
      </c>
      <c r="Y18" s="117">
        <f>'As-Filed Schedule 2C'!O18</f>
        <v>1753</v>
      </c>
      <c r="Z18" s="307">
        <f>SUMIFS(Adjustments!$G:$G,Adjustments!$H:$H,"2C",Adjustments!$I:$I,'Schedule 2C Adjustments'!$Y$12,Adjustments!$J:$J,'Schedule 2C Adjustments'!$A18)</f>
        <v>0</v>
      </c>
      <c r="AA18" s="303">
        <f t="shared" si="7"/>
        <v>1753</v>
      </c>
    </row>
    <row r="19" spans="1:27" x14ac:dyDescent="0.35">
      <c r="A19" s="24">
        <v>5</v>
      </c>
      <c r="B19" s="565" t="str">
        <f>IF('As-Filed Schedule 2C'!B19:D19=0,"",'As-Filed Schedule 2C'!B19:D19)</f>
        <v>100-230-ARS Outpatient Birch</v>
      </c>
      <c r="C19" s="565"/>
      <c r="D19" s="565"/>
      <c r="F19" s="114">
        <f>'As-Filed Schedule 2C'!F19</f>
        <v>2106573.9036387573</v>
      </c>
      <c r="G19" s="307">
        <f>SUMIFS(Adjustments!$G:$G,Adjustments!$H:$H,"2C",Adjustments!$I:$I,'Schedule 2C Adjustments'!$F$12,Adjustments!$J:$J,'Schedule 2C Adjustments'!$A19)</f>
        <v>0</v>
      </c>
      <c r="H19" s="303">
        <f t="shared" si="0"/>
        <v>2106573.9036387573</v>
      </c>
      <c r="I19" s="68">
        <f>IFERROR(F19*'As-Filed Schedule 1'!$E$103,0)</f>
        <v>547503.32222196902</v>
      </c>
      <c r="J19" s="304">
        <f>IFERROR(H19*'Adjusted Schedule 1'!$E$104,0)</f>
        <v>547503.32222196902</v>
      </c>
      <c r="K19" s="68">
        <f t="shared" si="1"/>
        <v>2654077.2258607261</v>
      </c>
      <c r="L19" s="304">
        <f t="shared" si="2"/>
        <v>2654077.2258607261</v>
      </c>
      <c r="N19" s="114">
        <f>'As-Filed Schedule 2C'!J19</f>
        <v>41620.341546242591</v>
      </c>
      <c r="O19" s="307">
        <f>SUMIFS(Adjustments!$G:$G,Adjustments!$H:$H,"2C",Adjustments!$I:$I,'Schedule 2C Adjustments'!$N$12,Adjustments!$J:$J,'Schedule 2C Adjustments'!$A19)</f>
        <v>0</v>
      </c>
      <c r="P19" s="303">
        <f t="shared" si="3"/>
        <v>41620.341546242591</v>
      </c>
      <c r="Q19" s="68">
        <f>IFERROR(N19*'As-Filed Schedule 1'!$E$103,0)</f>
        <v>10817.22090510075</v>
      </c>
      <c r="R19" s="304">
        <f>IFERROR(P19*'Adjusted Schedule 1'!$E$104,0)</f>
        <v>10817.22090510075</v>
      </c>
      <c r="S19" s="68">
        <f t="shared" si="4"/>
        <v>52437.562451343343</v>
      </c>
      <c r="T19" s="304">
        <f>SUM(P19,R19)</f>
        <v>52437.562451343343</v>
      </c>
      <c r="V19" s="117">
        <f>'As-Filed Schedule 2C'!N19</f>
        <v>13.937874999999998</v>
      </c>
      <c r="W19" s="307">
        <f>SUMIFS(Adjustments!$G:$G,Adjustments!$H:$H,"2C",Adjustments!$I:$I,'Schedule 2C Adjustments'!$V$12,Adjustments!$J:$J,'Schedule 2C Adjustments'!$A19)</f>
        <v>0</v>
      </c>
      <c r="X19" s="303">
        <f t="shared" si="6"/>
        <v>13.937874999999998</v>
      </c>
      <c r="Y19" s="117">
        <f>'As-Filed Schedule 2C'!O19</f>
        <v>1612</v>
      </c>
      <c r="Z19" s="307">
        <f>SUMIFS(Adjustments!$G:$G,Adjustments!$H:$H,"2C",Adjustments!$I:$I,'Schedule 2C Adjustments'!$Y$12,Adjustments!$J:$J,'Schedule 2C Adjustments'!$A19)</f>
        <v>0</v>
      </c>
      <c r="AA19" s="303">
        <f t="shared" si="7"/>
        <v>1612</v>
      </c>
    </row>
    <row r="20" spans="1:27" x14ac:dyDescent="0.35">
      <c r="A20" s="24">
        <v>6</v>
      </c>
      <c r="B20" s="565" t="str">
        <f>IF('As-Filed Schedule 2C'!B20:D20=0,"",'As-Filed Schedule 2C'!B20:D20)</f>
        <v>100-725-Living &amp; Learning with HIV</v>
      </c>
      <c r="C20" s="565"/>
      <c r="D20" s="565"/>
      <c r="F20" s="114">
        <f>'As-Filed Schedule 2C'!F20</f>
        <v>184106.89533944457</v>
      </c>
      <c r="G20" s="307">
        <f>SUMIFS(Adjustments!$G:$G,Adjustments!$H:$H,"2C",Adjustments!$I:$I,'Schedule 2C Adjustments'!$F$12,Adjustments!$J:$J,'Schedule 2C Adjustments'!$A20)</f>
        <v>0</v>
      </c>
      <c r="H20" s="303">
        <f t="shared" si="0"/>
        <v>184106.89533944457</v>
      </c>
      <c r="I20" s="68">
        <f>IFERROR(F20*'As-Filed Schedule 1'!$E$103,0)</f>
        <v>47849.79851321828</v>
      </c>
      <c r="J20" s="304">
        <f>IFERROR(H20*'Adjusted Schedule 1'!$E$104,0)</f>
        <v>47849.79851321828</v>
      </c>
      <c r="K20" s="68">
        <f>SUM(F20,I20)</f>
        <v>231956.69385266287</v>
      </c>
      <c r="L20" s="304">
        <f t="shared" si="2"/>
        <v>231956.69385266287</v>
      </c>
      <c r="N20" s="114">
        <f>'As-Filed Schedule 2C'!J20</f>
        <v>56.425565571483332</v>
      </c>
      <c r="O20" s="307">
        <f>SUMIFS(Adjustments!$G:$G,Adjustments!$H:$H,"2C",Adjustments!$I:$I,'Schedule 2C Adjustments'!$N$12,Adjustments!$J:$J,'Schedule 2C Adjustments'!$A20)</f>
        <v>0</v>
      </c>
      <c r="P20" s="303">
        <f t="shared" si="3"/>
        <v>56.425565571483332</v>
      </c>
      <c r="Q20" s="68">
        <f>IFERROR(N20*'As-Filed Schedule 1'!$E$103,0)</f>
        <v>14.665132115838814</v>
      </c>
      <c r="R20" s="304">
        <f>IFERROR(P20*'Adjusted Schedule 1'!$E$104,0)</f>
        <v>14.665132115838814</v>
      </c>
      <c r="S20" s="68">
        <f t="shared" si="4"/>
        <v>71.090697687322148</v>
      </c>
      <c r="T20" s="304">
        <f t="shared" si="5"/>
        <v>71.090697687322148</v>
      </c>
      <c r="V20" s="117">
        <f>'As-Filed Schedule 2C'!N20</f>
        <v>1.4000000000000001</v>
      </c>
      <c r="W20" s="307">
        <f>SUMIFS(Adjustments!$G:$G,Adjustments!$H:$H,"2C",Adjustments!$I:$I,'Schedule 2C Adjustments'!$V$12,Adjustments!$J:$J,'Schedule 2C Adjustments'!$A20)</f>
        <v>0</v>
      </c>
      <c r="X20" s="303">
        <f t="shared" si="6"/>
        <v>1.4000000000000001</v>
      </c>
      <c r="Y20" s="117">
        <f>'As-Filed Schedule 2C'!O20</f>
        <v>51</v>
      </c>
      <c r="Z20" s="307">
        <f>SUMIFS(Adjustments!$G:$G,Adjustments!$H:$H,"2C",Adjustments!$I:$I,'Schedule 2C Adjustments'!$Y$12,Adjustments!$J:$J,'Schedule 2C Adjustments'!$A20)</f>
        <v>0</v>
      </c>
      <c r="AA20" s="303">
        <f t="shared" si="7"/>
        <v>51</v>
      </c>
    </row>
    <row r="21" spans="1:27" x14ac:dyDescent="0.35">
      <c r="A21" s="24">
        <v>7</v>
      </c>
      <c r="B21" s="565" t="str">
        <f>IF('As-Filed Schedule 2C'!B21:D21=0,"",'As-Filed Schedule 2C'!B21:D21)</f>
        <v>100-255-ARS Outpatient - Emerson</v>
      </c>
      <c r="C21" s="565"/>
      <c r="D21" s="565"/>
      <c r="F21" s="114">
        <f>'As-Filed Schedule 2C'!F21</f>
        <v>2298964.576334801</v>
      </c>
      <c r="G21" s="307">
        <f>SUMIFS(Adjustments!$G:$G,Adjustments!$H:$H,"2C",Adjustments!$I:$I,'Schedule 2C Adjustments'!$F$12,Adjustments!$J:$J,'Schedule 2C Adjustments'!$A21)</f>
        <v>0</v>
      </c>
      <c r="H21" s="303">
        <f t="shared" si="0"/>
        <v>2298964.576334801</v>
      </c>
      <c r="I21" s="68">
        <f>IFERROR(F21*'As-Filed Schedule 1'!$E$103,0)</f>
        <v>597506.09320648341</v>
      </c>
      <c r="J21" s="304">
        <f>IFERROR(H21*'Adjusted Schedule 1'!$E$104,0)</f>
        <v>597506.09320648341</v>
      </c>
      <c r="K21" s="68">
        <f t="shared" si="1"/>
        <v>2896470.6695412844</v>
      </c>
      <c r="L21" s="304">
        <f t="shared" si="2"/>
        <v>2896470.6695412844</v>
      </c>
      <c r="N21" s="114">
        <f>'As-Filed Schedule 2C'!J21</f>
        <v>4767.5668654209603</v>
      </c>
      <c r="O21" s="307">
        <f>SUMIFS(Adjustments!$G:$G,Adjustments!$H:$H,"2C",Adjustments!$I:$I,'Schedule 2C Adjustments'!$N$12,Adjustments!$J:$J,'Schedule 2C Adjustments'!$A21)</f>
        <v>0</v>
      </c>
      <c r="P21" s="303">
        <f t="shared" si="3"/>
        <v>4767.5668654209603</v>
      </c>
      <c r="Q21" s="68">
        <f>IFERROR(N21*'As-Filed Schedule 1'!$E$103,0)</f>
        <v>1239.1014116450249</v>
      </c>
      <c r="R21" s="304">
        <f>IFERROR(P21*'Adjusted Schedule 1'!$E$104,0)</f>
        <v>1239.1014116450249</v>
      </c>
      <c r="S21" s="68">
        <f t="shared" si="4"/>
        <v>6006.6682770659854</v>
      </c>
      <c r="T21" s="304">
        <f t="shared" si="5"/>
        <v>6006.6682770659854</v>
      </c>
      <c r="V21" s="117">
        <f>'As-Filed Schedule 2C'!N21</f>
        <v>17.381249999999998</v>
      </c>
      <c r="W21" s="307">
        <f>SUMIFS(Adjustments!$G:$G,Adjustments!$H:$H,"2C",Adjustments!$I:$I,'Schedule 2C Adjustments'!$V$12,Adjustments!$J:$J,'Schedule 2C Adjustments'!$A21)</f>
        <v>0</v>
      </c>
      <c r="X21" s="303">
        <f t="shared" si="6"/>
        <v>17.381249999999998</v>
      </c>
      <c r="Y21" s="117">
        <f>'As-Filed Schedule 2C'!O21</f>
        <v>481</v>
      </c>
      <c r="Z21" s="307">
        <f>SUMIFS(Adjustments!$G:$G,Adjustments!$H:$H,"2C",Adjustments!$I:$I,'Schedule 2C Adjustments'!$Y$12,Adjustments!$J:$J,'Schedule 2C Adjustments'!$A21)</f>
        <v>0</v>
      </c>
      <c r="AA21" s="303">
        <f t="shared" si="7"/>
        <v>481</v>
      </c>
    </row>
    <row r="22" spans="1:27" x14ac:dyDescent="0.35">
      <c r="A22" s="24">
        <v>8</v>
      </c>
      <c r="B22" s="565" t="str">
        <f>IF('As-Filed Schedule 2C'!B22:D22=0,"",'As-Filed Schedule 2C'!B22:D22)</f>
        <v>100-829-PriCare (Primary Care)</v>
      </c>
      <c r="C22" s="565"/>
      <c r="D22" s="565"/>
      <c r="F22" s="114">
        <f>'As-Filed Schedule 2C'!F22</f>
        <v>561167.99794820044</v>
      </c>
      <c r="G22" s="307">
        <f>SUMIFS(Adjustments!$G:$G,Adjustments!$H:$H,"2C",Adjustments!$I:$I,'Schedule 2C Adjustments'!$F$12,Adjustments!$J:$J,'Schedule 2C Adjustments'!$A22)</f>
        <v>0</v>
      </c>
      <c r="H22" s="303">
        <f t="shared" si="0"/>
        <v>561167.99794820044</v>
      </c>
      <c r="I22" s="68">
        <f>IFERROR(F22*'As-Filed Schedule 1'!$E$103,0)</f>
        <v>145848.83192115041</v>
      </c>
      <c r="J22" s="304">
        <f>IFERROR(H22*'Adjusted Schedule 1'!$E$104,0)</f>
        <v>145848.83192115041</v>
      </c>
      <c r="K22" s="68">
        <f t="shared" si="1"/>
        <v>707016.82986935088</v>
      </c>
      <c r="L22" s="304">
        <f t="shared" si="2"/>
        <v>707016.82986935088</v>
      </c>
      <c r="N22" s="114">
        <f>'As-Filed Schedule 2C'!J22</f>
        <v>28551.873005078629</v>
      </c>
      <c r="O22" s="307">
        <f>SUMIFS(Adjustments!$G:$G,Adjustments!$H:$H,"2C",Adjustments!$I:$I,'Schedule 2C Adjustments'!$N$12,Adjustments!$J:$J,'Schedule 2C Adjustments'!$A22)</f>
        <v>0</v>
      </c>
      <c r="P22" s="303">
        <f t="shared" si="3"/>
        <v>28551.873005078629</v>
      </c>
      <c r="Q22" s="68">
        <f>IFERROR(N22*'As-Filed Schedule 1'!$E$103,0)</f>
        <v>7420.6963728821429</v>
      </c>
      <c r="R22" s="304">
        <f>IFERROR(P22*'Adjusted Schedule 1'!$E$104,0)</f>
        <v>7420.6963728821429</v>
      </c>
      <c r="S22" s="68">
        <f t="shared" si="4"/>
        <v>35972.569377960768</v>
      </c>
      <c r="T22" s="304">
        <f t="shared" si="5"/>
        <v>35972.569377960768</v>
      </c>
      <c r="V22" s="117">
        <f>'As-Filed Schedule 2C'!N22</f>
        <v>4.7312500000000002</v>
      </c>
      <c r="W22" s="307">
        <f>SUMIFS(Adjustments!$G:$G,Adjustments!$H:$H,"2C",Adjustments!$I:$I,'Schedule 2C Adjustments'!$V$12,Adjustments!$J:$J,'Schedule 2C Adjustments'!$A22)</f>
        <v>0</v>
      </c>
      <c r="X22" s="303">
        <f t="shared" si="6"/>
        <v>4.7312500000000002</v>
      </c>
      <c r="Y22" s="117">
        <f>'As-Filed Schedule 2C'!O22</f>
        <v>508</v>
      </c>
      <c r="Z22" s="307">
        <f>SUMIFS(Adjustments!$G:$G,Adjustments!$H:$H,"2C",Adjustments!$I:$I,'Schedule 2C Adjustments'!$Y$12,Adjustments!$J:$J,'Schedule 2C Adjustments'!$A22)</f>
        <v>0</v>
      </c>
      <c r="AA22" s="303">
        <f t="shared" si="7"/>
        <v>508</v>
      </c>
    </row>
    <row r="23" spans="1:27" x14ac:dyDescent="0.35">
      <c r="A23" s="24">
        <v>9</v>
      </c>
      <c r="B23" s="565" t="str">
        <f>IF('As-Filed Schedule 2C'!B23:D23=0,"",'As-Filed Schedule 2C'!B23:D23)</f>
        <v>100-750-Wellshire Behavioral Services</v>
      </c>
      <c r="C23" s="565"/>
      <c r="D23" s="565"/>
      <c r="F23" s="114">
        <f>'As-Filed Schedule 2C'!F23</f>
        <v>2646333.8126377813</v>
      </c>
      <c r="G23" s="307">
        <f>SUMIFS(Adjustments!$G:$G,Adjustments!$H:$H,"2C",Adjustments!$I:$I,'Schedule 2C Adjustments'!$F$12,Adjustments!$J:$J,'Schedule 2C Adjustments'!$A23)</f>
        <v>0</v>
      </c>
      <c r="H23" s="303">
        <f t="shared" si="0"/>
        <v>2646333.8126377813</v>
      </c>
      <c r="I23" s="68">
        <f>IFERROR(F23*'As-Filed Schedule 1'!$E$103,0)</f>
        <v>687788.14340423606</v>
      </c>
      <c r="J23" s="304">
        <f>IFERROR(H23*'Adjusted Schedule 1'!$E$104,0)</f>
        <v>687788.14340423606</v>
      </c>
      <c r="K23" s="68">
        <f t="shared" si="1"/>
        <v>3334121.9560420173</v>
      </c>
      <c r="L23" s="304">
        <f t="shared" si="2"/>
        <v>3334121.9560420173</v>
      </c>
      <c r="N23" s="114">
        <f>'As-Filed Schedule 2C'!J23</f>
        <v>48530.586892876432</v>
      </c>
      <c r="O23" s="307">
        <f>SUMIFS(Adjustments!$G:$G,Adjustments!$H:$H,"2C",Adjustments!$I:$I,'Schedule 2C Adjustments'!$N$12,Adjustments!$J:$J,'Schedule 2C Adjustments'!$A23)</f>
        <v>0</v>
      </c>
      <c r="P23" s="303">
        <f t="shared" si="3"/>
        <v>48530.586892876432</v>
      </c>
      <c r="Q23" s="68">
        <f>IFERROR(N23*'As-Filed Schedule 1'!$E$103,0)</f>
        <v>12613.209300340892</v>
      </c>
      <c r="R23" s="304">
        <f>IFERROR(P23*'Adjusted Schedule 1'!$E$104,0)</f>
        <v>12613.209300340892</v>
      </c>
      <c r="S23" s="68">
        <f t="shared" si="4"/>
        <v>61143.79619321732</v>
      </c>
      <c r="T23" s="304">
        <f t="shared" si="5"/>
        <v>61143.79619321732</v>
      </c>
      <c r="V23" s="117">
        <f>'As-Filed Schedule 2C'!N23</f>
        <v>16.192187499999999</v>
      </c>
      <c r="W23" s="307">
        <f>SUMIFS(Adjustments!$G:$G,Adjustments!$H:$H,"2C",Adjustments!$I:$I,'Schedule 2C Adjustments'!$V$12,Adjustments!$J:$J,'Schedule 2C Adjustments'!$A23)</f>
        <v>0</v>
      </c>
      <c r="X23" s="303">
        <f t="shared" si="6"/>
        <v>16.192187499999999</v>
      </c>
      <c r="Y23" s="117">
        <f>'As-Filed Schedule 2C'!O23</f>
        <v>1640</v>
      </c>
      <c r="Z23" s="307">
        <f>SUMIFS(Adjustments!$G:$G,Adjustments!$H:$H,"2C",Adjustments!$I:$I,'Schedule 2C Adjustments'!$Y$12,Adjustments!$J:$J,'Schedule 2C Adjustments'!$A23)</f>
        <v>0</v>
      </c>
      <c r="AA23" s="303">
        <f t="shared" si="7"/>
        <v>1640</v>
      </c>
    </row>
    <row r="24" spans="1:27" x14ac:dyDescent="0.35">
      <c r="A24" s="24">
        <v>10</v>
      </c>
      <c r="B24" s="565" t="str">
        <f>IF('As-Filed Schedule 2C'!B24:D24=0,"",'As-Filed Schedule 2C'!B24:D24)</f>
        <v>100-911-Access Center</v>
      </c>
      <c r="C24" s="565"/>
      <c r="D24" s="565"/>
      <c r="F24" s="114">
        <f>'As-Filed Schedule 2C'!F24</f>
        <v>2161339.3505503978</v>
      </c>
      <c r="G24" s="307">
        <f>SUMIFS(Adjustments!$G:$G,Adjustments!$H:$H,"2C",Adjustments!$I:$I,'Schedule 2C Adjustments'!$F$12,Adjustments!$J:$J,'Schedule 2C Adjustments'!$A24)</f>
        <v>0</v>
      </c>
      <c r="H24" s="303">
        <f t="shared" si="0"/>
        <v>2161339.3505503978</v>
      </c>
      <c r="I24" s="68">
        <f>IFERROR(F24*'As-Filed Schedule 1'!$E$103,0)</f>
        <v>561736.98574324453</v>
      </c>
      <c r="J24" s="304">
        <f>IFERROR(H24*'Adjusted Schedule 1'!$E$104,0)</f>
        <v>561736.98574324453</v>
      </c>
      <c r="K24" s="68">
        <f t="shared" si="1"/>
        <v>2723076.3362936424</v>
      </c>
      <c r="L24" s="304">
        <f t="shared" si="2"/>
        <v>2723076.3362936424</v>
      </c>
      <c r="N24" s="114">
        <f>'As-Filed Schedule 2C'!J24</f>
        <v>330.89186765372608</v>
      </c>
      <c r="O24" s="307">
        <f>SUMIFS(Adjustments!$G:$G,Adjustments!$H:$H,"2C",Adjustments!$I:$I,'Schedule 2C Adjustments'!$N$12,Adjustments!$J:$J,'Schedule 2C Adjustments'!$A24)</f>
        <v>0</v>
      </c>
      <c r="P24" s="303">
        <f t="shared" si="3"/>
        <v>330.89186765372608</v>
      </c>
      <c r="Q24" s="68">
        <f>IFERROR(N24*'As-Filed Schedule 1'!$E$103,0)</f>
        <v>85.999544817162899</v>
      </c>
      <c r="R24" s="304">
        <f>IFERROR(P24*'Adjusted Schedule 1'!$E$104,0)</f>
        <v>85.999544817162899</v>
      </c>
      <c r="S24" s="68">
        <f t="shared" si="4"/>
        <v>416.89141247088901</v>
      </c>
      <c r="T24" s="304">
        <f t="shared" si="5"/>
        <v>416.89141247088901</v>
      </c>
      <c r="V24" s="117">
        <f>'As-Filed Schedule 2C'!N24</f>
        <v>17</v>
      </c>
      <c r="W24" s="307">
        <f>SUMIFS(Adjustments!$G:$G,Adjustments!$H:$H,"2C",Adjustments!$I:$I,'Schedule 2C Adjustments'!$V$12,Adjustments!$J:$J,'Schedule 2C Adjustments'!$A24)</f>
        <v>0</v>
      </c>
      <c r="X24" s="303">
        <f t="shared" si="6"/>
        <v>17</v>
      </c>
      <c r="Y24" s="117">
        <f>'As-Filed Schedule 2C'!O24</f>
        <v>5162</v>
      </c>
      <c r="Z24" s="307">
        <f>SUMIFS(Adjustments!$G:$G,Adjustments!$H:$H,"2C",Adjustments!$I:$I,'Schedule 2C Adjustments'!$Y$12,Adjustments!$J:$J,'Schedule 2C Adjustments'!$A24)</f>
        <v>0</v>
      </c>
      <c r="AA24" s="303">
        <f t="shared" si="7"/>
        <v>5162</v>
      </c>
    </row>
    <row r="25" spans="1:27" x14ac:dyDescent="0.35">
      <c r="A25" s="24">
        <v>11</v>
      </c>
      <c r="B25" s="565" t="str">
        <f>IF('As-Filed Schedule 2C'!B25:D25=0,"",'As-Filed Schedule 2C'!B25:D25)</f>
        <v>200-401-School-Based Svcs</v>
      </c>
      <c r="C25" s="565"/>
      <c r="D25" s="565"/>
      <c r="F25" s="114">
        <f>'As-Filed Schedule 2C'!F25</f>
        <v>1709541.042027635</v>
      </c>
      <c r="G25" s="307">
        <f>SUMIFS(Adjustments!$G:$G,Adjustments!$H:$H,"2C",Adjustments!$I:$I,'Schedule 2C Adjustments'!$F$12,Adjustments!$J:$J,'Schedule 2C Adjustments'!$A25)</f>
        <v>0</v>
      </c>
      <c r="H25" s="303">
        <f t="shared" si="0"/>
        <v>1709541.042027635</v>
      </c>
      <c r="I25" s="68">
        <f>IFERROR(F25*'As-Filed Schedule 1'!$E$103,0)</f>
        <v>444313.58347703237</v>
      </c>
      <c r="J25" s="304">
        <f>IFERROR(H25*'Adjusted Schedule 1'!$E$104,0)</f>
        <v>444313.58347703237</v>
      </c>
      <c r="K25" s="68">
        <f t="shared" si="1"/>
        <v>2153854.6255046674</v>
      </c>
      <c r="L25" s="304">
        <f t="shared" si="2"/>
        <v>2153854.6255046674</v>
      </c>
      <c r="N25" s="114">
        <f>'As-Filed Schedule 2C'!J25</f>
        <v>107.16648153622072</v>
      </c>
      <c r="O25" s="307">
        <f>SUMIFS(Adjustments!$G:$G,Adjustments!$H:$H,"2C",Adjustments!$I:$I,'Schedule 2C Adjustments'!$N$12,Adjustments!$J:$J,'Schedule 2C Adjustments'!$A25)</f>
        <v>0</v>
      </c>
      <c r="P25" s="303">
        <f t="shared" si="3"/>
        <v>107.16648153622072</v>
      </c>
      <c r="Q25" s="68">
        <f>IFERROR(N25*'As-Filed Schedule 1'!$E$103,0)</f>
        <v>27.852810941296919</v>
      </c>
      <c r="R25" s="304">
        <f>IFERROR(P25*'Adjusted Schedule 1'!$E$104,0)</f>
        <v>27.852810941296919</v>
      </c>
      <c r="S25" s="68">
        <f t="shared" si="4"/>
        <v>135.01929247751764</v>
      </c>
      <c r="T25" s="304">
        <f t="shared" si="5"/>
        <v>135.01929247751764</v>
      </c>
      <c r="V25" s="117">
        <f>'As-Filed Schedule 2C'!N25</f>
        <v>12.949999999999998</v>
      </c>
      <c r="W25" s="307">
        <f>SUMIFS(Adjustments!$G:$G,Adjustments!$H:$H,"2C",Adjustments!$I:$I,'Schedule 2C Adjustments'!$V$12,Adjustments!$J:$J,'Schedule 2C Adjustments'!$A25)</f>
        <v>0</v>
      </c>
      <c r="X25" s="303">
        <f t="shared" si="6"/>
        <v>12.949999999999998</v>
      </c>
      <c r="Y25" s="117">
        <f>'As-Filed Schedule 2C'!O25</f>
        <v>583</v>
      </c>
      <c r="Z25" s="307">
        <f>SUMIFS(Adjustments!$G:$G,Adjustments!$H:$H,"2C",Adjustments!$I:$I,'Schedule 2C Adjustments'!$Y$12,Adjustments!$J:$J,'Schedule 2C Adjustments'!$A25)</f>
        <v>0</v>
      </c>
      <c r="AA25" s="303">
        <f t="shared" si="7"/>
        <v>583</v>
      </c>
    </row>
    <row r="26" spans="1:27" x14ac:dyDescent="0.35">
      <c r="A26" s="24">
        <v>12</v>
      </c>
      <c r="B26" s="565" t="str">
        <f>IF('As-Filed Schedule 2C'!B26:D26=0,"",'As-Filed Schedule 2C'!B26:D26)</f>
        <v>200-446-West Denver Child &amp; Family</v>
      </c>
      <c r="C26" s="565"/>
      <c r="D26" s="565"/>
      <c r="F26" s="114">
        <f>'As-Filed Schedule 2C'!F26</f>
        <v>3931303.8813351342</v>
      </c>
      <c r="G26" s="307">
        <f>SUMIFS(Adjustments!$G:$G,Adjustments!$H:$H,"2C",Adjustments!$I:$I,'Schedule 2C Adjustments'!$F$12,Adjustments!$J:$J,'Schedule 2C Adjustments'!$A26)</f>
        <v>0</v>
      </c>
      <c r="H26" s="303">
        <f t="shared" si="0"/>
        <v>3931303.8813351342</v>
      </c>
      <c r="I26" s="68">
        <f>IFERROR(F26*'As-Filed Schedule 1'!$E$103,0)</f>
        <v>1021754.7706145935</v>
      </c>
      <c r="J26" s="304">
        <f>IFERROR(H26*'Adjusted Schedule 1'!$E$104,0)</f>
        <v>1021754.7706145935</v>
      </c>
      <c r="K26" s="68">
        <f t="shared" si="1"/>
        <v>4953058.6519497279</v>
      </c>
      <c r="L26" s="304">
        <f t="shared" si="2"/>
        <v>4953058.6519497279</v>
      </c>
      <c r="N26" s="114">
        <f>'As-Filed Schedule 2C'!J26</f>
        <v>562.04690825986961</v>
      </c>
      <c r="O26" s="307">
        <f>SUMIFS(Adjustments!$G:$G,Adjustments!$H:$H,"2C",Adjustments!$I:$I,'Schedule 2C Adjustments'!$N$12,Adjustments!$J:$J,'Schedule 2C Adjustments'!$A26)</f>
        <v>0</v>
      </c>
      <c r="P26" s="303">
        <f t="shared" si="3"/>
        <v>562.04690825986961</v>
      </c>
      <c r="Q26" s="68">
        <f>IFERROR(N26*'As-Filed Schedule 1'!$E$103,0)</f>
        <v>146.07726269907982</v>
      </c>
      <c r="R26" s="304">
        <f>IFERROR(P26*'Adjusted Schedule 1'!$E$104,0)</f>
        <v>146.07726269907982</v>
      </c>
      <c r="S26" s="68">
        <f t="shared" si="4"/>
        <v>708.12417095894943</v>
      </c>
      <c r="T26" s="304">
        <f t="shared" si="5"/>
        <v>708.12417095894943</v>
      </c>
      <c r="V26" s="117">
        <f>'As-Filed Schedule 2C'!N26</f>
        <v>24.0625</v>
      </c>
      <c r="W26" s="307">
        <f>SUMIFS(Adjustments!$G:$G,Adjustments!$H:$H,"2C",Adjustments!$I:$I,'Schedule 2C Adjustments'!$V$12,Adjustments!$J:$J,'Schedule 2C Adjustments'!$A26)</f>
        <v>0</v>
      </c>
      <c r="X26" s="303">
        <f t="shared" si="6"/>
        <v>24.0625</v>
      </c>
      <c r="Y26" s="117">
        <f>'As-Filed Schedule 2C'!O26</f>
        <v>1842</v>
      </c>
      <c r="Z26" s="307">
        <f>SUMIFS(Adjustments!$G:$G,Adjustments!$H:$H,"2C",Adjustments!$I:$I,'Schedule 2C Adjustments'!$Y$12,Adjustments!$J:$J,'Schedule 2C Adjustments'!$A26)</f>
        <v>0</v>
      </c>
      <c r="AA26" s="303">
        <f t="shared" si="7"/>
        <v>1842</v>
      </c>
    </row>
    <row r="27" spans="1:27" x14ac:dyDescent="0.35">
      <c r="A27" s="24">
        <v>13</v>
      </c>
      <c r="B27" s="565" t="str">
        <f>IF('As-Filed Schedule 2C'!B27:D27=0,"",'As-Filed Schedule 2C'!B27:D27)</f>
        <v>200-447-Intensive Treatment and Resource Svcs</v>
      </c>
      <c r="C27" s="565"/>
      <c r="D27" s="565"/>
      <c r="F27" s="114">
        <f>'As-Filed Schedule 2C'!F27</f>
        <v>1994543.9210587598</v>
      </c>
      <c r="G27" s="307">
        <f>SUMIFS(Adjustments!$G:$G,Adjustments!$H:$H,"2C",Adjustments!$I:$I,'Schedule 2C Adjustments'!$F$12,Adjustments!$J:$J,'Schedule 2C Adjustments'!$A27)</f>
        <v>0</v>
      </c>
      <c r="H27" s="303">
        <f t="shared" si="0"/>
        <v>1994543.9210587598</v>
      </c>
      <c r="I27" s="68">
        <f>IFERROR(F27*'As-Filed Schedule 1'!$E$103,0)</f>
        <v>518386.47635908768</v>
      </c>
      <c r="J27" s="304">
        <f>IFERROR(H27*'Adjusted Schedule 1'!$E$104,0)</f>
        <v>518386.47635908768</v>
      </c>
      <c r="K27" s="68">
        <f t="shared" si="1"/>
        <v>2512930.3974178475</v>
      </c>
      <c r="L27" s="304">
        <f t="shared" si="2"/>
        <v>2512930.3974178475</v>
      </c>
      <c r="N27" s="114">
        <f>'As-Filed Schedule 2C'!J27</f>
        <v>113.58664338616816</v>
      </c>
      <c r="O27" s="307">
        <f>SUMIFS(Adjustments!$G:$G,Adjustments!$H:$H,"2C",Adjustments!$I:$I,'Schedule 2C Adjustments'!$N$12,Adjustments!$J:$J,'Schedule 2C Adjustments'!$A27)</f>
        <v>0</v>
      </c>
      <c r="P27" s="303">
        <f t="shared" si="3"/>
        <v>113.58664338616816</v>
      </c>
      <c r="Q27" s="68">
        <f>IFERROR(N27*'As-Filed Schedule 1'!$E$103,0)</f>
        <v>29.521425527273365</v>
      </c>
      <c r="R27" s="304">
        <f>IFERROR(P27*'Adjusted Schedule 1'!$E$104,0)</f>
        <v>29.521425527273365</v>
      </c>
      <c r="S27" s="68">
        <f t="shared" si="4"/>
        <v>143.10806891344151</v>
      </c>
      <c r="T27" s="304">
        <f t="shared" si="5"/>
        <v>143.10806891344151</v>
      </c>
      <c r="V27" s="117">
        <f>'As-Filed Schedule 2C'!N27</f>
        <v>13.725812499999998</v>
      </c>
      <c r="W27" s="307">
        <f>SUMIFS(Adjustments!$G:$G,Adjustments!$H:$H,"2C",Adjustments!$I:$I,'Schedule 2C Adjustments'!$V$12,Adjustments!$J:$J,'Schedule 2C Adjustments'!$A27)</f>
        <v>0</v>
      </c>
      <c r="X27" s="303">
        <f t="shared" si="6"/>
        <v>13.725812499999998</v>
      </c>
      <c r="Y27" s="117">
        <f>'As-Filed Schedule 2C'!O27</f>
        <v>404</v>
      </c>
      <c r="Z27" s="307">
        <f>SUMIFS(Adjustments!$G:$G,Adjustments!$H:$H,"2C",Adjustments!$I:$I,'Schedule 2C Adjustments'!$Y$12,Adjustments!$J:$J,'Schedule 2C Adjustments'!$A27)</f>
        <v>0</v>
      </c>
      <c r="AA27" s="303">
        <f t="shared" si="7"/>
        <v>404</v>
      </c>
    </row>
    <row r="28" spans="1:27" x14ac:dyDescent="0.35">
      <c r="A28" s="24">
        <v>14</v>
      </c>
      <c r="B28" s="565" t="str">
        <f>IF('As-Filed Schedule 2C'!B28:D28=0,"",'As-Filed Schedule 2C'!B28:D28)</f>
        <v>200-449-Right Start</v>
      </c>
      <c r="C28" s="565"/>
      <c r="D28" s="565"/>
      <c r="F28" s="114">
        <f>'As-Filed Schedule 2C'!F28</f>
        <v>994774.28615380148</v>
      </c>
      <c r="G28" s="307">
        <f>SUMIFS(Adjustments!$G:$G,Adjustments!$H:$H,"2C",Adjustments!$I:$I,'Schedule 2C Adjustments'!$F$12,Adjustments!$J:$J,'Schedule 2C Adjustments'!$A28)</f>
        <v>0</v>
      </c>
      <c r="H28" s="303">
        <f t="shared" si="0"/>
        <v>994774.28615380148</v>
      </c>
      <c r="I28" s="68">
        <f>IFERROR(F28*'As-Filed Schedule 1'!$E$103,0)</f>
        <v>258544.08696007048</v>
      </c>
      <c r="J28" s="304">
        <f>IFERROR(H28*'Adjusted Schedule 1'!$E$104,0)</f>
        <v>258544.08696007048</v>
      </c>
      <c r="K28" s="68">
        <f t="shared" si="1"/>
        <v>1253318.373113872</v>
      </c>
      <c r="L28" s="304">
        <f t="shared" si="2"/>
        <v>1253318.373113872</v>
      </c>
      <c r="N28" s="114">
        <f>'As-Filed Schedule 2C'!J28</f>
        <v>51.798856785002449</v>
      </c>
      <c r="O28" s="307">
        <f>SUMIFS(Adjustments!$G:$G,Adjustments!$H:$H,"2C",Adjustments!$I:$I,'Schedule 2C Adjustments'!$N$12,Adjustments!$J:$J,'Schedule 2C Adjustments'!$A28)</f>
        <v>0</v>
      </c>
      <c r="P28" s="303">
        <f t="shared" si="3"/>
        <v>51.798856785002449</v>
      </c>
      <c r="Q28" s="68">
        <f>IFERROR(N28*'As-Filed Schedule 1'!$E$103,0)</f>
        <v>13.462640037504283</v>
      </c>
      <c r="R28" s="304">
        <f>IFERROR(P28*'Adjusted Schedule 1'!$E$104,0)</f>
        <v>13.462640037504283</v>
      </c>
      <c r="S28" s="68">
        <f t="shared" si="4"/>
        <v>65.261496822506729</v>
      </c>
      <c r="T28" s="304">
        <f t="shared" si="5"/>
        <v>65.261496822506729</v>
      </c>
      <c r="V28" s="117">
        <f>'As-Filed Schedule 2C'!N28</f>
        <v>6.2593750000000004</v>
      </c>
      <c r="W28" s="307">
        <f>SUMIFS(Adjustments!$G:$G,Adjustments!$H:$H,"2C",Adjustments!$I:$I,'Schedule 2C Adjustments'!$V$12,Adjustments!$J:$J,'Schedule 2C Adjustments'!$A28)</f>
        <v>0</v>
      </c>
      <c r="X28" s="303">
        <f t="shared" si="6"/>
        <v>6.2593750000000004</v>
      </c>
      <c r="Y28" s="117">
        <f>'As-Filed Schedule 2C'!O28</f>
        <v>271</v>
      </c>
      <c r="Z28" s="307">
        <f>SUMIFS(Adjustments!$G:$G,Adjustments!$H:$H,"2C",Adjustments!$I:$I,'Schedule 2C Adjustments'!$Y$12,Adjustments!$J:$J,'Schedule 2C Adjustments'!$A28)</f>
        <v>0</v>
      </c>
      <c r="AA28" s="303">
        <f t="shared" si="7"/>
        <v>271</v>
      </c>
    </row>
    <row r="29" spans="1:27" x14ac:dyDescent="0.35">
      <c r="A29" s="24">
        <v>15</v>
      </c>
      <c r="B29" s="565" t="str">
        <f>IF('As-Filed Schedule 2C'!B29:D29=0,"",'As-Filed Schedule 2C'!B29:D29)</f>
        <v>200-462-Care Management</v>
      </c>
      <c r="C29" s="565"/>
      <c r="D29" s="565"/>
      <c r="F29" s="114">
        <f>'As-Filed Schedule 2C'!F29</f>
        <v>1395284.2530672648</v>
      </c>
      <c r="G29" s="307">
        <f>SUMIFS(Adjustments!$G:$G,Adjustments!$H:$H,"2C",Adjustments!$I:$I,'Schedule 2C Adjustments'!$F$12,Adjustments!$J:$J,'Schedule 2C Adjustments'!$A29)</f>
        <v>0</v>
      </c>
      <c r="H29" s="303">
        <f t="shared" si="0"/>
        <v>1395284.2530672648</v>
      </c>
      <c r="I29" s="68">
        <f>IFERROR(F29*'As-Filed Schedule 1'!$E$103,0)</f>
        <v>362637.53323763103</v>
      </c>
      <c r="J29" s="304">
        <f>IFERROR(H29*'Adjusted Schedule 1'!$E$104,0)</f>
        <v>362637.53323763103</v>
      </c>
      <c r="K29" s="68">
        <f t="shared" si="1"/>
        <v>1757921.7863048958</v>
      </c>
      <c r="L29" s="304">
        <f t="shared" si="2"/>
        <v>1757921.7863048958</v>
      </c>
      <c r="N29" s="114">
        <f>'As-Filed Schedule 2C'!J29</f>
        <v>608.20323183704761</v>
      </c>
      <c r="O29" s="307">
        <f>SUMIFS(Adjustments!$G:$G,Adjustments!$H:$H,"2C",Adjustments!$I:$I,'Schedule 2C Adjustments'!$N$12,Adjustments!$J:$J,'Schedule 2C Adjustments'!$A29)</f>
        <v>0</v>
      </c>
      <c r="P29" s="303">
        <f t="shared" si="3"/>
        <v>608.20323183704761</v>
      </c>
      <c r="Q29" s="68">
        <f>IFERROR(N29*'As-Filed Schedule 1'!$E$103,0)</f>
        <v>158.07339559354233</v>
      </c>
      <c r="R29" s="304">
        <f>IFERROR(P29*'Adjusted Schedule 1'!$E$104,0)</f>
        <v>158.07339559354233</v>
      </c>
      <c r="S29" s="68">
        <f t="shared" si="4"/>
        <v>766.27662743059</v>
      </c>
      <c r="T29" s="304">
        <f t="shared" si="5"/>
        <v>766.27662743059</v>
      </c>
      <c r="V29" s="117">
        <f>'As-Filed Schedule 2C'!N29</f>
        <v>8</v>
      </c>
      <c r="W29" s="307">
        <f>SUMIFS(Adjustments!$G:$G,Adjustments!$H:$H,"2C",Adjustments!$I:$I,'Schedule 2C Adjustments'!$V$12,Adjustments!$J:$J,'Schedule 2C Adjustments'!$A29)</f>
        <v>0</v>
      </c>
      <c r="X29" s="303">
        <f t="shared" si="6"/>
        <v>8</v>
      </c>
      <c r="Y29" s="117">
        <f>'As-Filed Schedule 2C'!O29</f>
        <v>1596</v>
      </c>
      <c r="Z29" s="307">
        <f>SUMIFS(Adjustments!$G:$G,Adjustments!$H:$H,"2C",Adjustments!$I:$I,'Schedule 2C Adjustments'!$Y$12,Adjustments!$J:$J,'Schedule 2C Adjustments'!$A29)</f>
        <v>0</v>
      </c>
      <c r="AA29" s="303">
        <f t="shared" si="7"/>
        <v>1596</v>
      </c>
    </row>
    <row r="30" spans="1:27" x14ac:dyDescent="0.35">
      <c r="A30" s="24">
        <v>16</v>
      </c>
      <c r="B30" s="565" t="str">
        <f>IF('As-Filed Schedule 2C'!B30:D30=0,"",'As-Filed Schedule 2C'!B30:D30)</f>
        <v>200-463-CYMHTA</v>
      </c>
      <c r="C30" s="565"/>
      <c r="D30" s="565"/>
      <c r="F30" s="114">
        <f>'As-Filed Schedule 2C'!F30</f>
        <v>0</v>
      </c>
      <c r="G30" s="307">
        <f>SUMIFS(Adjustments!$G:$G,Adjustments!$H:$H,"2C",Adjustments!$I:$I,'Schedule 2C Adjustments'!$F$12,Adjustments!$J:$J,'Schedule 2C Adjustments'!$A30)</f>
        <v>0</v>
      </c>
      <c r="H30" s="303">
        <f t="shared" si="0"/>
        <v>0</v>
      </c>
      <c r="I30" s="68">
        <f>IFERROR(F30*'As-Filed Schedule 1'!$E$103,0)</f>
        <v>0</v>
      </c>
      <c r="J30" s="304">
        <f>IFERROR(H30*'Adjusted Schedule 1'!$E$104,0)</f>
        <v>0</v>
      </c>
      <c r="K30" s="68">
        <f t="shared" si="1"/>
        <v>0</v>
      </c>
      <c r="L30" s="304">
        <f t="shared" si="2"/>
        <v>0</v>
      </c>
      <c r="N30" s="114">
        <f>'As-Filed Schedule 2C'!J30</f>
        <v>14279.69</v>
      </c>
      <c r="O30" s="307">
        <f>SUMIFS(Adjustments!$G:$G,Adjustments!$H:$H,"2C",Adjustments!$I:$I,'Schedule 2C Adjustments'!$N$12,Adjustments!$J:$J,'Schedule 2C Adjustments'!$A30)</f>
        <v>0</v>
      </c>
      <c r="P30" s="303">
        <f t="shared" si="3"/>
        <v>14279.69</v>
      </c>
      <c r="Q30" s="68">
        <f>IFERROR(N30*'As-Filed Schedule 1'!$E$103,0)</f>
        <v>3711.3237289207955</v>
      </c>
      <c r="R30" s="304">
        <f>IFERROR(P30*'Adjusted Schedule 1'!$E$104,0)</f>
        <v>3711.3237289207955</v>
      </c>
      <c r="S30" s="68">
        <f t="shared" si="4"/>
        <v>17991.013728920796</v>
      </c>
      <c r="T30" s="304">
        <f t="shared" si="5"/>
        <v>17991.013728920796</v>
      </c>
      <c r="V30" s="117">
        <f>'As-Filed Schedule 2C'!N30</f>
        <v>0</v>
      </c>
      <c r="W30" s="307">
        <f>SUMIFS(Adjustments!$G:$G,Adjustments!$H:$H,"2C",Adjustments!$I:$I,'Schedule 2C Adjustments'!$V$12,Adjustments!$J:$J,'Schedule 2C Adjustments'!$A30)</f>
        <v>0</v>
      </c>
      <c r="X30" s="303">
        <f t="shared" si="6"/>
        <v>0</v>
      </c>
      <c r="Y30" s="117">
        <f>'As-Filed Schedule 2C'!O30</f>
        <v>7</v>
      </c>
      <c r="Z30" s="307">
        <f>SUMIFS(Adjustments!$G:$G,Adjustments!$H:$H,"2C",Adjustments!$I:$I,'Schedule 2C Adjustments'!$Y$12,Adjustments!$J:$J,'Schedule 2C Adjustments'!$A30)</f>
        <v>0</v>
      </c>
      <c r="AA30" s="303">
        <f t="shared" si="7"/>
        <v>7</v>
      </c>
    </row>
    <row r="31" spans="1:27" x14ac:dyDescent="0.35">
      <c r="A31" s="24">
        <v>17</v>
      </c>
      <c r="B31" s="565" t="str">
        <f>IF('As-Filed Schedule 2C'!B31:D31=0,"",'As-Filed Schedule 2C'!B31:D31)</f>
        <v>200-466-Stay Safe Youth Program</v>
      </c>
      <c r="C31" s="565"/>
      <c r="D31" s="565"/>
      <c r="F31" s="114">
        <f>'As-Filed Schedule 2C'!F31</f>
        <v>727250.17109370814</v>
      </c>
      <c r="G31" s="307">
        <f>SUMIFS(Adjustments!$G:$G,Adjustments!$H:$H,"2C",Adjustments!$I:$I,'Schedule 2C Adjustments'!$F$12,Adjustments!$J:$J,'Schedule 2C Adjustments'!$A31)</f>
        <v>0</v>
      </c>
      <c r="H31" s="303">
        <f t="shared" si="0"/>
        <v>727250.17109370814</v>
      </c>
      <c r="I31" s="68">
        <f>IFERROR(F31*'As-Filed Schedule 1'!$E$103,0)</f>
        <v>189013.96436769897</v>
      </c>
      <c r="J31" s="304">
        <f>IFERROR(H31*'Adjusted Schedule 1'!$E$104,0)</f>
        <v>189013.96436769897</v>
      </c>
      <c r="K31" s="68">
        <f t="shared" si="1"/>
        <v>916264.13546140713</v>
      </c>
      <c r="L31" s="304">
        <f t="shared" si="2"/>
        <v>916264.13546140713</v>
      </c>
      <c r="N31" s="114">
        <f>'As-Filed Schedule 2C'!J31</f>
        <v>45.020462447900115</v>
      </c>
      <c r="O31" s="307">
        <f>SUMIFS(Adjustments!$G:$G,Adjustments!$H:$H,"2C",Adjustments!$I:$I,'Schedule 2C Adjustments'!$N$12,Adjustments!$J:$J,'Schedule 2C Adjustments'!$A31)</f>
        <v>0</v>
      </c>
      <c r="P31" s="303">
        <f t="shared" si="3"/>
        <v>45.020462447900115</v>
      </c>
      <c r="Q31" s="68">
        <f>IFERROR(N31*'As-Filed Schedule 1'!$E$103,0)</f>
        <v>11.700920017863083</v>
      </c>
      <c r="R31" s="304">
        <f>IFERROR(P31*'Adjusted Schedule 1'!$E$104,0)</f>
        <v>11.700920017863083</v>
      </c>
      <c r="S31" s="68">
        <f t="shared" si="4"/>
        <v>56.721382465763199</v>
      </c>
      <c r="T31" s="304">
        <f t="shared" si="5"/>
        <v>56.721382465763199</v>
      </c>
      <c r="V31" s="117">
        <f>'As-Filed Schedule 2C'!N31</f>
        <v>5.0125000000000002</v>
      </c>
      <c r="W31" s="307">
        <f>SUMIFS(Adjustments!$G:$G,Adjustments!$H:$H,"2C",Adjustments!$I:$I,'Schedule 2C Adjustments'!$V$12,Adjustments!$J:$J,'Schedule 2C Adjustments'!$A31)</f>
        <v>0</v>
      </c>
      <c r="X31" s="303">
        <f t="shared" si="6"/>
        <v>5.0125000000000002</v>
      </c>
      <c r="Y31" s="117">
        <f>'As-Filed Schedule 2C'!O31</f>
        <v>84</v>
      </c>
      <c r="Z31" s="307">
        <f>SUMIFS(Adjustments!$G:$G,Adjustments!$H:$H,"2C",Adjustments!$I:$I,'Schedule 2C Adjustments'!$Y$12,Adjustments!$J:$J,'Schedule 2C Adjustments'!$A31)</f>
        <v>0</v>
      </c>
      <c r="AA31" s="303">
        <f t="shared" si="7"/>
        <v>84</v>
      </c>
    </row>
    <row r="32" spans="1:27" x14ac:dyDescent="0.35">
      <c r="A32" s="24">
        <v>18</v>
      </c>
      <c r="B32" s="565" t="str">
        <f>IF('As-Filed Schedule 2C'!B32:D32=0,"",'As-Filed Schedule 2C'!B32:D32)</f>
        <v>200-720-Centro de las Familias</v>
      </c>
      <c r="C32" s="565"/>
      <c r="D32" s="565"/>
      <c r="F32" s="114">
        <f>'As-Filed Schedule 2C'!F32</f>
        <v>1647122.6541787381</v>
      </c>
      <c r="G32" s="307">
        <f>SUMIFS(Adjustments!$G:$G,Adjustments!$H:$H,"2C",Adjustments!$I:$I,'Schedule 2C Adjustments'!$F$12,Adjustments!$J:$J,'Schedule 2C Adjustments'!$A32)</f>
        <v>0</v>
      </c>
      <c r="H32" s="303">
        <f t="shared" si="0"/>
        <v>1647122.6541787381</v>
      </c>
      <c r="I32" s="68">
        <f>IFERROR(F32*'As-Filed Schedule 1'!$E$103,0)</f>
        <v>428090.90329667885</v>
      </c>
      <c r="J32" s="304">
        <f>IFERROR(H32*'Adjusted Schedule 1'!$E$104,0)</f>
        <v>428090.90329667885</v>
      </c>
      <c r="K32" s="68">
        <f t="shared" si="1"/>
        <v>2075213.5574754169</v>
      </c>
      <c r="L32" s="304">
        <f t="shared" si="2"/>
        <v>2075213.5574754169</v>
      </c>
      <c r="N32" s="114">
        <f>'As-Filed Schedule 2C'!J32</f>
        <v>7199.8159954701896</v>
      </c>
      <c r="O32" s="307">
        <f>SUMIFS(Adjustments!$G:$G,Adjustments!$H:$H,"2C",Adjustments!$I:$I,'Schedule 2C Adjustments'!$N$12,Adjustments!$J:$J,'Schedule 2C Adjustments'!$A32)</f>
        <v>0</v>
      </c>
      <c r="P32" s="303">
        <f t="shared" si="3"/>
        <v>7199.8159954701896</v>
      </c>
      <c r="Q32" s="68">
        <f>IFERROR(N32*'As-Filed Schedule 1'!$E$103,0)</f>
        <v>1871.2484618259928</v>
      </c>
      <c r="R32" s="304">
        <f>IFERROR(P32*'Adjusted Schedule 1'!$E$104,0)</f>
        <v>1871.2484618259928</v>
      </c>
      <c r="S32" s="68">
        <f t="shared" si="4"/>
        <v>9071.0644572961828</v>
      </c>
      <c r="T32" s="304">
        <f t="shared" si="5"/>
        <v>9071.0644572961828</v>
      </c>
      <c r="V32" s="117">
        <f>'As-Filed Schedule 2C'!N32</f>
        <v>9.8709375000000001</v>
      </c>
      <c r="W32" s="307">
        <f>SUMIFS(Adjustments!$G:$G,Adjustments!$H:$H,"2C",Adjustments!$I:$I,'Schedule 2C Adjustments'!$V$12,Adjustments!$J:$J,'Schedule 2C Adjustments'!$A32)</f>
        <v>0</v>
      </c>
      <c r="X32" s="303">
        <f t="shared" si="6"/>
        <v>9.8709375000000001</v>
      </c>
      <c r="Y32" s="117">
        <f>'As-Filed Schedule 2C'!O32</f>
        <v>585</v>
      </c>
      <c r="Z32" s="307">
        <f>SUMIFS(Adjustments!$G:$G,Adjustments!$H:$H,"2C",Adjustments!$I:$I,'Schedule 2C Adjustments'!$Y$12,Adjustments!$J:$J,'Schedule 2C Adjustments'!$A32)</f>
        <v>0</v>
      </c>
      <c r="AA32" s="303">
        <f t="shared" si="7"/>
        <v>585</v>
      </c>
    </row>
    <row r="33" spans="1:27" x14ac:dyDescent="0.35">
      <c r="A33" s="24">
        <v>19</v>
      </c>
      <c r="B33" s="565" t="str">
        <f>IF('As-Filed Schedule 2C'!B33:D33=0,"",'As-Filed Schedule 2C'!B33:D33)</f>
        <v>200-724-Deaf Counseling Svcs</v>
      </c>
      <c r="C33" s="565"/>
      <c r="D33" s="565"/>
      <c r="F33" s="114">
        <f>'As-Filed Schedule 2C'!F33</f>
        <v>454132.70413340797</v>
      </c>
      <c r="G33" s="307">
        <f>SUMIFS(Adjustments!$G:$G,Adjustments!$H:$H,"2C",Adjustments!$I:$I,'Schedule 2C Adjustments'!$F$12,Adjustments!$J:$J,'Schedule 2C Adjustments'!$A33)</f>
        <v>0</v>
      </c>
      <c r="H33" s="303">
        <f t="shared" si="0"/>
        <v>454132.70413340797</v>
      </c>
      <c r="I33" s="68">
        <f>IFERROR(F33*'As-Filed Schedule 1'!$E$103,0)</f>
        <v>118030.11696537417</v>
      </c>
      <c r="J33" s="304">
        <f>IFERROR(H33*'Adjusted Schedule 1'!$E$104,0)</f>
        <v>118030.11696537417</v>
      </c>
      <c r="K33" s="68">
        <f t="shared" si="1"/>
        <v>572162.82109878212</v>
      </c>
      <c r="L33" s="304">
        <f t="shared" si="2"/>
        <v>572162.82109878212</v>
      </c>
      <c r="N33" s="114">
        <f>'As-Filed Schedule 2C'!J33</f>
        <v>11.275403979630946</v>
      </c>
      <c r="O33" s="307">
        <f>SUMIFS(Adjustments!$G:$G,Adjustments!$H:$H,"2C",Adjustments!$I:$I,'Schedule 2C Adjustments'!$N$12,Adjustments!$J:$J,'Schedule 2C Adjustments'!$A33)</f>
        <v>0</v>
      </c>
      <c r="P33" s="303">
        <f t="shared" si="3"/>
        <v>11.275403979630946</v>
      </c>
      <c r="Q33" s="68">
        <f>IFERROR(N33*'As-Filed Schedule 1'!$E$103,0)</f>
        <v>2.9305029971079413</v>
      </c>
      <c r="R33" s="304">
        <f>IFERROR(P33*'Adjusted Schedule 1'!$E$104,0)</f>
        <v>2.9305029971079413</v>
      </c>
      <c r="S33" s="68">
        <f t="shared" si="4"/>
        <v>14.205906976738888</v>
      </c>
      <c r="T33" s="304">
        <f t="shared" si="5"/>
        <v>14.205906976738888</v>
      </c>
      <c r="V33" s="117">
        <f>'As-Filed Schedule 2C'!N33</f>
        <v>1</v>
      </c>
      <c r="W33" s="307">
        <f>SUMIFS(Adjustments!$G:$G,Adjustments!$H:$H,"2C",Adjustments!$I:$I,'Schedule 2C Adjustments'!$V$12,Adjustments!$J:$J,'Schedule 2C Adjustments'!$A33)</f>
        <v>0</v>
      </c>
      <c r="X33" s="303">
        <f t="shared" si="6"/>
        <v>1</v>
      </c>
      <c r="Y33" s="117">
        <f>'As-Filed Schedule 2C'!O33</f>
        <v>65</v>
      </c>
      <c r="Z33" s="307">
        <f>SUMIFS(Adjustments!$G:$G,Adjustments!$H:$H,"2C",Adjustments!$I:$I,'Schedule 2C Adjustments'!$Y$12,Adjustments!$J:$J,'Schedule 2C Adjustments'!$A33)</f>
        <v>0</v>
      </c>
      <c r="AA33" s="303">
        <f t="shared" si="7"/>
        <v>65</v>
      </c>
    </row>
    <row r="34" spans="1:27" x14ac:dyDescent="0.35">
      <c r="A34" s="24">
        <v>20</v>
      </c>
      <c r="B34" s="565" t="str">
        <f>IF('As-Filed Schedule 2C'!B34:D34=0,"",'As-Filed Schedule 2C'!B34:D34)</f>
        <v>300-240-Resource Center</v>
      </c>
      <c r="C34" s="565"/>
      <c r="D34" s="565"/>
      <c r="F34" s="114">
        <f>'As-Filed Schedule 2C'!F34</f>
        <v>3626757.7805914124</v>
      </c>
      <c r="G34" s="307">
        <f>SUMIFS(Adjustments!$G:$G,Adjustments!$H:$H,"2C",Adjustments!$I:$I,'Schedule 2C Adjustments'!$F$12,Adjustments!$J:$J,'Schedule 2C Adjustments'!$A34)</f>
        <v>0</v>
      </c>
      <c r="H34" s="303">
        <f t="shared" si="0"/>
        <v>3626757.7805914124</v>
      </c>
      <c r="I34" s="68">
        <f>IFERROR(F34*'As-Filed Schedule 1'!$E$103,0)</f>
        <v>942602.55020641396</v>
      </c>
      <c r="J34" s="304">
        <f>IFERROR(H34*'Adjusted Schedule 1'!$E$104,0)</f>
        <v>942602.55020641396</v>
      </c>
      <c r="K34" s="68">
        <f t="shared" si="1"/>
        <v>4569360.3307978269</v>
      </c>
      <c r="L34" s="304">
        <f t="shared" si="2"/>
        <v>4569360.3307978269</v>
      </c>
      <c r="N34" s="114">
        <f>'As-Filed Schedule 2C'!J34</f>
        <v>199.09969418657934</v>
      </c>
      <c r="O34" s="307">
        <f>SUMIFS(Adjustments!$G:$G,Adjustments!$H:$H,"2C",Adjustments!$I:$I,'Schedule 2C Adjustments'!$N$12,Adjustments!$J:$J,'Schedule 2C Adjustments'!$A34)</f>
        <v>0</v>
      </c>
      <c r="P34" s="303">
        <f t="shared" si="3"/>
        <v>199.09969418657934</v>
      </c>
      <c r="Q34" s="68">
        <f>IFERROR(N34*'As-Filed Schedule 1'!$E$103,0)</f>
        <v>51.746460844424888</v>
      </c>
      <c r="R34" s="304">
        <f>IFERROR(P34*'Adjusted Schedule 1'!$E$104,0)</f>
        <v>51.746460844424888</v>
      </c>
      <c r="S34" s="68">
        <f t="shared" si="4"/>
        <v>250.84615503100423</v>
      </c>
      <c r="T34" s="304">
        <f t="shared" si="5"/>
        <v>250.84615503100423</v>
      </c>
      <c r="V34" s="117">
        <f>'As-Filed Schedule 2C'!N34</f>
        <v>17.228124999999999</v>
      </c>
      <c r="W34" s="307">
        <f>SUMIFS(Adjustments!$G:$G,Adjustments!$H:$H,"2C",Adjustments!$I:$I,'Schedule 2C Adjustments'!$V$12,Adjustments!$J:$J,'Schedule 2C Adjustments'!$A34)</f>
        <v>0</v>
      </c>
      <c r="X34" s="303">
        <f t="shared" si="6"/>
        <v>17.228124999999999</v>
      </c>
      <c r="Y34" s="117">
        <f>'As-Filed Schedule 2C'!O34</f>
        <v>2006</v>
      </c>
      <c r="Z34" s="307">
        <f>SUMIFS(Adjustments!$G:$G,Adjustments!$H:$H,"2C",Adjustments!$I:$I,'Schedule 2C Adjustments'!$Y$12,Adjustments!$J:$J,'Schedule 2C Adjustments'!$A34)</f>
        <v>0</v>
      </c>
      <c r="AA34" s="303">
        <f t="shared" si="7"/>
        <v>2006</v>
      </c>
    </row>
    <row r="35" spans="1:27" x14ac:dyDescent="0.35">
      <c r="A35" s="24">
        <v>21</v>
      </c>
      <c r="B35" s="565" t="str">
        <f>IF('As-Filed Schedule 2C'!B35:D35=0,"",'As-Filed Schedule 2C'!B35:D35)</f>
        <v>300-250-NextChapter</v>
      </c>
      <c r="C35" s="565"/>
      <c r="D35" s="565"/>
      <c r="F35" s="114">
        <f>'As-Filed Schedule 2C'!F35</f>
        <v>1990679.8426729476</v>
      </c>
      <c r="G35" s="307">
        <f>SUMIFS(Adjustments!$G:$G,Adjustments!$H:$H,"2C",Adjustments!$I:$I,'Schedule 2C Adjustments'!$F$12,Adjustments!$J:$J,'Schedule 2C Adjustments'!$A35)</f>
        <v>0</v>
      </c>
      <c r="H35" s="303">
        <f t="shared" si="0"/>
        <v>1990679.8426729476</v>
      </c>
      <c r="I35" s="68">
        <f>IFERROR(F35*'As-Filed Schedule 1'!$E$103,0)</f>
        <v>517382.19364681066</v>
      </c>
      <c r="J35" s="304">
        <f>IFERROR(H35*'Adjusted Schedule 1'!$E$104,0)</f>
        <v>517382.19364681066</v>
      </c>
      <c r="K35" s="68">
        <f t="shared" si="1"/>
        <v>2508062.0363197583</v>
      </c>
      <c r="L35" s="304">
        <f t="shared" si="2"/>
        <v>2508062.0363197583</v>
      </c>
      <c r="N35" s="114">
        <f>'As-Filed Schedule 2C'!J35</f>
        <v>143.1251806787121</v>
      </c>
      <c r="O35" s="307">
        <f>SUMIFS(Adjustments!$G:$G,Adjustments!$H:$H,"2C",Adjustments!$I:$I,'Schedule 2C Adjustments'!$N$12,Adjustments!$J:$J,'Schedule 2C Adjustments'!$A35)</f>
        <v>0</v>
      </c>
      <c r="P35" s="303">
        <f t="shared" si="3"/>
        <v>143.1251806787121</v>
      </c>
      <c r="Q35" s="68">
        <f>IFERROR(N35*'As-Filed Schedule 1'!$E$103,0)</f>
        <v>37.198558180113174</v>
      </c>
      <c r="R35" s="304">
        <f>IFERROR(P35*'Adjusted Schedule 1'!$E$104,0)</f>
        <v>37.198558180113174</v>
      </c>
      <c r="S35" s="68">
        <f t="shared" si="4"/>
        <v>180.32373885882527</v>
      </c>
      <c r="T35" s="304">
        <f t="shared" si="5"/>
        <v>180.32373885882527</v>
      </c>
      <c r="V35" s="117">
        <f>'As-Filed Schedule 2C'!N35</f>
        <v>17.295249999999999</v>
      </c>
      <c r="W35" s="307">
        <f>SUMIFS(Adjustments!$G:$G,Adjustments!$H:$H,"2C",Adjustments!$I:$I,'Schedule 2C Adjustments'!$V$12,Adjustments!$J:$J,'Schedule 2C Adjustments'!$A35)</f>
        <v>0</v>
      </c>
      <c r="X35" s="303">
        <f t="shared" si="6"/>
        <v>17.295249999999999</v>
      </c>
      <c r="Y35" s="117">
        <f>'As-Filed Schedule 2C'!O35</f>
        <v>730</v>
      </c>
      <c r="Z35" s="307">
        <f>SUMIFS(Adjustments!$G:$G,Adjustments!$H:$H,"2C",Adjustments!$I:$I,'Schedule 2C Adjustments'!$Y$12,Adjustments!$J:$J,'Schedule 2C Adjustments'!$A35)</f>
        <v>0</v>
      </c>
      <c r="AA35" s="303">
        <f t="shared" si="7"/>
        <v>730</v>
      </c>
    </row>
    <row r="36" spans="1:27" x14ac:dyDescent="0.35">
      <c r="A36" s="24">
        <v>22</v>
      </c>
      <c r="B36" s="565" t="str">
        <f>IF('As-Filed Schedule 2C'!B36:D36=0,"",'As-Filed Schedule 2C'!B36:D36)</f>
        <v>300-260-Peer Support</v>
      </c>
      <c r="C36" s="565"/>
      <c r="D36" s="565"/>
      <c r="F36" s="114">
        <f>'As-Filed Schedule 2C'!F36</f>
        <v>1691839.1329622185</v>
      </c>
      <c r="G36" s="307">
        <f>SUMIFS(Adjustments!$G:$G,Adjustments!$H:$H,"2C",Adjustments!$I:$I,'Schedule 2C Adjustments'!$F$12,Adjustments!$J:$J,'Schedule 2C Adjustments'!$A36)</f>
        <v>0</v>
      </c>
      <c r="H36" s="303">
        <f t="shared" si="0"/>
        <v>1691839.1329622185</v>
      </c>
      <c r="I36" s="68">
        <f>IFERROR(F36*'As-Filed Schedule 1'!$E$103,0)</f>
        <v>439712.81727260648</v>
      </c>
      <c r="J36" s="304">
        <f>IFERROR(H36*'Adjusted Schedule 1'!$E$104,0)</f>
        <v>439712.81727260648</v>
      </c>
      <c r="K36" s="68">
        <f t="shared" si="1"/>
        <v>2131551.9502348248</v>
      </c>
      <c r="L36" s="304">
        <f t="shared" si="2"/>
        <v>2131551.9502348248</v>
      </c>
      <c r="N36" s="114">
        <f>'As-Filed Schedule 2C'!J36</f>
        <v>132.38370631315112</v>
      </c>
      <c r="O36" s="307">
        <f>SUMIFS(Adjustments!$G:$G,Adjustments!$H:$H,"2C",Adjustments!$I:$I,'Schedule 2C Adjustments'!$N$12,Adjustments!$J:$J,'Schedule 2C Adjustments'!$A36)</f>
        <v>0</v>
      </c>
      <c r="P36" s="303">
        <f t="shared" si="3"/>
        <v>132.38370631315112</v>
      </c>
      <c r="Q36" s="68">
        <f>IFERROR(N36*'As-Filed Schedule 1'!$E$103,0)</f>
        <v>34.406824697348434</v>
      </c>
      <c r="R36" s="304">
        <f>IFERROR(P36*'Adjusted Schedule 1'!$E$104,0)</f>
        <v>34.406824697348434</v>
      </c>
      <c r="S36" s="68">
        <f t="shared" si="4"/>
        <v>166.79053101049956</v>
      </c>
      <c r="T36" s="304">
        <f t="shared" si="5"/>
        <v>166.79053101049956</v>
      </c>
      <c r="V36" s="117">
        <f>'As-Filed Schedule 2C'!N36</f>
        <v>15.997249999999999</v>
      </c>
      <c r="W36" s="307">
        <f>SUMIFS(Adjustments!$G:$G,Adjustments!$H:$H,"2C",Adjustments!$I:$I,'Schedule 2C Adjustments'!$V$12,Adjustments!$J:$J,'Schedule 2C Adjustments'!$A36)</f>
        <v>0</v>
      </c>
      <c r="X36" s="303">
        <f t="shared" si="6"/>
        <v>15.997249999999999</v>
      </c>
      <c r="Y36" s="117">
        <f>'As-Filed Schedule 2C'!O36</f>
        <v>189</v>
      </c>
      <c r="Z36" s="307">
        <f>SUMIFS(Adjustments!$G:$G,Adjustments!$H:$H,"2C",Adjustments!$I:$I,'Schedule 2C Adjustments'!$Y$12,Adjustments!$J:$J,'Schedule 2C Adjustments'!$A36)</f>
        <v>0</v>
      </c>
      <c r="AA36" s="303">
        <f t="shared" si="7"/>
        <v>189</v>
      </c>
    </row>
    <row r="37" spans="1:27" x14ac:dyDescent="0.35">
      <c r="A37" s="24">
        <v>23</v>
      </c>
      <c r="B37" s="565" t="str">
        <f>IF('As-Filed Schedule 2C'!B37:D37=0,"",'As-Filed Schedule 2C'!B37:D37)</f>
        <v>300-265-Supported Employment</v>
      </c>
      <c r="C37" s="565"/>
      <c r="D37" s="565"/>
      <c r="F37" s="114">
        <f>'As-Filed Schedule 2C'!F37</f>
        <v>1722972.2423278058</v>
      </c>
      <c r="G37" s="307">
        <f>SUMIFS(Adjustments!$G:$G,Adjustments!$H:$H,"2C",Adjustments!$I:$I,'Schedule 2C Adjustments'!$F$12,Adjustments!$J:$J,'Schedule 2C Adjustments'!$A37)</f>
        <v>0</v>
      </c>
      <c r="H37" s="303">
        <f t="shared" si="0"/>
        <v>1722972.2423278058</v>
      </c>
      <c r="I37" s="68">
        <f>IFERROR(F37*'As-Filed Schedule 1'!$E$103,0)</f>
        <v>447804.38281384652</v>
      </c>
      <c r="J37" s="304">
        <f>IFERROR(H37*'Adjusted Schedule 1'!$E$104,0)</f>
        <v>447804.38281384652</v>
      </c>
      <c r="K37" s="68">
        <f t="shared" si="1"/>
        <v>2170776.6251416523</v>
      </c>
      <c r="L37" s="304">
        <f t="shared" si="2"/>
        <v>2170776.6251416523</v>
      </c>
      <c r="N37" s="114">
        <f>'As-Filed Schedule 2C'!J37</f>
        <v>136.13039546492902</v>
      </c>
      <c r="O37" s="307">
        <f>SUMIFS(Adjustments!$G:$G,Adjustments!$H:$H,"2C",Adjustments!$I:$I,'Schedule 2C Adjustments'!$N$12,Adjustments!$J:$J,'Schedule 2C Adjustments'!$A37)</f>
        <v>0</v>
      </c>
      <c r="P37" s="303">
        <f t="shared" si="3"/>
        <v>136.13039546492902</v>
      </c>
      <c r="Q37" s="68">
        <f>IFERROR(N37*'As-Filed Schedule 1'!$E$103,0)</f>
        <v>35.380597682187982</v>
      </c>
      <c r="R37" s="304">
        <f>IFERROR(P37*'Adjusted Schedule 1'!$E$104,0)</f>
        <v>35.380597682187982</v>
      </c>
      <c r="S37" s="68">
        <f t="shared" si="4"/>
        <v>171.51099314711701</v>
      </c>
      <c r="T37" s="304">
        <f t="shared" si="5"/>
        <v>171.51099314711701</v>
      </c>
      <c r="V37" s="117">
        <f>'As-Filed Schedule 2C'!N37</f>
        <v>16.449999999999996</v>
      </c>
      <c r="W37" s="307">
        <f>SUMIFS(Adjustments!$G:$G,Adjustments!$H:$H,"2C",Adjustments!$I:$I,'Schedule 2C Adjustments'!$V$12,Adjustments!$J:$J,'Schedule 2C Adjustments'!$A37)</f>
        <v>0</v>
      </c>
      <c r="X37" s="303">
        <f t="shared" si="6"/>
        <v>16.449999999999996</v>
      </c>
      <c r="Y37" s="117">
        <f>'As-Filed Schedule 2C'!O37</f>
        <v>704</v>
      </c>
      <c r="Z37" s="307">
        <f>SUMIFS(Adjustments!$G:$G,Adjustments!$H:$H,"2C",Adjustments!$I:$I,'Schedule 2C Adjustments'!$Y$12,Adjustments!$J:$J,'Schedule 2C Adjustments'!$A37)</f>
        <v>0</v>
      </c>
      <c r="AA37" s="303">
        <f t="shared" si="7"/>
        <v>704</v>
      </c>
    </row>
    <row r="38" spans="1:27" x14ac:dyDescent="0.35">
      <c r="A38" s="24">
        <v>24</v>
      </c>
      <c r="B38" s="565" t="str">
        <f>IF('As-Filed Schedule 2C'!B38:D38=0,"",'As-Filed Schedule 2C'!B38:D38)</f>
        <v>500-135-Recovery Center Pharmacy</v>
      </c>
      <c r="C38" s="565"/>
      <c r="D38" s="565"/>
      <c r="F38" s="114">
        <f>'As-Filed Schedule 2C'!F38</f>
        <v>0</v>
      </c>
      <c r="G38" s="307">
        <f>SUMIFS(Adjustments!$G:$G,Adjustments!$H:$H,"2C",Adjustments!$I:$I,'Schedule 2C Adjustments'!$F$12,Adjustments!$J:$J,'Schedule 2C Adjustments'!$A38)</f>
        <v>0</v>
      </c>
      <c r="H38" s="303">
        <f t="shared" si="0"/>
        <v>0</v>
      </c>
      <c r="I38" s="68">
        <f>IFERROR(F38*'As-Filed Schedule 1'!$E$103,0)</f>
        <v>0</v>
      </c>
      <c r="J38" s="304">
        <f>IFERROR(H38*'Adjusted Schedule 1'!$E$104,0)</f>
        <v>0</v>
      </c>
      <c r="K38" s="68">
        <f t="shared" si="1"/>
        <v>0</v>
      </c>
      <c r="L38" s="304">
        <f t="shared" si="2"/>
        <v>0</v>
      </c>
      <c r="N38" s="114">
        <f>'As-Filed Schedule 2C'!J38</f>
        <v>16472587.123449549</v>
      </c>
      <c r="O38" s="307">
        <f>SUMIFS(Adjustments!$G:$G,Adjustments!$H:$H,"2C",Adjustments!$I:$I,'Schedule 2C Adjustments'!$N$12,Adjustments!$J:$J,'Schedule 2C Adjustments'!$A38)</f>
        <v>0</v>
      </c>
      <c r="P38" s="303">
        <f t="shared" si="3"/>
        <v>16472587.123449549</v>
      </c>
      <c r="Q38" s="68">
        <f>IFERROR(N38*'As-Filed Schedule 1'!$E$103,0)</f>
        <v>4281262.651218161</v>
      </c>
      <c r="R38" s="304">
        <f>IFERROR(P38*'Adjusted Schedule 1'!$E$104,0)</f>
        <v>4281262.651218161</v>
      </c>
      <c r="S38" s="68">
        <f t="shared" si="4"/>
        <v>20753849.77466771</v>
      </c>
      <c r="T38" s="304">
        <f t="shared" si="5"/>
        <v>20753849.77466771</v>
      </c>
      <c r="V38" s="117">
        <f>'As-Filed Schedule 2C'!N38</f>
        <v>11.162624999999998</v>
      </c>
      <c r="W38" s="307">
        <f>SUMIFS(Adjustments!$G:$G,Adjustments!$H:$H,"2C",Adjustments!$I:$I,'Schedule 2C Adjustments'!$V$12,Adjustments!$J:$J,'Schedule 2C Adjustments'!$A38)</f>
        <v>0</v>
      </c>
      <c r="X38" s="303">
        <f t="shared" si="6"/>
        <v>11.162624999999998</v>
      </c>
      <c r="Y38" s="117">
        <f>'As-Filed Schedule 2C'!O38</f>
        <v>129</v>
      </c>
      <c r="Z38" s="307">
        <f>SUMIFS(Adjustments!$G:$G,Adjustments!$H:$H,"2C",Adjustments!$I:$I,'Schedule 2C Adjustments'!$Y$12,Adjustments!$J:$J,'Schedule 2C Adjustments'!$A38)</f>
        <v>0</v>
      </c>
      <c r="AA38" s="303">
        <f t="shared" si="7"/>
        <v>129</v>
      </c>
    </row>
    <row r="39" spans="1:27" x14ac:dyDescent="0.35">
      <c r="A39" s="24">
        <v>25</v>
      </c>
      <c r="B39" s="565" t="str">
        <f>IF('As-Filed Schedule 2C'!B39:D39=0,"",'As-Filed Schedule 2C'!B39:D39)</f>
        <v>500-136-Wellshire Pharmacy</v>
      </c>
      <c r="C39" s="565"/>
      <c r="D39" s="565"/>
      <c r="F39" s="114">
        <f>'As-Filed Schedule 2C'!F39</f>
        <v>0</v>
      </c>
      <c r="G39" s="307">
        <f>SUMIFS(Adjustments!$G:$G,Adjustments!$H:$H,"2C",Adjustments!$I:$I,'Schedule 2C Adjustments'!$F$12,Adjustments!$J:$J,'Schedule 2C Adjustments'!$A39)</f>
        <v>0</v>
      </c>
      <c r="H39" s="303">
        <f t="shared" si="0"/>
        <v>0</v>
      </c>
      <c r="I39" s="68">
        <f>IFERROR(F39*'As-Filed Schedule 1'!$E$103,0)</f>
        <v>0</v>
      </c>
      <c r="J39" s="304">
        <f>IFERROR(H39*'Adjusted Schedule 1'!$E$104,0)</f>
        <v>0</v>
      </c>
      <c r="K39" s="68">
        <f t="shared" si="1"/>
        <v>0</v>
      </c>
      <c r="L39" s="304">
        <f t="shared" si="2"/>
        <v>0</v>
      </c>
      <c r="N39" s="114">
        <f>'As-Filed Schedule 2C'!J39</f>
        <v>3573317.1089520487</v>
      </c>
      <c r="O39" s="307">
        <f>SUMIFS(Adjustments!$G:$G,Adjustments!$H:$H,"2C",Adjustments!$I:$I,'Schedule 2C Adjustments'!$N$12,Adjustments!$J:$J,'Schedule 2C Adjustments'!$A39)</f>
        <v>76054</v>
      </c>
      <c r="P39" s="303">
        <f t="shared" si="3"/>
        <v>3649371.1089520487</v>
      </c>
      <c r="Q39" s="68">
        <f>IFERROR(N39*'As-Filed Schedule 1'!$E$103,0)</f>
        <v>928713.19877479086</v>
      </c>
      <c r="R39" s="304">
        <f>IFERROR(P39*'Adjusted Schedule 1'!$E$104,0)</f>
        <v>948479.80539435626</v>
      </c>
      <c r="S39" s="68">
        <f t="shared" si="4"/>
        <v>4502030.3077268396</v>
      </c>
      <c r="T39" s="304">
        <f t="shared" si="5"/>
        <v>4597850.9143464053</v>
      </c>
      <c r="V39" s="117">
        <f>'As-Filed Schedule 2C'!N39</f>
        <v>5.7187500000000009</v>
      </c>
      <c r="W39" s="307">
        <f>SUMIFS(Adjustments!$G:$G,Adjustments!$H:$H,"2C",Adjustments!$I:$I,'Schedule 2C Adjustments'!$V$12,Adjustments!$J:$J,'Schedule 2C Adjustments'!$A39)</f>
        <v>0</v>
      </c>
      <c r="X39" s="303">
        <f t="shared" si="6"/>
        <v>5.7187500000000009</v>
      </c>
      <c r="Y39" s="117">
        <f>'As-Filed Schedule 2C'!O39</f>
        <v>8</v>
      </c>
      <c r="Z39" s="307">
        <f>SUMIFS(Adjustments!$G:$G,Adjustments!$H:$H,"2C",Adjustments!$I:$I,'Schedule 2C Adjustments'!$Y$12,Adjustments!$J:$J,'Schedule 2C Adjustments'!$A39)</f>
        <v>0</v>
      </c>
      <c r="AA39" s="303">
        <f t="shared" si="7"/>
        <v>8</v>
      </c>
    </row>
    <row r="40" spans="1:27" x14ac:dyDescent="0.35">
      <c r="A40" s="24">
        <v>26</v>
      </c>
      <c r="B40" s="565" t="str">
        <f>IF('As-Filed Schedule 2C'!B40:D40=0,"",'As-Filed Schedule 2C'!B40:D40)</f>
        <v>Residential Teams 628, 634, 650, 652, 660, 670, 672, 682, 699 RVU expenses</v>
      </c>
      <c r="C40" s="565"/>
      <c r="D40" s="565"/>
      <c r="F40" s="114">
        <f>'As-Filed Schedule 2C'!F40</f>
        <v>93541.929599999974</v>
      </c>
      <c r="G40" s="307">
        <f>SUMIFS(Adjustments!$G:$G,Adjustments!$H:$H,"2C",Adjustments!$I:$I,'Schedule 2C Adjustments'!$F$12,Adjustments!$J:$J,'Schedule 2C Adjustments'!$A40)</f>
        <v>0</v>
      </c>
      <c r="H40" s="303">
        <f t="shared" si="0"/>
        <v>93541.929599999974</v>
      </c>
      <c r="I40" s="68">
        <f>IFERROR(F40*'As-Filed Schedule 1'!$E$103,0)</f>
        <v>24311.759076949038</v>
      </c>
      <c r="J40" s="304">
        <f>IFERROR(H40*'Adjusted Schedule 1'!$E$104,0)</f>
        <v>24311.759076949038</v>
      </c>
      <c r="K40" s="68">
        <f t="shared" si="1"/>
        <v>117853.68867694901</v>
      </c>
      <c r="L40" s="304">
        <f t="shared" si="2"/>
        <v>117853.68867694901</v>
      </c>
      <c r="N40" s="114">
        <f>'As-Filed Schedule 2C'!J40</f>
        <v>0</v>
      </c>
      <c r="O40" s="307">
        <f>SUMIFS(Adjustments!$G:$G,Adjustments!$H:$H,"2C",Adjustments!$I:$I,'Schedule 2C Adjustments'!$N$12,Adjustments!$J:$J,'Schedule 2C Adjustments'!$A40)</f>
        <v>0</v>
      </c>
      <c r="P40" s="303">
        <f t="shared" si="3"/>
        <v>0</v>
      </c>
      <c r="Q40" s="68">
        <f>IFERROR(N40*'As-Filed Schedule 1'!$E$103,0)</f>
        <v>0</v>
      </c>
      <c r="R40" s="304">
        <f>IFERROR(P40*'Adjusted Schedule 1'!$E$104,0)</f>
        <v>0</v>
      </c>
      <c r="S40" s="68">
        <f t="shared" si="4"/>
        <v>0</v>
      </c>
      <c r="T40" s="304">
        <f t="shared" si="5"/>
        <v>0</v>
      </c>
      <c r="V40" s="117">
        <f>'As-Filed Schedule 2C'!N40</f>
        <v>0</v>
      </c>
      <c r="W40" s="307">
        <f>SUMIFS(Adjustments!$G:$G,Adjustments!$H:$H,"2C",Adjustments!$I:$I,'Schedule 2C Adjustments'!$V$12,Adjustments!$J:$J,'Schedule 2C Adjustments'!$A40)</f>
        <v>0</v>
      </c>
      <c r="X40" s="303">
        <f t="shared" si="6"/>
        <v>0</v>
      </c>
      <c r="Y40" s="117">
        <f>'As-Filed Schedule 2C'!O40</f>
        <v>0</v>
      </c>
      <c r="Z40" s="307">
        <f>SUMIFS(Adjustments!$G:$G,Adjustments!$H:$H,"2C",Adjustments!$I:$I,'Schedule 2C Adjustments'!$Y$12,Adjustments!$J:$J,'Schedule 2C Adjustments'!$A40)</f>
        <v>0</v>
      </c>
      <c r="AA40" s="303">
        <f t="shared" si="7"/>
        <v>0</v>
      </c>
    </row>
    <row r="41" spans="1:27" x14ac:dyDescent="0.35">
      <c r="A41" s="24">
        <v>27</v>
      </c>
      <c r="B41" s="565" t="str">
        <f>IF('As-Filed Schedule 2C'!B41:D41=0,"",'As-Filed Schedule 2C'!B41:D41)</f>
        <v>Indirect Team 112 RVU expenses</v>
      </c>
      <c r="C41" s="565"/>
      <c r="D41" s="565"/>
      <c r="F41" s="114">
        <f>'As-Filed Schedule 2C'!F41</f>
        <v>9302.9387999999999</v>
      </c>
      <c r="G41" s="307">
        <f>SUMIFS(Adjustments!$G:$G,Adjustments!$H:$H,"2C",Adjustments!$I:$I,'Schedule 2C Adjustments'!$F$12,Adjustments!$J:$J,'Schedule 2C Adjustments'!$A41)</f>
        <v>0</v>
      </c>
      <c r="H41" s="303">
        <f t="shared" si="0"/>
        <v>9302.9387999999999</v>
      </c>
      <c r="I41" s="68">
        <f>IFERROR(F41*'As-Filed Schedule 1'!$E$103,0)</f>
        <v>2417.854835583822</v>
      </c>
      <c r="J41" s="304">
        <f>IFERROR(H41*'Adjusted Schedule 1'!$E$104,0)</f>
        <v>2417.854835583822</v>
      </c>
      <c r="K41" s="68">
        <f t="shared" si="1"/>
        <v>11720.793635583821</v>
      </c>
      <c r="L41" s="304">
        <f t="shared" si="2"/>
        <v>11720.793635583821</v>
      </c>
      <c r="N41" s="114">
        <f>'As-Filed Schedule 2C'!J41</f>
        <v>0</v>
      </c>
      <c r="O41" s="307">
        <f>SUMIFS(Adjustments!$G:$G,Adjustments!$H:$H,"2C",Adjustments!$I:$I,'Schedule 2C Adjustments'!$N$12,Adjustments!$J:$J,'Schedule 2C Adjustments'!$A41)</f>
        <v>0</v>
      </c>
      <c r="P41" s="303">
        <f t="shared" si="3"/>
        <v>0</v>
      </c>
      <c r="Q41" s="68">
        <f>IFERROR(N41*'As-Filed Schedule 1'!$E$103,0)</f>
        <v>0</v>
      </c>
      <c r="R41" s="304">
        <f>IFERROR(P41*'Adjusted Schedule 1'!$E$104,0)</f>
        <v>0</v>
      </c>
      <c r="S41" s="68">
        <f t="shared" si="4"/>
        <v>0</v>
      </c>
      <c r="T41" s="304">
        <f t="shared" si="5"/>
        <v>0</v>
      </c>
      <c r="V41" s="117">
        <f>'As-Filed Schedule 2C'!N41</f>
        <v>0</v>
      </c>
      <c r="W41" s="307">
        <f>SUMIFS(Adjustments!$G:$G,Adjustments!$H:$H,"2C",Adjustments!$I:$I,'Schedule 2C Adjustments'!$V$12,Adjustments!$J:$J,'Schedule 2C Adjustments'!$A41)</f>
        <v>0</v>
      </c>
      <c r="X41" s="303">
        <f t="shared" si="6"/>
        <v>0</v>
      </c>
      <c r="Y41" s="117">
        <f>'As-Filed Schedule 2C'!O41</f>
        <v>0</v>
      </c>
      <c r="Z41" s="307">
        <f>SUMIFS(Adjustments!$G:$G,Adjustments!$H:$H,"2C",Adjustments!$I:$I,'Schedule 2C Adjustments'!$Y$12,Adjustments!$J:$J,'Schedule 2C Adjustments'!$A41)</f>
        <v>0</v>
      </c>
      <c r="AA41" s="303">
        <f t="shared" si="7"/>
        <v>0</v>
      </c>
    </row>
    <row r="42" spans="1:27" x14ac:dyDescent="0.35">
      <c r="A42" s="24">
        <v>28</v>
      </c>
      <c r="B42" s="565" t="str">
        <f>IF('As-Filed Schedule 2C'!B42:D42=0,"",'As-Filed Schedule 2C'!B42:D42)</f>
        <v>Reclass Service Units exp not recognized from Team S880</v>
      </c>
      <c r="C42" s="565"/>
      <c r="D42" s="565"/>
      <c r="F42" s="114">
        <f>'As-Filed Schedule 2C'!F42</f>
        <v>0</v>
      </c>
      <c r="G42" s="307">
        <f>SUMIFS(Adjustments!$G:$G,Adjustments!$H:$H,"2C",Adjustments!$I:$I,'Schedule 2C Adjustments'!$F$12,Adjustments!$J:$J,'Schedule 2C Adjustments'!$A42)</f>
        <v>0</v>
      </c>
      <c r="H42" s="303">
        <f t="shared" si="0"/>
        <v>0</v>
      </c>
      <c r="I42" s="68">
        <f>IFERROR(F42*'As-Filed Schedule 1'!$E$103,0)</f>
        <v>0</v>
      </c>
      <c r="J42" s="304">
        <f>IFERROR(H42*'Adjusted Schedule 1'!$E$104,0)</f>
        <v>0</v>
      </c>
      <c r="K42" s="68">
        <f t="shared" si="1"/>
        <v>0</v>
      </c>
      <c r="L42" s="304">
        <f t="shared" si="2"/>
        <v>0</v>
      </c>
      <c r="N42" s="114">
        <f>'As-Filed Schedule 2C'!J42</f>
        <v>9108.42</v>
      </c>
      <c r="O42" s="307">
        <f>SUMIFS(Adjustments!$G:$G,Adjustments!$H:$H,"2C",Adjustments!$I:$I,'Schedule 2C Adjustments'!$N$12,Adjustments!$J:$J,'Schedule 2C Adjustments'!$A42)</f>
        <v>0</v>
      </c>
      <c r="P42" s="303">
        <f t="shared" si="3"/>
        <v>9108.42</v>
      </c>
      <c r="Q42" s="68">
        <f>IFERROR(N42*'As-Filed Schedule 1'!$E$103,0)</f>
        <v>2367.2989594995934</v>
      </c>
      <c r="R42" s="304">
        <f>IFERROR(P42*'Adjusted Schedule 1'!$E$104,0)</f>
        <v>2367.2989594995934</v>
      </c>
      <c r="S42" s="68">
        <f t="shared" si="4"/>
        <v>11475.718959499594</v>
      </c>
      <c r="T42" s="304">
        <f t="shared" si="5"/>
        <v>11475.718959499594</v>
      </c>
      <c r="V42" s="117">
        <f>'As-Filed Schedule 2C'!N42</f>
        <v>0</v>
      </c>
      <c r="W42" s="307">
        <f>SUMIFS(Adjustments!$G:$G,Adjustments!$H:$H,"2C",Adjustments!$I:$I,'Schedule 2C Adjustments'!$V$12,Adjustments!$J:$J,'Schedule 2C Adjustments'!$A42)</f>
        <v>0</v>
      </c>
      <c r="X42" s="303">
        <f t="shared" si="6"/>
        <v>0</v>
      </c>
      <c r="Y42" s="117">
        <f>'As-Filed Schedule 2C'!O42</f>
        <v>0</v>
      </c>
      <c r="Z42" s="307">
        <f>SUMIFS(Adjustments!$G:$G,Adjustments!$H:$H,"2C",Adjustments!$I:$I,'Schedule 2C Adjustments'!$Y$12,Adjustments!$J:$J,'Schedule 2C Adjustments'!$A42)</f>
        <v>0</v>
      </c>
      <c r="AA42" s="303">
        <f t="shared" si="7"/>
        <v>0</v>
      </c>
    </row>
    <row r="43" spans="1:27" x14ac:dyDescent="0.35">
      <c r="A43" s="24">
        <v>29</v>
      </c>
      <c r="B43" s="565" t="str">
        <f>IF('As-Filed Schedule 2C'!B43:D43=0,"",'As-Filed Schedule 2C'!B43:D43)</f>
        <v>Reclass of Indirect Medications</v>
      </c>
      <c r="C43" s="565"/>
      <c r="D43" s="565"/>
      <c r="F43" s="114">
        <f>'As-Filed Schedule 2C'!F43</f>
        <v>0</v>
      </c>
      <c r="G43" s="307">
        <f>SUMIFS(Adjustments!$G:$G,Adjustments!$H:$H,"2C",Adjustments!$I:$I,'Schedule 2C Adjustments'!$F$12,Adjustments!$J:$J,'Schedule 2C Adjustments'!$A43)</f>
        <v>0</v>
      </c>
      <c r="H43" s="303">
        <f t="shared" si="0"/>
        <v>0</v>
      </c>
      <c r="I43" s="68">
        <f>IFERROR(F43*'As-Filed Schedule 1'!$E$103,0)</f>
        <v>0</v>
      </c>
      <c r="J43" s="304">
        <f>IFERROR(H43*'Adjusted Schedule 1'!$E$104,0)</f>
        <v>0</v>
      </c>
      <c r="K43" s="68">
        <f t="shared" si="1"/>
        <v>0</v>
      </c>
      <c r="L43" s="304">
        <f t="shared" si="2"/>
        <v>0</v>
      </c>
      <c r="N43" s="114">
        <f>'As-Filed Schedule 2C'!J43</f>
        <v>355</v>
      </c>
      <c r="O43" s="307">
        <f>SUMIFS(Adjustments!$G:$G,Adjustments!$H:$H,"2C",Adjustments!$I:$I,'Schedule 2C Adjustments'!$N$12,Adjustments!$J:$J,'Schedule 2C Adjustments'!$A43)</f>
        <v>0</v>
      </c>
      <c r="P43" s="303">
        <f t="shared" si="3"/>
        <v>355</v>
      </c>
      <c r="Q43" s="68">
        <f>IFERROR(N43*'As-Filed Schedule 1'!$E$103,0)</f>
        <v>92.265302941932376</v>
      </c>
      <c r="R43" s="304">
        <f>IFERROR(P43*'Adjusted Schedule 1'!$E$104,0)</f>
        <v>92.265302941932376</v>
      </c>
      <c r="S43" s="68">
        <f t="shared" si="4"/>
        <v>447.26530294193236</v>
      </c>
      <c r="T43" s="304">
        <f t="shared" si="5"/>
        <v>447.26530294193236</v>
      </c>
      <c r="V43" s="117">
        <f>'As-Filed Schedule 2C'!N43</f>
        <v>0</v>
      </c>
      <c r="W43" s="307">
        <f>SUMIFS(Adjustments!$G:$G,Adjustments!$H:$H,"2C",Adjustments!$I:$I,'Schedule 2C Adjustments'!$V$12,Adjustments!$J:$J,'Schedule 2C Adjustments'!$A43)</f>
        <v>0</v>
      </c>
      <c r="X43" s="303">
        <f t="shared" si="6"/>
        <v>0</v>
      </c>
      <c r="Y43" s="117">
        <f>'As-Filed Schedule 2C'!O43</f>
        <v>0</v>
      </c>
      <c r="Z43" s="307">
        <f>SUMIFS(Adjustments!$G:$G,Adjustments!$H:$H,"2C",Adjustments!$I:$I,'Schedule 2C Adjustments'!$Y$12,Adjustments!$J:$J,'Schedule 2C Adjustments'!$A43)</f>
        <v>0</v>
      </c>
      <c r="AA43" s="303">
        <f t="shared" si="7"/>
        <v>0</v>
      </c>
    </row>
    <row r="44" spans="1:27" x14ac:dyDescent="0.35">
      <c r="A44" s="24">
        <v>30</v>
      </c>
      <c r="B44" s="565" t="str">
        <f>IF('As-Filed Schedule 2C'!B44:D44=0,"",'As-Filed Schedule 2C'!B44:D44)</f>
        <v>Reclass of Residential Medications</v>
      </c>
      <c r="C44" s="565"/>
      <c r="D44" s="565"/>
      <c r="F44" s="114">
        <f>'As-Filed Schedule 2C'!F44</f>
        <v>0</v>
      </c>
      <c r="G44" s="307">
        <f>SUMIFS(Adjustments!$G:$G,Adjustments!$H:$H,"2C",Adjustments!$I:$I,'Schedule 2C Adjustments'!$F$12,Adjustments!$J:$J,'Schedule 2C Adjustments'!$A44)</f>
        <v>0</v>
      </c>
      <c r="H44" s="303">
        <f t="shared" si="0"/>
        <v>0</v>
      </c>
      <c r="I44" s="68">
        <f>IFERROR(F44*'As-Filed Schedule 1'!$E$103,0)</f>
        <v>0</v>
      </c>
      <c r="J44" s="304">
        <f>IFERROR(H44*'Adjusted Schedule 1'!$E$104,0)</f>
        <v>0</v>
      </c>
      <c r="K44" s="68">
        <f t="shared" si="1"/>
        <v>0</v>
      </c>
      <c r="L44" s="304">
        <f t="shared" si="2"/>
        <v>0</v>
      </c>
      <c r="N44" s="114">
        <f>'As-Filed Schedule 2C'!J44</f>
        <v>92489.890232494945</v>
      </c>
      <c r="O44" s="307">
        <f>SUMIFS(Adjustments!$G:$G,Adjustments!$H:$H,"2C",Adjustments!$I:$I,'Schedule 2C Adjustments'!$N$12,Adjustments!$J:$J,'Schedule 2C Adjustments'!$A44)</f>
        <v>0</v>
      </c>
      <c r="P44" s="303">
        <f t="shared" si="3"/>
        <v>92489.890232494945</v>
      </c>
      <c r="Q44" s="68">
        <f>IFERROR(N44*'As-Filed Schedule 1'!$E$103,0)</f>
        <v>24038.331665823149</v>
      </c>
      <c r="R44" s="304">
        <f>IFERROR(P44*'Adjusted Schedule 1'!$E$104,0)</f>
        <v>24038.331665823149</v>
      </c>
      <c r="S44" s="68">
        <f t="shared" si="4"/>
        <v>116528.22189831809</v>
      </c>
      <c r="T44" s="304">
        <f t="shared" si="5"/>
        <v>116528.22189831809</v>
      </c>
      <c r="V44" s="117">
        <f>'As-Filed Schedule 2C'!N44</f>
        <v>0</v>
      </c>
      <c r="W44" s="307">
        <f>SUMIFS(Adjustments!$G:$G,Adjustments!$H:$H,"2C",Adjustments!$I:$I,'Schedule 2C Adjustments'!$V$12,Adjustments!$J:$J,'Schedule 2C Adjustments'!$A44)</f>
        <v>0</v>
      </c>
      <c r="X44" s="303">
        <f t="shared" si="6"/>
        <v>0</v>
      </c>
      <c r="Y44" s="117">
        <f>'As-Filed Schedule 2C'!O44</f>
        <v>0</v>
      </c>
      <c r="Z44" s="307">
        <f>SUMIFS(Adjustments!$G:$G,Adjustments!$H:$H,"2C",Adjustments!$I:$I,'Schedule 2C Adjustments'!$Y$12,Adjustments!$J:$J,'Schedule 2C Adjustments'!$A44)</f>
        <v>0</v>
      </c>
      <c r="AA44" s="303">
        <f t="shared" si="7"/>
        <v>0</v>
      </c>
    </row>
    <row r="45" spans="1:27" x14ac:dyDescent="0.35">
      <c r="A45" s="24">
        <v>31</v>
      </c>
      <c r="B45" s="575" t="s">
        <v>1039</v>
      </c>
      <c r="C45" s="575"/>
      <c r="D45" s="575"/>
      <c r="F45" s="114">
        <f>'As-Filed Schedule 2C'!F45</f>
        <v>0</v>
      </c>
      <c r="G45" s="307">
        <f>SUMIFS(Adjustments!$G:$G,Adjustments!$H:$H,"2C",Adjustments!$I:$I,'Schedule 2C Adjustments'!$F$12,Adjustments!$J:$J,'Schedule 2C Adjustments'!$A45)</f>
        <v>849894.32</v>
      </c>
      <c r="H45" s="303">
        <f t="shared" si="0"/>
        <v>849894.32</v>
      </c>
      <c r="I45" s="68">
        <f>IFERROR(F45*'As-Filed Schedule 1'!$E$103,0)</f>
        <v>0</v>
      </c>
      <c r="J45" s="304">
        <f>IFERROR(H45*'Adjusted Schedule 1'!$E$104,0)</f>
        <v>220889.45606599326</v>
      </c>
      <c r="K45" s="68">
        <f t="shared" si="1"/>
        <v>0</v>
      </c>
      <c r="L45" s="304">
        <f t="shared" si="2"/>
        <v>1070783.7760659931</v>
      </c>
      <c r="N45" s="114">
        <f>'As-Filed Schedule 2C'!J45</f>
        <v>0</v>
      </c>
      <c r="O45" s="307">
        <f>SUMIFS(Adjustments!$G:$G,Adjustments!$H:$H,"2C",Adjustments!$I:$I,'Schedule 2C Adjustments'!$N$12,Adjustments!$J:$J,'Schedule 2C Adjustments'!$A45)</f>
        <v>0</v>
      </c>
      <c r="P45" s="303">
        <f t="shared" si="3"/>
        <v>0</v>
      </c>
      <c r="Q45" s="68">
        <f>IFERROR(N45*'As-Filed Schedule 1'!$E$103,0)</f>
        <v>0</v>
      </c>
      <c r="R45" s="304">
        <f>IFERROR(P45*'Adjusted Schedule 1'!$E$104,0)</f>
        <v>0</v>
      </c>
      <c r="S45" s="68">
        <f t="shared" si="4"/>
        <v>0</v>
      </c>
      <c r="T45" s="304">
        <f t="shared" si="5"/>
        <v>0</v>
      </c>
      <c r="V45" s="117">
        <f>'As-Filed Schedule 2C'!N45</f>
        <v>0</v>
      </c>
      <c r="W45" s="307">
        <f>SUMIFS(Adjustments!$G:$G,Adjustments!$H:$H,"2C",Adjustments!$I:$I,'Schedule 2C Adjustments'!$V$12,Adjustments!$J:$J,'Schedule 2C Adjustments'!$A45)</f>
        <v>0</v>
      </c>
      <c r="X45" s="303">
        <f t="shared" si="6"/>
        <v>0</v>
      </c>
      <c r="Y45" s="117">
        <f>'As-Filed Schedule 2C'!O45</f>
        <v>0</v>
      </c>
      <c r="Z45" s="307">
        <f>SUMIFS(Adjustments!$G:$G,Adjustments!$H:$H,"2C",Adjustments!$I:$I,'Schedule 2C Adjustments'!$Y$12,Adjustments!$J:$J,'Schedule 2C Adjustments'!$A45)</f>
        <v>0</v>
      </c>
      <c r="AA45" s="303">
        <f t="shared" si="7"/>
        <v>0</v>
      </c>
    </row>
    <row r="46" spans="1:27" x14ac:dyDescent="0.35">
      <c r="A46" s="24">
        <v>32</v>
      </c>
      <c r="B46" s="565" t="str">
        <f>IF('As-Filed Schedule 2C'!B46:D46=0,"",'As-Filed Schedule 2C'!B46:D46)</f>
        <v/>
      </c>
      <c r="C46" s="565"/>
      <c r="D46" s="565"/>
      <c r="F46" s="114">
        <f>'As-Filed Schedule 2C'!F46</f>
        <v>0</v>
      </c>
      <c r="G46" s="307">
        <f>SUMIFS(Adjustments!$G:$G,Adjustments!$H:$H,"2C",Adjustments!$I:$I,'Schedule 2C Adjustments'!$F$12,Adjustments!$J:$J,'Schedule 2C Adjustments'!$A46)</f>
        <v>0</v>
      </c>
      <c r="H46" s="303">
        <f t="shared" si="0"/>
        <v>0</v>
      </c>
      <c r="I46" s="68">
        <f>IFERROR(F46*'As-Filed Schedule 1'!$E$103,0)</f>
        <v>0</v>
      </c>
      <c r="J46" s="304">
        <f>IFERROR(H46*'Adjusted Schedule 1'!$E$104,0)</f>
        <v>0</v>
      </c>
      <c r="K46" s="68">
        <f t="shared" si="1"/>
        <v>0</v>
      </c>
      <c r="L46" s="304">
        <f t="shared" si="2"/>
        <v>0</v>
      </c>
      <c r="N46" s="114">
        <f>'As-Filed Schedule 2C'!J46</f>
        <v>0</v>
      </c>
      <c r="O46" s="307">
        <f>SUMIFS(Adjustments!$G:$G,Adjustments!$H:$H,"2C",Adjustments!$I:$I,'Schedule 2C Adjustments'!$N$12,Adjustments!$J:$J,'Schedule 2C Adjustments'!$A46)</f>
        <v>0</v>
      </c>
      <c r="P46" s="303">
        <f t="shared" si="3"/>
        <v>0</v>
      </c>
      <c r="Q46" s="68">
        <f>IFERROR(N46*'As-Filed Schedule 1'!$E$103,0)</f>
        <v>0</v>
      </c>
      <c r="R46" s="304">
        <f>IFERROR(P46*'Adjusted Schedule 1'!$E$104,0)</f>
        <v>0</v>
      </c>
      <c r="S46" s="68">
        <f t="shared" si="4"/>
        <v>0</v>
      </c>
      <c r="T46" s="304">
        <f t="shared" si="5"/>
        <v>0</v>
      </c>
      <c r="V46" s="117">
        <f>'As-Filed Schedule 2C'!N46</f>
        <v>0</v>
      </c>
      <c r="W46" s="307">
        <f>SUMIFS(Adjustments!$G:$G,Adjustments!$H:$H,"2C",Adjustments!$I:$I,'Schedule 2C Adjustments'!$V$12,Adjustments!$J:$J,'Schedule 2C Adjustments'!$A46)</f>
        <v>0</v>
      </c>
      <c r="X46" s="303">
        <f t="shared" si="6"/>
        <v>0</v>
      </c>
      <c r="Y46" s="117">
        <f>'As-Filed Schedule 2C'!O46</f>
        <v>0</v>
      </c>
      <c r="Z46" s="307">
        <f>SUMIFS(Adjustments!$G:$G,Adjustments!$H:$H,"2C",Adjustments!$I:$I,'Schedule 2C Adjustments'!$Y$12,Adjustments!$J:$J,'Schedule 2C Adjustments'!$A46)</f>
        <v>0</v>
      </c>
      <c r="AA46" s="303">
        <f t="shared" si="7"/>
        <v>0</v>
      </c>
    </row>
    <row r="47" spans="1:27" x14ac:dyDescent="0.35">
      <c r="A47" s="24">
        <v>33</v>
      </c>
      <c r="B47" s="565" t="str">
        <f>IF('As-Filed Schedule 2C'!B47:D47=0,"",'As-Filed Schedule 2C'!B47:D47)</f>
        <v/>
      </c>
      <c r="C47" s="565"/>
      <c r="D47" s="565"/>
      <c r="F47" s="114">
        <f>'As-Filed Schedule 2C'!F47</f>
        <v>0</v>
      </c>
      <c r="G47" s="307">
        <f>SUMIFS(Adjustments!$G:$G,Adjustments!$H:$H,"2C",Adjustments!$I:$I,'Schedule 2C Adjustments'!$F$12,Adjustments!$J:$J,'Schedule 2C Adjustments'!$A47)</f>
        <v>0</v>
      </c>
      <c r="H47" s="303">
        <f t="shared" si="0"/>
        <v>0</v>
      </c>
      <c r="I47" s="68">
        <f>IFERROR(F47*'As-Filed Schedule 1'!$E$103,0)</f>
        <v>0</v>
      </c>
      <c r="J47" s="304">
        <f>IFERROR(H47*'Adjusted Schedule 1'!$E$104,0)</f>
        <v>0</v>
      </c>
      <c r="K47" s="68">
        <f t="shared" si="1"/>
        <v>0</v>
      </c>
      <c r="L47" s="304">
        <f t="shared" si="2"/>
        <v>0</v>
      </c>
      <c r="N47" s="114">
        <f>'As-Filed Schedule 2C'!J47</f>
        <v>0</v>
      </c>
      <c r="O47" s="307">
        <f>SUMIFS(Adjustments!$G:$G,Adjustments!$H:$H,"2C",Adjustments!$I:$I,'Schedule 2C Adjustments'!$N$12,Adjustments!$J:$J,'Schedule 2C Adjustments'!$A47)</f>
        <v>0</v>
      </c>
      <c r="P47" s="303">
        <f t="shared" si="3"/>
        <v>0</v>
      </c>
      <c r="Q47" s="68">
        <f>IFERROR(N47*'As-Filed Schedule 1'!$E$103,0)</f>
        <v>0</v>
      </c>
      <c r="R47" s="304">
        <f>IFERROR(P47*'Adjusted Schedule 1'!$E$104,0)</f>
        <v>0</v>
      </c>
      <c r="S47" s="68">
        <f t="shared" si="4"/>
        <v>0</v>
      </c>
      <c r="T47" s="304">
        <f t="shared" si="5"/>
        <v>0</v>
      </c>
      <c r="V47" s="117">
        <f>'As-Filed Schedule 2C'!N47</f>
        <v>0</v>
      </c>
      <c r="W47" s="307">
        <f>SUMIFS(Adjustments!$G:$G,Adjustments!$H:$H,"2C",Adjustments!$I:$I,'Schedule 2C Adjustments'!$V$12,Adjustments!$J:$J,'Schedule 2C Adjustments'!$A47)</f>
        <v>0</v>
      </c>
      <c r="X47" s="303">
        <f t="shared" si="6"/>
        <v>0</v>
      </c>
      <c r="Y47" s="117">
        <f>'As-Filed Schedule 2C'!O47</f>
        <v>0</v>
      </c>
      <c r="Z47" s="307">
        <f>SUMIFS(Adjustments!$G:$G,Adjustments!$H:$H,"2C",Adjustments!$I:$I,'Schedule 2C Adjustments'!$Y$12,Adjustments!$J:$J,'Schedule 2C Adjustments'!$A47)</f>
        <v>0</v>
      </c>
      <c r="AA47" s="303">
        <f t="shared" si="7"/>
        <v>0</v>
      </c>
    </row>
    <row r="48" spans="1:27" x14ac:dyDescent="0.35">
      <c r="A48" s="24">
        <v>34</v>
      </c>
      <c r="B48" s="565" t="str">
        <f>IF('As-Filed Schedule 2C'!B48:D48=0,"",'As-Filed Schedule 2C'!B48:D48)</f>
        <v/>
      </c>
      <c r="C48" s="565"/>
      <c r="D48" s="565"/>
      <c r="F48" s="114">
        <f>'As-Filed Schedule 2C'!F48</f>
        <v>0</v>
      </c>
      <c r="G48" s="307">
        <f>SUMIFS(Adjustments!$G:$G,Adjustments!$H:$H,"2C",Adjustments!$I:$I,'Schedule 2C Adjustments'!$F$12,Adjustments!$J:$J,'Schedule 2C Adjustments'!$A48)</f>
        <v>0</v>
      </c>
      <c r="H48" s="303">
        <f t="shared" si="0"/>
        <v>0</v>
      </c>
      <c r="I48" s="68">
        <f>IFERROR(F48*'As-Filed Schedule 1'!$E$103,0)</f>
        <v>0</v>
      </c>
      <c r="J48" s="304">
        <f>IFERROR(H48*'Adjusted Schedule 1'!$E$104,0)</f>
        <v>0</v>
      </c>
      <c r="K48" s="68">
        <f t="shared" si="1"/>
        <v>0</v>
      </c>
      <c r="L48" s="304">
        <f t="shared" si="2"/>
        <v>0</v>
      </c>
      <c r="N48" s="114">
        <f>'As-Filed Schedule 2C'!J48</f>
        <v>0</v>
      </c>
      <c r="O48" s="307">
        <f>SUMIFS(Adjustments!$G:$G,Adjustments!$H:$H,"2C",Adjustments!$I:$I,'Schedule 2C Adjustments'!$N$12,Adjustments!$J:$J,'Schedule 2C Adjustments'!$A48)</f>
        <v>0</v>
      </c>
      <c r="P48" s="303">
        <f t="shared" si="3"/>
        <v>0</v>
      </c>
      <c r="Q48" s="68">
        <f>IFERROR(N48*'As-Filed Schedule 1'!$E$103,0)</f>
        <v>0</v>
      </c>
      <c r="R48" s="304">
        <f>IFERROR(P48*'Adjusted Schedule 1'!$E$104,0)</f>
        <v>0</v>
      </c>
      <c r="S48" s="68">
        <f t="shared" si="4"/>
        <v>0</v>
      </c>
      <c r="T48" s="304">
        <f t="shared" si="5"/>
        <v>0</v>
      </c>
      <c r="V48" s="117">
        <f>'As-Filed Schedule 2C'!N48</f>
        <v>0</v>
      </c>
      <c r="W48" s="307">
        <f>SUMIFS(Adjustments!$G:$G,Adjustments!$H:$H,"2C",Adjustments!$I:$I,'Schedule 2C Adjustments'!$V$12,Adjustments!$J:$J,'Schedule 2C Adjustments'!$A48)</f>
        <v>0</v>
      </c>
      <c r="X48" s="303">
        <f t="shared" si="6"/>
        <v>0</v>
      </c>
      <c r="Y48" s="117">
        <f>'As-Filed Schedule 2C'!O48</f>
        <v>0</v>
      </c>
      <c r="Z48" s="307">
        <f>SUMIFS(Adjustments!$G:$G,Adjustments!$H:$H,"2C",Adjustments!$I:$I,'Schedule 2C Adjustments'!$Y$12,Adjustments!$J:$J,'Schedule 2C Adjustments'!$A48)</f>
        <v>0</v>
      </c>
      <c r="AA48" s="303">
        <f t="shared" si="7"/>
        <v>0</v>
      </c>
    </row>
    <row r="49" spans="1:27" x14ac:dyDescent="0.35">
      <c r="A49" s="24">
        <v>35</v>
      </c>
      <c r="B49" s="565" t="str">
        <f>IF('As-Filed Schedule 2C'!B49:D49=0,"",'As-Filed Schedule 2C'!B49:D49)</f>
        <v/>
      </c>
      <c r="C49" s="565"/>
      <c r="D49" s="565"/>
      <c r="F49" s="114">
        <f>'As-Filed Schedule 2C'!F49</f>
        <v>0</v>
      </c>
      <c r="G49" s="307">
        <f>SUMIFS(Adjustments!$G:$G,Adjustments!$H:$H,"2C",Adjustments!$I:$I,'Schedule 2C Adjustments'!$F$12,Adjustments!$J:$J,'Schedule 2C Adjustments'!$A49)</f>
        <v>0</v>
      </c>
      <c r="H49" s="303">
        <f t="shared" si="0"/>
        <v>0</v>
      </c>
      <c r="I49" s="68">
        <f>IFERROR(F49*'As-Filed Schedule 1'!$E$103,0)</f>
        <v>0</v>
      </c>
      <c r="J49" s="304">
        <f>IFERROR(H49*'Adjusted Schedule 1'!$E$104,0)</f>
        <v>0</v>
      </c>
      <c r="K49" s="68">
        <f t="shared" si="1"/>
        <v>0</v>
      </c>
      <c r="L49" s="304">
        <f t="shared" si="2"/>
        <v>0</v>
      </c>
      <c r="N49" s="114">
        <f>'As-Filed Schedule 2C'!J49</f>
        <v>0</v>
      </c>
      <c r="O49" s="307">
        <f>SUMIFS(Adjustments!$G:$G,Adjustments!$H:$H,"2C",Adjustments!$I:$I,'Schedule 2C Adjustments'!$N$12,Adjustments!$J:$J,'Schedule 2C Adjustments'!$A49)</f>
        <v>0</v>
      </c>
      <c r="P49" s="303">
        <f t="shared" si="3"/>
        <v>0</v>
      </c>
      <c r="Q49" s="68">
        <f>IFERROR(N49*'As-Filed Schedule 1'!$E$103,0)</f>
        <v>0</v>
      </c>
      <c r="R49" s="304">
        <f>IFERROR(P49*'Adjusted Schedule 1'!$E$104,0)</f>
        <v>0</v>
      </c>
      <c r="S49" s="68">
        <f t="shared" si="4"/>
        <v>0</v>
      </c>
      <c r="T49" s="304">
        <f t="shared" si="5"/>
        <v>0</v>
      </c>
      <c r="V49" s="117">
        <f>'As-Filed Schedule 2C'!N49</f>
        <v>0</v>
      </c>
      <c r="W49" s="307">
        <f>SUMIFS(Adjustments!$G:$G,Adjustments!$H:$H,"2C",Adjustments!$I:$I,'Schedule 2C Adjustments'!$V$12,Adjustments!$J:$J,'Schedule 2C Adjustments'!$A49)</f>
        <v>0</v>
      </c>
      <c r="X49" s="303">
        <f t="shared" si="6"/>
        <v>0</v>
      </c>
      <c r="Y49" s="117">
        <f>'As-Filed Schedule 2C'!O49</f>
        <v>0</v>
      </c>
      <c r="Z49" s="307">
        <f>SUMIFS(Adjustments!$G:$G,Adjustments!$H:$H,"2C",Adjustments!$I:$I,'Schedule 2C Adjustments'!$Y$12,Adjustments!$J:$J,'Schedule 2C Adjustments'!$A49)</f>
        <v>0</v>
      </c>
      <c r="AA49" s="303">
        <f t="shared" si="7"/>
        <v>0</v>
      </c>
    </row>
    <row r="50" spans="1:27" x14ac:dyDescent="0.35">
      <c r="A50" s="24">
        <v>36</v>
      </c>
      <c r="B50" s="565" t="str">
        <f>IF('As-Filed Schedule 2C'!B50:D50=0,"",'As-Filed Schedule 2C'!B50:D50)</f>
        <v/>
      </c>
      <c r="C50" s="565"/>
      <c r="D50" s="565"/>
      <c r="F50" s="114">
        <f>'As-Filed Schedule 2C'!F50</f>
        <v>0</v>
      </c>
      <c r="G50" s="307">
        <f>SUMIFS(Adjustments!$G:$G,Adjustments!$H:$H,"2C",Adjustments!$I:$I,'Schedule 2C Adjustments'!$F$12,Adjustments!$J:$J,'Schedule 2C Adjustments'!$A50)</f>
        <v>0</v>
      </c>
      <c r="H50" s="303">
        <f t="shared" si="0"/>
        <v>0</v>
      </c>
      <c r="I50" s="68">
        <f>IFERROR(F50*'As-Filed Schedule 1'!$E$103,0)</f>
        <v>0</v>
      </c>
      <c r="J50" s="304">
        <f>IFERROR(H50*'Adjusted Schedule 1'!$E$104,0)</f>
        <v>0</v>
      </c>
      <c r="K50" s="68">
        <f t="shared" si="1"/>
        <v>0</v>
      </c>
      <c r="L50" s="304">
        <f t="shared" si="2"/>
        <v>0</v>
      </c>
      <c r="N50" s="114">
        <f>'As-Filed Schedule 2C'!J50</f>
        <v>0</v>
      </c>
      <c r="O50" s="307">
        <f>SUMIFS(Adjustments!$G:$G,Adjustments!$H:$H,"2C",Adjustments!$I:$I,'Schedule 2C Adjustments'!$N$12,Adjustments!$J:$J,'Schedule 2C Adjustments'!$A50)</f>
        <v>0</v>
      </c>
      <c r="P50" s="303">
        <f t="shared" si="3"/>
        <v>0</v>
      </c>
      <c r="Q50" s="68">
        <f>IFERROR(N50*'As-Filed Schedule 1'!$E$103,0)</f>
        <v>0</v>
      </c>
      <c r="R50" s="304">
        <f>IFERROR(P50*'Adjusted Schedule 1'!$E$104,0)</f>
        <v>0</v>
      </c>
      <c r="S50" s="68">
        <f t="shared" si="4"/>
        <v>0</v>
      </c>
      <c r="T50" s="304">
        <f t="shared" si="5"/>
        <v>0</v>
      </c>
      <c r="V50" s="117">
        <f>'As-Filed Schedule 2C'!N50</f>
        <v>0</v>
      </c>
      <c r="W50" s="307">
        <f>SUMIFS(Adjustments!$G:$G,Adjustments!$H:$H,"2C",Adjustments!$I:$I,'Schedule 2C Adjustments'!$V$12,Adjustments!$J:$J,'Schedule 2C Adjustments'!$A50)</f>
        <v>0</v>
      </c>
      <c r="X50" s="303">
        <f t="shared" si="6"/>
        <v>0</v>
      </c>
      <c r="Y50" s="117">
        <f>'As-Filed Schedule 2C'!O50</f>
        <v>0</v>
      </c>
      <c r="Z50" s="307">
        <f>SUMIFS(Adjustments!$G:$G,Adjustments!$H:$H,"2C",Adjustments!$I:$I,'Schedule 2C Adjustments'!$Y$12,Adjustments!$J:$J,'Schedule 2C Adjustments'!$A50)</f>
        <v>0</v>
      </c>
      <c r="AA50" s="303">
        <f t="shared" si="7"/>
        <v>0</v>
      </c>
    </row>
    <row r="51" spans="1:27" x14ac:dyDescent="0.35">
      <c r="A51" s="24">
        <v>37</v>
      </c>
      <c r="B51" s="565" t="str">
        <f>IF('As-Filed Schedule 2C'!B51:D51=0,"",'As-Filed Schedule 2C'!B51:D51)</f>
        <v/>
      </c>
      <c r="C51" s="565"/>
      <c r="D51" s="565"/>
      <c r="F51" s="114">
        <f>'As-Filed Schedule 2C'!F51</f>
        <v>0</v>
      </c>
      <c r="G51" s="307">
        <f>SUMIFS(Adjustments!$G:$G,Adjustments!$H:$H,"2C",Adjustments!$I:$I,'Schedule 2C Adjustments'!$F$12,Adjustments!$J:$J,'Schedule 2C Adjustments'!$A51)</f>
        <v>0</v>
      </c>
      <c r="H51" s="303">
        <f t="shared" si="0"/>
        <v>0</v>
      </c>
      <c r="I51" s="68">
        <f>IFERROR(F51*'As-Filed Schedule 1'!$E$103,0)</f>
        <v>0</v>
      </c>
      <c r="J51" s="304">
        <f>IFERROR(H51*'Adjusted Schedule 1'!$E$104,0)</f>
        <v>0</v>
      </c>
      <c r="K51" s="68">
        <f t="shared" si="1"/>
        <v>0</v>
      </c>
      <c r="L51" s="304">
        <f t="shared" si="2"/>
        <v>0</v>
      </c>
      <c r="N51" s="114">
        <f>'As-Filed Schedule 2C'!J51</f>
        <v>0</v>
      </c>
      <c r="O51" s="307">
        <f>SUMIFS(Adjustments!$G:$G,Adjustments!$H:$H,"2C",Adjustments!$I:$I,'Schedule 2C Adjustments'!$N$12,Adjustments!$J:$J,'Schedule 2C Adjustments'!$A51)</f>
        <v>0</v>
      </c>
      <c r="P51" s="303">
        <f t="shared" si="3"/>
        <v>0</v>
      </c>
      <c r="Q51" s="68">
        <f>IFERROR(N51*'As-Filed Schedule 1'!$E$103,0)</f>
        <v>0</v>
      </c>
      <c r="R51" s="304">
        <f>IFERROR(P51*'Adjusted Schedule 1'!$E$104,0)</f>
        <v>0</v>
      </c>
      <c r="S51" s="68">
        <f t="shared" si="4"/>
        <v>0</v>
      </c>
      <c r="T51" s="304">
        <f t="shared" si="5"/>
        <v>0</v>
      </c>
      <c r="V51" s="117">
        <f>'As-Filed Schedule 2C'!N51</f>
        <v>0</v>
      </c>
      <c r="W51" s="307">
        <f>SUMIFS(Adjustments!$G:$G,Adjustments!$H:$H,"2C",Adjustments!$I:$I,'Schedule 2C Adjustments'!$V$12,Adjustments!$J:$J,'Schedule 2C Adjustments'!$A51)</f>
        <v>0</v>
      </c>
      <c r="X51" s="303">
        <f t="shared" si="6"/>
        <v>0</v>
      </c>
      <c r="Y51" s="117">
        <f>'As-Filed Schedule 2C'!O51</f>
        <v>0</v>
      </c>
      <c r="Z51" s="307">
        <f>SUMIFS(Adjustments!$G:$G,Adjustments!$H:$H,"2C",Adjustments!$I:$I,'Schedule 2C Adjustments'!$Y$12,Adjustments!$J:$J,'Schedule 2C Adjustments'!$A51)</f>
        <v>0</v>
      </c>
      <c r="AA51" s="303">
        <f t="shared" si="7"/>
        <v>0</v>
      </c>
    </row>
    <row r="52" spans="1:27" x14ac:dyDescent="0.35">
      <c r="A52" s="24">
        <v>38</v>
      </c>
      <c r="B52" s="565" t="str">
        <f>IF('As-Filed Schedule 2C'!B52:D52=0,"",'As-Filed Schedule 2C'!B52:D52)</f>
        <v/>
      </c>
      <c r="C52" s="565"/>
      <c r="D52" s="565"/>
      <c r="F52" s="114">
        <f>'As-Filed Schedule 2C'!F52</f>
        <v>0</v>
      </c>
      <c r="G52" s="307">
        <f>SUMIFS(Adjustments!$G:$G,Adjustments!$H:$H,"2C",Adjustments!$I:$I,'Schedule 2C Adjustments'!$F$12,Adjustments!$J:$J,'Schedule 2C Adjustments'!$A52)</f>
        <v>0</v>
      </c>
      <c r="H52" s="303">
        <f t="shared" si="0"/>
        <v>0</v>
      </c>
      <c r="I52" s="68">
        <f>IFERROR(F52*'As-Filed Schedule 1'!$E$103,0)</f>
        <v>0</v>
      </c>
      <c r="J52" s="304">
        <f>IFERROR(H52*'Adjusted Schedule 1'!$E$104,0)</f>
        <v>0</v>
      </c>
      <c r="K52" s="68">
        <f t="shared" si="1"/>
        <v>0</v>
      </c>
      <c r="L52" s="304">
        <f t="shared" si="2"/>
        <v>0</v>
      </c>
      <c r="N52" s="114">
        <f>'As-Filed Schedule 2C'!J52</f>
        <v>0</v>
      </c>
      <c r="O52" s="307">
        <f>SUMIFS(Adjustments!$G:$G,Adjustments!$H:$H,"2C",Adjustments!$I:$I,'Schedule 2C Adjustments'!$N$12,Adjustments!$J:$J,'Schedule 2C Adjustments'!$A52)</f>
        <v>0</v>
      </c>
      <c r="P52" s="303">
        <f t="shared" si="3"/>
        <v>0</v>
      </c>
      <c r="Q52" s="68">
        <f>IFERROR(N52*'As-Filed Schedule 1'!$E$103,0)</f>
        <v>0</v>
      </c>
      <c r="R52" s="304">
        <f>IFERROR(P52*'Adjusted Schedule 1'!$E$104,0)</f>
        <v>0</v>
      </c>
      <c r="S52" s="68">
        <f t="shared" si="4"/>
        <v>0</v>
      </c>
      <c r="T52" s="304">
        <f t="shared" si="5"/>
        <v>0</v>
      </c>
      <c r="V52" s="117">
        <f>'As-Filed Schedule 2C'!N52</f>
        <v>0</v>
      </c>
      <c r="W52" s="307">
        <f>SUMIFS(Adjustments!$G:$G,Adjustments!$H:$H,"2C",Adjustments!$I:$I,'Schedule 2C Adjustments'!$V$12,Adjustments!$J:$J,'Schedule 2C Adjustments'!$A52)</f>
        <v>0</v>
      </c>
      <c r="X52" s="303">
        <f t="shared" si="6"/>
        <v>0</v>
      </c>
      <c r="Y52" s="117">
        <f>'As-Filed Schedule 2C'!O52</f>
        <v>0</v>
      </c>
      <c r="Z52" s="307">
        <f>SUMIFS(Adjustments!$G:$G,Adjustments!$H:$H,"2C",Adjustments!$I:$I,'Schedule 2C Adjustments'!$Y$12,Adjustments!$J:$J,'Schedule 2C Adjustments'!$A52)</f>
        <v>0</v>
      </c>
      <c r="AA52" s="303">
        <f t="shared" si="7"/>
        <v>0</v>
      </c>
    </row>
    <row r="53" spans="1:27" x14ac:dyDescent="0.35">
      <c r="A53" s="24">
        <v>39</v>
      </c>
      <c r="B53" s="565" t="str">
        <f>IF('As-Filed Schedule 2C'!B53:D53=0,"",'As-Filed Schedule 2C'!B53:D53)</f>
        <v/>
      </c>
      <c r="C53" s="565"/>
      <c r="D53" s="565"/>
      <c r="F53" s="114">
        <f>'As-Filed Schedule 2C'!F53</f>
        <v>0</v>
      </c>
      <c r="G53" s="307">
        <f>SUMIFS(Adjustments!$G:$G,Adjustments!$H:$H,"2C",Adjustments!$I:$I,'Schedule 2C Adjustments'!$F$12,Adjustments!$J:$J,'Schedule 2C Adjustments'!$A53)</f>
        <v>0</v>
      </c>
      <c r="H53" s="303">
        <f t="shared" si="0"/>
        <v>0</v>
      </c>
      <c r="I53" s="68">
        <f>IFERROR(F53*'As-Filed Schedule 1'!$E$103,0)</f>
        <v>0</v>
      </c>
      <c r="J53" s="304">
        <f>IFERROR(H53*'Adjusted Schedule 1'!$E$104,0)</f>
        <v>0</v>
      </c>
      <c r="K53" s="68">
        <f t="shared" si="1"/>
        <v>0</v>
      </c>
      <c r="L53" s="304">
        <f t="shared" si="2"/>
        <v>0</v>
      </c>
      <c r="N53" s="114">
        <f>'As-Filed Schedule 2C'!J53</f>
        <v>0</v>
      </c>
      <c r="O53" s="307">
        <f>SUMIFS(Adjustments!$G:$G,Adjustments!$H:$H,"2C",Adjustments!$I:$I,'Schedule 2C Adjustments'!$N$12,Adjustments!$J:$J,'Schedule 2C Adjustments'!$A53)</f>
        <v>0</v>
      </c>
      <c r="P53" s="303">
        <f t="shared" si="3"/>
        <v>0</v>
      </c>
      <c r="Q53" s="68">
        <f>IFERROR(N53*'As-Filed Schedule 1'!$E$103,0)</f>
        <v>0</v>
      </c>
      <c r="R53" s="304">
        <f>IFERROR(P53*'Adjusted Schedule 1'!$E$104,0)</f>
        <v>0</v>
      </c>
      <c r="S53" s="68">
        <f t="shared" si="4"/>
        <v>0</v>
      </c>
      <c r="T53" s="304">
        <f t="shared" si="5"/>
        <v>0</v>
      </c>
      <c r="V53" s="117">
        <f>'As-Filed Schedule 2C'!N53</f>
        <v>0</v>
      </c>
      <c r="W53" s="307">
        <f>SUMIFS(Adjustments!$G:$G,Adjustments!$H:$H,"2C",Adjustments!$I:$I,'Schedule 2C Adjustments'!$V$12,Adjustments!$J:$J,'Schedule 2C Adjustments'!$A53)</f>
        <v>0</v>
      </c>
      <c r="X53" s="303">
        <f t="shared" si="6"/>
        <v>0</v>
      </c>
      <c r="Y53" s="117">
        <f>'As-Filed Schedule 2C'!O53</f>
        <v>0</v>
      </c>
      <c r="Z53" s="307">
        <f>SUMIFS(Adjustments!$G:$G,Adjustments!$H:$H,"2C",Adjustments!$I:$I,'Schedule 2C Adjustments'!$Y$12,Adjustments!$J:$J,'Schedule 2C Adjustments'!$A53)</f>
        <v>0</v>
      </c>
      <c r="AA53" s="303">
        <f t="shared" si="7"/>
        <v>0</v>
      </c>
    </row>
    <row r="54" spans="1:27" x14ac:dyDescent="0.35">
      <c r="A54" s="24">
        <v>40</v>
      </c>
      <c r="B54" s="565" t="str">
        <f>IF('As-Filed Schedule 2C'!B54:D54=0,"",'As-Filed Schedule 2C'!B54:D54)</f>
        <v/>
      </c>
      <c r="C54" s="565"/>
      <c r="D54" s="565"/>
      <c r="F54" s="114">
        <f>'As-Filed Schedule 2C'!F54</f>
        <v>0</v>
      </c>
      <c r="G54" s="307">
        <f>SUMIFS(Adjustments!$G:$G,Adjustments!$H:$H,"2C",Adjustments!$I:$I,'Schedule 2C Adjustments'!$F$12,Adjustments!$J:$J,'Schedule 2C Adjustments'!$A54)</f>
        <v>0</v>
      </c>
      <c r="H54" s="303">
        <f t="shared" si="0"/>
        <v>0</v>
      </c>
      <c r="I54" s="68">
        <f>IFERROR(F54*'As-Filed Schedule 1'!$E$103,0)</f>
        <v>0</v>
      </c>
      <c r="J54" s="304">
        <f>IFERROR(H54*'Adjusted Schedule 1'!$E$104,0)</f>
        <v>0</v>
      </c>
      <c r="K54" s="68">
        <f t="shared" si="1"/>
        <v>0</v>
      </c>
      <c r="L54" s="304">
        <f t="shared" si="2"/>
        <v>0</v>
      </c>
      <c r="N54" s="114">
        <f>'As-Filed Schedule 2C'!J54</f>
        <v>0</v>
      </c>
      <c r="O54" s="307">
        <f>SUMIFS(Adjustments!$G:$G,Adjustments!$H:$H,"2C",Adjustments!$I:$I,'Schedule 2C Adjustments'!$N$12,Adjustments!$J:$J,'Schedule 2C Adjustments'!$A54)</f>
        <v>0</v>
      </c>
      <c r="P54" s="303">
        <f t="shared" si="3"/>
        <v>0</v>
      </c>
      <c r="Q54" s="68">
        <f>IFERROR(N54*'As-Filed Schedule 1'!$E$103,0)</f>
        <v>0</v>
      </c>
      <c r="R54" s="304">
        <f>IFERROR(P54*'Adjusted Schedule 1'!$E$104,0)</f>
        <v>0</v>
      </c>
      <c r="S54" s="68">
        <f t="shared" si="4"/>
        <v>0</v>
      </c>
      <c r="T54" s="304">
        <f t="shared" si="5"/>
        <v>0</v>
      </c>
      <c r="V54" s="117">
        <f>'As-Filed Schedule 2C'!N54</f>
        <v>0</v>
      </c>
      <c r="W54" s="307">
        <f>SUMIFS(Adjustments!$G:$G,Adjustments!$H:$H,"2C",Adjustments!$I:$I,'Schedule 2C Adjustments'!$V$12,Adjustments!$J:$J,'Schedule 2C Adjustments'!$A54)</f>
        <v>0</v>
      </c>
      <c r="X54" s="303">
        <f t="shared" si="6"/>
        <v>0</v>
      </c>
      <c r="Y54" s="117">
        <f>'As-Filed Schedule 2C'!O54</f>
        <v>0</v>
      </c>
      <c r="Z54" s="307">
        <f>SUMIFS(Adjustments!$G:$G,Adjustments!$H:$H,"2C",Adjustments!$I:$I,'Schedule 2C Adjustments'!$Y$12,Adjustments!$J:$J,'Schedule 2C Adjustments'!$A54)</f>
        <v>0</v>
      </c>
      <c r="AA54" s="303">
        <f t="shared" si="7"/>
        <v>0</v>
      </c>
    </row>
    <row r="55" spans="1:27" x14ac:dyDescent="0.35">
      <c r="A55" s="24">
        <v>41</v>
      </c>
      <c r="B55" s="565" t="str">
        <f>IF('As-Filed Schedule 2C'!B55:D55=0,"",'As-Filed Schedule 2C'!B55:D55)</f>
        <v/>
      </c>
      <c r="C55" s="565"/>
      <c r="D55" s="565"/>
      <c r="F55" s="114">
        <f>'As-Filed Schedule 2C'!F55</f>
        <v>0</v>
      </c>
      <c r="G55" s="307">
        <f>SUMIFS(Adjustments!$G:$G,Adjustments!$H:$H,"2C",Adjustments!$I:$I,'Schedule 2C Adjustments'!$F$12,Adjustments!$J:$J,'Schedule 2C Adjustments'!$A55)</f>
        <v>0</v>
      </c>
      <c r="H55" s="303">
        <f t="shared" si="0"/>
        <v>0</v>
      </c>
      <c r="I55" s="68">
        <f>IFERROR(F55*'As-Filed Schedule 1'!$E$103,0)</f>
        <v>0</v>
      </c>
      <c r="J55" s="304">
        <f>IFERROR(H55*'Adjusted Schedule 1'!$E$104,0)</f>
        <v>0</v>
      </c>
      <c r="K55" s="68">
        <f t="shared" si="1"/>
        <v>0</v>
      </c>
      <c r="L55" s="304">
        <f t="shared" si="2"/>
        <v>0</v>
      </c>
      <c r="N55" s="114">
        <f>'As-Filed Schedule 2C'!J55</f>
        <v>0</v>
      </c>
      <c r="O55" s="307">
        <f>SUMIFS(Adjustments!$G:$G,Adjustments!$H:$H,"2C",Adjustments!$I:$I,'Schedule 2C Adjustments'!$N$12,Adjustments!$J:$J,'Schedule 2C Adjustments'!$A55)</f>
        <v>0</v>
      </c>
      <c r="P55" s="303">
        <f t="shared" si="3"/>
        <v>0</v>
      </c>
      <c r="Q55" s="68">
        <f>IFERROR(N55*'As-Filed Schedule 1'!$E$103,0)</f>
        <v>0</v>
      </c>
      <c r="R55" s="304">
        <f>IFERROR(P55*'Adjusted Schedule 1'!$E$104,0)</f>
        <v>0</v>
      </c>
      <c r="S55" s="68">
        <f t="shared" si="4"/>
        <v>0</v>
      </c>
      <c r="T55" s="304">
        <f t="shared" si="5"/>
        <v>0</v>
      </c>
      <c r="V55" s="117">
        <f>'As-Filed Schedule 2C'!N55</f>
        <v>0</v>
      </c>
      <c r="W55" s="307">
        <f>SUMIFS(Adjustments!$G:$G,Adjustments!$H:$H,"2C",Adjustments!$I:$I,'Schedule 2C Adjustments'!$V$12,Adjustments!$J:$J,'Schedule 2C Adjustments'!$A55)</f>
        <v>0</v>
      </c>
      <c r="X55" s="303">
        <f t="shared" si="6"/>
        <v>0</v>
      </c>
      <c r="Y55" s="117">
        <f>'As-Filed Schedule 2C'!O55</f>
        <v>0</v>
      </c>
      <c r="Z55" s="307">
        <f>SUMIFS(Adjustments!$G:$G,Adjustments!$H:$H,"2C",Adjustments!$I:$I,'Schedule 2C Adjustments'!$Y$12,Adjustments!$J:$J,'Schedule 2C Adjustments'!$A55)</f>
        <v>0</v>
      </c>
      <c r="AA55" s="303">
        <f t="shared" si="7"/>
        <v>0</v>
      </c>
    </row>
    <row r="56" spans="1:27" x14ac:dyDescent="0.35">
      <c r="A56" s="24">
        <v>42</v>
      </c>
      <c r="B56" s="565" t="str">
        <f>IF('As-Filed Schedule 2C'!B56:D56=0,"",'As-Filed Schedule 2C'!B56:D56)</f>
        <v/>
      </c>
      <c r="C56" s="565"/>
      <c r="D56" s="565"/>
      <c r="F56" s="114">
        <f>'As-Filed Schedule 2C'!F56</f>
        <v>0</v>
      </c>
      <c r="G56" s="307">
        <f>SUMIFS(Adjustments!$G:$G,Adjustments!$H:$H,"2C",Adjustments!$I:$I,'Schedule 2C Adjustments'!$F$12,Adjustments!$J:$J,'Schedule 2C Adjustments'!$A56)</f>
        <v>0</v>
      </c>
      <c r="H56" s="303">
        <f t="shared" si="0"/>
        <v>0</v>
      </c>
      <c r="I56" s="68">
        <f>IFERROR(F56*'As-Filed Schedule 1'!$E$103,0)</f>
        <v>0</v>
      </c>
      <c r="J56" s="304">
        <f>IFERROR(H56*'Adjusted Schedule 1'!$E$104,0)</f>
        <v>0</v>
      </c>
      <c r="K56" s="68">
        <f t="shared" si="1"/>
        <v>0</v>
      </c>
      <c r="L56" s="304">
        <f t="shared" si="2"/>
        <v>0</v>
      </c>
      <c r="N56" s="114">
        <f>'As-Filed Schedule 2C'!J56</f>
        <v>0</v>
      </c>
      <c r="O56" s="307">
        <f>SUMIFS(Adjustments!$G:$G,Adjustments!$H:$H,"2C",Adjustments!$I:$I,'Schedule 2C Adjustments'!$N$12,Adjustments!$J:$J,'Schedule 2C Adjustments'!$A56)</f>
        <v>0</v>
      </c>
      <c r="P56" s="303">
        <f t="shared" si="3"/>
        <v>0</v>
      </c>
      <c r="Q56" s="68">
        <f>IFERROR(N56*'As-Filed Schedule 1'!$E$103,0)</f>
        <v>0</v>
      </c>
      <c r="R56" s="304">
        <f>IFERROR(P56*'Adjusted Schedule 1'!$E$104,0)</f>
        <v>0</v>
      </c>
      <c r="S56" s="68">
        <f t="shared" si="4"/>
        <v>0</v>
      </c>
      <c r="T56" s="304">
        <f t="shared" si="5"/>
        <v>0</v>
      </c>
      <c r="V56" s="117">
        <f>'As-Filed Schedule 2C'!N56</f>
        <v>0</v>
      </c>
      <c r="W56" s="307">
        <f>SUMIFS(Adjustments!$G:$G,Adjustments!$H:$H,"2C",Adjustments!$I:$I,'Schedule 2C Adjustments'!$V$12,Adjustments!$J:$J,'Schedule 2C Adjustments'!$A56)</f>
        <v>0</v>
      </c>
      <c r="X56" s="303">
        <f t="shared" si="6"/>
        <v>0</v>
      </c>
      <c r="Y56" s="117">
        <f>'As-Filed Schedule 2C'!O56</f>
        <v>0</v>
      </c>
      <c r="Z56" s="307">
        <f>SUMIFS(Adjustments!$G:$G,Adjustments!$H:$H,"2C",Adjustments!$I:$I,'Schedule 2C Adjustments'!$Y$12,Adjustments!$J:$J,'Schedule 2C Adjustments'!$A56)</f>
        <v>0</v>
      </c>
      <c r="AA56" s="303">
        <f t="shared" si="7"/>
        <v>0</v>
      </c>
    </row>
    <row r="57" spans="1:27" x14ac:dyDescent="0.35">
      <c r="A57" s="24">
        <v>43</v>
      </c>
      <c r="B57" s="565" t="str">
        <f>IF('As-Filed Schedule 2C'!B57:D57=0,"",'As-Filed Schedule 2C'!B57:D57)</f>
        <v/>
      </c>
      <c r="C57" s="565"/>
      <c r="D57" s="565"/>
      <c r="F57" s="114">
        <f>'As-Filed Schedule 2C'!F57</f>
        <v>0</v>
      </c>
      <c r="G57" s="307">
        <f>SUMIFS(Adjustments!$G:$G,Adjustments!$H:$H,"2C",Adjustments!$I:$I,'Schedule 2C Adjustments'!$F$12,Adjustments!$J:$J,'Schedule 2C Adjustments'!$A57)</f>
        <v>0</v>
      </c>
      <c r="H57" s="303">
        <f t="shared" si="0"/>
        <v>0</v>
      </c>
      <c r="I57" s="68">
        <f>IFERROR(F57*'As-Filed Schedule 1'!$E$103,0)</f>
        <v>0</v>
      </c>
      <c r="J57" s="304">
        <f>IFERROR(H57*'Adjusted Schedule 1'!$E$104,0)</f>
        <v>0</v>
      </c>
      <c r="K57" s="68">
        <f t="shared" si="1"/>
        <v>0</v>
      </c>
      <c r="L57" s="304">
        <f t="shared" si="2"/>
        <v>0</v>
      </c>
      <c r="N57" s="114">
        <f>'As-Filed Schedule 2C'!J57</f>
        <v>0</v>
      </c>
      <c r="O57" s="307">
        <f>SUMIFS(Adjustments!$G:$G,Adjustments!$H:$H,"2C",Adjustments!$I:$I,'Schedule 2C Adjustments'!$N$12,Adjustments!$J:$J,'Schedule 2C Adjustments'!$A57)</f>
        <v>0</v>
      </c>
      <c r="P57" s="303">
        <f t="shared" si="3"/>
        <v>0</v>
      </c>
      <c r="Q57" s="68">
        <f>IFERROR(N57*'As-Filed Schedule 1'!$E$103,0)</f>
        <v>0</v>
      </c>
      <c r="R57" s="304">
        <f>IFERROR(P57*'Adjusted Schedule 1'!$E$104,0)</f>
        <v>0</v>
      </c>
      <c r="S57" s="68">
        <f t="shared" si="4"/>
        <v>0</v>
      </c>
      <c r="T57" s="304">
        <f t="shared" si="5"/>
        <v>0</v>
      </c>
      <c r="V57" s="117">
        <f>'As-Filed Schedule 2C'!N57</f>
        <v>0</v>
      </c>
      <c r="W57" s="307">
        <f>SUMIFS(Adjustments!$G:$G,Adjustments!$H:$H,"2C",Adjustments!$I:$I,'Schedule 2C Adjustments'!$V$12,Adjustments!$J:$J,'Schedule 2C Adjustments'!$A57)</f>
        <v>0</v>
      </c>
      <c r="X57" s="303">
        <f t="shared" si="6"/>
        <v>0</v>
      </c>
      <c r="Y57" s="117">
        <f>'As-Filed Schedule 2C'!O57</f>
        <v>0</v>
      </c>
      <c r="Z57" s="307">
        <f>SUMIFS(Adjustments!$G:$G,Adjustments!$H:$H,"2C",Adjustments!$I:$I,'Schedule 2C Adjustments'!$Y$12,Adjustments!$J:$J,'Schedule 2C Adjustments'!$A57)</f>
        <v>0</v>
      </c>
      <c r="AA57" s="303">
        <f t="shared" si="7"/>
        <v>0</v>
      </c>
    </row>
    <row r="58" spans="1:27" x14ac:dyDescent="0.35">
      <c r="A58" s="24">
        <v>44</v>
      </c>
      <c r="B58" s="565" t="str">
        <f>IF('As-Filed Schedule 2C'!B58:D58=0,"",'As-Filed Schedule 2C'!B58:D58)</f>
        <v/>
      </c>
      <c r="C58" s="565"/>
      <c r="D58" s="565"/>
      <c r="F58" s="114">
        <f>'As-Filed Schedule 2C'!F58</f>
        <v>0</v>
      </c>
      <c r="G58" s="307">
        <f>SUMIFS(Adjustments!$G:$G,Adjustments!$H:$H,"2C",Adjustments!$I:$I,'Schedule 2C Adjustments'!$F$12,Adjustments!$J:$J,'Schedule 2C Adjustments'!$A58)</f>
        <v>0</v>
      </c>
      <c r="H58" s="303">
        <f t="shared" si="0"/>
        <v>0</v>
      </c>
      <c r="I58" s="68">
        <f>IFERROR(F58*'As-Filed Schedule 1'!$E$103,0)</f>
        <v>0</v>
      </c>
      <c r="J58" s="304">
        <f>IFERROR(H58*'Adjusted Schedule 1'!$E$104,0)</f>
        <v>0</v>
      </c>
      <c r="K58" s="68">
        <f t="shared" si="1"/>
        <v>0</v>
      </c>
      <c r="L58" s="304">
        <f t="shared" si="2"/>
        <v>0</v>
      </c>
      <c r="N58" s="114">
        <f>'As-Filed Schedule 2C'!J58</f>
        <v>0</v>
      </c>
      <c r="O58" s="307">
        <f>SUMIFS(Adjustments!$G:$G,Adjustments!$H:$H,"2C",Adjustments!$I:$I,'Schedule 2C Adjustments'!$N$12,Adjustments!$J:$J,'Schedule 2C Adjustments'!$A58)</f>
        <v>0</v>
      </c>
      <c r="P58" s="303">
        <f t="shared" si="3"/>
        <v>0</v>
      </c>
      <c r="Q58" s="68">
        <f>IFERROR(N58*'As-Filed Schedule 1'!$E$103,0)</f>
        <v>0</v>
      </c>
      <c r="R58" s="304">
        <f>IFERROR(P58*'Adjusted Schedule 1'!$E$104,0)</f>
        <v>0</v>
      </c>
      <c r="S58" s="68">
        <f t="shared" si="4"/>
        <v>0</v>
      </c>
      <c r="T58" s="304">
        <f t="shared" si="5"/>
        <v>0</v>
      </c>
      <c r="V58" s="117">
        <f>'As-Filed Schedule 2C'!N58</f>
        <v>0</v>
      </c>
      <c r="W58" s="307">
        <f>SUMIFS(Adjustments!$G:$G,Adjustments!$H:$H,"2C",Adjustments!$I:$I,'Schedule 2C Adjustments'!$V$12,Adjustments!$J:$J,'Schedule 2C Adjustments'!$A58)</f>
        <v>0</v>
      </c>
      <c r="X58" s="303">
        <f t="shared" si="6"/>
        <v>0</v>
      </c>
      <c r="Y58" s="117">
        <f>'As-Filed Schedule 2C'!O58</f>
        <v>0</v>
      </c>
      <c r="Z58" s="307">
        <f>SUMIFS(Adjustments!$G:$G,Adjustments!$H:$H,"2C",Adjustments!$I:$I,'Schedule 2C Adjustments'!$Y$12,Adjustments!$J:$J,'Schedule 2C Adjustments'!$A58)</f>
        <v>0</v>
      </c>
      <c r="AA58" s="303">
        <f t="shared" si="7"/>
        <v>0</v>
      </c>
    </row>
    <row r="59" spans="1:27" x14ac:dyDescent="0.35">
      <c r="A59" s="24">
        <v>45</v>
      </c>
      <c r="B59" s="565" t="str">
        <f>IF('As-Filed Schedule 2C'!B59:D59=0,"",'As-Filed Schedule 2C'!B59:D59)</f>
        <v/>
      </c>
      <c r="C59" s="565"/>
      <c r="D59" s="565"/>
      <c r="F59" s="114">
        <f>'As-Filed Schedule 2C'!F59</f>
        <v>0</v>
      </c>
      <c r="G59" s="307">
        <f>SUMIFS(Adjustments!$G:$G,Adjustments!$H:$H,"2C",Adjustments!$I:$I,'Schedule 2C Adjustments'!$F$12,Adjustments!$J:$J,'Schedule 2C Adjustments'!$A59)</f>
        <v>0</v>
      </c>
      <c r="H59" s="303">
        <f t="shared" si="0"/>
        <v>0</v>
      </c>
      <c r="I59" s="68">
        <f>IFERROR(F59*'As-Filed Schedule 1'!$E$103,0)</f>
        <v>0</v>
      </c>
      <c r="J59" s="304">
        <f>IFERROR(H59*'Adjusted Schedule 1'!$E$104,0)</f>
        <v>0</v>
      </c>
      <c r="K59" s="68">
        <f t="shared" si="1"/>
        <v>0</v>
      </c>
      <c r="L59" s="304">
        <f t="shared" si="2"/>
        <v>0</v>
      </c>
      <c r="N59" s="114">
        <f>'As-Filed Schedule 2C'!J59</f>
        <v>0</v>
      </c>
      <c r="O59" s="307">
        <f>SUMIFS(Adjustments!$G:$G,Adjustments!$H:$H,"2C",Adjustments!$I:$I,'Schedule 2C Adjustments'!$N$12,Adjustments!$J:$J,'Schedule 2C Adjustments'!$A59)</f>
        <v>0</v>
      </c>
      <c r="P59" s="303">
        <f t="shared" si="3"/>
        <v>0</v>
      </c>
      <c r="Q59" s="68">
        <f>IFERROR(N59*'As-Filed Schedule 1'!$E$103,0)</f>
        <v>0</v>
      </c>
      <c r="R59" s="304">
        <f>IFERROR(P59*'Adjusted Schedule 1'!$E$104,0)</f>
        <v>0</v>
      </c>
      <c r="S59" s="68">
        <f t="shared" si="4"/>
        <v>0</v>
      </c>
      <c r="T59" s="304">
        <f t="shared" si="5"/>
        <v>0</v>
      </c>
      <c r="V59" s="117">
        <f>'As-Filed Schedule 2C'!N59</f>
        <v>0</v>
      </c>
      <c r="W59" s="307">
        <f>SUMIFS(Adjustments!$G:$G,Adjustments!$H:$H,"2C",Adjustments!$I:$I,'Schedule 2C Adjustments'!$V$12,Adjustments!$J:$J,'Schedule 2C Adjustments'!$A59)</f>
        <v>0</v>
      </c>
      <c r="X59" s="303">
        <f t="shared" si="6"/>
        <v>0</v>
      </c>
      <c r="Y59" s="117">
        <f>'As-Filed Schedule 2C'!O59</f>
        <v>0</v>
      </c>
      <c r="Z59" s="307">
        <f>SUMIFS(Adjustments!$G:$G,Adjustments!$H:$H,"2C",Adjustments!$I:$I,'Schedule 2C Adjustments'!$Y$12,Adjustments!$J:$J,'Schedule 2C Adjustments'!$A59)</f>
        <v>0</v>
      </c>
      <c r="AA59" s="303">
        <f t="shared" si="7"/>
        <v>0</v>
      </c>
    </row>
    <row r="60" spans="1:27" x14ac:dyDescent="0.35">
      <c r="A60" s="24">
        <v>46</v>
      </c>
      <c r="B60" s="565" t="str">
        <f>IF('As-Filed Schedule 2C'!B60:D60=0,"",'As-Filed Schedule 2C'!B60:D60)</f>
        <v/>
      </c>
      <c r="C60" s="565"/>
      <c r="D60" s="565"/>
      <c r="F60" s="114">
        <f>'As-Filed Schedule 2C'!F60</f>
        <v>0</v>
      </c>
      <c r="G60" s="307">
        <f>SUMIFS(Adjustments!$G:$G,Adjustments!$H:$H,"2C",Adjustments!$I:$I,'Schedule 2C Adjustments'!$F$12,Adjustments!$J:$J,'Schedule 2C Adjustments'!$A60)</f>
        <v>0</v>
      </c>
      <c r="H60" s="303">
        <f t="shared" si="0"/>
        <v>0</v>
      </c>
      <c r="I60" s="68">
        <f>IFERROR(F60*'As-Filed Schedule 1'!$E$103,0)</f>
        <v>0</v>
      </c>
      <c r="J60" s="304">
        <f>IFERROR(H60*'Adjusted Schedule 1'!$E$104,0)</f>
        <v>0</v>
      </c>
      <c r="K60" s="68">
        <f t="shared" si="1"/>
        <v>0</v>
      </c>
      <c r="L60" s="304">
        <f t="shared" si="2"/>
        <v>0</v>
      </c>
      <c r="N60" s="114">
        <f>'As-Filed Schedule 2C'!J60</f>
        <v>0</v>
      </c>
      <c r="O60" s="307">
        <f>SUMIFS(Adjustments!$G:$G,Adjustments!$H:$H,"2C",Adjustments!$I:$I,'Schedule 2C Adjustments'!$N$12,Adjustments!$J:$J,'Schedule 2C Adjustments'!$A60)</f>
        <v>0</v>
      </c>
      <c r="P60" s="303">
        <f t="shared" si="3"/>
        <v>0</v>
      </c>
      <c r="Q60" s="68">
        <f>IFERROR(N60*'As-Filed Schedule 1'!$E$103,0)</f>
        <v>0</v>
      </c>
      <c r="R60" s="304">
        <f>IFERROR(P60*'Adjusted Schedule 1'!$E$104,0)</f>
        <v>0</v>
      </c>
      <c r="S60" s="68">
        <f t="shared" si="4"/>
        <v>0</v>
      </c>
      <c r="T60" s="304">
        <f t="shared" si="5"/>
        <v>0</v>
      </c>
      <c r="V60" s="117">
        <f>'As-Filed Schedule 2C'!N60</f>
        <v>0</v>
      </c>
      <c r="W60" s="307">
        <f>SUMIFS(Adjustments!$G:$G,Adjustments!$H:$H,"2C",Adjustments!$I:$I,'Schedule 2C Adjustments'!$V$12,Adjustments!$J:$J,'Schedule 2C Adjustments'!$A60)</f>
        <v>0</v>
      </c>
      <c r="X60" s="303">
        <f t="shared" si="6"/>
        <v>0</v>
      </c>
      <c r="Y60" s="117">
        <f>'As-Filed Schedule 2C'!O60</f>
        <v>0</v>
      </c>
      <c r="Z60" s="307">
        <f>SUMIFS(Adjustments!$G:$G,Adjustments!$H:$H,"2C",Adjustments!$I:$I,'Schedule 2C Adjustments'!$Y$12,Adjustments!$J:$J,'Schedule 2C Adjustments'!$A60)</f>
        <v>0</v>
      </c>
      <c r="AA60" s="303">
        <f t="shared" si="7"/>
        <v>0</v>
      </c>
    </row>
    <row r="61" spans="1:27" x14ac:dyDescent="0.35">
      <c r="A61" s="24">
        <v>47</v>
      </c>
      <c r="B61" s="565" t="str">
        <f>IF('As-Filed Schedule 2C'!B61:D61=0,"",'As-Filed Schedule 2C'!B61:D61)</f>
        <v/>
      </c>
      <c r="C61" s="565"/>
      <c r="D61" s="565"/>
      <c r="F61" s="114">
        <f>'As-Filed Schedule 2C'!F61</f>
        <v>0</v>
      </c>
      <c r="G61" s="307">
        <f>SUMIFS(Adjustments!$G:$G,Adjustments!$H:$H,"2C",Adjustments!$I:$I,'Schedule 2C Adjustments'!$F$12,Adjustments!$J:$J,'Schedule 2C Adjustments'!$A61)</f>
        <v>0</v>
      </c>
      <c r="H61" s="303">
        <f t="shared" si="0"/>
        <v>0</v>
      </c>
      <c r="I61" s="68">
        <f>IFERROR(F61*'As-Filed Schedule 1'!$E$103,0)</f>
        <v>0</v>
      </c>
      <c r="J61" s="304">
        <f>IFERROR(H61*'Adjusted Schedule 1'!$E$104,0)</f>
        <v>0</v>
      </c>
      <c r="K61" s="68">
        <f t="shared" si="1"/>
        <v>0</v>
      </c>
      <c r="L61" s="304">
        <f t="shared" si="2"/>
        <v>0</v>
      </c>
      <c r="N61" s="114">
        <f>'As-Filed Schedule 2C'!J61</f>
        <v>0</v>
      </c>
      <c r="O61" s="307">
        <f>SUMIFS(Adjustments!$G:$G,Adjustments!$H:$H,"2C",Adjustments!$I:$I,'Schedule 2C Adjustments'!$N$12,Adjustments!$J:$J,'Schedule 2C Adjustments'!$A61)</f>
        <v>0</v>
      </c>
      <c r="P61" s="303">
        <f t="shared" si="3"/>
        <v>0</v>
      </c>
      <c r="Q61" s="68">
        <f>IFERROR(N61*'As-Filed Schedule 1'!$E$103,0)</f>
        <v>0</v>
      </c>
      <c r="R61" s="304">
        <f>IFERROR(P61*'Adjusted Schedule 1'!$E$104,0)</f>
        <v>0</v>
      </c>
      <c r="S61" s="68">
        <f t="shared" si="4"/>
        <v>0</v>
      </c>
      <c r="T61" s="304">
        <f t="shared" si="5"/>
        <v>0</v>
      </c>
      <c r="V61" s="117">
        <f>'As-Filed Schedule 2C'!N61</f>
        <v>0</v>
      </c>
      <c r="W61" s="307">
        <f>SUMIFS(Adjustments!$G:$G,Adjustments!$H:$H,"2C",Adjustments!$I:$I,'Schedule 2C Adjustments'!$V$12,Adjustments!$J:$J,'Schedule 2C Adjustments'!$A61)</f>
        <v>0</v>
      </c>
      <c r="X61" s="303">
        <f t="shared" si="6"/>
        <v>0</v>
      </c>
      <c r="Y61" s="117">
        <f>'As-Filed Schedule 2C'!O61</f>
        <v>0</v>
      </c>
      <c r="Z61" s="307">
        <f>SUMIFS(Adjustments!$G:$G,Adjustments!$H:$H,"2C",Adjustments!$I:$I,'Schedule 2C Adjustments'!$Y$12,Adjustments!$J:$J,'Schedule 2C Adjustments'!$A61)</f>
        <v>0</v>
      </c>
      <c r="AA61" s="303">
        <f t="shared" si="7"/>
        <v>0</v>
      </c>
    </row>
    <row r="62" spans="1:27" x14ac:dyDescent="0.35">
      <c r="A62" s="24">
        <v>48</v>
      </c>
      <c r="B62" s="565" t="str">
        <f>IF('As-Filed Schedule 2C'!B62:D62=0,"",'As-Filed Schedule 2C'!B62:D62)</f>
        <v/>
      </c>
      <c r="C62" s="565"/>
      <c r="D62" s="565"/>
      <c r="F62" s="114">
        <f>'As-Filed Schedule 2C'!F62</f>
        <v>0</v>
      </c>
      <c r="G62" s="307">
        <f>SUMIFS(Adjustments!$G:$G,Adjustments!$H:$H,"2C",Adjustments!$I:$I,'Schedule 2C Adjustments'!$F$12,Adjustments!$J:$J,'Schedule 2C Adjustments'!$A62)</f>
        <v>0</v>
      </c>
      <c r="H62" s="303">
        <f t="shared" si="0"/>
        <v>0</v>
      </c>
      <c r="I62" s="68">
        <f>IFERROR(F62*'As-Filed Schedule 1'!$E$103,0)</f>
        <v>0</v>
      </c>
      <c r="J62" s="304">
        <f>IFERROR(H62*'Adjusted Schedule 1'!$E$104,0)</f>
        <v>0</v>
      </c>
      <c r="K62" s="68">
        <f t="shared" si="1"/>
        <v>0</v>
      </c>
      <c r="L62" s="304">
        <f t="shared" si="2"/>
        <v>0</v>
      </c>
      <c r="N62" s="114">
        <f>'As-Filed Schedule 2C'!J62</f>
        <v>0</v>
      </c>
      <c r="O62" s="307">
        <f>SUMIFS(Adjustments!$G:$G,Adjustments!$H:$H,"2C",Adjustments!$I:$I,'Schedule 2C Adjustments'!$N$12,Adjustments!$J:$J,'Schedule 2C Adjustments'!$A62)</f>
        <v>0</v>
      </c>
      <c r="P62" s="303">
        <f t="shared" si="3"/>
        <v>0</v>
      </c>
      <c r="Q62" s="68">
        <f>IFERROR(N62*'As-Filed Schedule 1'!$E$103,0)</f>
        <v>0</v>
      </c>
      <c r="R62" s="304">
        <f>IFERROR(P62*'Adjusted Schedule 1'!$E$104,0)</f>
        <v>0</v>
      </c>
      <c r="S62" s="68">
        <f t="shared" si="4"/>
        <v>0</v>
      </c>
      <c r="T62" s="304">
        <f t="shared" si="5"/>
        <v>0</v>
      </c>
      <c r="V62" s="117">
        <f>'As-Filed Schedule 2C'!N62</f>
        <v>0</v>
      </c>
      <c r="W62" s="307">
        <f>SUMIFS(Adjustments!$G:$G,Adjustments!$H:$H,"2C",Adjustments!$I:$I,'Schedule 2C Adjustments'!$V$12,Adjustments!$J:$J,'Schedule 2C Adjustments'!$A62)</f>
        <v>0</v>
      </c>
      <c r="X62" s="303">
        <f t="shared" si="6"/>
        <v>0</v>
      </c>
      <c r="Y62" s="117">
        <f>'As-Filed Schedule 2C'!O62</f>
        <v>0</v>
      </c>
      <c r="Z62" s="307">
        <f>SUMIFS(Adjustments!$G:$G,Adjustments!$H:$H,"2C",Adjustments!$I:$I,'Schedule 2C Adjustments'!$Y$12,Adjustments!$J:$J,'Schedule 2C Adjustments'!$A62)</f>
        <v>0</v>
      </c>
      <c r="AA62" s="303">
        <f t="shared" si="7"/>
        <v>0</v>
      </c>
    </row>
    <row r="63" spans="1:27" x14ac:dyDescent="0.35">
      <c r="A63" s="24">
        <v>49</v>
      </c>
      <c r="B63" s="565" t="str">
        <f>IF('As-Filed Schedule 2C'!B63:D63=0,"",'As-Filed Schedule 2C'!B63:D63)</f>
        <v/>
      </c>
      <c r="C63" s="565"/>
      <c r="D63" s="565"/>
      <c r="F63" s="114">
        <f>'As-Filed Schedule 2C'!F63</f>
        <v>0</v>
      </c>
      <c r="G63" s="307">
        <f>SUMIFS(Adjustments!$G:$G,Adjustments!$H:$H,"2C",Adjustments!$I:$I,'Schedule 2C Adjustments'!$F$12,Adjustments!$J:$J,'Schedule 2C Adjustments'!$A63)</f>
        <v>0</v>
      </c>
      <c r="H63" s="303">
        <f t="shared" si="0"/>
        <v>0</v>
      </c>
      <c r="I63" s="68">
        <f>IFERROR(F63*'As-Filed Schedule 1'!$E$103,0)</f>
        <v>0</v>
      </c>
      <c r="J63" s="304">
        <f>IFERROR(H63*'Adjusted Schedule 1'!$E$104,0)</f>
        <v>0</v>
      </c>
      <c r="K63" s="68">
        <f t="shared" si="1"/>
        <v>0</v>
      </c>
      <c r="L63" s="304">
        <f t="shared" si="2"/>
        <v>0</v>
      </c>
      <c r="N63" s="114">
        <f>'As-Filed Schedule 2C'!J63</f>
        <v>0</v>
      </c>
      <c r="O63" s="307">
        <f>SUMIFS(Adjustments!$G:$G,Adjustments!$H:$H,"2C",Adjustments!$I:$I,'Schedule 2C Adjustments'!$N$12,Adjustments!$J:$J,'Schedule 2C Adjustments'!$A63)</f>
        <v>0</v>
      </c>
      <c r="P63" s="303">
        <f t="shared" si="3"/>
        <v>0</v>
      </c>
      <c r="Q63" s="68">
        <f>IFERROR(N63*'As-Filed Schedule 1'!$E$103,0)</f>
        <v>0</v>
      </c>
      <c r="R63" s="304">
        <f>IFERROR(P63*'Adjusted Schedule 1'!$E$104,0)</f>
        <v>0</v>
      </c>
      <c r="S63" s="68">
        <f t="shared" si="4"/>
        <v>0</v>
      </c>
      <c r="T63" s="304">
        <f t="shared" si="5"/>
        <v>0</v>
      </c>
      <c r="V63" s="117">
        <f>'As-Filed Schedule 2C'!N63</f>
        <v>0</v>
      </c>
      <c r="W63" s="307">
        <f>SUMIFS(Adjustments!$G:$G,Adjustments!$H:$H,"2C",Adjustments!$I:$I,'Schedule 2C Adjustments'!$V$12,Adjustments!$J:$J,'Schedule 2C Adjustments'!$A63)</f>
        <v>0</v>
      </c>
      <c r="X63" s="303">
        <f t="shared" si="6"/>
        <v>0</v>
      </c>
      <c r="Y63" s="117">
        <f>'As-Filed Schedule 2C'!O63</f>
        <v>0</v>
      </c>
      <c r="Z63" s="307">
        <f>SUMIFS(Adjustments!$G:$G,Adjustments!$H:$H,"2C",Adjustments!$I:$I,'Schedule 2C Adjustments'!$Y$12,Adjustments!$J:$J,'Schedule 2C Adjustments'!$A63)</f>
        <v>0</v>
      </c>
      <c r="AA63" s="303">
        <f t="shared" si="7"/>
        <v>0</v>
      </c>
    </row>
    <row r="64" spans="1:27" x14ac:dyDescent="0.35">
      <c r="A64" s="24">
        <v>50</v>
      </c>
      <c r="B64" s="565" t="str">
        <f>IF('As-Filed Schedule 2C'!B64:D64=0,"",'As-Filed Schedule 2C'!B64:D64)</f>
        <v/>
      </c>
      <c r="C64" s="565"/>
      <c r="D64" s="565"/>
      <c r="F64" s="114">
        <f>'As-Filed Schedule 2C'!F64</f>
        <v>0</v>
      </c>
      <c r="G64" s="307">
        <f>SUMIFS(Adjustments!$G:$G,Adjustments!$H:$H,"2C",Adjustments!$I:$I,'Schedule 2C Adjustments'!$F$12,Adjustments!$J:$J,'Schedule 2C Adjustments'!$A64)</f>
        <v>0</v>
      </c>
      <c r="H64" s="303">
        <f t="shared" si="0"/>
        <v>0</v>
      </c>
      <c r="I64" s="68">
        <f>IFERROR(F64*'As-Filed Schedule 1'!$E$103,0)</f>
        <v>0</v>
      </c>
      <c r="J64" s="304">
        <f>IFERROR(H64*'Adjusted Schedule 1'!$E$104,0)</f>
        <v>0</v>
      </c>
      <c r="K64" s="68">
        <f t="shared" si="1"/>
        <v>0</v>
      </c>
      <c r="L64" s="304">
        <f t="shared" si="2"/>
        <v>0</v>
      </c>
      <c r="N64" s="114">
        <f>'As-Filed Schedule 2C'!J64</f>
        <v>0</v>
      </c>
      <c r="O64" s="307">
        <f>SUMIFS(Adjustments!$G:$G,Adjustments!$H:$H,"2C",Adjustments!$I:$I,'Schedule 2C Adjustments'!$N$12,Adjustments!$J:$J,'Schedule 2C Adjustments'!$A64)</f>
        <v>0</v>
      </c>
      <c r="P64" s="303">
        <f t="shared" si="3"/>
        <v>0</v>
      </c>
      <c r="Q64" s="68">
        <f>IFERROR(N64*'As-Filed Schedule 1'!$E$103,0)</f>
        <v>0</v>
      </c>
      <c r="R64" s="304">
        <f>IFERROR(P64*'Adjusted Schedule 1'!$E$104,0)</f>
        <v>0</v>
      </c>
      <c r="S64" s="68">
        <f t="shared" si="4"/>
        <v>0</v>
      </c>
      <c r="T64" s="304">
        <f t="shared" si="5"/>
        <v>0</v>
      </c>
      <c r="V64" s="117">
        <f>'As-Filed Schedule 2C'!N64</f>
        <v>0</v>
      </c>
      <c r="W64" s="307">
        <f>SUMIFS(Adjustments!$G:$G,Adjustments!$H:$H,"2C",Adjustments!$I:$I,'Schedule 2C Adjustments'!$V$12,Adjustments!$J:$J,'Schedule 2C Adjustments'!$A64)</f>
        <v>0</v>
      </c>
      <c r="X64" s="303">
        <f t="shared" si="6"/>
        <v>0</v>
      </c>
      <c r="Y64" s="117">
        <f>'As-Filed Schedule 2C'!O64</f>
        <v>0</v>
      </c>
      <c r="Z64" s="307">
        <f>SUMIFS(Adjustments!$G:$G,Adjustments!$H:$H,"2C",Adjustments!$I:$I,'Schedule 2C Adjustments'!$Y$12,Adjustments!$J:$J,'Schedule 2C Adjustments'!$A64)</f>
        <v>0</v>
      </c>
      <c r="AA64" s="303">
        <f t="shared" si="7"/>
        <v>0</v>
      </c>
    </row>
    <row r="65" spans="1:27" x14ac:dyDescent="0.35">
      <c r="A65" s="24">
        <v>51</v>
      </c>
      <c r="B65" s="565" t="str">
        <f>IF('As-Filed Schedule 2C'!B65:D65=0,"",'As-Filed Schedule 2C'!B65:D65)</f>
        <v/>
      </c>
      <c r="C65" s="565"/>
      <c r="D65" s="565"/>
      <c r="F65" s="114">
        <f>'As-Filed Schedule 2C'!F65</f>
        <v>0</v>
      </c>
      <c r="G65" s="307">
        <f>SUMIFS(Adjustments!$G:$G,Adjustments!$H:$H,"2C",Adjustments!$I:$I,'Schedule 2C Adjustments'!$F$12,Adjustments!$J:$J,'Schedule 2C Adjustments'!$A65)</f>
        <v>0</v>
      </c>
      <c r="H65" s="303">
        <f t="shared" si="0"/>
        <v>0</v>
      </c>
      <c r="I65" s="68">
        <f>IFERROR(F65*'As-Filed Schedule 1'!$E$103,0)</f>
        <v>0</v>
      </c>
      <c r="J65" s="304">
        <f>IFERROR(H65*'Adjusted Schedule 1'!$E$104,0)</f>
        <v>0</v>
      </c>
      <c r="K65" s="68">
        <f t="shared" si="1"/>
        <v>0</v>
      </c>
      <c r="L65" s="304">
        <f t="shared" si="2"/>
        <v>0</v>
      </c>
      <c r="N65" s="114">
        <f>'As-Filed Schedule 2C'!J65</f>
        <v>0</v>
      </c>
      <c r="O65" s="307">
        <f>SUMIFS(Adjustments!$G:$G,Adjustments!$H:$H,"2C",Adjustments!$I:$I,'Schedule 2C Adjustments'!$N$12,Adjustments!$J:$J,'Schedule 2C Adjustments'!$A65)</f>
        <v>0</v>
      </c>
      <c r="P65" s="303">
        <f t="shared" si="3"/>
        <v>0</v>
      </c>
      <c r="Q65" s="68">
        <f>IFERROR(N65*'As-Filed Schedule 1'!$E$103,0)</f>
        <v>0</v>
      </c>
      <c r="R65" s="304">
        <f>IFERROR(P65*'Adjusted Schedule 1'!$E$104,0)</f>
        <v>0</v>
      </c>
      <c r="S65" s="68">
        <f t="shared" si="4"/>
        <v>0</v>
      </c>
      <c r="T65" s="304">
        <f t="shared" si="5"/>
        <v>0</v>
      </c>
      <c r="V65" s="117">
        <f>'As-Filed Schedule 2C'!N65</f>
        <v>0</v>
      </c>
      <c r="W65" s="307">
        <f>SUMIFS(Adjustments!$G:$G,Adjustments!$H:$H,"2C",Adjustments!$I:$I,'Schedule 2C Adjustments'!$V$12,Adjustments!$J:$J,'Schedule 2C Adjustments'!$A65)</f>
        <v>0</v>
      </c>
      <c r="X65" s="303">
        <f t="shared" si="6"/>
        <v>0</v>
      </c>
      <c r="Y65" s="117">
        <f>'As-Filed Schedule 2C'!O65</f>
        <v>0</v>
      </c>
      <c r="Z65" s="307">
        <f>SUMIFS(Adjustments!$G:$G,Adjustments!$H:$H,"2C",Adjustments!$I:$I,'Schedule 2C Adjustments'!$Y$12,Adjustments!$J:$J,'Schedule 2C Adjustments'!$A65)</f>
        <v>0</v>
      </c>
      <c r="AA65" s="303">
        <f t="shared" si="7"/>
        <v>0</v>
      </c>
    </row>
    <row r="66" spans="1:27" x14ac:dyDescent="0.35">
      <c r="A66" s="24">
        <v>52</v>
      </c>
      <c r="B66" s="565" t="str">
        <f>IF('As-Filed Schedule 2C'!B66:D66=0,"",'As-Filed Schedule 2C'!B66:D66)</f>
        <v/>
      </c>
      <c r="C66" s="565"/>
      <c r="D66" s="565"/>
      <c r="F66" s="114">
        <f>'As-Filed Schedule 2C'!F66</f>
        <v>0</v>
      </c>
      <c r="G66" s="307">
        <f>SUMIFS(Adjustments!$G:$G,Adjustments!$H:$H,"2C",Adjustments!$I:$I,'Schedule 2C Adjustments'!$F$12,Adjustments!$J:$J,'Schedule 2C Adjustments'!$A66)</f>
        <v>0</v>
      </c>
      <c r="H66" s="303">
        <f t="shared" si="0"/>
        <v>0</v>
      </c>
      <c r="I66" s="68">
        <f>IFERROR(F66*'As-Filed Schedule 1'!$E$103,0)</f>
        <v>0</v>
      </c>
      <c r="J66" s="304">
        <f>IFERROR(H66*'Adjusted Schedule 1'!$E$104,0)</f>
        <v>0</v>
      </c>
      <c r="K66" s="68">
        <f t="shared" si="1"/>
        <v>0</v>
      </c>
      <c r="L66" s="304">
        <f t="shared" si="2"/>
        <v>0</v>
      </c>
      <c r="N66" s="114">
        <f>'As-Filed Schedule 2C'!J66</f>
        <v>0</v>
      </c>
      <c r="O66" s="307">
        <f>SUMIFS(Adjustments!$G:$G,Adjustments!$H:$H,"2C",Adjustments!$I:$I,'Schedule 2C Adjustments'!$N$12,Adjustments!$J:$J,'Schedule 2C Adjustments'!$A66)</f>
        <v>0</v>
      </c>
      <c r="P66" s="303">
        <f t="shared" si="3"/>
        <v>0</v>
      </c>
      <c r="Q66" s="68">
        <f>IFERROR(N66*'As-Filed Schedule 1'!$E$103,0)</f>
        <v>0</v>
      </c>
      <c r="R66" s="304">
        <f>IFERROR(P66*'Adjusted Schedule 1'!$E$104,0)</f>
        <v>0</v>
      </c>
      <c r="S66" s="68">
        <f t="shared" si="4"/>
        <v>0</v>
      </c>
      <c r="T66" s="304">
        <f t="shared" si="5"/>
        <v>0</v>
      </c>
      <c r="V66" s="117">
        <f>'As-Filed Schedule 2C'!N66</f>
        <v>0</v>
      </c>
      <c r="W66" s="307">
        <f>SUMIFS(Adjustments!$G:$G,Adjustments!$H:$H,"2C",Adjustments!$I:$I,'Schedule 2C Adjustments'!$V$12,Adjustments!$J:$J,'Schedule 2C Adjustments'!$A66)</f>
        <v>0</v>
      </c>
      <c r="X66" s="303">
        <f t="shared" si="6"/>
        <v>0</v>
      </c>
      <c r="Y66" s="117">
        <f>'As-Filed Schedule 2C'!O66</f>
        <v>0</v>
      </c>
      <c r="Z66" s="307">
        <f>SUMIFS(Adjustments!$G:$G,Adjustments!$H:$H,"2C",Adjustments!$I:$I,'Schedule 2C Adjustments'!$Y$12,Adjustments!$J:$J,'Schedule 2C Adjustments'!$A66)</f>
        <v>0</v>
      </c>
      <c r="AA66" s="303">
        <f t="shared" si="7"/>
        <v>0</v>
      </c>
    </row>
    <row r="67" spans="1:27" x14ac:dyDescent="0.35">
      <c r="A67" s="24">
        <v>53</v>
      </c>
      <c r="B67" s="565" t="str">
        <f>IF('As-Filed Schedule 2C'!B67:D67=0,"",'As-Filed Schedule 2C'!B67:D67)</f>
        <v/>
      </c>
      <c r="C67" s="565"/>
      <c r="D67" s="565"/>
      <c r="F67" s="114">
        <f>'As-Filed Schedule 2C'!F67</f>
        <v>0</v>
      </c>
      <c r="G67" s="307">
        <f>SUMIFS(Adjustments!$G:$G,Adjustments!$H:$H,"2C",Adjustments!$I:$I,'Schedule 2C Adjustments'!$F$12,Adjustments!$J:$J,'Schedule 2C Adjustments'!$A67)</f>
        <v>0</v>
      </c>
      <c r="H67" s="303">
        <f t="shared" si="0"/>
        <v>0</v>
      </c>
      <c r="I67" s="68">
        <f>IFERROR(F67*'As-Filed Schedule 1'!$E$103,0)</f>
        <v>0</v>
      </c>
      <c r="J67" s="304">
        <f>IFERROR(H67*'Adjusted Schedule 1'!$E$104,0)</f>
        <v>0</v>
      </c>
      <c r="K67" s="68">
        <f t="shared" si="1"/>
        <v>0</v>
      </c>
      <c r="L67" s="304">
        <f t="shared" si="2"/>
        <v>0</v>
      </c>
      <c r="N67" s="114">
        <f>'As-Filed Schedule 2C'!J67</f>
        <v>0</v>
      </c>
      <c r="O67" s="307">
        <f>SUMIFS(Adjustments!$G:$G,Adjustments!$H:$H,"2C",Adjustments!$I:$I,'Schedule 2C Adjustments'!$N$12,Adjustments!$J:$J,'Schedule 2C Adjustments'!$A67)</f>
        <v>0</v>
      </c>
      <c r="P67" s="303">
        <f t="shared" si="3"/>
        <v>0</v>
      </c>
      <c r="Q67" s="68">
        <f>IFERROR(N67*'As-Filed Schedule 1'!$E$103,0)</f>
        <v>0</v>
      </c>
      <c r="R67" s="304">
        <f>IFERROR(P67*'Adjusted Schedule 1'!$E$104,0)</f>
        <v>0</v>
      </c>
      <c r="S67" s="68">
        <f t="shared" si="4"/>
        <v>0</v>
      </c>
      <c r="T67" s="304">
        <f t="shared" si="5"/>
        <v>0</v>
      </c>
      <c r="V67" s="117">
        <f>'As-Filed Schedule 2C'!N67</f>
        <v>0</v>
      </c>
      <c r="W67" s="307">
        <f>SUMIFS(Adjustments!$G:$G,Adjustments!$H:$H,"2C",Adjustments!$I:$I,'Schedule 2C Adjustments'!$V$12,Adjustments!$J:$J,'Schedule 2C Adjustments'!$A67)</f>
        <v>0</v>
      </c>
      <c r="X67" s="303">
        <f t="shared" si="6"/>
        <v>0</v>
      </c>
      <c r="Y67" s="117">
        <f>'As-Filed Schedule 2C'!O67</f>
        <v>0</v>
      </c>
      <c r="Z67" s="307">
        <f>SUMIFS(Adjustments!$G:$G,Adjustments!$H:$H,"2C",Adjustments!$I:$I,'Schedule 2C Adjustments'!$Y$12,Adjustments!$J:$J,'Schedule 2C Adjustments'!$A67)</f>
        <v>0</v>
      </c>
      <c r="AA67" s="303">
        <f t="shared" si="7"/>
        <v>0</v>
      </c>
    </row>
    <row r="68" spans="1:27" x14ac:dyDescent="0.35">
      <c r="A68" s="24">
        <v>54</v>
      </c>
      <c r="B68" s="565" t="str">
        <f>IF('As-Filed Schedule 2C'!B68:D68=0,"",'As-Filed Schedule 2C'!B68:D68)</f>
        <v/>
      </c>
      <c r="C68" s="565"/>
      <c r="D68" s="565"/>
      <c r="F68" s="114">
        <f>'As-Filed Schedule 2C'!F68</f>
        <v>0</v>
      </c>
      <c r="G68" s="307">
        <f>SUMIFS(Adjustments!$G:$G,Adjustments!$H:$H,"2C",Adjustments!$I:$I,'Schedule 2C Adjustments'!$F$12,Adjustments!$J:$J,'Schedule 2C Adjustments'!$A68)</f>
        <v>0</v>
      </c>
      <c r="H68" s="303">
        <f t="shared" si="0"/>
        <v>0</v>
      </c>
      <c r="I68" s="68">
        <f>IFERROR(F68*'As-Filed Schedule 1'!$E$103,0)</f>
        <v>0</v>
      </c>
      <c r="J68" s="304">
        <f>IFERROR(H68*'Adjusted Schedule 1'!$E$104,0)</f>
        <v>0</v>
      </c>
      <c r="K68" s="68">
        <f t="shared" si="1"/>
        <v>0</v>
      </c>
      <c r="L68" s="304">
        <f t="shared" si="2"/>
        <v>0</v>
      </c>
      <c r="N68" s="114">
        <f>'As-Filed Schedule 2C'!J68</f>
        <v>0</v>
      </c>
      <c r="O68" s="307">
        <f>SUMIFS(Adjustments!$G:$G,Adjustments!$H:$H,"2C",Adjustments!$I:$I,'Schedule 2C Adjustments'!$N$12,Adjustments!$J:$J,'Schedule 2C Adjustments'!$A68)</f>
        <v>0</v>
      </c>
      <c r="P68" s="303">
        <f t="shared" si="3"/>
        <v>0</v>
      </c>
      <c r="Q68" s="68">
        <f>IFERROR(N68*'As-Filed Schedule 1'!$E$103,0)</f>
        <v>0</v>
      </c>
      <c r="R68" s="304">
        <f>IFERROR(P68*'Adjusted Schedule 1'!$E$104,0)</f>
        <v>0</v>
      </c>
      <c r="S68" s="68">
        <f t="shared" si="4"/>
        <v>0</v>
      </c>
      <c r="T68" s="304">
        <f t="shared" si="5"/>
        <v>0</v>
      </c>
      <c r="V68" s="117">
        <f>'As-Filed Schedule 2C'!N68</f>
        <v>0</v>
      </c>
      <c r="W68" s="307">
        <f>SUMIFS(Adjustments!$G:$G,Adjustments!$H:$H,"2C",Adjustments!$I:$I,'Schedule 2C Adjustments'!$V$12,Adjustments!$J:$J,'Schedule 2C Adjustments'!$A68)</f>
        <v>0</v>
      </c>
      <c r="X68" s="303">
        <f t="shared" si="6"/>
        <v>0</v>
      </c>
      <c r="Y68" s="117">
        <f>'As-Filed Schedule 2C'!O68</f>
        <v>0</v>
      </c>
      <c r="Z68" s="307">
        <f>SUMIFS(Adjustments!$G:$G,Adjustments!$H:$H,"2C",Adjustments!$I:$I,'Schedule 2C Adjustments'!$Y$12,Adjustments!$J:$J,'Schedule 2C Adjustments'!$A68)</f>
        <v>0</v>
      </c>
      <c r="AA68" s="303">
        <f t="shared" si="7"/>
        <v>0</v>
      </c>
    </row>
    <row r="69" spans="1:27" x14ac:dyDescent="0.35">
      <c r="A69" s="24">
        <v>55</v>
      </c>
      <c r="B69" s="565" t="str">
        <f>IF('As-Filed Schedule 2C'!B69:D69=0,"",'As-Filed Schedule 2C'!B69:D69)</f>
        <v/>
      </c>
      <c r="C69" s="565"/>
      <c r="D69" s="565"/>
      <c r="F69" s="114">
        <f>'As-Filed Schedule 2C'!F69</f>
        <v>0</v>
      </c>
      <c r="G69" s="307">
        <f>SUMIFS(Adjustments!$G:$G,Adjustments!$H:$H,"2C",Adjustments!$I:$I,'Schedule 2C Adjustments'!$F$12,Adjustments!$J:$J,'Schedule 2C Adjustments'!$A69)</f>
        <v>0</v>
      </c>
      <c r="H69" s="303">
        <f t="shared" si="0"/>
        <v>0</v>
      </c>
      <c r="I69" s="68">
        <f>IFERROR(F69*'As-Filed Schedule 1'!$E$103,0)</f>
        <v>0</v>
      </c>
      <c r="J69" s="304">
        <f>IFERROR(H69*'Adjusted Schedule 1'!$E$104,0)</f>
        <v>0</v>
      </c>
      <c r="K69" s="68">
        <f t="shared" si="1"/>
        <v>0</v>
      </c>
      <c r="L69" s="304">
        <f t="shared" si="2"/>
        <v>0</v>
      </c>
      <c r="N69" s="114">
        <f>'As-Filed Schedule 2C'!J69</f>
        <v>0</v>
      </c>
      <c r="O69" s="307">
        <f>SUMIFS(Adjustments!$G:$G,Adjustments!$H:$H,"2C",Adjustments!$I:$I,'Schedule 2C Adjustments'!$N$12,Adjustments!$J:$J,'Schedule 2C Adjustments'!$A69)</f>
        <v>0</v>
      </c>
      <c r="P69" s="303">
        <f t="shared" si="3"/>
        <v>0</v>
      </c>
      <c r="Q69" s="68">
        <f>IFERROR(N69*'As-Filed Schedule 1'!$E$103,0)</f>
        <v>0</v>
      </c>
      <c r="R69" s="304">
        <f>IFERROR(P69*'Adjusted Schedule 1'!$E$104,0)</f>
        <v>0</v>
      </c>
      <c r="S69" s="68">
        <f t="shared" si="4"/>
        <v>0</v>
      </c>
      <c r="T69" s="304">
        <f t="shared" si="5"/>
        <v>0</v>
      </c>
      <c r="V69" s="117">
        <f>'As-Filed Schedule 2C'!N69</f>
        <v>0</v>
      </c>
      <c r="W69" s="307">
        <f>SUMIFS(Adjustments!$G:$G,Adjustments!$H:$H,"2C",Adjustments!$I:$I,'Schedule 2C Adjustments'!$V$12,Adjustments!$J:$J,'Schedule 2C Adjustments'!$A69)</f>
        <v>0</v>
      </c>
      <c r="X69" s="303">
        <f t="shared" si="6"/>
        <v>0</v>
      </c>
      <c r="Y69" s="117">
        <f>'As-Filed Schedule 2C'!O69</f>
        <v>0</v>
      </c>
      <c r="Z69" s="307">
        <f>SUMIFS(Adjustments!$G:$G,Adjustments!$H:$H,"2C",Adjustments!$I:$I,'Schedule 2C Adjustments'!$Y$12,Adjustments!$J:$J,'Schedule 2C Adjustments'!$A69)</f>
        <v>0</v>
      </c>
      <c r="AA69" s="303">
        <f t="shared" si="7"/>
        <v>0</v>
      </c>
    </row>
    <row r="70" spans="1:27" x14ac:dyDescent="0.35">
      <c r="A70" s="24">
        <v>56</v>
      </c>
      <c r="B70" s="565" t="str">
        <f>IF('As-Filed Schedule 2C'!B70:D70=0,"",'As-Filed Schedule 2C'!B70:D70)</f>
        <v/>
      </c>
      <c r="C70" s="565"/>
      <c r="D70" s="565"/>
      <c r="F70" s="114">
        <f>'As-Filed Schedule 2C'!F70</f>
        <v>0</v>
      </c>
      <c r="G70" s="307">
        <f>SUMIFS(Adjustments!$G:$G,Adjustments!$H:$H,"2C",Adjustments!$I:$I,'Schedule 2C Adjustments'!$F$12,Adjustments!$J:$J,'Schedule 2C Adjustments'!$A70)</f>
        <v>0</v>
      </c>
      <c r="H70" s="303">
        <f t="shared" si="0"/>
        <v>0</v>
      </c>
      <c r="I70" s="68">
        <f>IFERROR(F70*'As-Filed Schedule 1'!$E$103,0)</f>
        <v>0</v>
      </c>
      <c r="J70" s="304">
        <f>IFERROR(H70*'Adjusted Schedule 1'!$E$104,0)</f>
        <v>0</v>
      </c>
      <c r="K70" s="68">
        <f t="shared" si="1"/>
        <v>0</v>
      </c>
      <c r="L70" s="304">
        <f t="shared" si="2"/>
        <v>0</v>
      </c>
      <c r="N70" s="114">
        <f>'As-Filed Schedule 2C'!J70</f>
        <v>0</v>
      </c>
      <c r="O70" s="307">
        <f>SUMIFS(Adjustments!$G:$G,Adjustments!$H:$H,"2C",Adjustments!$I:$I,'Schedule 2C Adjustments'!$N$12,Adjustments!$J:$J,'Schedule 2C Adjustments'!$A70)</f>
        <v>0</v>
      </c>
      <c r="P70" s="303">
        <f t="shared" si="3"/>
        <v>0</v>
      </c>
      <c r="Q70" s="68">
        <f>IFERROR(N70*'As-Filed Schedule 1'!$E$103,0)</f>
        <v>0</v>
      </c>
      <c r="R70" s="304">
        <f>IFERROR(P70*'Adjusted Schedule 1'!$E$104,0)</f>
        <v>0</v>
      </c>
      <c r="S70" s="68">
        <f t="shared" si="4"/>
        <v>0</v>
      </c>
      <c r="T70" s="304">
        <f t="shared" si="5"/>
        <v>0</v>
      </c>
      <c r="V70" s="117">
        <f>'As-Filed Schedule 2C'!N70</f>
        <v>0</v>
      </c>
      <c r="W70" s="307">
        <f>SUMIFS(Adjustments!$G:$G,Adjustments!$H:$H,"2C",Adjustments!$I:$I,'Schedule 2C Adjustments'!$V$12,Adjustments!$J:$J,'Schedule 2C Adjustments'!$A70)</f>
        <v>0</v>
      </c>
      <c r="X70" s="303">
        <f t="shared" si="6"/>
        <v>0</v>
      </c>
      <c r="Y70" s="117">
        <f>'As-Filed Schedule 2C'!O70</f>
        <v>0</v>
      </c>
      <c r="Z70" s="307">
        <f>SUMIFS(Adjustments!$G:$G,Adjustments!$H:$H,"2C",Adjustments!$I:$I,'Schedule 2C Adjustments'!$Y$12,Adjustments!$J:$J,'Schedule 2C Adjustments'!$A70)</f>
        <v>0</v>
      </c>
      <c r="AA70" s="303">
        <f t="shared" si="7"/>
        <v>0</v>
      </c>
    </row>
    <row r="71" spans="1:27" x14ac:dyDescent="0.35">
      <c r="A71" s="24">
        <v>57</v>
      </c>
      <c r="B71" s="565" t="str">
        <f>IF('As-Filed Schedule 2C'!B71:D71=0,"",'As-Filed Schedule 2C'!B71:D71)</f>
        <v/>
      </c>
      <c r="C71" s="565"/>
      <c r="D71" s="565"/>
      <c r="F71" s="114">
        <f>'As-Filed Schedule 2C'!F71</f>
        <v>0</v>
      </c>
      <c r="G71" s="307">
        <f>SUMIFS(Adjustments!$G:$G,Adjustments!$H:$H,"2C",Adjustments!$I:$I,'Schedule 2C Adjustments'!$F$12,Adjustments!$J:$J,'Schedule 2C Adjustments'!$A71)</f>
        <v>0</v>
      </c>
      <c r="H71" s="303">
        <f t="shared" si="0"/>
        <v>0</v>
      </c>
      <c r="I71" s="68">
        <f>IFERROR(F71*'As-Filed Schedule 1'!$E$103,0)</f>
        <v>0</v>
      </c>
      <c r="J71" s="304">
        <f>IFERROR(H71*'Adjusted Schedule 1'!$E$104,0)</f>
        <v>0</v>
      </c>
      <c r="K71" s="68">
        <f t="shared" si="1"/>
        <v>0</v>
      </c>
      <c r="L71" s="304">
        <f t="shared" si="2"/>
        <v>0</v>
      </c>
      <c r="N71" s="114">
        <f>'As-Filed Schedule 2C'!J71</f>
        <v>0</v>
      </c>
      <c r="O71" s="307">
        <f>SUMIFS(Adjustments!$G:$G,Adjustments!$H:$H,"2C",Adjustments!$I:$I,'Schedule 2C Adjustments'!$N$12,Adjustments!$J:$J,'Schedule 2C Adjustments'!$A71)</f>
        <v>0</v>
      </c>
      <c r="P71" s="303">
        <f t="shared" si="3"/>
        <v>0</v>
      </c>
      <c r="Q71" s="68">
        <f>IFERROR(N71*'As-Filed Schedule 1'!$E$103,0)</f>
        <v>0</v>
      </c>
      <c r="R71" s="304">
        <f>IFERROR(P71*'Adjusted Schedule 1'!$E$104,0)</f>
        <v>0</v>
      </c>
      <c r="S71" s="68">
        <f t="shared" si="4"/>
        <v>0</v>
      </c>
      <c r="T71" s="304">
        <f t="shared" si="5"/>
        <v>0</v>
      </c>
      <c r="V71" s="117">
        <f>'As-Filed Schedule 2C'!N71</f>
        <v>0</v>
      </c>
      <c r="W71" s="307">
        <f>SUMIFS(Adjustments!$G:$G,Adjustments!$H:$H,"2C",Adjustments!$I:$I,'Schedule 2C Adjustments'!$V$12,Adjustments!$J:$J,'Schedule 2C Adjustments'!$A71)</f>
        <v>0</v>
      </c>
      <c r="X71" s="303">
        <f t="shared" si="6"/>
        <v>0</v>
      </c>
      <c r="Y71" s="117">
        <f>'As-Filed Schedule 2C'!O71</f>
        <v>0</v>
      </c>
      <c r="Z71" s="307">
        <f>SUMIFS(Adjustments!$G:$G,Adjustments!$H:$H,"2C",Adjustments!$I:$I,'Schedule 2C Adjustments'!$Y$12,Adjustments!$J:$J,'Schedule 2C Adjustments'!$A71)</f>
        <v>0</v>
      </c>
      <c r="AA71" s="303">
        <f t="shared" si="7"/>
        <v>0</v>
      </c>
    </row>
    <row r="72" spans="1:27" x14ac:dyDescent="0.35">
      <c r="A72" s="24">
        <v>58</v>
      </c>
      <c r="B72" s="565" t="str">
        <f>IF('As-Filed Schedule 2C'!B72:D72=0,"",'As-Filed Schedule 2C'!B72:D72)</f>
        <v/>
      </c>
      <c r="C72" s="565"/>
      <c r="D72" s="565"/>
      <c r="F72" s="114">
        <f>'As-Filed Schedule 2C'!F72</f>
        <v>0</v>
      </c>
      <c r="G72" s="307">
        <f>SUMIFS(Adjustments!$G:$G,Adjustments!$H:$H,"2C",Adjustments!$I:$I,'Schedule 2C Adjustments'!$F$12,Adjustments!$J:$J,'Schedule 2C Adjustments'!$A72)</f>
        <v>0</v>
      </c>
      <c r="H72" s="303">
        <f t="shared" si="0"/>
        <v>0</v>
      </c>
      <c r="I72" s="68">
        <f>IFERROR(F72*'As-Filed Schedule 1'!$E$103,0)</f>
        <v>0</v>
      </c>
      <c r="J72" s="304">
        <f>IFERROR(H72*'Adjusted Schedule 1'!$E$104,0)</f>
        <v>0</v>
      </c>
      <c r="K72" s="68">
        <f t="shared" si="1"/>
        <v>0</v>
      </c>
      <c r="L72" s="304">
        <f t="shared" si="2"/>
        <v>0</v>
      </c>
      <c r="N72" s="114">
        <f>'As-Filed Schedule 2C'!J72</f>
        <v>0</v>
      </c>
      <c r="O72" s="307">
        <f>SUMIFS(Adjustments!$G:$G,Adjustments!$H:$H,"2C",Adjustments!$I:$I,'Schedule 2C Adjustments'!$N$12,Adjustments!$J:$J,'Schedule 2C Adjustments'!$A72)</f>
        <v>0</v>
      </c>
      <c r="P72" s="303">
        <f t="shared" si="3"/>
        <v>0</v>
      </c>
      <c r="Q72" s="68">
        <f>IFERROR(N72*'As-Filed Schedule 1'!$E$103,0)</f>
        <v>0</v>
      </c>
      <c r="R72" s="304">
        <f>IFERROR(P72*'Adjusted Schedule 1'!$E$104,0)</f>
        <v>0</v>
      </c>
      <c r="S72" s="68">
        <f t="shared" si="4"/>
        <v>0</v>
      </c>
      <c r="T72" s="304">
        <f t="shared" si="5"/>
        <v>0</v>
      </c>
      <c r="V72" s="117">
        <f>'As-Filed Schedule 2C'!N72</f>
        <v>0</v>
      </c>
      <c r="W72" s="307">
        <f>SUMIFS(Adjustments!$G:$G,Adjustments!$H:$H,"2C",Adjustments!$I:$I,'Schedule 2C Adjustments'!$V$12,Adjustments!$J:$J,'Schedule 2C Adjustments'!$A72)</f>
        <v>0</v>
      </c>
      <c r="X72" s="303">
        <f t="shared" si="6"/>
        <v>0</v>
      </c>
      <c r="Y72" s="117">
        <f>'As-Filed Schedule 2C'!O72</f>
        <v>0</v>
      </c>
      <c r="Z72" s="307">
        <f>SUMIFS(Adjustments!$G:$G,Adjustments!$H:$H,"2C",Adjustments!$I:$I,'Schedule 2C Adjustments'!$Y$12,Adjustments!$J:$J,'Schedule 2C Adjustments'!$A72)</f>
        <v>0</v>
      </c>
      <c r="AA72" s="303">
        <f t="shared" si="7"/>
        <v>0</v>
      </c>
    </row>
    <row r="73" spans="1:27" x14ac:dyDescent="0.35">
      <c r="A73" s="24">
        <v>59</v>
      </c>
      <c r="F73" s="18">
        <f>SUM(F15:F72)</f>
        <v>39521669.777050093</v>
      </c>
      <c r="G73" s="18">
        <f t="shared" ref="G73:L73" si="8">SUM(G15:G72)</f>
        <v>1078337.3199999998</v>
      </c>
      <c r="H73" s="18">
        <f t="shared" si="8"/>
        <v>40600007.097050093</v>
      </c>
      <c r="I73" s="18">
        <f t="shared" si="8"/>
        <v>10271771.36549448</v>
      </c>
      <c r="J73" s="305">
        <f t="shared" si="8"/>
        <v>10552033.673954738</v>
      </c>
      <c r="K73" s="18">
        <f t="shared" si="8"/>
        <v>49793441.142544568</v>
      </c>
      <c r="L73" s="305">
        <f t="shared" si="8"/>
        <v>51152040.771004818</v>
      </c>
      <c r="N73" s="18">
        <f>SUM(N15:N72)</f>
        <v>20712391.017054714</v>
      </c>
      <c r="O73" s="18">
        <f t="shared" ref="O73:T73" si="9">SUM(O15:O72)</f>
        <v>-152389</v>
      </c>
      <c r="P73" s="305">
        <f t="shared" si="9"/>
        <v>20560002.017054714</v>
      </c>
      <c r="Q73" s="18">
        <f t="shared" si="9"/>
        <v>5383197.2727896115</v>
      </c>
      <c r="R73" s="305">
        <f t="shared" si="9"/>
        <v>5343591.0270149121</v>
      </c>
      <c r="S73" s="18">
        <f t="shared" si="9"/>
        <v>26095588.289844323</v>
      </c>
      <c r="T73" s="18">
        <f t="shared" si="9"/>
        <v>25903593.044069622</v>
      </c>
      <c r="W73"/>
      <c r="X73"/>
      <c r="Y73" s="83" t="s">
        <v>313</v>
      </c>
      <c r="Z73"/>
      <c r="AA73"/>
    </row>
    <row r="74" spans="1:27" ht="15" thickBot="1" x14ac:dyDescent="0.4">
      <c r="G74"/>
      <c r="H74"/>
      <c r="J74" s="37" t="s">
        <v>257</v>
      </c>
      <c r="L74" s="318" t="s">
        <v>257</v>
      </c>
      <c r="O74"/>
      <c r="P74"/>
      <c r="R74" s="37" t="s">
        <v>258</v>
      </c>
      <c r="T74" s="318" t="s">
        <v>258</v>
      </c>
      <c r="W74"/>
      <c r="X74"/>
    </row>
    <row r="75" spans="1:27" s="72" customFormat="1" ht="16" thickBot="1" x14ac:dyDescent="0.4">
      <c r="A75" s="24">
        <v>60</v>
      </c>
      <c r="B75" s="73" t="s">
        <v>461</v>
      </c>
      <c r="F75" s="75">
        <f>K73+S73</f>
        <v>75889029.432388887</v>
      </c>
      <c r="G75"/>
      <c r="H75" s="328">
        <f>L73+T73</f>
        <v>77055633.815074444</v>
      </c>
      <c r="I75" s="74"/>
      <c r="J75"/>
      <c r="K75" s="74"/>
      <c r="L75" s="319"/>
      <c r="M75" s="74"/>
      <c r="N75" s="74"/>
      <c r="O75" s="326"/>
      <c r="P75" s="319"/>
      <c r="Q75" s="74"/>
      <c r="R75" s="319"/>
      <c r="T75" s="321"/>
      <c r="W75" s="324"/>
      <c r="X75" s="321"/>
      <c r="Z75" s="324"/>
      <c r="AA75" s="321"/>
    </row>
  </sheetData>
  <sheetProtection sheet="1" objects="1" scenarios="1"/>
  <customSheetViews>
    <customSheetView guid="{17302493-42B1-4877-869E-E424A97AE78B}">
      <selection activeCell="D8" sqref="D8"/>
      <pageMargins left="0.7" right="0.7" top="0.75" bottom="0.75" header="0.3" footer="0.3"/>
      <pageSetup orientation="portrait" horizontalDpi="1200" verticalDpi="1200" r:id="rId1"/>
    </customSheetView>
    <customSheetView guid="{5C0BA3A5-859C-46C2-B685-44D9A90065E4}">
      <selection activeCell="D8" sqref="D8"/>
      <pageMargins left="0.7" right="0.7" top="0.75" bottom="0.75" header="0.3" footer="0.3"/>
      <pageSetup orientation="portrait" horizontalDpi="1200" verticalDpi="1200" r:id="rId2"/>
    </customSheetView>
  </customSheetViews>
  <mergeCells count="69">
    <mergeCell ref="B19:D19"/>
    <mergeCell ref="A3:K3"/>
    <mergeCell ref="B12:D12"/>
    <mergeCell ref="B13: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 ref="Z13:Z14"/>
    <mergeCell ref="AA13:AA14"/>
    <mergeCell ref="F13:L13"/>
    <mergeCell ref="N13:T13"/>
    <mergeCell ref="W13:W14"/>
    <mergeCell ref="X13:X14"/>
    <mergeCell ref="Y13:Y14"/>
    <mergeCell ref="V13:V14"/>
  </mergeCells>
  <pageMargins left="0.7" right="0.7" top="0.75" bottom="0.75" header="0.3" footer="0.3"/>
  <pageSetup orientation="portrait" horizontalDpi="1200" verticalDpi="1200"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dimension ref="A1:AA75"/>
  <sheetViews>
    <sheetView workbookViewId="0">
      <selection activeCell="F8" sqref="F8"/>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53"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53"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53" customWidth="1"/>
    <col min="24" max="24" width="13.26953125" style="48" customWidth="1"/>
    <col min="25" max="25" width="12" customWidth="1"/>
    <col min="26" max="26" width="16.1796875" style="253" customWidth="1"/>
    <col min="27" max="27" width="12" style="48" customWidth="1"/>
  </cols>
  <sheetData>
    <row r="1" spans="1:27" ht="26" x14ac:dyDescent="0.6">
      <c r="A1" s="3" t="s">
        <v>777</v>
      </c>
    </row>
    <row r="2" spans="1:27" ht="21" x14ac:dyDescent="0.5">
      <c r="A2" s="2" t="s">
        <v>775</v>
      </c>
    </row>
    <row r="3" spans="1:27" ht="25" customHeight="1" x14ac:dyDescent="0.5">
      <c r="A3" s="546" t="s">
        <v>752</v>
      </c>
      <c r="B3" s="546"/>
      <c r="C3" s="546"/>
      <c r="D3" s="546"/>
      <c r="E3" s="546"/>
      <c r="F3" s="546"/>
      <c r="G3" s="546"/>
      <c r="H3" s="546"/>
      <c r="I3" s="546"/>
      <c r="J3" s="546"/>
      <c r="K3" s="546"/>
      <c r="L3" s="315"/>
    </row>
    <row r="5" spans="1:27" x14ac:dyDescent="0.35">
      <c r="A5" s="1" t="s">
        <v>776</v>
      </c>
      <c r="C5" s="414" t="str">
        <f>Results!$C$6</f>
        <v>WellPower</v>
      </c>
    </row>
    <row r="6" spans="1:27" x14ac:dyDescent="0.35">
      <c r="A6" s="1" t="s">
        <v>0</v>
      </c>
      <c r="C6" s="35">
        <f>Results!$C$7</f>
        <v>45473</v>
      </c>
      <c r="F6" s="35"/>
      <c r="G6" s="313"/>
      <c r="H6" s="60"/>
    </row>
    <row r="8" spans="1:27" x14ac:dyDescent="0.35">
      <c r="A8" s="1" t="s">
        <v>253</v>
      </c>
      <c r="B8" s="1" t="s">
        <v>622</v>
      </c>
      <c r="C8" s="1"/>
      <c r="F8" s="116" t="str">
        <f>'As-Filed Schedule 2D'!F8</f>
        <v>Yes</v>
      </c>
      <c r="G8" s="41" t="s">
        <v>259</v>
      </c>
    </row>
    <row r="10" spans="1:27" x14ac:dyDescent="0.35">
      <c r="A10" s="1" t="s">
        <v>254</v>
      </c>
      <c r="B10" s="1" t="s">
        <v>256</v>
      </c>
      <c r="C10" s="1"/>
    </row>
    <row r="11" spans="1:27" x14ac:dyDescent="0.35">
      <c r="B11" s="327" t="s">
        <v>592</v>
      </c>
    </row>
    <row r="12" spans="1:27" x14ac:dyDescent="0.35">
      <c r="B12" s="560">
        <v>1</v>
      </c>
      <c r="C12" s="560"/>
      <c r="D12" s="560"/>
      <c r="F12" s="23">
        <v>2</v>
      </c>
      <c r="G12" s="248" t="s">
        <v>550</v>
      </c>
      <c r="H12" s="249" t="s">
        <v>551</v>
      </c>
      <c r="I12" s="23">
        <v>3</v>
      </c>
      <c r="J12" s="249" t="s">
        <v>555</v>
      </c>
      <c r="K12" s="23">
        <v>4</v>
      </c>
      <c r="L12" s="249" t="s">
        <v>559</v>
      </c>
      <c r="N12" s="23">
        <v>5</v>
      </c>
      <c r="O12" s="248" t="s">
        <v>560</v>
      </c>
      <c r="P12" s="249" t="s">
        <v>561</v>
      </c>
      <c r="Q12" s="23">
        <v>6</v>
      </c>
      <c r="R12" s="249" t="s">
        <v>565</v>
      </c>
      <c r="S12" s="23">
        <v>7</v>
      </c>
      <c r="T12" s="249" t="s">
        <v>569</v>
      </c>
      <c r="V12" s="23">
        <v>8</v>
      </c>
      <c r="W12" s="248" t="s">
        <v>610</v>
      </c>
      <c r="X12" s="249" t="s">
        <v>623</v>
      </c>
      <c r="Y12" s="23">
        <v>9</v>
      </c>
      <c r="Z12" s="248" t="s">
        <v>612</v>
      </c>
      <c r="AA12" s="249" t="s">
        <v>613</v>
      </c>
    </row>
    <row r="13" spans="1:27" x14ac:dyDescent="0.35">
      <c r="B13" s="561" t="s">
        <v>255</v>
      </c>
      <c r="C13" s="561"/>
      <c r="D13" s="561"/>
      <c r="F13" s="563" t="s">
        <v>261</v>
      </c>
      <c r="G13" s="568"/>
      <c r="H13" s="568"/>
      <c r="I13" s="568"/>
      <c r="J13" s="568"/>
      <c r="K13" s="568"/>
      <c r="L13" s="564"/>
      <c r="N13" s="563" t="s">
        <v>262</v>
      </c>
      <c r="O13" s="568"/>
      <c r="P13" s="568"/>
      <c r="Q13" s="568"/>
      <c r="R13" s="568"/>
      <c r="S13" s="568"/>
      <c r="T13" s="564"/>
      <c r="V13" s="562" t="s">
        <v>250</v>
      </c>
      <c r="W13" s="621" t="s">
        <v>614</v>
      </c>
      <c r="X13" s="622" t="s">
        <v>615</v>
      </c>
      <c r="Y13" s="562" t="s">
        <v>312</v>
      </c>
      <c r="Z13" s="621" t="s">
        <v>624</v>
      </c>
      <c r="AA13" s="622" t="s">
        <v>625</v>
      </c>
    </row>
    <row r="14" spans="1:27" ht="55.5" customHeight="1" x14ac:dyDescent="0.35">
      <c r="B14" s="561"/>
      <c r="C14" s="561"/>
      <c r="D14" s="561"/>
      <c r="E14" s="48"/>
      <c r="F14" s="10" t="s">
        <v>214</v>
      </c>
      <c r="G14" s="250" t="s">
        <v>603</v>
      </c>
      <c r="H14" s="251" t="s">
        <v>604</v>
      </c>
      <c r="I14" s="142" t="s">
        <v>493</v>
      </c>
      <c r="J14" s="251" t="s">
        <v>607</v>
      </c>
      <c r="K14" s="142" t="s">
        <v>215</v>
      </c>
      <c r="L14" s="251" t="s">
        <v>609</v>
      </c>
      <c r="M14" s="99"/>
      <c r="N14" s="142" t="s">
        <v>214</v>
      </c>
      <c r="O14" s="250" t="s">
        <v>603</v>
      </c>
      <c r="P14" s="251" t="s">
        <v>604</v>
      </c>
      <c r="Q14" s="142" t="s">
        <v>493</v>
      </c>
      <c r="R14" s="251" t="s">
        <v>607</v>
      </c>
      <c r="S14" s="10" t="s">
        <v>215</v>
      </c>
      <c r="T14" s="251" t="s">
        <v>609</v>
      </c>
      <c r="U14" s="48"/>
      <c r="V14" s="562"/>
      <c r="W14" s="621"/>
      <c r="X14" s="622"/>
      <c r="Y14" s="562"/>
      <c r="Z14" s="621"/>
      <c r="AA14" s="622"/>
    </row>
    <row r="15" spans="1:27" x14ac:dyDescent="0.35">
      <c r="A15" s="24">
        <v>1</v>
      </c>
      <c r="B15" s="565" t="str">
        <f>IF('As-Filed Schedule 2D'!B15:D15=0,"",'As-Filed Schedule 2D'!B15:D15)</f>
        <v>100-228-Denver CO-ACT</v>
      </c>
      <c r="C15" s="565"/>
      <c r="D15" s="565"/>
      <c r="F15" s="114">
        <f>'As-Filed Schedule 2D'!F15</f>
        <v>1310729.5987648193</v>
      </c>
      <c r="G15" s="452">
        <f>SUMIFS(Adjustments!$G:$G,Adjustments!$H:$H,"2D",Adjustments!$I:$I,'Schedule 2D Adjustments'!$F$12,Adjustments!$J:$J,'Schedule 2D Adjustments'!$A15)</f>
        <v>0</v>
      </c>
      <c r="H15" s="303">
        <f>SUM(F15:G15)</f>
        <v>1310729.5987648193</v>
      </c>
      <c r="I15" s="68">
        <f>IFERROR(F15*'As-Filed Schedule 1'!$E$103,0)</f>
        <v>340661.58733800991</v>
      </c>
      <c r="J15" s="304">
        <f>IFERROR(H15*'Adjusted Schedule 1'!$E$104,0)</f>
        <v>340661.58733800991</v>
      </c>
      <c r="K15" s="68">
        <f>SUM(F15,I15)</f>
        <v>1651391.1861028292</v>
      </c>
      <c r="L15" s="304">
        <f>SUM(H15,J15)</f>
        <v>1651391.1861028292</v>
      </c>
      <c r="N15" s="114">
        <f>'As-Filed Schedule 2D'!J15</f>
        <v>691.01140967135734</v>
      </c>
      <c r="O15" s="307">
        <f>SUMIFS(Adjustments!$G:$G,Adjustments!$H:$H,"2D",Adjustments!$I:$I,'Schedule 2D Adjustments'!$N$12,Adjustments!$J:$J,'Schedule 2D Adjustments'!$A15)</f>
        <v>0</v>
      </c>
      <c r="P15" s="303">
        <f>SUM(N15:O15)</f>
        <v>691.01140967135734</v>
      </c>
      <c r="Q15" s="68">
        <f>IFERROR(N15*'As-Filed Schedule 1'!$E$103,0)</f>
        <v>179.59542830890007</v>
      </c>
      <c r="R15" s="68">
        <f>IFERROR(P15*'Adjusted Schedule 1'!$E$104,0)</f>
        <v>179.59542830890007</v>
      </c>
      <c r="S15" s="68">
        <f>SUM(N15,Q15)</f>
        <v>870.60683798025741</v>
      </c>
      <c r="T15" s="304">
        <f>SUM(P15,R15)</f>
        <v>870.60683798025741</v>
      </c>
      <c r="V15" s="117">
        <f>'As-Filed Schedule 2D'!N15</f>
        <v>11.225</v>
      </c>
      <c r="W15" s="307">
        <f>SUMIFS(Adjustments!$G:$G,Adjustments!$H:$H,"2D",Adjustments!$I:$I,'Schedule 2D Adjustments'!$V$12,Adjustments!$J:$J,'Schedule 2D Adjustments'!$A15)</f>
        <v>0</v>
      </c>
      <c r="X15" s="303">
        <f>SUM(V15:W15)</f>
        <v>11.225</v>
      </c>
      <c r="Y15" s="117">
        <f>'As-Filed Schedule 2D'!O15</f>
        <v>84</v>
      </c>
      <c r="Z15" s="307">
        <f>SUMIFS(Adjustments!$G:$G,Adjustments!$H:$H,"2D",Adjustments!$I:$I,'Schedule 2D Adjustments'!$Y$12,Adjustments!$J:$J,'Schedule 2D Adjustments'!$A15)</f>
        <v>0</v>
      </c>
      <c r="AA15" s="303">
        <f>SUM(Y15:Z15)</f>
        <v>84</v>
      </c>
    </row>
    <row r="16" spans="1:27" x14ac:dyDescent="0.35">
      <c r="A16" s="24">
        <v>2</v>
      </c>
      <c r="B16" s="565" t="str">
        <f>IF('As-Filed Schedule 2D'!B16:D16=0,"",'As-Filed Schedule 2D'!B16:D16)</f>
        <v>100-300-Adult Spectrum Care</v>
      </c>
      <c r="C16" s="565"/>
      <c r="D16" s="565"/>
      <c r="F16" s="114">
        <f>'As-Filed Schedule 2D'!F16</f>
        <v>1078079.1084518391</v>
      </c>
      <c r="G16" s="452">
        <f>SUMIFS(Adjustments!$G:$G,Adjustments!$H:$H,"2D",Adjustments!$I:$I,'Schedule 2D Adjustments'!$F$12,Adjustments!$J:$J,'Schedule 2D Adjustments'!$A16)</f>
        <v>0</v>
      </c>
      <c r="H16" s="303">
        <f t="shared" ref="H16:H72" si="0">SUM(F16:G16)</f>
        <v>1078079.1084518391</v>
      </c>
      <c r="I16" s="68">
        <f>IFERROR(F16*'As-Filed Schedule 1'!$E$103,0)</f>
        <v>280195.19869486563</v>
      </c>
      <c r="J16" s="304">
        <f>IFERROR(H16*'Adjusted Schedule 1'!$E$104,0)</f>
        <v>280195.19869486563</v>
      </c>
      <c r="K16" s="68">
        <f t="shared" ref="K16:K72" si="1">SUM(F16,I16)</f>
        <v>1358274.3071467048</v>
      </c>
      <c r="L16" s="304">
        <f t="shared" ref="L16:L72" si="2">SUM(H16,J16)</f>
        <v>1358274.3071467048</v>
      </c>
      <c r="N16" s="114">
        <f>'As-Filed Schedule 2D'!J16</f>
        <v>41.894232646881669</v>
      </c>
      <c r="O16" s="307">
        <f>SUMIFS(Adjustments!$G:$G,Adjustments!$H:$H,"2D",Adjustments!$I:$I,'Schedule 2D Adjustments'!$N$12,Adjustments!$J:$J,'Schedule 2D Adjustments'!$A16)</f>
        <v>0</v>
      </c>
      <c r="P16" s="303">
        <f t="shared" ref="P16:P72" si="3">SUM(N16:O16)</f>
        <v>41.894232646881669</v>
      </c>
      <c r="Q16" s="68">
        <f>IFERROR(N16*'As-Filed Schedule 1'!$E$103,0)</f>
        <v>10.888405821646002</v>
      </c>
      <c r="R16" s="68">
        <f>IFERROR(P16*'Adjusted Schedule 1'!$E$104,0)</f>
        <v>10.888405821646002</v>
      </c>
      <c r="S16" s="68">
        <f t="shared" ref="S16:S72" si="4">SUM(N16,Q16)</f>
        <v>52.782638468527672</v>
      </c>
      <c r="T16" s="304">
        <f t="shared" ref="T16:T72" si="5">SUM(P16,R16)</f>
        <v>52.782638468527672</v>
      </c>
      <c r="V16" s="117">
        <f>'As-Filed Schedule 2D'!N16</f>
        <v>5.0625000000000009</v>
      </c>
      <c r="W16" s="307">
        <f>SUMIFS(Adjustments!$G:$G,Adjustments!$H:$H,"2D",Adjustments!$I:$I,'Schedule 2D Adjustments'!$V$12,Adjustments!$J:$J,'Schedule 2D Adjustments'!$A16)</f>
        <v>0</v>
      </c>
      <c r="X16" s="303">
        <f t="shared" ref="X16:X72" si="6">SUM(V16:W16)</f>
        <v>5.0625000000000009</v>
      </c>
      <c r="Y16" s="117">
        <f>'As-Filed Schedule 2D'!O16</f>
        <v>349</v>
      </c>
      <c r="Z16" s="307">
        <f>SUMIFS(Adjustments!$G:$G,Adjustments!$H:$H,"2D",Adjustments!$I:$I,'Schedule 2D Adjustments'!$Y$12,Adjustments!$J:$J,'Schedule 2D Adjustments'!$A16)</f>
        <v>0</v>
      </c>
      <c r="AA16" s="303">
        <f t="shared" ref="AA16:AA72" si="7">SUM(Y16:Z16)</f>
        <v>349</v>
      </c>
    </row>
    <row r="17" spans="1:27" x14ac:dyDescent="0.35">
      <c r="A17" s="24">
        <v>3</v>
      </c>
      <c r="B17" s="565" t="str">
        <f>IF('As-Filed Schedule 2D'!B17:D17=0,"",'As-Filed Schedule 2D'!B17:D17)</f>
        <v>100-760-Psychological Assessment</v>
      </c>
      <c r="C17" s="565"/>
      <c r="D17" s="565"/>
      <c r="F17" s="114">
        <f>'As-Filed Schedule 2D'!F17</f>
        <v>844335.40996275574</v>
      </c>
      <c r="G17" s="307">
        <f>SUMIFS(Adjustments!$G:$G,Adjustments!$H:$H,"2D",Adjustments!$I:$I,'Schedule 2D Adjustments'!$F$12,Adjustments!$J:$J,'Schedule 2D Adjustments'!$A17)</f>
        <v>0</v>
      </c>
      <c r="H17" s="303">
        <f t="shared" si="0"/>
        <v>844335.40996275574</v>
      </c>
      <c r="I17" s="68">
        <f>IFERROR(F17*'As-Filed Schedule 1'!$E$103,0)</f>
        <v>219444.68277412484</v>
      </c>
      <c r="J17" s="304">
        <f>IFERROR(H17*'Adjusted Schedule 1'!$E$104,0)</f>
        <v>219444.68277412484</v>
      </c>
      <c r="K17" s="68">
        <f t="shared" si="1"/>
        <v>1063780.0927368805</v>
      </c>
      <c r="L17" s="304">
        <f t="shared" si="2"/>
        <v>1063780.0927368805</v>
      </c>
      <c r="N17" s="114">
        <f>'As-Filed Schedule 2D'!J17</f>
        <v>50.117915351639915</v>
      </c>
      <c r="O17" s="307">
        <f>SUMIFS(Adjustments!$G:$G,Adjustments!$H:$H,"2D",Adjustments!$I:$I,'Schedule 2D Adjustments'!$N$12,Adjustments!$J:$J,'Schedule 2D Adjustments'!$A17)</f>
        <v>0</v>
      </c>
      <c r="P17" s="303">
        <f t="shared" si="3"/>
        <v>50.117915351639915</v>
      </c>
      <c r="Q17" s="68">
        <f>IFERROR(N17*'As-Filed Schedule 1'!$E$103,0)</f>
        <v>13.02575955700614</v>
      </c>
      <c r="R17" s="68">
        <f>IFERROR(P17*'Adjusted Schedule 1'!$E$104,0)</f>
        <v>13.02575955700614</v>
      </c>
      <c r="S17" s="68">
        <f t="shared" si="4"/>
        <v>63.143674908646055</v>
      </c>
      <c r="T17" s="304">
        <f t="shared" si="5"/>
        <v>63.143674908646055</v>
      </c>
      <c r="V17" s="117">
        <f>'As-Filed Schedule 2D'!N17</f>
        <v>6.0562500000000004</v>
      </c>
      <c r="W17" s="307">
        <f>SUMIFS(Adjustments!$G:$G,Adjustments!$H:$H,"2D",Adjustments!$I:$I,'Schedule 2D Adjustments'!$V$12,Adjustments!$J:$J,'Schedule 2D Adjustments'!$A17)</f>
        <v>0</v>
      </c>
      <c r="X17" s="303">
        <f t="shared" si="6"/>
        <v>6.0562500000000004</v>
      </c>
      <c r="Y17" s="117">
        <f>'As-Filed Schedule 2D'!O17</f>
        <v>159</v>
      </c>
      <c r="Z17" s="307">
        <f>SUMIFS(Adjustments!$G:$G,Adjustments!$H:$H,"2D",Adjustments!$I:$I,'Schedule 2D Adjustments'!$Y$12,Adjustments!$J:$J,'Schedule 2D Adjustments'!$A17)</f>
        <v>0</v>
      </c>
      <c r="AA17" s="303">
        <f t="shared" si="7"/>
        <v>159</v>
      </c>
    </row>
    <row r="18" spans="1:27" x14ac:dyDescent="0.35">
      <c r="A18" s="24">
        <v>4</v>
      </c>
      <c r="B18" s="565" t="str">
        <f>IF('As-Filed Schedule 2D'!B18:D18=0,"",'As-Filed Schedule 2D'!B18:D18)</f>
        <v>100-221-REACT</v>
      </c>
      <c r="C18" s="565"/>
      <c r="D18" s="565"/>
      <c r="F18" s="114">
        <f>'As-Filed Schedule 2D'!F18</f>
        <v>483322.59899887192</v>
      </c>
      <c r="G18" s="307">
        <f>SUMIFS(Adjustments!$G:$G,Adjustments!$H:$H,"2D",Adjustments!$I:$I,'Schedule 2D Adjustments'!$F$12,Adjustments!$J:$J,'Schedule 2D Adjustments'!$A18)</f>
        <v>0</v>
      </c>
      <c r="H18" s="303">
        <f t="shared" si="0"/>
        <v>483322.59899887192</v>
      </c>
      <c r="I18" s="68">
        <f>IFERROR(F18*'As-Filed Schedule 1'!$E$103,0)</f>
        <v>125616.63666285358</v>
      </c>
      <c r="J18" s="304">
        <f>IFERROR(H18*'Adjusted Schedule 1'!$E$104,0)</f>
        <v>125616.63666285358</v>
      </c>
      <c r="K18" s="68">
        <f t="shared" si="1"/>
        <v>608939.23566172551</v>
      </c>
      <c r="L18" s="304">
        <f t="shared" si="2"/>
        <v>608939.23566172551</v>
      </c>
      <c r="N18" s="114">
        <f>'As-Filed Schedule 2D'!J18</f>
        <v>421.36079009713626</v>
      </c>
      <c r="O18" s="307">
        <f>SUMIFS(Adjustments!$G:$G,Adjustments!$H:$H,"2D",Adjustments!$I:$I,'Schedule 2D Adjustments'!$N$12,Adjustments!$J:$J,'Schedule 2D Adjustments'!$A18)</f>
        <v>0</v>
      </c>
      <c r="P18" s="303">
        <f t="shared" si="3"/>
        <v>421.36079009713626</v>
      </c>
      <c r="Q18" s="68">
        <f>IFERROR(N18*'As-Filed Schedule 1'!$E$103,0)</f>
        <v>109.51262238356128</v>
      </c>
      <c r="R18" s="68">
        <f>IFERROR(P18*'Adjusted Schedule 1'!$E$104,0)</f>
        <v>109.51262238356128</v>
      </c>
      <c r="S18" s="68">
        <f t="shared" si="4"/>
        <v>530.87341248069754</v>
      </c>
      <c r="T18" s="304">
        <f t="shared" si="5"/>
        <v>530.87341248069754</v>
      </c>
      <c r="V18" s="117">
        <f>'As-Filed Schedule 2D'!N18</f>
        <v>5.05</v>
      </c>
      <c r="W18" s="307">
        <f>SUMIFS(Adjustments!$G:$G,Adjustments!$H:$H,"2D",Adjustments!$I:$I,'Schedule 2D Adjustments'!$V$12,Adjustments!$J:$J,'Schedule 2D Adjustments'!$A18)</f>
        <v>0</v>
      </c>
      <c r="X18" s="303">
        <f t="shared" si="6"/>
        <v>5.05</v>
      </c>
      <c r="Y18" s="117">
        <f>'As-Filed Schedule 2D'!O18</f>
        <v>275</v>
      </c>
      <c r="Z18" s="307">
        <f>SUMIFS(Adjustments!$G:$G,Adjustments!$H:$H,"2D",Adjustments!$I:$I,'Schedule 2D Adjustments'!$Y$12,Adjustments!$J:$J,'Schedule 2D Adjustments'!$A18)</f>
        <v>0</v>
      </c>
      <c r="AA18" s="303">
        <f t="shared" si="7"/>
        <v>275</v>
      </c>
    </row>
    <row r="19" spans="1:27" x14ac:dyDescent="0.35">
      <c r="A19" s="24">
        <v>5</v>
      </c>
      <c r="B19" s="565" t="str">
        <f>IF('As-Filed Schedule 2D'!B19:D19=0,"",'As-Filed Schedule 2D'!B19:D19)</f>
        <v>100-224-Downing Community Treatment Team</v>
      </c>
      <c r="C19" s="565"/>
      <c r="D19" s="565"/>
      <c r="F19" s="114">
        <f>'As-Filed Schedule 2D'!F19</f>
        <v>1057163.3739484735</v>
      </c>
      <c r="G19" s="307">
        <f>SUMIFS(Adjustments!$G:$G,Adjustments!$H:$H,"2D",Adjustments!$I:$I,'Schedule 2D Adjustments'!$F$12,Adjustments!$J:$J,'Schedule 2D Adjustments'!$A19)</f>
        <v>0</v>
      </c>
      <c r="H19" s="303">
        <f t="shared" si="0"/>
        <v>1057163.3739484735</v>
      </c>
      <c r="I19" s="68">
        <f>IFERROR(F19*'As-Filed Schedule 1'!$E$103,0)</f>
        <v>274759.15199005982</v>
      </c>
      <c r="J19" s="304">
        <f>IFERROR(H19*'Adjusted Schedule 1'!$E$104,0)</f>
        <v>274759.15199005982</v>
      </c>
      <c r="K19" s="68">
        <f t="shared" si="1"/>
        <v>1331922.5259385332</v>
      </c>
      <c r="L19" s="304">
        <f>SUM(H19,J19)</f>
        <v>1331922.5259385332</v>
      </c>
      <c r="N19" s="114">
        <f>'As-Filed Schedule 2D'!J19</f>
        <v>3287.93240601566</v>
      </c>
      <c r="O19" s="307">
        <f>SUMIFS(Adjustments!$G:$G,Adjustments!$H:$H,"2D",Adjustments!$I:$I,'Schedule 2D Adjustments'!$N$12,Adjustments!$J:$J,'Schedule 2D Adjustments'!$A19)</f>
        <v>0</v>
      </c>
      <c r="P19" s="303">
        <f t="shared" si="3"/>
        <v>3287.93240601566</v>
      </c>
      <c r="Q19" s="68">
        <f>IFERROR(N19*'As-Filed Schedule 1'!$E$103,0)</f>
        <v>854.54106899614499</v>
      </c>
      <c r="R19" s="68">
        <f>IFERROR(P19*'Adjusted Schedule 1'!$E$104,0)</f>
        <v>854.54106899614499</v>
      </c>
      <c r="S19" s="68">
        <f t="shared" si="4"/>
        <v>4142.473475011805</v>
      </c>
      <c r="T19" s="304">
        <f t="shared" si="5"/>
        <v>4142.473475011805</v>
      </c>
      <c r="V19" s="117">
        <f>'As-Filed Schedule 2D'!N19</f>
        <v>9.0499999999999972</v>
      </c>
      <c r="W19" s="307">
        <f>SUMIFS(Adjustments!$G:$G,Adjustments!$H:$H,"2D",Adjustments!$I:$I,'Schedule 2D Adjustments'!$V$12,Adjustments!$J:$J,'Schedule 2D Adjustments'!$A19)</f>
        <v>0</v>
      </c>
      <c r="X19" s="303">
        <f t="shared" si="6"/>
        <v>9.0499999999999972</v>
      </c>
      <c r="Y19" s="117">
        <f>'As-Filed Schedule 2D'!O19</f>
        <v>698</v>
      </c>
      <c r="Z19" s="307">
        <f>SUMIFS(Adjustments!$G:$G,Adjustments!$H:$H,"2D",Adjustments!$I:$I,'Schedule 2D Adjustments'!$Y$12,Adjustments!$J:$J,'Schedule 2D Adjustments'!$A19)</f>
        <v>0</v>
      </c>
      <c r="AA19" s="303">
        <f t="shared" si="7"/>
        <v>698</v>
      </c>
    </row>
    <row r="20" spans="1:27" x14ac:dyDescent="0.35">
      <c r="A20" s="24">
        <v>6</v>
      </c>
      <c r="B20" s="565" t="str">
        <f>IF('As-Filed Schedule 2D'!B20:D20=0,"",'As-Filed Schedule 2D'!B20:D20)</f>
        <v>100-622-HIATT</v>
      </c>
      <c r="C20" s="565"/>
      <c r="D20" s="565"/>
      <c r="F20" s="114">
        <f>'As-Filed Schedule 2D'!F20</f>
        <v>695618.73083985306</v>
      </c>
      <c r="G20" s="307">
        <f>SUMIFS(Adjustments!$G:$G,Adjustments!$H:$H,"2D",Adjustments!$I:$I,'Schedule 2D Adjustments'!$F$12,Adjustments!$J:$J,'Schedule 2D Adjustments'!$A20)</f>
        <v>0</v>
      </c>
      <c r="H20" s="303">
        <f t="shared" si="0"/>
        <v>695618.73083985306</v>
      </c>
      <c r="I20" s="68">
        <f>IFERROR(F20*'As-Filed Schedule 1'!$E$103,0)</f>
        <v>180792.88150146918</v>
      </c>
      <c r="J20" s="304">
        <f>IFERROR(H20*'Adjusted Schedule 1'!$E$104,0)</f>
        <v>180792.88150146918</v>
      </c>
      <c r="K20" s="68">
        <f>SUM(F20,I20)</f>
        <v>876411.61234132224</v>
      </c>
      <c r="L20" s="304">
        <f t="shared" si="2"/>
        <v>876411.61234132224</v>
      </c>
      <c r="N20" s="114">
        <f>'As-Filed Schedule 2D'!J20</f>
        <v>3909.2543808421387</v>
      </c>
      <c r="O20" s="307">
        <f>SUMIFS(Adjustments!$G:$G,Adjustments!$H:$H,"2D",Adjustments!$I:$I,'Schedule 2D Adjustments'!$N$12,Adjustments!$J:$J,'Schedule 2D Adjustments'!$A20)</f>
        <v>0</v>
      </c>
      <c r="P20" s="303">
        <f t="shared" si="3"/>
        <v>3909.2543808421387</v>
      </c>
      <c r="Q20" s="68">
        <f>IFERROR(N20*'As-Filed Schedule 1'!$E$103,0)</f>
        <v>1016.0240555647217</v>
      </c>
      <c r="R20" s="68">
        <f>IFERROR(P20*'Adjusted Schedule 1'!$E$104,0)</f>
        <v>1016.0240555647217</v>
      </c>
      <c r="S20" s="68">
        <f t="shared" si="4"/>
        <v>4925.2784364068602</v>
      </c>
      <c r="T20" s="304">
        <f t="shared" si="5"/>
        <v>4925.2784364068602</v>
      </c>
      <c r="V20" s="117">
        <f>'As-Filed Schedule 2D'!N20</f>
        <v>7.7499999999999991</v>
      </c>
      <c r="W20" s="307">
        <f>SUMIFS(Adjustments!$G:$G,Adjustments!$H:$H,"2D",Adjustments!$I:$I,'Schedule 2D Adjustments'!$V$12,Adjustments!$J:$J,'Schedule 2D Adjustments'!$A20)</f>
        <v>0</v>
      </c>
      <c r="X20" s="303">
        <f t="shared" si="6"/>
        <v>7.7499999999999991</v>
      </c>
      <c r="Y20" s="117">
        <f>'As-Filed Schedule 2D'!O20</f>
        <v>442</v>
      </c>
      <c r="Z20" s="307">
        <f>SUMIFS(Adjustments!$G:$G,Adjustments!$H:$H,"2D",Adjustments!$I:$I,'Schedule 2D Adjustments'!$Y$12,Adjustments!$J:$J,'Schedule 2D Adjustments'!$A20)</f>
        <v>0</v>
      </c>
      <c r="AA20" s="303">
        <f t="shared" si="7"/>
        <v>442</v>
      </c>
    </row>
    <row r="21" spans="1:27" x14ac:dyDescent="0.35">
      <c r="A21" s="24">
        <v>7</v>
      </c>
      <c r="B21" s="565" t="str">
        <f>IF('As-Filed Schedule 2D'!B21:D21=0,"",'As-Filed Schedule 2D'!B21:D21)</f>
        <v>100-676-Supportive Living</v>
      </c>
      <c r="C21" s="565"/>
      <c r="D21" s="565"/>
      <c r="F21" s="114">
        <f>'As-Filed Schedule 2D'!F21</f>
        <v>1032487.0794389574</v>
      </c>
      <c r="G21" s="307">
        <f>SUMIFS(Adjustments!$G:$G,Adjustments!$H:$H,"2D",Adjustments!$I:$I,'Schedule 2D Adjustments'!$F$12,Adjustments!$J:$J,'Schedule 2D Adjustments'!$A21)</f>
        <v>0</v>
      </c>
      <c r="H21" s="303">
        <f t="shared" si="0"/>
        <v>1032487.0794389574</v>
      </c>
      <c r="I21" s="68">
        <f>IFERROR(F21*'As-Filed Schedule 1'!$E$103,0)</f>
        <v>268345.72723398986</v>
      </c>
      <c r="J21" s="304">
        <f>IFERROR(H21*'Adjusted Schedule 1'!$E$104,0)</f>
        <v>268345.72723398986</v>
      </c>
      <c r="K21" s="68">
        <f t="shared" si="1"/>
        <v>1300832.8066729472</v>
      </c>
      <c r="L21" s="304">
        <f t="shared" si="2"/>
        <v>1300832.8066729472</v>
      </c>
      <c r="N21" s="114">
        <f>'As-Filed Schedule 2D'!J21</f>
        <v>4816.0073341507959</v>
      </c>
      <c r="O21" s="307">
        <f>SUMIFS(Adjustments!$G:$G,Adjustments!$H:$H,"2D",Adjustments!$I:$I,'Schedule 2D Adjustments'!$N$12,Adjustments!$J:$J,'Schedule 2D Adjustments'!$A21)</f>
        <v>0</v>
      </c>
      <c r="P21" s="303">
        <f t="shared" si="3"/>
        <v>4816.0073341507959</v>
      </c>
      <c r="Q21" s="68">
        <f>IFERROR(N21*'As-Filed Schedule 1'!$E$103,0)</f>
        <v>1251.6911990309613</v>
      </c>
      <c r="R21" s="68">
        <f>IFERROR(P21*'Adjusted Schedule 1'!$E$104,0)</f>
        <v>1251.6911990309613</v>
      </c>
      <c r="S21" s="68">
        <f>SUM(N21,Q21)</f>
        <v>6067.6985331817577</v>
      </c>
      <c r="T21" s="304">
        <f>SUM(P21,R21)</f>
        <v>6067.6985331817577</v>
      </c>
      <c r="V21" s="117">
        <f>'As-Filed Schedule 2D'!N21</f>
        <v>7.3249999999999984</v>
      </c>
      <c r="W21" s="307">
        <f>SUMIFS(Adjustments!$G:$G,Adjustments!$H:$H,"2D",Adjustments!$I:$I,'Schedule 2D Adjustments'!$V$12,Adjustments!$J:$J,'Schedule 2D Adjustments'!$A21)</f>
        <v>0</v>
      </c>
      <c r="X21" s="303">
        <f t="shared" si="6"/>
        <v>7.3249999999999984</v>
      </c>
      <c r="Y21" s="117">
        <f>'As-Filed Schedule 2D'!O21</f>
        <v>606</v>
      </c>
      <c r="Z21" s="307">
        <f>SUMIFS(Adjustments!$G:$G,Adjustments!$H:$H,"2D",Adjustments!$I:$I,'Schedule 2D Adjustments'!$Y$12,Adjustments!$J:$J,'Schedule 2D Adjustments'!$A21)</f>
        <v>0</v>
      </c>
      <c r="AA21" s="303">
        <f t="shared" si="7"/>
        <v>606</v>
      </c>
    </row>
    <row r="22" spans="1:27" x14ac:dyDescent="0.35">
      <c r="A22" s="24">
        <v>8</v>
      </c>
      <c r="B22" s="565" t="str">
        <f>IF('As-Filed Schedule 2D'!B22:D22=0,"",'As-Filed Schedule 2D'!B22:D22)</f>
        <v>100-805-Vine Community Treatment Team</v>
      </c>
      <c r="C22" s="565"/>
      <c r="D22" s="565"/>
      <c r="F22" s="114">
        <f>'As-Filed Schedule 2D'!F22</f>
        <v>1773634.89712547</v>
      </c>
      <c r="G22" s="307">
        <f>SUMIFS(Adjustments!$G:$G,Adjustments!$H:$H,"2D",Adjustments!$I:$I,'Schedule 2D Adjustments'!$F$12,Adjustments!$J:$J,'Schedule 2D Adjustments'!$A22)</f>
        <v>0</v>
      </c>
      <c r="H22" s="303">
        <f t="shared" si="0"/>
        <v>1773634.89712547</v>
      </c>
      <c r="I22" s="68">
        <f>IFERROR(F22*'As-Filed Schedule 1'!$E$103,0)</f>
        <v>460971.72138497053</v>
      </c>
      <c r="J22" s="304">
        <f>IFERROR(H22*'Adjusted Schedule 1'!$E$104,0)</f>
        <v>460971.72138497053</v>
      </c>
      <c r="K22" s="68">
        <f t="shared" si="1"/>
        <v>2234606.6185104405</v>
      </c>
      <c r="L22" s="304">
        <f t="shared" si="2"/>
        <v>2234606.6185104405</v>
      </c>
      <c r="N22" s="114">
        <f>'As-Filed Schedule 2D'!J22</f>
        <v>1867.3967171136985</v>
      </c>
      <c r="O22" s="307">
        <f>SUMIFS(Adjustments!$G:$G,Adjustments!$H:$H,"2D",Adjustments!$I:$I,'Schedule 2D Adjustments'!$N$12,Adjustments!$J:$J,'Schedule 2D Adjustments'!$A22)</f>
        <v>0</v>
      </c>
      <c r="P22" s="303">
        <f t="shared" si="3"/>
        <v>1867.3967171136985</v>
      </c>
      <c r="Q22" s="68">
        <f>IFERROR(N22*'As-Filed Schedule 1'!$E$103,0)</f>
        <v>485.34063047117007</v>
      </c>
      <c r="R22" s="68">
        <f>IFERROR(P22*'Adjusted Schedule 1'!$E$104,0)</f>
        <v>485.34063047117007</v>
      </c>
      <c r="S22" s="68">
        <f t="shared" si="4"/>
        <v>2352.7373475848685</v>
      </c>
      <c r="T22" s="304">
        <f t="shared" si="5"/>
        <v>2352.7373475848685</v>
      </c>
      <c r="V22" s="117">
        <f>'As-Filed Schedule 2D'!N22</f>
        <v>16.952249999999996</v>
      </c>
      <c r="W22" s="307">
        <f>SUMIFS(Adjustments!$G:$G,Adjustments!$H:$H,"2D",Adjustments!$I:$I,'Schedule 2D Adjustments'!$V$12,Adjustments!$J:$J,'Schedule 2D Adjustments'!$A22)</f>
        <v>0</v>
      </c>
      <c r="X22" s="303">
        <f t="shared" si="6"/>
        <v>16.952249999999996</v>
      </c>
      <c r="Y22" s="117">
        <f>'As-Filed Schedule 2D'!O22</f>
        <v>1264</v>
      </c>
      <c r="Z22" s="307">
        <f>SUMIFS(Adjustments!$G:$G,Adjustments!$H:$H,"2D",Adjustments!$I:$I,'Schedule 2D Adjustments'!$Y$12,Adjustments!$J:$J,'Schedule 2D Adjustments'!$A22)</f>
        <v>0</v>
      </c>
      <c r="AA22" s="303">
        <f t="shared" si="7"/>
        <v>1264</v>
      </c>
    </row>
    <row r="23" spans="1:27" x14ac:dyDescent="0.35">
      <c r="A23" s="24">
        <v>9</v>
      </c>
      <c r="B23" s="565" t="str">
        <f>IF('As-Filed Schedule 2D'!B23:D23=0,"",'As-Filed Schedule 2D'!B23:D23)</f>
        <v>100-808-FUSE (Frequent Users Service Enhancement)</v>
      </c>
      <c r="C23" s="565"/>
      <c r="D23" s="565"/>
      <c r="F23" s="114">
        <f>'As-Filed Schedule 2D'!F23</f>
        <v>173655.88271500313</v>
      </c>
      <c r="G23" s="307">
        <f>SUMIFS(Adjustments!$G:$G,Adjustments!$H:$H,"2D",Adjustments!$I:$I,'Schedule 2D Adjustments'!$F$12,Adjustments!$J:$J,'Schedule 2D Adjustments'!$A23)</f>
        <v>0</v>
      </c>
      <c r="H23" s="303">
        <f t="shared" si="0"/>
        <v>173655.88271500313</v>
      </c>
      <c r="I23" s="68">
        <f>IFERROR(F23*'As-Filed Schedule 1'!$E$103,0)</f>
        <v>45133.556693939274</v>
      </c>
      <c r="J23" s="304">
        <f>IFERROR(H23*'Adjusted Schedule 1'!$E$104,0)</f>
        <v>45133.556693939274</v>
      </c>
      <c r="K23" s="68">
        <f t="shared" si="1"/>
        <v>218789.43940894242</v>
      </c>
      <c r="L23" s="304">
        <f t="shared" si="2"/>
        <v>218789.43940894242</v>
      </c>
      <c r="N23" s="114">
        <f>'As-Filed Schedule 2D'!J23</f>
        <v>136.10343361868257</v>
      </c>
      <c r="O23" s="307">
        <f>SUMIFS(Adjustments!$G:$G,Adjustments!$H:$H,"2D",Adjustments!$I:$I,'Schedule 2D Adjustments'!$N$12,Adjustments!$J:$J,'Schedule 2D Adjustments'!$A23)</f>
        <v>0</v>
      </c>
      <c r="P23" s="303">
        <f t="shared" si="3"/>
        <v>136.10343361868257</v>
      </c>
      <c r="Q23" s="68">
        <f>IFERROR(N23*'As-Filed Schedule 1'!$E$103,0)</f>
        <v>35.373590237366002</v>
      </c>
      <c r="R23" s="68">
        <f>IFERROR(P23*'Adjusted Schedule 1'!$E$104,0)</f>
        <v>35.373590237366002</v>
      </c>
      <c r="S23" s="68">
        <f t="shared" si="4"/>
        <v>171.47702385604856</v>
      </c>
      <c r="T23" s="304">
        <f t="shared" si="5"/>
        <v>171.47702385604856</v>
      </c>
      <c r="V23" s="117">
        <f>'As-Filed Schedule 2D'!N23</f>
        <v>1.5375000000000001</v>
      </c>
      <c r="W23" s="307">
        <f>SUMIFS(Adjustments!$G:$G,Adjustments!$H:$H,"2D",Adjustments!$I:$I,'Schedule 2D Adjustments'!$V$12,Adjustments!$J:$J,'Schedule 2D Adjustments'!$A23)</f>
        <v>0</v>
      </c>
      <c r="X23" s="303">
        <f t="shared" si="6"/>
        <v>1.5375000000000001</v>
      </c>
      <c r="Y23" s="117">
        <f>'As-Filed Schedule 2D'!O23</f>
        <v>69</v>
      </c>
      <c r="Z23" s="307">
        <f>SUMIFS(Adjustments!$G:$G,Adjustments!$H:$H,"2D",Adjustments!$I:$I,'Schedule 2D Adjustments'!$Y$12,Adjustments!$J:$J,'Schedule 2D Adjustments'!$A23)</f>
        <v>0</v>
      </c>
      <c r="AA23" s="303">
        <f t="shared" si="7"/>
        <v>69</v>
      </c>
    </row>
    <row r="24" spans="1:27" x14ac:dyDescent="0.35">
      <c r="A24" s="24">
        <v>10</v>
      </c>
      <c r="B24" s="565" t="str">
        <f>IF('As-Filed Schedule 2D'!B24:D24=0,"",'As-Filed Schedule 2D'!B24:D24)</f>
        <v>100-809-Street to Home</v>
      </c>
      <c r="C24" s="565"/>
      <c r="D24" s="565"/>
      <c r="F24" s="114">
        <f>'As-Filed Schedule 2D'!F24</f>
        <v>509845.22226944956</v>
      </c>
      <c r="G24" s="307">
        <f>SUMIFS(Adjustments!$G:$G,Adjustments!$H:$H,"2D",Adjustments!$I:$I,'Schedule 2D Adjustments'!$F$12,Adjustments!$J:$J,'Schedule 2D Adjustments'!$A24)</f>
        <v>0</v>
      </c>
      <c r="H24" s="303">
        <f t="shared" si="0"/>
        <v>509845.22226944956</v>
      </c>
      <c r="I24" s="68">
        <f>IFERROR(F24*'As-Filed Schedule 1'!$E$103,0)</f>
        <v>132509.92643996509</v>
      </c>
      <c r="J24" s="304">
        <f>IFERROR(H24*'Adjusted Schedule 1'!$E$104,0)</f>
        <v>132509.92643996509</v>
      </c>
      <c r="K24" s="68">
        <f t="shared" si="1"/>
        <v>642355.14870941464</v>
      </c>
      <c r="L24" s="304">
        <f t="shared" si="2"/>
        <v>642355.14870941464</v>
      </c>
      <c r="N24" s="114">
        <f>'As-Filed Schedule 2D'!J24</f>
        <v>275.89214667395822</v>
      </c>
      <c r="O24" s="307">
        <f>SUMIFS(Adjustments!$G:$G,Adjustments!$H:$H,"2D",Adjustments!$I:$I,'Schedule 2D Adjustments'!$N$12,Adjustments!$J:$J,'Schedule 2D Adjustments'!$A24)</f>
        <v>0</v>
      </c>
      <c r="P24" s="303">
        <f t="shared" si="3"/>
        <v>275.89214667395822</v>
      </c>
      <c r="Q24" s="68">
        <f>IFERROR(N24*'As-Filed Schedule 1'!$E$103,0)</f>
        <v>71.704992935698016</v>
      </c>
      <c r="R24" s="68">
        <f>IFERROR(P24*'Adjusted Schedule 1'!$E$104,0)</f>
        <v>71.704992935698016</v>
      </c>
      <c r="S24" s="68">
        <f t="shared" si="4"/>
        <v>347.59713960965621</v>
      </c>
      <c r="T24" s="304">
        <f t="shared" si="5"/>
        <v>347.59713960965621</v>
      </c>
      <c r="V24" s="117">
        <f>'As-Filed Schedule 2D'!N24</f>
        <v>4.3468749999999998</v>
      </c>
      <c r="W24" s="307">
        <f>SUMIFS(Adjustments!$G:$G,Adjustments!$H:$H,"2D",Adjustments!$I:$I,'Schedule 2D Adjustments'!$V$12,Adjustments!$J:$J,'Schedule 2D Adjustments'!$A24)</f>
        <v>0</v>
      </c>
      <c r="X24" s="303">
        <f t="shared" si="6"/>
        <v>4.3468749999999998</v>
      </c>
      <c r="Y24" s="117">
        <f>'As-Filed Schedule 2D'!O24</f>
        <v>248</v>
      </c>
      <c r="Z24" s="307">
        <f>SUMIFS(Adjustments!$G:$G,Adjustments!$H:$H,"2D",Adjustments!$I:$I,'Schedule 2D Adjustments'!$Y$12,Adjustments!$J:$J,'Schedule 2D Adjustments'!$A24)</f>
        <v>0</v>
      </c>
      <c r="AA24" s="303">
        <f t="shared" si="7"/>
        <v>248</v>
      </c>
    </row>
    <row r="25" spans="1:27" x14ac:dyDescent="0.35">
      <c r="A25" s="24">
        <v>11</v>
      </c>
      <c r="B25" s="565" t="str">
        <f>IF('As-Filed Schedule 2D'!B25:D25=0,"",'As-Filed Schedule 2D'!B25:D25)</f>
        <v>100-812-Probation &amp; Anti-Recidivism</v>
      </c>
      <c r="C25" s="565"/>
      <c r="D25" s="565"/>
      <c r="F25" s="114">
        <f>'As-Filed Schedule 2D'!F25</f>
        <v>286571.73871220107</v>
      </c>
      <c r="G25" s="307">
        <f>SUMIFS(Adjustments!$G:$G,Adjustments!$H:$H,"2D",Adjustments!$I:$I,'Schedule 2D Adjustments'!$F$12,Adjustments!$J:$J,'Schedule 2D Adjustments'!$A25)</f>
        <v>0</v>
      </c>
      <c r="H25" s="303">
        <f t="shared" si="0"/>
        <v>286571.73871220107</v>
      </c>
      <c r="I25" s="68">
        <f>IFERROR(F25*'As-Filed Schedule 1'!$E$103,0)</f>
        <v>74480.643061626819</v>
      </c>
      <c r="J25" s="304">
        <f>IFERROR(H25*'Adjusted Schedule 1'!$E$104,0)</f>
        <v>74480.643061626819</v>
      </c>
      <c r="K25" s="68">
        <f t="shared" si="1"/>
        <v>361052.38177382789</v>
      </c>
      <c r="L25" s="304">
        <f t="shared" si="2"/>
        <v>361052.38177382789</v>
      </c>
      <c r="N25" s="114">
        <f>'As-Filed Schedule 2D'!J25</f>
        <v>596.7262119388929</v>
      </c>
      <c r="O25" s="307">
        <f>SUMIFS(Adjustments!$G:$G,Adjustments!$H:$H,"2D",Adjustments!$I:$I,'Schedule 2D Adjustments'!$N$12,Adjustments!$J:$J,'Schedule 2D Adjustments'!$A25)</f>
        <v>0</v>
      </c>
      <c r="P25" s="303">
        <f t="shared" si="3"/>
        <v>596.7262119388929</v>
      </c>
      <c r="Q25" s="68">
        <f>IFERROR(N25*'As-Filed Schedule 1'!$E$103,0)</f>
        <v>155.09049216319352</v>
      </c>
      <c r="R25" s="68">
        <f>IFERROR(P25*'Adjusted Schedule 1'!$E$104,0)</f>
        <v>155.09049216319352</v>
      </c>
      <c r="S25" s="68">
        <f t="shared" si="4"/>
        <v>751.81670410208642</v>
      </c>
      <c r="T25" s="304">
        <f t="shared" si="5"/>
        <v>751.81670410208642</v>
      </c>
      <c r="V25" s="117">
        <f>'As-Filed Schedule 2D'!N25</f>
        <v>2.9999999999999996</v>
      </c>
      <c r="W25" s="307">
        <f>SUMIFS(Adjustments!$G:$G,Adjustments!$H:$H,"2D",Adjustments!$I:$I,'Schedule 2D Adjustments'!$V$12,Adjustments!$J:$J,'Schedule 2D Adjustments'!$A25)</f>
        <v>0</v>
      </c>
      <c r="X25" s="303">
        <f t="shared" si="6"/>
        <v>2.9999999999999996</v>
      </c>
      <c r="Y25" s="117">
        <f>'As-Filed Schedule 2D'!O25</f>
        <v>157</v>
      </c>
      <c r="Z25" s="307">
        <f>SUMIFS(Adjustments!$G:$G,Adjustments!$H:$H,"2D",Adjustments!$I:$I,'Schedule 2D Adjustments'!$Y$12,Adjustments!$J:$J,'Schedule 2D Adjustments'!$A25)</f>
        <v>0</v>
      </c>
      <c r="AA25" s="303">
        <f t="shared" si="7"/>
        <v>157</v>
      </c>
    </row>
    <row r="26" spans="1:27" x14ac:dyDescent="0.35">
      <c r="A26" s="24">
        <v>12</v>
      </c>
      <c r="B26" s="565" t="str">
        <f>IF('As-Filed Schedule 2D'!B26:D26=0,"",'As-Filed Schedule 2D'!B26:D26)</f>
        <v>100-813-Probation Liaison</v>
      </c>
      <c r="C26" s="565"/>
      <c r="D26" s="565"/>
      <c r="F26" s="114">
        <f>'As-Filed Schedule 2D'!F26</f>
        <v>81179.192057949112</v>
      </c>
      <c r="G26" s="307">
        <f>SUMIFS(Adjustments!$G:$G,Adjustments!$H:$H,"2D",Adjustments!$I:$I,'Schedule 2D Adjustments'!$F$12,Adjustments!$J:$J,'Schedule 2D Adjustments'!$A26)</f>
        <v>0</v>
      </c>
      <c r="H26" s="303">
        <f t="shared" si="0"/>
        <v>81179.192057949112</v>
      </c>
      <c r="I26" s="68">
        <f>IFERROR(F26*'As-Filed Schedule 1'!$E$103,0)</f>
        <v>21098.655627628126</v>
      </c>
      <c r="J26" s="304">
        <f>IFERROR(H26*'Adjusted Schedule 1'!$E$104,0)</f>
        <v>21098.655627628126</v>
      </c>
      <c r="K26" s="68">
        <f t="shared" si="1"/>
        <v>102277.84768557723</v>
      </c>
      <c r="L26" s="304">
        <f t="shared" si="2"/>
        <v>102277.84768557723</v>
      </c>
      <c r="N26" s="114">
        <f>'As-Filed Schedule 2D'!J26</f>
        <v>29.180240155012861</v>
      </c>
      <c r="O26" s="307">
        <f>SUMIFS(Adjustments!$G:$G,Adjustments!$H:$H,"2D",Adjustments!$I:$I,'Schedule 2D Adjustments'!$N$12,Adjustments!$J:$J,'Schedule 2D Adjustments'!$A26)</f>
        <v>0</v>
      </c>
      <c r="P26" s="303">
        <f t="shared" si="3"/>
        <v>29.180240155012861</v>
      </c>
      <c r="Q26" s="68">
        <f>IFERROR(N26*'As-Filed Schedule 1'!$E$103,0)</f>
        <v>7.58401041639606</v>
      </c>
      <c r="R26" s="68">
        <f>IFERROR(P26*'Adjusted Schedule 1'!$E$104,0)</f>
        <v>7.58401041639606</v>
      </c>
      <c r="S26" s="68">
        <f t="shared" si="4"/>
        <v>36.764250571408922</v>
      </c>
      <c r="T26" s="304">
        <f t="shared" si="5"/>
        <v>36.764250571408922</v>
      </c>
      <c r="V26" s="117">
        <f>'As-Filed Schedule 2D'!N26</f>
        <v>0.98124999999999996</v>
      </c>
      <c r="W26" s="307">
        <f>SUMIFS(Adjustments!$G:$G,Adjustments!$H:$H,"2D",Adjustments!$I:$I,'Schedule 2D Adjustments'!$V$12,Adjustments!$J:$J,'Schedule 2D Adjustments'!$A26)</f>
        <v>0</v>
      </c>
      <c r="X26" s="303">
        <f t="shared" si="6"/>
        <v>0.98124999999999996</v>
      </c>
      <c r="Y26" s="117">
        <f>'As-Filed Schedule 2D'!O26</f>
        <v>99</v>
      </c>
      <c r="Z26" s="307">
        <f>SUMIFS(Adjustments!$G:$G,Adjustments!$H:$H,"2D",Adjustments!$I:$I,'Schedule 2D Adjustments'!$Y$12,Adjustments!$J:$J,'Schedule 2D Adjustments'!$A26)</f>
        <v>0</v>
      </c>
      <c r="AA26" s="303">
        <f t="shared" si="7"/>
        <v>99</v>
      </c>
    </row>
    <row r="27" spans="1:27" x14ac:dyDescent="0.35">
      <c r="A27" s="24">
        <v>13</v>
      </c>
      <c r="B27" s="565" t="str">
        <f>IF('As-Filed Schedule 2D'!B27:D27=0,"",'As-Filed Schedule 2D'!B27:D27)</f>
        <v>100-816-Bridges</v>
      </c>
      <c r="C27" s="565"/>
      <c r="D27" s="565"/>
      <c r="F27" s="114">
        <f>'As-Filed Schedule 2D'!F27</f>
        <v>0</v>
      </c>
      <c r="G27" s="307">
        <f>SUMIFS(Adjustments!$G:$G,Adjustments!$H:$H,"2D",Adjustments!$I:$I,'Schedule 2D Adjustments'!$F$12,Adjustments!$J:$J,'Schedule 2D Adjustments'!$A27)</f>
        <v>4949.42</v>
      </c>
      <c r="H27" s="303">
        <f t="shared" si="0"/>
        <v>4949.42</v>
      </c>
      <c r="I27" s="68">
        <f>IFERROR(F27*'As-Filed Schedule 1'!$E$103,0)</f>
        <v>0</v>
      </c>
      <c r="J27" s="304">
        <f>IFERROR(H27*'Adjusted Schedule 1'!$E$104,0)</f>
        <v>1286.3654526390392</v>
      </c>
      <c r="K27" s="68">
        <f t="shared" si="1"/>
        <v>0</v>
      </c>
      <c r="L27" s="304">
        <f t="shared" si="2"/>
        <v>6235.7854526390392</v>
      </c>
      <c r="N27" s="114">
        <f>'As-Filed Schedule 2D'!J27</f>
        <v>237094.52328275997</v>
      </c>
      <c r="O27" s="307">
        <f>SUMIFS(Adjustments!$G:$G,Adjustments!$H:$H,"2D",Adjustments!$I:$I,'Schedule 2D Adjustments'!$N$12,Adjustments!$J:$J,'Schedule 2D Adjustments'!$A27)</f>
        <v>-4949.42</v>
      </c>
      <c r="P27" s="303">
        <f t="shared" si="3"/>
        <v>232145.10328275996</v>
      </c>
      <c r="Q27" s="68">
        <f>IFERROR(N27*'As-Filed Schedule 1'!$E$103,0)</f>
        <v>61621.402863540527</v>
      </c>
      <c r="R27" s="68">
        <f>IFERROR(P27*'Adjusted Schedule 1'!$E$104,0)</f>
        <v>60335.037410901481</v>
      </c>
      <c r="S27" s="68">
        <f t="shared" si="4"/>
        <v>298715.92614630051</v>
      </c>
      <c r="T27" s="304">
        <f t="shared" si="5"/>
        <v>292480.14069366141</v>
      </c>
      <c r="V27" s="117">
        <f>'As-Filed Schedule 2D'!N27</f>
        <v>2</v>
      </c>
      <c r="W27" s="307">
        <f>SUMIFS(Adjustments!$G:$G,Adjustments!$H:$H,"2D",Adjustments!$I:$I,'Schedule 2D Adjustments'!$V$12,Adjustments!$J:$J,'Schedule 2D Adjustments'!$A27)</f>
        <v>0</v>
      </c>
      <c r="X27" s="303">
        <f t="shared" si="6"/>
        <v>2</v>
      </c>
      <c r="Y27" s="117">
        <f>'As-Filed Schedule 2D'!O27</f>
        <v>198</v>
      </c>
      <c r="Z27" s="307">
        <f>SUMIFS(Adjustments!$G:$G,Adjustments!$H:$H,"2D",Adjustments!$I:$I,'Schedule 2D Adjustments'!$Y$12,Adjustments!$J:$J,'Schedule 2D Adjustments'!$A27)</f>
        <v>0</v>
      </c>
      <c r="AA27" s="303">
        <f t="shared" si="7"/>
        <v>198</v>
      </c>
    </row>
    <row r="28" spans="1:27" x14ac:dyDescent="0.35">
      <c r="A28" s="24">
        <v>14</v>
      </c>
      <c r="B28" s="565" t="str">
        <f>IF('As-Filed Schedule 2D'!B28:D28=0,"",'As-Filed Schedule 2D'!B28:D28)</f>
        <v>100-817-Competency Diversion Navigators</v>
      </c>
      <c r="C28" s="565"/>
      <c r="D28" s="565"/>
      <c r="F28" s="114">
        <f>'As-Filed Schedule 2D'!F28</f>
        <v>872023.08492944168</v>
      </c>
      <c r="G28" s="307">
        <f>SUMIFS(Adjustments!$G:$G,Adjustments!$H:$H,"2D",Adjustments!$I:$I,'Schedule 2D Adjustments'!$F$12,Adjustments!$J:$J,'Schedule 2D Adjustments'!$A28)</f>
        <v>0</v>
      </c>
      <c r="H28" s="303">
        <f t="shared" si="0"/>
        <v>872023.08492944168</v>
      </c>
      <c r="I28" s="68">
        <f>IFERROR(F28*'As-Filed Schedule 1'!$E$103,0)</f>
        <v>226640.77212217849</v>
      </c>
      <c r="J28" s="304">
        <f>IFERROR(H28*'Adjusted Schedule 1'!$E$104,0)</f>
        <v>226640.77212217849</v>
      </c>
      <c r="K28" s="68">
        <f t="shared" si="1"/>
        <v>1098663.8570516203</v>
      </c>
      <c r="L28" s="304">
        <f t="shared" si="2"/>
        <v>1098663.8570516203</v>
      </c>
      <c r="N28" s="114">
        <f>'As-Filed Schedule 2D'!J28</f>
        <v>552.21226228593332</v>
      </c>
      <c r="O28" s="307">
        <f>SUMIFS(Adjustments!$G:$G,Adjustments!$H:$H,"2D",Adjustments!$I:$I,'Schedule 2D Adjustments'!$N$12,Adjustments!$J:$J,'Schedule 2D Adjustments'!$A28)</f>
        <v>0</v>
      </c>
      <c r="P28" s="303">
        <f t="shared" si="3"/>
        <v>552.21226228593332</v>
      </c>
      <c r="Q28" s="68">
        <f>IFERROR(N28*'As-Filed Schedule 1'!$E$103,0)</f>
        <v>143.52121596637031</v>
      </c>
      <c r="R28" s="68">
        <f>IFERROR(P28*'Adjusted Schedule 1'!$E$104,0)</f>
        <v>143.52121596637031</v>
      </c>
      <c r="S28" s="68">
        <f t="shared" si="4"/>
        <v>695.7334782523036</v>
      </c>
      <c r="T28" s="304">
        <f t="shared" si="5"/>
        <v>695.7334782523036</v>
      </c>
      <c r="V28" s="117">
        <f>'As-Filed Schedule 2D'!N28</f>
        <v>5.6</v>
      </c>
      <c r="W28" s="307">
        <f>SUMIFS(Adjustments!$G:$G,Adjustments!$H:$H,"2D",Adjustments!$I:$I,'Schedule 2D Adjustments'!$V$12,Adjustments!$J:$J,'Schedule 2D Adjustments'!$A28)</f>
        <v>0</v>
      </c>
      <c r="X28" s="303">
        <f t="shared" si="6"/>
        <v>5.6</v>
      </c>
      <c r="Y28" s="117">
        <f>'As-Filed Schedule 2D'!O28</f>
        <v>192</v>
      </c>
      <c r="Z28" s="307">
        <f>SUMIFS(Adjustments!$G:$G,Adjustments!$H:$H,"2D",Adjustments!$I:$I,'Schedule 2D Adjustments'!$Y$12,Adjustments!$J:$J,'Schedule 2D Adjustments'!$A28)</f>
        <v>0</v>
      </c>
      <c r="AA28" s="303">
        <f t="shared" si="7"/>
        <v>192</v>
      </c>
    </row>
    <row r="29" spans="1:27" x14ac:dyDescent="0.35">
      <c r="A29" s="24">
        <v>15</v>
      </c>
      <c r="B29" s="565" t="str">
        <f>IF('As-Filed Schedule 2D'!B29:D29=0,"",'As-Filed Schedule 2D'!B29:D29)</f>
        <v>100-830-Independent Living</v>
      </c>
      <c r="C29" s="565"/>
      <c r="D29" s="565"/>
      <c r="F29" s="114">
        <f>'As-Filed Schedule 2D'!F29</f>
        <v>1763242.5486927242</v>
      </c>
      <c r="G29" s="307">
        <f>SUMIFS(Adjustments!$G:$G,Adjustments!$H:$H,"2D",Adjustments!$I:$I,'Schedule 2D Adjustments'!$F$12,Adjustments!$J:$J,'Schedule 2D Adjustments'!$A29)</f>
        <v>0</v>
      </c>
      <c r="H29" s="303">
        <f t="shared" si="0"/>
        <v>1763242.5486927242</v>
      </c>
      <c r="I29" s="68">
        <f>IFERROR(F29*'As-Filed Schedule 1'!$E$103,0)</f>
        <v>458270.72652180039</v>
      </c>
      <c r="J29" s="304">
        <f>IFERROR(H29*'Adjusted Schedule 1'!$E$104,0)</f>
        <v>458270.72652180039</v>
      </c>
      <c r="K29" s="68">
        <f t="shared" si="1"/>
        <v>2221513.2752145245</v>
      </c>
      <c r="L29" s="304">
        <f t="shared" si="2"/>
        <v>2221513.2752145245</v>
      </c>
      <c r="N29" s="114">
        <f>'As-Filed Schedule 2D'!J29</f>
        <v>2393.0553606488807</v>
      </c>
      <c r="O29" s="307">
        <f>SUMIFS(Adjustments!$G:$G,Adjustments!$H:$H,"2D",Adjustments!$I:$I,'Schedule 2D Adjustments'!$N$12,Adjustments!$J:$J,'Schedule 2D Adjustments'!$A29)</f>
        <v>0</v>
      </c>
      <c r="P29" s="303">
        <f t="shared" si="3"/>
        <v>2393.0553606488807</v>
      </c>
      <c r="Q29" s="68">
        <f>IFERROR(N29*'As-Filed Schedule 1'!$E$103,0)</f>
        <v>621.96050086502589</v>
      </c>
      <c r="R29" s="68">
        <f>IFERROR(P29*'Adjusted Schedule 1'!$E$104,0)</f>
        <v>621.96050086502589</v>
      </c>
      <c r="S29" s="68">
        <f t="shared" si="4"/>
        <v>3015.0158615139067</v>
      </c>
      <c r="T29" s="304">
        <f t="shared" si="5"/>
        <v>3015.0158615139067</v>
      </c>
      <c r="V29" s="117">
        <f>'As-Filed Schedule 2D'!N29</f>
        <v>15.396875000000001</v>
      </c>
      <c r="W29" s="307">
        <f>SUMIFS(Adjustments!$G:$G,Adjustments!$H:$H,"2D",Adjustments!$I:$I,'Schedule 2D Adjustments'!$V$12,Adjustments!$J:$J,'Schedule 2D Adjustments'!$A29)</f>
        <v>0</v>
      </c>
      <c r="X29" s="303">
        <f t="shared" si="6"/>
        <v>15.396875000000001</v>
      </c>
      <c r="Y29" s="117">
        <f>'As-Filed Schedule 2D'!O29</f>
        <v>910</v>
      </c>
      <c r="Z29" s="307">
        <f>SUMIFS(Adjustments!$G:$G,Adjustments!$H:$H,"2D",Adjustments!$I:$I,'Schedule 2D Adjustments'!$Y$12,Adjustments!$J:$J,'Schedule 2D Adjustments'!$A29)</f>
        <v>0</v>
      </c>
      <c r="AA29" s="303">
        <f t="shared" si="7"/>
        <v>910</v>
      </c>
    </row>
    <row r="30" spans="1:27" x14ac:dyDescent="0.35">
      <c r="A30" s="24">
        <v>16</v>
      </c>
      <c r="B30" s="565" t="str">
        <f>IF('As-Filed Schedule 2D'!B30:D30=0,"",'As-Filed Schedule 2D'!B30:D30)</f>
        <v>100-840-Humboldt Community Treatment</v>
      </c>
      <c r="C30" s="565"/>
      <c r="D30" s="565"/>
      <c r="F30" s="114">
        <f>'As-Filed Schedule 2D'!F30</f>
        <v>1738523.4898185651</v>
      </c>
      <c r="G30" s="307">
        <f>SUMIFS(Adjustments!$G:$G,Adjustments!$H:$H,"2D",Adjustments!$I:$I,'Schedule 2D Adjustments'!$F$12,Adjustments!$J:$J,'Schedule 2D Adjustments'!$A30)</f>
        <v>0</v>
      </c>
      <c r="H30" s="303">
        <f t="shared" si="0"/>
        <v>1738523.4898185651</v>
      </c>
      <c r="I30" s="68">
        <f>IFERROR(F30*'As-Filed Schedule 1'!$E$103,0)</f>
        <v>451846.18721063487</v>
      </c>
      <c r="J30" s="304">
        <f>IFERROR(H30*'Adjusted Schedule 1'!$E$104,0)</f>
        <v>451846.18721063487</v>
      </c>
      <c r="K30" s="68">
        <f t="shared" si="1"/>
        <v>2190369.6770291999</v>
      </c>
      <c r="L30" s="304">
        <f t="shared" si="2"/>
        <v>2190369.6770291999</v>
      </c>
      <c r="N30" s="114">
        <f>'As-Filed Schedule 2D'!J30</f>
        <v>28609.945817306696</v>
      </c>
      <c r="O30" s="307">
        <f>SUMIFS(Adjustments!$G:$G,Adjustments!$H:$H,"2D",Adjustments!$I:$I,'Schedule 2D Adjustments'!$N$12,Adjustments!$J:$J,'Schedule 2D Adjustments'!$A30)</f>
        <v>0</v>
      </c>
      <c r="P30" s="303">
        <f t="shared" si="3"/>
        <v>28609.945817306696</v>
      </c>
      <c r="Q30" s="68">
        <f>IFERROR(N30*'As-Filed Schedule 1'!$E$103,0)</f>
        <v>7435.7896281297835</v>
      </c>
      <c r="R30" s="68">
        <f>IFERROR(P30*'Adjusted Schedule 1'!$E$104,0)</f>
        <v>7435.7896281297835</v>
      </c>
      <c r="S30" s="68">
        <f t="shared" si="4"/>
        <v>36045.735445436483</v>
      </c>
      <c r="T30" s="304">
        <f t="shared" si="5"/>
        <v>36045.735445436483</v>
      </c>
      <c r="V30" s="117">
        <f>'As-Filed Schedule 2D'!N30</f>
        <v>14.399999999999999</v>
      </c>
      <c r="W30" s="307">
        <f>SUMIFS(Adjustments!$G:$G,Adjustments!$H:$H,"2D",Adjustments!$I:$I,'Schedule 2D Adjustments'!$V$12,Adjustments!$J:$J,'Schedule 2D Adjustments'!$A30)</f>
        <v>0</v>
      </c>
      <c r="X30" s="303">
        <f t="shared" si="6"/>
        <v>14.399999999999999</v>
      </c>
      <c r="Y30" s="117">
        <f>'As-Filed Schedule 2D'!O30</f>
        <v>733</v>
      </c>
      <c r="Z30" s="307">
        <f>SUMIFS(Adjustments!$G:$G,Adjustments!$H:$H,"2D",Adjustments!$I:$I,'Schedule 2D Adjustments'!$Y$12,Adjustments!$J:$J,'Schedule 2D Adjustments'!$A30)</f>
        <v>0</v>
      </c>
      <c r="AA30" s="303">
        <f t="shared" si="7"/>
        <v>733</v>
      </c>
    </row>
    <row r="31" spans="1:27" x14ac:dyDescent="0.35">
      <c r="A31" s="24">
        <v>17</v>
      </c>
      <c r="B31" s="565" t="str">
        <f>IF('As-Filed Schedule 2D'!B31:D31=0,"",'As-Filed Schedule 2D'!B31:D31)</f>
        <v>100-845-Medicaid Expansion Community Treatment</v>
      </c>
      <c r="C31" s="565"/>
      <c r="D31" s="565"/>
      <c r="F31" s="114">
        <f>'As-Filed Schedule 2D'!F31</f>
        <v>2340114.3569159778</v>
      </c>
      <c r="G31" s="307">
        <f>SUMIFS(Adjustments!$G:$G,Adjustments!$H:$H,"2D",Adjustments!$I:$I,'Schedule 2D Adjustments'!$F$12,Adjustments!$J:$J,'Schedule 2D Adjustments'!$A31)</f>
        <v>0</v>
      </c>
      <c r="H31" s="303">
        <f t="shared" si="0"/>
        <v>2340114.3569159778</v>
      </c>
      <c r="I31" s="68">
        <f>IFERROR(F31*'As-Filed Schedule 1'!$E$103,0)</f>
        <v>608201.01425244496</v>
      </c>
      <c r="J31" s="304">
        <f>IFERROR(H31*'Adjusted Schedule 1'!$E$104,0)</f>
        <v>608201.01425244496</v>
      </c>
      <c r="K31" s="68">
        <f t="shared" si="1"/>
        <v>2948315.3711684225</v>
      </c>
      <c r="L31" s="304">
        <f t="shared" si="2"/>
        <v>2948315.3711684225</v>
      </c>
      <c r="N31" s="114">
        <f>'As-Filed Schedule 2D'!J31</f>
        <v>10284.094955761046</v>
      </c>
      <c r="O31" s="307">
        <f>SUMIFS(Adjustments!$G:$G,Adjustments!$H:$H,"2D",Adjustments!$I:$I,'Schedule 2D Adjustments'!$N$12,Adjustments!$J:$J,'Schedule 2D Adjustments'!$A31)</f>
        <v>0</v>
      </c>
      <c r="P31" s="303">
        <f t="shared" si="3"/>
        <v>10284.094955761046</v>
      </c>
      <c r="Q31" s="68">
        <f>IFERROR(N31*'As-Filed Schedule 1'!$E$103,0)</f>
        <v>2672.8595396532155</v>
      </c>
      <c r="R31" s="68">
        <f>IFERROR(P31*'Adjusted Schedule 1'!$E$104,0)</f>
        <v>2672.8595396532155</v>
      </c>
      <c r="S31" s="68">
        <f t="shared" si="4"/>
        <v>12956.954495414262</v>
      </c>
      <c r="T31" s="304">
        <f t="shared" si="5"/>
        <v>12956.954495414262</v>
      </c>
      <c r="V31" s="117">
        <f>'As-Filed Schedule 2D'!N31</f>
        <v>21.55</v>
      </c>
      <c r="W31" s="307">
        <f>SUMIFS(Adjustments!$G:$G,Adjustments!$H:$H,"2D",Adjustments!$I:$I,'Schedule 2D Adjustments'!$V$12,Adjustments!$J:$J,'Schedule 2D Adjustments'!$A31)</f>
        <v>0</v>
      </c>
      <c r="X31" s="303">
        <f t="shared" si="6"/>
        <v>21.55</v>
      </c>
      <c r="Y31" s="117">
        <f>'As-Filed Schedule 2D'!O31</f>
        <v>1084</v>
      </c>
      <c r="Z31" s="307">
        <f>SUMIFS(Adjustments!$G:$G,Adjustments!$H:$H,"2D",Adjustments!$I:$I,'Schedule 2D Adjustments'!$Y$12,Adjustments!$J:$J,'Schedule 2D Adjustments'!$A31)</f>
        <v>0</v>
      </c>
      <c r="AA31" s="303">
        <f t="shared" si="7"/>
        <v>1084</v>
      </c>
    </row>
    <row r="32" spans="1:27" x14ac:dyDescent="0.35">
      <c r="A32" s="24">
        <v>18</v>
      </c>
      <c r="B32" s="565" t="str">
        <f>IF('As-Filed Schedule 2D'!B32:D32=0,"",'As-Filed Schedule 2D'!B32:D32)</f>
        <v>100-851-Downing High Intensity Treatment</v>
      </c>
      <c r="C32" s="565"/>
      <c r="D32" s="565"/>
      <c r="F32" s="114">
        <f>'As-Filed Schedule 2D'!F32</f>
        <v>1096744.3901704708</v>
      </c>
      <c r="G32" s="307">
        <f>SUMIFS(Adjustments!$G:$G,Adjustments!$H:$H,"2D",Adjustments!$I:$I,'Schedule 2D Adjustments'!$F$12,Adjustments!$J:$J,'Schedule 2D Adjustments'!$A32)</f>
        <v>0</v>
      </c>
      <c r="H32" s="303">
        <f t="shared" si="0"/>
        <v>1096744.3901704708</v>
      </c>
      <c r="I32" s="68">
        <f>IFERROR(F32*'As-Filed Schedule 1'!$E$103,0)</f>
        <v>285046.34763082641</v>
      </c>
      <c r="J32" s="304">
        <f>IFERROR(H32*'Adjusted Schedule 1'!$E$104,0)</f>
        <v>285046.34763082641</v>
      </c>
      <c r="K32" s="68">
        <f t="shared" si="1"/>
        <v>1381790.7378012971</v>
      </c>
      <c r="L32" s="304">
        <f t="shared" si="2"/>
        <v>1381790.7378012971</v>
      </c>
      <c r="N32" s="114">
        <f>'As-Filed Schedule 2D'!J32</f>
        <v>2530.5888809534126</v>
      </c>
      <c r="O32" s="307">
        <f>SUMIFS(Adjustments!$G:$G,Adjustments!$H:$H,"2D",Adjustments!$I:$I,'Schedule 2D Adjustments'!$N$12,Adjustments!$J:$J,'Schedule 2D Adjustments'!$A32)</f>
        <v>0</v>
      </c>
      <c r="P32" s="303">
        <f t="shared" si="3"/>
        <v>2530.5888809534126</v>
      </c>
      <c r="Q32" s="68">
        <f>IFERROR(N32*'As-Filed Schedule 1'!$E$103,0)</f>
        <v>657.70577386662603</v>
      </c>
      <c r="R32" s="68">
        <f>IFERROR(P32*'Adjusted Schedule 1'!$E$104,0)</f>
        <v>657.70577386662603</v>
      </c>
      <c r="S32" s="68">
        <f t="shared" si="4"/>
        <v>3188.2946548200389</v>
      </c>
      <c r="T32" s="304">
        <f t="shared" si="5"/>
        <v>3188.2946548200389</v>
      </c>
      <c r="V32" s="117">
        <f>'As-Filed Schedule 2D'!N32</f>
        <v>9.9703749999999989</v>
      </c>
      <c r="W32" s="307">
        <f>SUMIFS(Adjustments!$G:$G,Adjustments!$H:$H,"2D",Adjustments!$I:$I,'Schedule 2D Adjustments'!$V$12,Adjustments!$J:$J,'Schedule 2D Adjustments'!$A32)</f>
        <v>0</v>
      </c>
      <c r="X32" s="303">
        <f t="shared" si="6"/>
        <v>9.9703749999999989</v>
      </c>
      <c r="Y32" s="117">
        <f>'As-Filed Schedule 2D'!O32</f>
        <v>722</v>
      </c>
      <c r="Z32" s="307">
        <f>SUMIFS(Adjustments!$G:$G,Adjustments!$H:$H,"2D",Adjustments!$I:$I,'Schedule 2D Adjustments'!$Y$12,Adjustments!$J:$J,'Schedule 2D Adjustments'!$A32)</f>
        <v>0</v>
      </c>
      <c r="AA32" s="303">
        <f t="shared" si="7"/>
        <v>722</v>
      </c>
    </row>
    <row r="33" spans="1:27" x14ac:dyDescent="0.35">
      <c r="A33" s="24">
        <v>19</v>
      </c>
      <c r="B33" s="565" t="str">
        <f>IF('As-Filed Schedule 2D'!B33:D33=0,"",'As-Filed Schedule 2D'!B33:D33)</f>
        <v>100-853-Enhanced High Intensity Treatment</v>
      </c>
      <c r="C33" s="565"/>
      <c r="D33" s="565"/>
      <c r="F33" s="114">
        <f>'As-Filed Schedule 2D'!F33</f>
        <v>401060.60619708151</v>
      </c>
      <c r="G33" s="307">
        <f>SUMIFS(Adjustments!$G:$G,Adjustments!$H:$H,"2D",Adjustments!$I:$I,'Schedule 2D Adjustments'!$F$12,Adjustments!$J:$J,'Schedule 2D Adjustments'!$A33)</f>
        <v>0</v>
      </c>
      <c r="H33" s="303">
        <f t="shared" si="0"/>
        <v>401060.60619708151</v>
      </c>
      <c r="I33" s="68">
        <f>IFERROR(F33*'As-Filed Schedule 1'!$E$103,0)</f>
        <v>104236.55867281342</v>
      </c>
      <c r="J33" s="304">
        <f>IFERROR(H33*'Adjusted Schedule 1'!$E$104,0)</f>
        <v>104236.55867281342</v>
      </c>
      <c r="K33" s="68">
        <f t="shared" si="1"/>
        <v>505297.16486989491</v>
      </c>
      <c r="L33" s="304">
        <f t="shared" si="2"/>
        <v>505297.16486989491</v>
      </c>
      <c r="N33" s="114">
        <f>'As-Filed Schedule 2D'!J33</f>
        <v>653.43669671445002</v>
      </c>
      <c r="O33" s="307">
        <f>SUMIFS(Adjustments!$G:$G,Adjustments!$H:$H,"2D",Adjustments!$I:$I,'Schedule 2D Adjustments'!$N$12,Adjustments!$J:$J,'Schedule 2D Adjustments'!$A33)</f>
        <v>0</v>
      </c>
      <c r="P33" s="303">
        <f t="shared" si="3"/>
        <v>653.43669671445002</v>
      </c>
      <c r="Q33" s="68">
        <f>IFERROR(N33*'As-Filed Schedule 1'!$E$103,0)</f>
        <v>169.82967542460372</v>
      </c>
      <c r="R33" s="68">
        <f>IFERROR(P33*'Adjusted Schedule 1'!$E$104,0)</f>
        <v>169.82967542460372</v>
      </c>
      <c r="S33" s="68">
        <f t="shared" si="4"/>
        <v>823.26637213905371</v>
      </c>
      <c r="T33" s="304">
        <f t="shared" si="5"/>
        <v>823.26637213905371</v>
      </c>
      <c r="V33" s="117">
        <f>'As-Filed Schedule 2D'!N33</f>
        <v>4.1999999999999993</v>
      </c>
      <c r="W33" s="307">
        <f>SUMIFS(Adjustments!$G:$G,Adjustments!$H:$H,"2D",Adjustments!$I:$I,'Schedule 2D Adjustments'!$V$12,Adjustments!$J:$J,'Schedule 2D Adjustments'!$A33)</f>
        <v>0</v>
      </c>
      <c r="X33" s="303">
        <f t="shared" si="6"/>
        <v>4.1999999999999993</v>
      </c>
      <c r="Y33" s="117">
        <f>'As-Filed Schedule 2D'!O33</f>
        <v>124</v>
      </c>
      <c r="Z33" s="307">
        <f>SUMIFS(Adjustments!$G:$G,Adjustments!$H:$H,"2D",Adjustments!$I:$I,'Schedule 2D Adjustments'!$Y$12,Adjustments!$J:$J,'Schedule 2D Adjustments'!$A33)</f>
        <v>0</v>
      </c>
      <c r="AA33" s="303">
        <f t="shared" si="7"/>
        <v>124</v>
      </c>
    </row>
    <row r="34" spans="1:27" x14ac:dyDescent="0.35">
      <c r="A34" s="24">
        <v>20</v>
      </c>
      <c r="B34" s="565" t="str">
        <f>IF('As-Filed Schedule 2D'!B34:D34=0,"",'As-Filed Schedule 2D'!B34:D34)</f>
        <v>100-854-21st Century Care-High Risk</v>
      </c>
      <c r="C34" s="565"/>
      <c r="D34" s="565"/>
      <c r="F34" s="114">
        <f>'As-Filed Schedule 2D'!F34</f>
        <v>1588929.1396562669</v>
      </c>
      <c r="G34" s="307">
        <f>SUMIFS(Adjustments!$G:$G,Adjustments!$H:$H,"2D",Adjustments!$I:$I,'Schedule 2D Adjustments'!$F$12,Adjustments!$J:$J,'Schedule 2D Adjustments'!$A34)</f>
        <v>0</v>
      </c>
      <c r="H34" s="303">
        <f t="shared" si="0"/>
        <v>1588929.1396562669</v>
      </c>
      <c r="I34" s="68">
        <f>IFERROR(F34*'As-Filed Schedule 1'!$E$103,0)</f>
        <v>412966.27724971675</v>
      </c>
      <c r="J34" s="304">
        <f>IFERROR(H34*'Adjusted Schedule 1'!$E$104,0)</f>
        <v>412966.27724971675</v>
      </c>
      <c r="K34" s="68">
        <f t="shared" si="1"/>
        <v>2001895.4169059836</v>
      </c>
      <c r="L34" s="304">
        <f t="shared" si="2"/>
        <v>2001895.4169059836</v>
      </c>
      <c r="N34" s="114">
        <f>'As-Filed Schedule 2D'!J34</f>
        <v>2231.2282347320952</v>
      </c>
      <c r="O34" s="307">
        <f>SUMIFS(Adjustments!$G:$G,Adjustments!$H:$H,"2D",Adjustments!$I:$I,'Schedule 2D Adjustments'!$N$12,Adjustments!$J:$J,'Schedule 2D Adjustments'!$A34)</f>
        <v>0</v>
      </c>
      <c r="P34" s="303">
        <f t="shared" si="3"/>
        <v>2231.2282347320952</v>
      </c>
      <c r="Q34" s="68">
        <f>IFERROR(N34*'As-Filed Schedule 1'!$E$103,0)</f>
        <v>579.90126481732329</v>
      </c>
      <c r="R34" s="68">
        <f>IFERROR(P34*'Adjusted Schedule 1'!$E$104,0)</f>
        <v>579.90126481732329</v>
      </c>
      <c r="S34" s="68">
        <f t="shared" si="4"/>
        <v>2811.1294995494186</v>
      </c>
      <c r="T34" s="304">
        <f t="shared" si="5"/>
        <v>2811.1294995494186</v>
      </c>
      <c r="V34" s="117">
        <f>'As-Filed Schedule 2D'!N34</f>
        <v>11.004687500000001</v>
      </c>
      <c r="W34" s="307">
        <f>SUMIFS(Adjustments!$G:$G,Adjustments!$H:$H,"2D",Adjustments!$I:$I,'Schedule 2D Adjustments'!$V$12,Adjustments!$J:$J,'Schedule 2D Adjustments'!$A34)</f>
        <v>0</v>
      </c>
      <c r="X34" s="303">
        <f t="shared" si="6"/>
        <v>11.004687500000001</v>
      </c>
      <c r="Y34" s="117">
        <f>'As-Filed Schedule 2D'!O34</f>
        <v>971</v>
      </c>
      <c r="Z34" s="307">
        <f>SUMIFS(Adjustments!$G:$G,Adjustments!$H:$H,"2D",Adjustments!$I:$I,'Schedule 2D Adjustments'!$Y$12,Adjustments!$J:$J,'Schedule 2D Adjustments'!$A34)</f>
        <v>0</v>
      </c>
      <c r="AA34" s="303">
        <f t="shared" si="7"/>
        <v>971</v>
      </c>
    </row>
    <row r="35" spans="1:27" x14ac:dyDescent="0.35">
      <c r="A35" s="24">
        <v>21</v>
      </c>
      <c r="B35" s="565" t="str">
        <f>IF('As-Filed Schedule 2D'!B35:D35=0,"",'As-Filed Schedule 2D'!B35:D35)</f>
        <v>100-881-BHSC Shelter - 3rd Floor</v>
      </c>
      <c r="C35" s="565"/>
      <c r="D35" s="565"/>
      <c r="F35" s="114">
        <f>'As-Filed Schedule 2D'!F35</f>
        <v>0</v>
      </c>
      <c r="G35" s="307">
        <f>SUMIFS(Adjustments!$G:$G,Adjustments!$H:$H,"2D",Adjustments!$I:$I,'Schedule 2D Adjustments'!$F$12,Adjustments!$J:$J,'Schedule 2D Adjustments'!$A35)</f>
        <v>0</v>
      </c>
      <c r="H35" s="303">
        <f t="shared" si="0"/>
        <v>0</v>
      </c>
      <c r="I35" s="68">
        <f>IFERROR(F35*'As-Filed Schedule 1'!$E$103,0)</f>
        <v>0</v>
      </c>
      <c r="J35" s="304">
        <f>IFERROR(H35*'Adjusted Schedule 1'!$E$104,0)</f>
        <v>0</v>
      </c>
      <c r="K35" s="68">
        <f t="shared" si="1"/>
        <v>0</v>
      </c>
      <c r="L35" s="304">
        <f t="shared" si="2"/>
        <v>0</v>
      </c>
      <c r="N35" s="114">
        <f>'As-Filed Schedule 2D'!J35</f>
        <v>1857191.2630751291</v>
      </c>
      <c r="O35" s="307">
        <f>SUMIFS(Adjustments!$G:$G,Adjustments!$H:$H,"2D",Adjustments!$I:$I,'Schedule 2D Adjustments'!$N$12,Adjustments!$J:$J,'Schedule 2D Adjustments'!$A35)</f>
        <v>0</v>
      </c>
      <c r="P35" s="303">
        <f t="shared" si="3"/>
        <v>1857191.2630751291</v>
      </c>
      <c r="Q35" s="68">
        <f>IFERROR(N35*'As-Filed Schedule 1'!$E$103,0)</f>
        <v>482688.20988376567</v>
      </c>
      <c r="R35" s="68">
        <f>IFERROR(P35*'Adjusted Schedule 1'!$E$104,0)</f>
        <v>482688.20988376567</v>
      </c>
      <c r="S35" s="68">
        <f t="shared" si="4"/>
        <v>2339879.4729588949</v>
      </c>
      <c r="T35" s="304">
        <f t="shared" si="5"/>
        <v>2339879.4729588949</v>
      </c>
      <c r="V35" s="117">
        <f>'As-Filed Schedule 2D'!N35</f>
        <v>14.754812499999996</v>
      </c>
      <c r="W35" s="307">
        <f>SUMIFS(Adjustments!$G:$G,Adjustments!$H:$H,"2D",Adjustments!$I:$I,'Schedule 2D Adjustments'!$V$12,Adjustments!$J:$J,'Schedule 2D Adjustments'!$A35)</f>
        <v>0</v>
      </c>
      <c r="X35" s="303">
        <f t="shared" si="6"/>
        <v>14.754812499999996</v>
      </c>
      <c r="Y35" s="117">
        <f>'As-Filed Schedule 2D'!O35</f>
        <v>0</v>
      </c>
      <c r="Z35" s="307">
        <f>SUMIFS(Adjustments!$G:$G,Adjustments!$H:$H,"2D",Adjustments!$I:$I,'Schedule 2D Adjustments'!$Y$12,Adjustments!$J:$J,'Schedule 2D Adjustments'!$A35)</f>
        <v>0</v>
      </c>
      <c r="AA35" s="303">
        <f t="shared" si="7"/>
        <v>0</v>
      </c>
    </row>
    <row r="36" spans="1:27" x14ac:dyDescent="0.35">
      <c r="A36" s="24">
        <v>22</v>
      </c>
      <c r="B36" s="565" t="str">
        <f>IF('As-Filed Schedule 2D'!B36:D36=0,"",'As-Filed Schedule 2D'!B36:D36)</f>
        <v>100-882-Social Impact Bond (SIB)</v>
      </c>
      <c r="C36" s="565"/>
      <c r="D36" s="565"/>
      <c r="F36" s="114">
        <f>'As-Filed Schedule 2D'!F36</f>
        <v>1485131.3573034459</v>
      </c>
      <c r="G36" s="307">
        <f>SUMIFS(Adjustments!$G:$G,Adjustments!$H:$H,"2D",Adjustments!$I:$I,'Schedule 2D Adjustments'!$F$12,Adjustments!$J:$J,'Schedule 2D Adjustments'!$A36)</f>
        <v>0</v>
      </c>
      <c r="H36" s="303">
        <f t="shared" si="0"/>
        <v>1485131.3573034459</v>
      </c>
      <c r="I36" s="68">
        <f>IFERROR(F36*'As-Filed Schedule 1'!$E$103,0)</f>
        <v>385988.99884553702</v>
      </c>
      <c r="J36" s="304">
        <f>IFERROR(H36*'Adjusted Schedule 1'!$E$104,0)</f>
        <v>385988.99884553702</v>
      </c>
      <c r="K36" s="68">
        <f t="shared" si="1"/>
        <v>1871120.3561489829</v>
      </c>
      <c r="L36" s="304">
        <f t="shared" si="2"/>
        <v>1871120.3561489829</v>
      </c>
      <c r="N36" s="114">
        <f>'As-Filed Schedule 2D'!J36</f>
        <v>2592.3463020822428</v>
      </c>
      <c r="O36" s="307">
        <f>SUMIFS(Adjustments!$G:$G,Adjustments!$H:$H,"2D",Adjustments!$I:$I,'Schedule 2D Adjustments'!$N$12,Adjustments!$J:$J,'Schedule 2D Adjustments'!$A36)</f>
        <v>0</v>
      </c>
      <c r="P36" s="303">
        <f t="shared" si="3"/>
        <v>2592.3463020822428</v>
      </c>
      <c r="Q36" s="68">
        <f>IFERROR(N36*'As-Filed Schedule 1'!$E$103,0)</f>
        <v>673.75666730145429</v>
      </c>
      <c r="R36" s="68">
        <f>IFERROR(P36*'Adjusted Schedule 1'!$E$104,0)</f>
        <v>673.75666730145429</v>
      </c>
      <c r="S36" s="68">
        <f t="shared" si="4"/>
        <v>3266.1029693836972</v>
      </c>
      <c r="T36" s="304">
        <f t="shared" si="5"/>
        <v>3266.1029693836972</v>
      </c>
      <c r="V36" s="117">
        <f>'As-Filed Schedule 2D'!N36</f>
        <v>15.600000000000001</v>
      </c>
      <c r="W36" s="307">
        <f>SUMIFS(Adjustments!$G:$G,Adjustments!$H:$H,"2D",Adjustments!$I:$I,'Schedule 2D Adjustments'!$V$12,Adjustments!$J:$J,'Schedule 2D Adjustments'!$A36)</f>
        <v>0</v>
      </c>
      <c r="X36" s="303">
        <f t="shared" si="6"/>
        <v>15.600000000000001</v>
      </c>
      <c r="Y36" s="117">
        <f>'As-Filed Schedule 2D'!O36</f>
        <v>504</v>
      </c>
      <c r="Z36" s="307">
        <f>SUMIFS(Adjustments!$G:$G,Adjustments!$H:$H,"2D",Adjustments!$I:$I,'Schedule 2D Adjustments'!$Y$12,Adjustments!$J:$J,'Schedule 2D Adjustments'!$A36)</f>
        <v>0</v>
      </c>
      <c r="AA36" s="303">
        <f t="shared" si="7"/>
        <v>504</v>
      </c>
    </row>
    <row r="37" spans="1:27" x14ac:dyDescent="0.35">
      <c r="A37" s="24">
        <v>23</v>
      </c>
      <c r="B37" s="565" t="str">
        <f>IF('As-Filed Schedule 2D'!B37:D37=0,"",'As-Filed Schedule 2D'!B37:D37)</f>
        <v>200-422-Skyline Academy</v>
      </c>
      <c r="C37" s="565"/>
      <c r="D37" s="565"/>
      <c r="F37" s="114">
        <f>'As-Filed Schedule 2D'!F37</f>
        <v>1830361.1220276353</v>
      </c>
      <c r="G37" s="307">
        <f>SUMIFS(Adjustments!$G:$G,Adjustments!$H:$H,"2D",Adjustments!$I:$I,'Schedule 2D Adjustments'!$F$12,Adjustments!$J:$J,'Schedule 2D Adjustments'!$A37)</f>
        <v>0</v>
      </c>
      <c r="H37" s="303">
        <f t="shared" si="0"/>
        <v>1830361.1220276353</v>
      </c>
      <c r="I37" s="68">
        <f>IFERROR(F37*'As-Filed Schedule 1'!$E$103,0)</f>
        <v>475714.99554088741</v>
      </c>
      <c r="J37" s="304">
        <f>IFERROR(H37*'Adjusted Schedule 1'!$E$104,0)</f>
        <v>475714.99554088741</v>
      </c>
      <c r="K37" s="68">
        <f t="shared" si="1"/>
        <v>2306076.1175685227</v>
      </c>
      <c r="L37" s="304">
        <f t="shared" si="2"/>
        <v>2306076.1175685227</v>
      </c>
      <c r="N37" s="114">
        <f>'As-Filed Schedule 2D'!J37</f>
        <v>107.16648153622073</v>
      </c>
      <c r="O37" s="307">
        <f>SUMIFS(Adjustments!$G:$G,Adjustments!$H:$H,"2D",Adjustments!$I:$I,'Schedule 2D Adjustments'!$N$12,Adjustments!$J:$J,'Schedule 2D Adjustments'!$A37)</f>
        <v>0</v>
      </c>
      <c r="P37" s="303">
        <f t="shared" si="3"/>
        <v>107.16648153622073</v>
      </c>
      <c r="Q37" s="68">
        <f>IFERROR(N37*'As-Filed Schedule 1'!$E$103,0)</f>
        <v>27.852810941296923</v>
      </c>
      <c r="R37" s="68">
        <f>IFERROR(P37*'Adjusted Schedule 1'!$E$104,0)</f>
        <v>27.852810941296923</v>
      </c>
      <c r="S37" s="68">
        <f t="shared" si="4"/>
        <v>135.01929247751764</v>
      </c>
      <c r="T37" s="304">
        <f t="shared" si="5"/>
        <v>135.01929247751764</v>
      </c>
      <c r="V37" s="117">
        <f>'As-Filed Schedule 2D'!N37</f>
        <v>12.95</v>
      </c>
      <c r="W37" s="307">
        <f>SUMIFS(Adjustments!$G:$G,Adjustments!$H:$H,"2D",Adjustments!$I:$I,'Schedule 2D Adjustments'!$V$12,Adjustments!$J:$J,'Schedule 2D Adjustments'!$A37)</f>
        <v>0</v>
      </c>
      <c r="X37" s="303">
        <f t="shared" si="6"/>
        <v>12.95</v>
      </c>
      <c r="Y37" s="117">
        <f>'As-Filed Schedule 2D'!O37</f>
        <v>39</v>
      </c>
      <c r="Z37" s="307">
        <f>SUMIFS(Adjustments!$G:$G,Adjustments!$H:$H,"2D",Adjustments!$I:$I,'Schedule 2D Adjustments'!$Y$12,Adjustments!$J:$J,'Schedule 2D Adjustments'!$A37)</f>
        <v>0</v>
      </c>
      <c r="AA37" s="303">
        <f t="shared" si="7"/>
        <v>39</v>
      </c>
    </row>
    <row r="38" spans="1:27" x14ac:dyDescent="0.35">
      <c r="A38" s="24">
        <v>24</v>
      </c>
      <c r="B38" s="565" t="str">
        <f>IF('As-Filed Schedule 2D'!B38:D38=0,"",'As-Filed Schedule 2D'!B38:D38)</f>
        <v/>
      </c>
      <c r="C38" s="565"/>
      <c r="D38" s="565"/>
      <c r="F38" s="114">
        <f>'As-Filed Schedule 2D'!F38</f>
        <v>0</v>
      </c>
      <c r="G38" s="307">
        <f>SUMIFS(Adjustments!$G:$G,Adjustments!$H:$H,"2D",Adjustments!$I:$I,'Schedule 2D Adjustments'!$F$12,Adjustments!$J:$J,'Schedule 2D Adjustments'!$A38)</f>
        <v>0</v>
      </c>
      <c r="H38" s="303">
        <f t="shared" si="0"/>
        <v>0</v>
      </c>
      <c r="I38" s="68">
        <f>IFERROR(F38*'As-Filed Schedule 1'!$E$103,0)</f>
        <v>0</v>
      </c>
      <c r="J38" s="304">
        <f>IFERROR(H38*'Adjusted Schedule 1'!$E$104,0)</f>
        <v>0</v>
      </c>
      <c r="K38" s="68">
        <f t="shared" si="1"/>
        <v>0</v>
      </c>
      <c r="L38" s="304">
        <f t="shared" si="2"/>
        <v>0</v>
      </c>
      <c r="N38" s="114">
        <f>'As-Filed Schedule 2D'!J38</f>
        <v>0</v>
      </c>
      <c r="O38" s="307">
        <f>SUMIFS(Adjustments!$G:$G,Adjustments!$H:$H,"2D",Adjustments!$I:$I,'Schedule 2D Adjustments'!$N$12,Adjustments!$J:$J,'Schedule 2D Adjustments'!$A38)</f>
        <v>0</v>
      </c>
      <c r="P38" s="303">
        <f t="shared" si="3"/>
        <v>0</v>
      </c>
      <c r="Q38" s="68">
        <f>IFERROR(N38*'As-Filed Schedule 1'!$E$103,0)</f>
        <v>0</v>
      </c>
      <c r="R38" s="68">
        <f>IFERROR(P38*'Adjusted Schedule 1'!$E$104,0)</f>
        <v>0</v>
      </c>
      <c r="S38" s="68">
        <f t="shared" si="4"/>
        <v>0</v>
      </c>
      <c r="T38" s="304">
        <f t="shared" si="5"/>
        <v>0</v>
      </c>
      <c r="V38" s="117">
        <f>'As-Filed Schedule 2D'!N38</f>
        <v>0</v>
      </c>
      <c r="W38" s="307">
        <f>SUMIFS(Adjustments!$G:$G,Adjustments!$H:$H,"2D",Adjustments!$I:$I,'Schedule 2D Adjustments'!$V$12,Adjustments!$J:$J,'Schedule 2D Adjustments'!$A38)</f>
        <v>0</v>
      </c>
      <c r="X38" s="303">
        <f t="shared" si="6"/>
        <v>0</v>
      </c>
      <c r="Y38" s="117">
        <f>'As-Filed Schedule 2D'!O38</f>
        <v>0</v>
      </c>
      <c r="Z38" s="307">
        <f>SUMIFS(Adjustments!$G:$G,Adjustments!$H:$H,"2D",Adjustments!$I:$I,'Schedule 2D Adjustments'!$Y$12,Adjustments!$J:$J,'Schedule 2D Adjustments'!$A38)</f>
        <v>0</v>
      </c>
      <c r="AA38" s="303">
        <f t="shared" si="7"/>
        <v>0</v>
      </c>
    </row>
    <row r="39" spans="1:27" x14ac:dyDescent="0.35">
      <c r="A39" s="24">
        <v>25</v>
      </c>
      <c r="B39" s="565" t="str">
        <f>IF('As-Filed Schedule 2D'!B39:D39=0,"",'As-Filed Schedule 2D'!B39:D39)</f>
        <v/>
      </c>
      <c r="C39" s="565"/>
      <c r="D39" s="565"/>
      <c r="F39" s="114">
        <f>'As-Filed Schedule 2D'!F39</f>
        <v>0</v>
      </c>
      <c r="G39" s="307">
        <f>SUMIFS(Adjustments!$G:$G,Adjustments!$H:$H,"2D",Adjustments!$I:$I,'Schedule 2D Adjustments'!$F$12,Adjustments!$J:$J,'Schedule 2D Adjustments'!$A39)</f>
        <v>0</v>
      </c>
      <c r="H39" s="303">
        <f t="shared" si="0"/>
        <v>0</v>
      </c>
      <c r="I39" s="68">
        <f>IFERROR(F39*'As-Filed Schedule 1'!$E$103,0)</f>
        <v>0</v>
      </c>
      <c r="J39" s="304">
        <f>IFERROR(H39*'Adjusted Schedule 1'!$E$104,0)</f>
        <v>0</v>
      </c>
      <c r="K39" s="68">
        <f t="shared" si="1"/>
        <v>0</v>
      </c>
      <c r="L39" s="304">
        <f t="shared" si="2"/>
        <v>0</v>
      </c>
      <c r="N39" s="114">
        <f>'As-Filed Schedule 2D'!J39</f>
        <v>0</v>
      </c>
      <c r="O39" s="307">
        <f>SUMIFS(Adjustments!$G:$G,Adjustments!$H:$H,"2D",Adjustments!$I:$I,'Schedule 2D Adjustments'!$N$12,Adjustments!$J:$J,'Schedule 2D Adjustments'!$A39)</f>
        <v>0</v>
      </c>
      <c r="P39" s="303">
        <f t="shared" si="3"/>
        <v>0</v>
      </c>
      <c r="Q39" s="68">
        <f>IFERROR(N39*'As-Filed Schedule 1'!$E$103,0)</f>
        <v>0</v>
      </c>
      <c r="R39" s="68">
        <f>IFERROR(P39*'Adjusted Schedule 1'!$E$104,0)</f>
        <v>0</v>
      </c>
      <c r="S39" s="68">
        <f t="shared" si="4"/>
        <v>0</v>
      </c>
      <c r="T39" s="304">
        <f t="shared" si="5"/>
        <v>0</v>
      </c>
      <c r="V39" s="117">
        <f>'As-Filed Schedule 2D'!N39</f>
        <v>0</v>
      </c>
      <c r="W39" s="307">
        <f>SUMIFS(Adjustments!$G:$G,Adjustments!$H:$H,"2D",Adjustments!$I:$I,'Schedule 2D Adjustments'!$V$12,Adjustments!$J:$J,'Schedule 2D Adjustments'!$A39)</f>
        <v>0</v>
      </c>
      <c r="X39" s="303">
        <f t="shared" si="6"/>
        <v>0</v>
      </c>
      <c r="Y39" s="117">
        <f>'As-Filed Schedule 2D'!O39</f>
        <v>0</v>
      </c>
      <c r="Z39" s="307">
        <f>SUMIFS(Adjustments!$G:$G,Adjustments!$H:$H,"2D",Adjustments!$I:$I,'Schedule 2D Adjustments'!$Y$12,Adjustments!$J:$J,'Schedule 2D Adjustments'!$A39)</f>
        <v>0</v>
      </c>
      <c r="AA39" s="303">
        <f t="shared" si="7"/>
        <v>0</v>
      </c>
    </row>
    <row r="40" spans="1:27" x14ac:dyDescent="0.35">
      <c r="A40" s="24">
        <v>26</v>
      </c>
      <c r="B40" s="565" t="str">
        <f>IF('As-Filed Schedule 2D'!B40:D40=0,"",'As-Filed Schedule 2D'!B40:D40)</f>
        <v/>
      </c>
      <c r="C40" s="565"/>
      <c r="D40" s="565"/>
      <c r="F40" s="114">
        <f>'As-Filed Schedule 2D'!F40</f>
        <v>0</v>
      </c>
      <c r="G40" s="307">
        <f>SUMIFS(Adjustments!$G:$G,Adjustments!$H:$H,"2D",Adjustments!$I:$I,'Schedule 2D Adjustments'!$F$12,Adjustments!$J:$J,'Schedule 2D Adjustments'!$A40)</f>
        <v>0</v>
      </c>
      <c r="H40" s="303">
        <f t="shared" si="0"/>
        <v>0</v>
      </c>
      <c r="I40" s="68">
        <f>IFERROR(F40*'As-Filed Schedule 1'!$E$103,0)</f>
        <v>0</v>
      </c>
      <c r="J40" s="304">
        <f>IFERROR(H40*'Adjusted Schedule 1'!$E$104,0)</f>
        <v>0</v>
      </c>
      <c r="K40" s="68">
        <f t="shared" si="1"/>
        <v>0</v>
      </c>
      <c r="L40" s="304">
        <f t="shared" si="2"/>
        <v>0</v>
      </c>
      <c r="N40" s="114">
        <f>'As-Filed Schedule 2D'!J40</f>
        <v>0</v>
      </c>
      <c r="O40" s="307">
        <f>SUMIFS(Adjustments!$G:$G,Adjustments!$H:$H,"2D",Adjustments!$I:$I,'Schedule 2D Adjustments'!$N$12,Adjustments!$J:$J,'Schedule 2D Adjustments'!$A40)</f>
        <v>0</v>
      </c>
      <c r="P40" s="303">
        <f t="shared" si="3"/>
        <v>0</v>
      </c>
      <c r="Q40" s="68">
        <f>IFERROR(N40*'As-Filed Schedule 1'!$E$103,0)</f>
        <v>0</v>
      </c>
      <c r="R40" s="68">
        <f>IFERROR(P40*'Adjusted Schedule 1'!$E$104,0)</f>
        <v>0</v>
      </c>
      <c r="S40" s="68">
        <f t="shared" si="4"/>
        <v>0</v>
      </c>
      <c r="T40" s="304">
        <f t="shared" si="5"/>
        <v>0</v>
      </c>
      <c r="V40" s="117">
        <f>'As-Filed Schedule 2D'!N40</f>
        <v>0</v>
      </c>
      <c r="W40" s="307">
        <f>SUMIFS(Adjustments!$G:$G,Adjustments!$H:$H,"2D",Adjustments!$I:$I,'Schedule 2D Adjustments'!$V$12,Adjustments!$J:$J,'Schedule 2D Adjustments'!$A40)</f>
        <v>0</v>
      </c>
      <c r="X40" s="303">
        <f t="shared" si="6"/>
        <v>0</v>
      </c>
      <c r="Y40" s="117">
        <f>'As-Filed Schedule 2D'!O40</f>
        <v>0</v>
      </c>
      <c r="Z40" s="307">
        <f>SUMIFS(Adjustments!$G:$G,Adjustments!$H:$H,"2D",Adjustments!$I:$I,'Schedule 2D Adjustments'!$Y$12,Adjustments!$J:$J,'Schedule 2D Adjustments'!$A40)</f>
        <v>0</v>
      </c>
      <c r="AA40" s="303">
        <f t="shared" si="7"/>
        <v>0</v>
      </c>
    </row>
    <row r="41" spans="1:27" x14ac:dyDescent="0.35">
      <c r="A41" s="24">
        <v>27</v>
      </c>
      <c r="B41" s="565" t="str">
        <f>IF('As-Filed Schedule 2D'!B41:D41=0,"",'As-Filed Schedule 2D'!B41:D41)</f>
        <v/>
      </c>
      <c r="C41" s="565"/>
      <c r="D41" s="565"/>
      <c r="F41" s="114">
        <f>'As-Filed Schedule 2D'!F41</f>
        <v>0</v>
      </c>
      <c r="G41" s="307">
        <f>SUMIFS(Adjustments!$G:$G,Adjustments!$H:$H,"2D",Adjustments!$I:$I,'Schedule 2D Adjustments'!$F$12,Adjustments!$J:$J,'Schedule 2D Adjustments'!$A41)</f>
        <v>0</v>
      </c>
      <c r="H41" s="303">
        <f t="shared" si="0"/>
        <v>0</v>
      </c>
      <c r="I41" s="68">
        <f>IFERROR(F41*'As-Filed Schedule 1'!$E$103,0)</f>
        <v>0</v>
      </c>
      <c r="J41" s="304">
        <f>IFERROR(H41*'Adjusted Schedule 1'!$E$104,0)</f>
        <v>0</v>
      </c>
      <c r="K41" s="68">
        <f t="shared" si="1"/>
        <v>0</v>
      </c>
      <c r="L41" s="304">
        <f t="shared" si="2"/>
        <v>0</v>
      </c>
      <c r="N41" s="114">
        <f>'As-Filed Schedule 2D'!J41</f>
        <v>0</v>
      </c>
      <c r="O41" s="307">
        <f>SUMIFS(Adjustments!$G:$G,Adjustments!$H:$H,"2D",Adjustments!$I:$I,'Schedule 2D Adjustments'!$N$12,Adjustments!$J:$J,'Schedule 2D Adjustments'!$A41)</f>
        <v>0</v>
      </c>
      <c r="P41" s="303">
        <f t="shared" si="3"/>
        <v>0</v>
      </c>
      <c r="Q41" s="68">
        <f>IFERROR(N41*'As-Filed Schedule 1'!$E$103,0)</f>
        <v>0</v>
      </c>
      <c r="R41" s="68">
        <f>IFERROR(P41*'Adjusted Schedule 1'!$E$104,0)</f>
        <v>0</v>
      </c>
      <c r="S41" s="68">
        <f t="shared" si="4"/>
        <v>0</v>
      </c>
      <c r="T41" s="304">
        <f t="shared" si="5"/>
        <v>0</v>
      </c>
      <c r="V41" s="117">
        <f>'As-Filed Schedule 2D'!N41</f>
        <v>0</v>
      </c>
      <c r="W41" s="307">
        <f>SUMIFS(Adjustments!$G:$G,Adjustments!$H:$H,"2D",Adjustments!$I:$I,'Schedule 2D Adjustments'!$V$12,Adjustments!$J:$J,'Schedule 2D Adjustments'!$A41)</f>
        <v>0</v>
      </c>
      <c r="X41" s="303">
        <f t="shared" si="6"/>
        <v>0</v>
      </c>
      <c r="Y41" s="117">
        <f>'As-Filed Schedule 2D'!O41</f>
        <v>0</v>
      </c>
      <c r="Z41" s="307">
        <f>SUMIFS(Adjustments!$G:$G,Adjustments!$H:$H,"2D",Adjustments!$I:$I,'Schedule 2D Adjustments'!$Y$12,Adjustments!$J:$J,'Schedule 2D Adjustments'!$A41)</f>
        <v>0</v>
      </c>
      <c r="AA41" s="303">
        <f t="shared" si="7"/>
        <v>0</v>
      </c>
    </row>
    <row r="42" spans="1:27" x14ac:dyDescent="0.35">
      <c r="A42" s="24">
        <v>28</v>
      </c>
      <c r="B42" s="565" t="str">
        <f>IF('As-Filed Schedule 2D'!B42:D42=0,"",'As-Filed Schedule 2D'!B42:D42)</f>
        <v/>
      </c>
      <c r="C42" s="565"/>
      <c r="D42" s="565"/>
      <c r="F42" s="114">
        <f>'As-Filed Schedule 2D'!F42</f>
        <v>0</v>
      </c>
      <c r="G42" s="307">
        <f>SUMIFS(Adjustments!$G:$G,Adjustments!$H:$H,"2D",Adjustments!$I:$I,'Schedule 2D Adjustments'!$F$12,Adjustments!$J:$J,'Schedule 2D Adjustments'!$A42)</f>
        <v>0</v>
      </c>
      <c r="H42" s="303">
        <f t="shared" si="0"/>
        <v>0</v>
      </c>
      <c r="I42" s="68">
        <f>IFERROR(F42*'As-Filed Schedule 1'!$E$103,0)</f>
        <v>0</v>
      </c>
      <c r="J42" s="304">
        <f>IFERROR(H42*'Adjusted Schedule 1'!$E$104,0)</f>
        <v>0</v>
      </c>
      <c r="K42" s="68">
        <f t="shared" si="1"/>
        <v>0</v>
      </c>
      <c r="L42" s="304">
        <f t="shared" si="2"/>
        <v>0</v>
      </c>
      <c r="N42" s="114">
        <f>'As-Filed Schedule 2D'!J42</f>
        <v>0</v>
      </c>
      <c r="O42" s="307">
        <f>SUMIFS(Adjustments!$G:$G,Adjustments!$H:$H,"2D",Adjustments!$I:$I,'Schedule 2D Adjustments'!$N$12,Adjustments!$J:$J,'Schedule 2D Adjustments'!$A42)</f>
        <v>0</v>
      </c>
      <c r="P42" s="303">
        <f t="shared" si="3"/>
        <v>0</v>
      </c>
      <c r="Q42" s="68">
        <f>IFERROR(N42*'As-Filed Schedule 1'!$E$103,0)</f>
        <v>0</v>
      </c>
      <c r="R42" s="68">
        <f>IFERROR(P42*'Adjusted Schedule 1'!$E$104,0)</f>
        <v>0</v>
      </c>
      <c r="S42" s="68">
        <f t="shared" si="4"/>
        <v>0</v>
      </c>
      <c r="T42" s="304">
        <f t="shared" si="5"/>
        <v>0</v>
      </c>
      <c r="V42" s="117">
        <f>'As-Filed Schedule 2D'!N42</f>
        <v>0</v>
      </c>
      <c r="W42" s="307">
        <f>SUMIFS(Adjustments!$G:$G,Adjustments!$H:$H,"2D",Adjustments!$I:$I,'Schedule 2D Adjustments'!$V$12,Adjustments!$J:$J,'Schedule 2D Adjustments'!$A42)</f>
        <v>0</v>
      </c>
      <c r="X42" s="303">
        <f t="shared" si="6"/>
        <v>0</v>
      </c>
      <c r="Y42" s="117">
        <f>'As-Filed Schedule 2D'!O42</f>
        <v>0</v>
      </c>
      <c r="Z42" s="307">
        <f>SUMIFS(Adjustments!$G:$G,Adjustments!$H:$H,"2D",Adjustments!$I:$I,'Schedule 2D Adjustments'!$Y$12,Adjustments!$J:$J,'Schedule 2D Adjustments'!$A42)</f>
        <v>0</v>
      </c>
      <c r="AA42" s="303">
        <f t="shared" si="7"/>
        <v>0</v>
      </c>
    </row>
    <row r="43" spans="1:27" x14ac:dyDescent="0.35">
      <c r="A43" s="24">
        <v>29</v>
      </c>
      <c r="B43" s="565" t="str">
        <f>IF('As-Filed Schedule 2D'!B43:D43=0,"",'As-Filed Schedule 2D'!B43:D43)</f>
        <v/>
      </c>
      <c r="C43" s="565"/>
      <c r="D43" s="565"/>
      <c r="F43" s="114">
        <f>'As-Filed Schedule 2D'!F43</f>
        <v>0</v>
      </c>
      <c r="G43" s="307">
        <f>SUMIFS(Adjustments!$G:$G,Adjustments!$H:$H,"2D",Adjustments!$I:$I,'Schedule 2D Adjustments'!$F$12,Adjustments!$J:$J,'Schedule 2D Adjustments'!$A43)</f>
        <v>0</v>
      </c>
      <c r="H43" s="303">
        <f t="shared" si="0"/>
        <v>0</v>
      </c>
      <c r="I43" s="68">
        <f>IFERROR(F43*'As-Filed Schedule 1'!$E$103,0)</f>
        <v>0</v>
      </c>
      <c r="J43" s="304">
        <f>IFERROR(H43*'Adjusted Schedule 1'!$E$104,0)</f>
        <v>0</v>
      </c>
      <c r="K43" s="68">
        <f t="shared" si="1"/>
        <v>0</v>
      </c>
      <c r="L43" s="304">
        <f t="shared" si="2"/>
        <v>0</v>
      </c>
      <c r="N43" s="114">
        <f>'As-Filed Schedule 2D'!J43</f>
        <v>0</v>
      </c>
      <c r="O43" s="307">
        <f>SUMIFS(Adjustments!$G:$G,Adjustments!$H:$H,"2D",Adjustments!$I:$I,'Schedule 2D Adjustments'!$N$12,Adjustments!$J:$J,'Schedule 2D Adjustments'!$A43)</f>
        <v>0</v>
      </c>
      <c r="P43" s="303">
        <f t="shared" si="3"/>
        <v>0</v>
      </c>
      <c r="Q43" s="68">
        <f>IFERROR(N43*'As-Filed Schedule 1'!$E$103,0)</f>
        <v>0</v>
      </c>
      <c r="R43" s="68">
        <f>IFERROR(P43*'Adjusted Schedule 1'!$E$104,0)</f>
        <v>0</v>
      </c>
      <c r="S43" s="68">
        <f t="shared" si="4"/>
        <v>0</v>
      </c>
      <c r="T43" s="304">
        <f t="shared" si="5"/>
        <v>0</v>
      </c>
      <c r="V43" s="117">
        <f>'As-Filed Schedule 2D'!N43</f>
        <v>0</v>
      </c>
      <c r="W43" s="307">
        <f>SUMIFS(Adjustments!$G:$G,Adjustments!$H:$H,"2D",Adjustments!$I:$I,'Schedule 2D Adjustments'!$V$12,Adjustments!$J:$J,'Schedule 2D Adjustments'!$A43)</f>
        <v>0</v>
      </c>
      <c r="X43" s="303">
        <f t="shared" si="6"/>
        <v>0</v>
      </c>
      <c r="Y43" s="117">
        <f>'As-Filed Schedule 2D'!O43</f>
        <v>0</v>
      </c>
      <c r="Z43" s="307">
        <f>SUMIFS(Adjustments!$G:$G,Adjustments!$H:$H,"2D",Adjustments!$I:$I,'Schedule 2D Adjustments'!$Y$12,Adjustments!$J:$J,'Schedule 2D Adjustments'!$A43)</f>
        <v>0</v>
      </c>
      <c r="AA43" s="303">
        <f t="shared" si="7"/>
        <v>0</v>
      </c>
    </row>
    <row r="44" spans="1:27" x14ac:dyDescent="0.35">
      <c r="A44" s="24">
        <v>30</v>
      </c>
      <c r="B44" s="565" t="str">
        <f>IF('As-Filed Schedule 2D'!B44:D44=0,"",'As-Filed Schedule 2D'!B44:D44)</f>
        <v/>
      </c>
      <c r="C44" s="565"/>
      <c r="D44" s="565"/>
      <c r="F44" s="114">
        <f>'As-Filed Schedule 2D'!F44</f>
        <v>0</v>
      </c>
      <c r="G44" s="307">
        <f>SUMIFS(Adjustments!$G:$G,Adjustments!$H:$H,"2D",Adjustments!$I:$I,'Schedule 2D Adjustments'!$F$12,Adjustments!$J:$J,'Schedule 2D Adjustments'!$A44)</f>
        <v>0</v>
      </c>
      <c r="H44" s="303">
        <f t="shared" si="0"/>
        <v>0</v>
      </c>
      <c r="I44" s="68">
        <f>IFERROR(F44*'As-Filed Schedule 1'!$E$103,0)</f>
        <v>0</v>
      </c>
      <c r="J44" s="304">
        <f>IFERROR(H44*'Adjusted Schedule 1'!$E$104,0)</f>
        <v>0</v>
      </c>
      <c r="K44" s="68">
        <f t="shared" si="1"/>
        <v>0</v>
      </c>
      <c r="L44" s="304">
        <f t="shared" si="2"/>
        <v>0</v>
      </c>
      <c r="N44" s="114">
        <f>'As-Filed Schedule 2D'!J44</f>
        <v>0</v>
      </c>
      <c r="O44" s="307">
        <f>SUMIFS(Adjustments!$G:$G,Adjustments!$H:$H,"2D",Adjustments!$I:$I,'Schedule 2D Adjustments'!$N$12,Adjustments!$J:$J,'Schedule 2D Adjustments'!$A44)</f>
        <v>0</v>
      </c>
      <c r="P44" s="303">
        <f t="shared" si="3"/>
        <v>0</v>
      </c>
      <c r="Q44" s="68">
        <f>IFERROR(N44*'As-Filed Schedule 1'!$E$103,0)</f>
        <v>0</v>
      </c>
      <c r="R44" s="68">
        <f>IFERROR(P44*'Adjusted Schedule 1'!$E$104,0)</f>
        <v>0</v>
      </c>
      <c r="S44" s="68">
        <f t="shared" si="4"/>
        <v>0</v>
      </c>
      <c r="T44" s="304">
        <f t="shared" si="5"/>
        <v>0</v>
      </c>
      <c r="V44" s="117">
        <f>'As-Filed Schedule 2D'!N44</f>
        <v>0</v>
      </c>
      <c r="W44" s="307">
        <f>SUMIFS(Adjustments!$G:$G,Adjustments!$H:$H,"2D",Adjustments!$I:$I,'Schedule 2D Adjustments'!$V$12,Adjustments!$J:$J,'Schedule 2D Adjustments'!$A44)</f>
        <v>0</v>
      </c>
      <c r="X44" s="303">
        <f t="shared" si="6"/>
        <v>0</v>
      </c>
      <c r="Y44" s="117">
        <f>'As-Filed Schedule 2D'!O44</f>
        <v>0</v>
      </c>
      <c r="Z44" s="307">
        <f>SUMIFS(Adjustments!$G:$G,Adjustments!$H:$H,"2D",Adjustments!$I:$I,'Schedule 2D Adjustments'!$Y$12,Adjustments!$J:$J,'Schedule 2D Adjustments'!$A44)</f>
        <v>0</v>
      </c>
      <c r="AA44" s="303">
        <f t="shared" si="7"/>
        <v>0</v>
      </c>
    </row>
    <row r="45" spans="1:27" x14ac:dyDescent="0.35">
      <c r="A45" s="24">
        <v>31</v>
      </c>
      <c r="B45" s="565" t="str">
        <f>IF('As-Filed Schedule 2D'!B45:D45=0,"",'As-Filed Schedule 2D'!B45:D45)</f>
        <v/>
      </c>
      <c r="C45" s="565"/>
      <c r="D45" s="565"/>
      <c r="F45" s="114">
        <f>'As-Filed Schedule 2D'!F45</f>
        <v>0</v>
      </c>
      <c r="G45" s="307">
        <f>SUMIFS(Adjustments!$G:$G,Adjustments!$H:$H,"2D",Adjustments!$I:$I,'Schedule 2D Adjustments'!$F$12,Adjustments!$J:$J,'Schedule 2D Adjustments'!$A45)</f>
        <v>0</v>
      </c>
      <c r="H45" s="303">
        <f t="shared" si="0"/>
        <v>0</v>
      </c>
      <c r="I45" s="68">
        <f>IFERROR(F45*'As-Filed Schedule 1'!$E$103,0)</f>
        <v>0</v>
      </c>
      <c r="J45" s="304">
        <f>IFERROR(H45*'Adjusted Schedule 1'!$E$104,0)</f>
        <v>0</v>
      </c>
      <c r="K45" s="68">
        <f t="shared" si="1"/>
        <v>0</v>
      </c>
      <c r="L45" s="304">
        <f t="shared" si="2"/>
        <v>0</v>
      </c>
      <c r="N45" s="114">
        <f>'As-Filed Schedule 2D'!J45</f>
        <v>0</v>
      </c>
      <c r="O45" s="307">
        <f>SUMIFS(Adjustments!$G:$G,Adjustments!$H:$H,"2D",Adjustments!$I:$I,'Schedule 2D Adjustments'!$N$12,Adjustments!$J:$J,'Schedule 2D Adjustments'!$A45)</f>
        <v>0</v>
      </c>
      <c r="P45" s="303">
        <f t="shared" si="3"/>
        <v>0</v>
      </c>
      <c r="Q45" s="68">
        <f>IFERROR(N45*'As-Filed Schedule 1'!$E$103,0)</f>
        <v>0</v>
      </c>
      <c r="R45" s="68">
        <f>IFERROR(P45*'Adjusted Schedule 1'!$E$104,0)</f>
        <v>0</v>
      </c>
      <c r="S45" s="68">
        <f t="shared" si="4"/>
        <v>0</v>
      </c>
      <c r="T45" s="304">
        <f t="shared" si="5"/>
        <v>0</v>
      </c>
      <c r="V45" s="117">
        <f>'As-Filed Schedule 2D'!N45</f>
        <v>0</v>
      </c>
      <c r="W45" s="307">
        <f>SUMIFS(Adjustments!$G:$G,Adjustments!$H:$H,"2D",Adjustments!$I:$I,'Schedule 2D Adjustments'!$V$12,Adjustments!$J:$J,'Schedule 2D Adjustments'!$A45)</f>
        <v>0</v>
      </c>
      <c r="X45" s="303">
        <f t="shared" si="6"/>
        <v>0</v>
      </c>
      <c r="Y45" s="117">
        <f>'As-Filed Schedule 2D'!O45</f>
        <v>0</v>
      </c>
      <c r="Z45" s="307">
        <f>SUMIFS(Adjustments!$G:$G,Adjustments!$H:$H,"2D",Adjustments!$I:$I,'Schedule 2D Adjustments'!$Y$12,Adjustments!$J:$J,'Schedule 2D Adjustments'!$A45)</f>
        <v>0</v>
      </c>
      <c r="AA45" s="303">
        <f t="shared" si="7"/>
        <v>0</v>
      </c>
    </row>
    <row r="46" spans="1:27" x14ac:dyDescent="0.35">
      <c r="A46" s="24">
        <v>32</v>
      </c>
      <c r="B46" s="565" t="str">
        <f>IF('As-Filed Schedule 2D'!B46:D46=0,"",'As-Filed Schedule 2D'!B46:D46)</f>
        <v/>
      </c>
      <c r="C46" s="565"/>
      <c r="D46" s="565"/>
      <c r="F46" s="114">
        <f>'As-Filed Schedule 2D'!F46</f>
        <v>0</v>
      </c>
      <c r="G46" s="307">
        <f>SUMIFS(Adjustments!$G:$G,Adjustments!$H:$H,"2D",Adjustments!$I:$I,'Schedule 2D Adjustments'!$F$12,Adjustments!$J:$J,'Schedule 2D Adjustments'!$A46)</f>
        <v>0</v>
      </c>
      <c r="H46" s="303">
        <f t="shared" si="0"/>
        <v>0</v>
      </c>
      <c r="I46" s="68">
        <f>IFERROR(F46*'As-Filed Schedule 1'!$E$103,0)</f>
        <v>0</v>
      </c>
      <c r="J46" s="304">
        <f>IFERROR(H46*'Adjusted Schedule 1'!$E$104,0)</f>
        <v>0</v>
      </c>
      <c r="K46" s="68">
        <f t="shared" si="1"/>
        <v>0</v>
      </c>
      <c r="L46" s="304">
        <f t="shared" si="2"/>
        <v>0</v>
      </c>
      <c r="N46" s="114">
        <f>'As-Filed Schedule 2D'!J46</f>
        <v>0</v>
      </c>
      <c r="O46" s="307">
        <f>SUMIFS(Adjustments!$G:$G,Adjustments!$H:$H,"2D",Adjustments!$I:$I,'Schedule 2D Adjustments'!$N$12,Adjustments!$J:$J,'Schedule 2D Adjustments'!$A46)</f>
        <v>0</v>
      </c>
      <c r="P46" s="303">
        <f t="shared" si="3"/>
        <v>0</v>
      </c>
      <c r="Q46" s="68">
        <f>IFERROR(N46*'As-Filed Schedule 1'!$E$103,0)</f>
        <v>0</v>
      </c>
      <c r="R46" s="68">
        <f>IFERROR(P46*'Adjusted Schedule 1'!$E$104,0)</f>
        <v>0</v>
      </c>
      <c r="S46" s="68">
        <f t="shared" si="4"/>
        <v>0</v>
      </c>
      <c r="T46" s="304">
        <f t="shared" si="5"/>
        <v>0</v>
      </c>
      <c r="V46" s="117">
        <f>'As-Filed Schedule 2D'!N46</f>
        <v>0</v>
      </c>
      <c r="W46" s="307">
        <f>SUMIFS(Adjustments!$G:$G,Adjustments!$H:$H,"2D",Adjustments!$I:$I,'Schedule 2D Adjustments'!$V$12,Adjustments!$J:$J,'Schedule 2D Adjustments'!$A46)</f>
        <v>0</v>
      </c>
      <c r="X46" s="303">
        <f t="shared" si="6"/>
        <v>0</v>
      </c>
      <c r="Y46" s="117">
        <f>'As-Filed Schedule 2D'!O46</f>
        <v>0</v>
      </c>
      <c r="Z46" s="307">
        <f>SUMIFS(Adjustments!$G:$G,Adjustments!$H:$H,"2D",Adjustments!$I:$I,'Schedule 2D Adjustments'!$Y$12,Adjustments!$J:$J,'Schedule 2D Adjustments'!$A46)</f>
        <v>0</v>
      </c>
      <c r="AA46" s="303">
        <f t="shared" si="7"/>
        <v>0</v>
      </c>
    </row>
    <row r="47" spans="1:27" x14ac:dyDescent="0.35">
      <c r="A47" s="24">
        <v>33</v>
      </c>
      <c r="B47" s="565" t="str">
        <f>IF('As-Filed Schedule 2D'!B47:D47=0,"",'As-Filed Schedule 2D'!B47:D47)</f>
        <v/>
      </c>
      <c r="C47" s="565"/>
      <c r="D47" s="565"/>
      <c r="F47" s="114">
        <f>'As-Filed Schedule 2D'!F47</f>
        <v>0</v>
      </c>
      <c r="G47" s="307">
        <f>SUMIFS(Adjustments!$G:$G,Adjustments!$H:$H,"2D",Adjustments!$I:$I,'Schedule 2D Adjustments'!$F$12,Adjustments!$J:$J,'Schedule 2D Adjustments'!$A47)</f>
        <v>0</v>
      </c>
      <c r="H47" s="303">
        <f t="shared" si="0"/>
        <v>0</v>
      </c>
      <c r="I47" s="68">
        <f>IFERROR(F47*'As-Filed Schedule 1'!$E$103,0)</f>
        <v>0</v>
      </c>
      <c r="J47" s="304">
        <f>IFERROR(H47*'Adjusted Schedule 1'!$E$104,0)</f>
        <v>0</v>
      </c>
      <c r="K47" s="68">
        <f t="shared" si="1"/>
        <v>0</v>
      </c>
      <c r="L47" s="304">
        <f t="shared" si="2"/>
        <v>0</v>
      </c>
      <c r="N47" s="114">
        <f>'As-Filed Schedule 2D'!J47</f>
        <v>0</v>
      </c>
      <c r="O47" s="307">
        <f>SUMIFS(Adjustments!$G:$G,Adjustments!$H:$H,"2D",Adjustments!$I:$I,'Schedule 2D Adjustments'!$N$12,Adjustments!$J:$J,'Schedule 2D Adjustments'!$A47)</f>
        <v>0</v>
      </c>
      <c r="P47" s="303">
        <f t="shared" si="3"/>
        <v>0</v>
      </c>
      <c r="Q47" s="68">
        <f>IFERROR(N47*'As-Filed Schedule 1'!$E$103,0)</f>
        <v>0</v>
      </c>
      <c r="R47" s="68">
        <f>IFERROR(P47*'Adjusted Schedule 1'!$E$104,0)</f>
        <v>0</v>
      </c>
      <c r="S47" s="68">
        <f t="shared" si="4"/>
        <v>0</v>
      </c>
      <c r="T47" s="304">
        <f t="shared" si="5"/>
        <v>0</v>
      </c>
      <c r="V47" s="117">
        <f>'As-Filed Schedule 2D'!N47</f>
        <v>0</v>
      </c>
      <c r="W47" s="307">
        <f>SUMIFS(Adjustments!$G:$G,Adjustments!$H:$H,"2D",Adjustments!$I:$I,'Schedule 2D Adjustments'!$V$12,Adjustments!$J:$J,'Schedule 2D Adjustments'!$A47)</f>
        <v>0</v>
      </c>
      <c r="X47" s="303">
        <f t="shared" si="6"/>
        <v>0</v>
      </c>
      <c r="Y47" s="117">
        <f>'As-Filed Schedule 2D'!O47</f>
        <v>0</v>
      </c>
      <c r="Z47" s="307">
        <f>SUMIFS(Adjustments!$G:$G,Adjustments!$H:$H,"2D",Adjustments!$I:$I,'Schedule 2D Adjustments'!$Y$12,Adjustments!$J:$J,'Schedule 2D Adjustments'!$A47)</f>
        <v>0</v>
      </c>
      <c r="AA47" s="303">
        <f t="shared" si="7"/>
        <v>0</v>
      </c>
    </row>
    <row r="48" spans="1:27" x14ac:dyDescent="0.35">
      <c r="A48" s="24">
        <v>34</v>
      </c>
      <c r="B48" s="565" t="str">
        <f>IF('As-Filed Schedule 2D'!B48:D48=0,"",'As-Filed Schedule 2D'!B48:D48)</f>
        <v/>
      </c>
      <c r="C48" s="565"/>
      <c r="D48" s="565"/>
      <c r="F48" s="114">
        <f>'As-Filed Schedule 2D'!F48</f>
        <v>0</v>
      </c>
      <c r="G48" s="307">
        <f>SUMIFS(Adjustments!$G:$G,Adjustments!$H:$H,"2D",Adjustments!$I:$I,'Schedule 2D Adjustments'!$F$12,Adjustments!$J:$J,'Schedule 2D Adjustments'!$A48)</f>
        <v>0</v>
      </c>
      <c r="H48" s="303">
        <f t="shared" si="0"/>
        <v>0</v>
      </c>
      <c r="I48" s="68">
        <f>IFERROR(F48*'As-Filed Schedule 1'!$E$103,0)</f>
        <v>0</v>
      </c>
      <c r="J48" s="304">
        <f>IFERROR(H48*'Adjusted Schedule 1'!$E$104,0)</f>
        <v>0</v>
      </c>
      <c r="K48" s="68">
        <f t="shared" si="1"/>
        <v>0</v>
      </c>
      <c r="L48" s="304">
        <f t="shared" si="2"/>
        <v>0</v>
      </c>
      <c r="N48" s="114">
        <f>'As-Filed Schedule 2D'!J48</f>
        <v>0</v>
      </c>
      <c r="O48" s="307">
        <f>SUMIFS(Adjustments!$G:$G,Adjustments!$H:$H,"2D",Adjustments!$I:$I,'Schedule 2D Adjustments'!$N$12,Adjustments!$J:$J,'Schedule 2D Adjustments'!$A48)</f>
        <v>0</v>
      </c>
      <c r="P48" s="303">
        <f t="shared" si="3"/>
        <v>0</v>
      </c>
      <c r="Q48" s="68">
        <f>IFERROR(N48*'As-Filed Schedule 1'!$E$103,0)</f>
        <v>0</v>
      </c>
      <c r="R48" s="68">
        <f>IFERROR(P48*'Adjusted Schedule 1'!$E$104,0)</f>
        <v>0</v>
      </c>
      <c r="S48" s="68">
        <f t="shared" si="4"/>
        <v>0</v>
      </c>
      <c r="T48" s="304">
        <f t="shared" si="5"/>
        <v>0</v>
      </c>
      <c r="V48" s="117">
        <f>'As-Filed Schedule 2D'!N48</f>
        <v>0</v>
      </c>
      <c r="W48" s="307">
        <f>SUMIFS(Adjustments!$G:$G,Adjustments!$H:$H,"2D",Adjustments!$I:$I,'Schedule 2D Adjustments'!$V$12,Adjustments!$J:$J,'Schedule 2D Adjustments'!$A48)</f>
        <v>0</v>
      </c>
      <c r="X48" s="303">
        <f t="shared" si="6"/>
        <v>0</v>
      </c>
      <c r="Y48" s="117">
        <f>'As-Filed Schedule 2D'!O48</f>
        <v>0</v>
      </c>
      <c r="Z48" s="307">
        <f>SUMIFS(Adjustments!$G:$G,Adjustments!$H:$H,"2D",Adjustments!$I:$I,'Schedule 2D Adjustments'!$Y$12,Adjustments!$J:$J,'Schedule 2D Adjustments'!$A48)</f>
        <v>0</v>
      </c>
      <c r="AA48" s="303">
        <f t="shared" si="7"/>
        <v>0</v>
      </c>
    </row>
    <row r="49" spans="1:27" x14ac:dyDescent="0.35">
      <c r="A49" s="24">
        <v>35</v>
      </c>
      <c r="B49" s="565" t="str">
        <f>IF('As-Filed Schedule 2D'!B49:D49=0,"",'As-Filed Schedule 2D'!B49:D49)</f>
        <v/>
      </c>
      <c r="C49" s="565"/>
      <c r="D49" s="565"/>
      <c r="F49" s="114">
        <f>'As-Filed Schedule 2D'!F49</f>
        <v>0</v>
      </c>
      <c r="G49" s="307">
        <f>SUMIFS(Adjustments!$G:$G,Adjustments!$H:$H,"2D",Adjustments!$I:$I,'Schedule 2D Adjustments'!$F$12,Adjustments!$J:$J,'Schedule 2D Adjustments'!$A49)</f>
        <v>0</v>
      </c>
      <c r="H49" s="303">
        <f t="shared" si="0"/>
        <v>0</v>
      </c>
      <c r="I49" s="68">
        <f>IFERROR(F49*'As-Filed Schedule 1'!$E$103,0)</f>
        <v>0</v>
      </c>
      <c r="J49" s="304">
        <f>IFERROR(H49*'Adjusted Schedule 1'!$E$104,0)</f>
        <v>0</v>
      </c>
      <c r="K49" s="68">
        <f t="shared" si="1"/>
        <v>0</v>
      </c>
      <c r="L49" s="304">
        <f t="shared" si="2"/>
        <v>0</v>
      </c>
      <c r="N49" s="114">
        <f>'As-Filed Schedule 2D'!J49</f>
        <v>0</v>
      </c>
      <c r="O49" s="307">
        <f>SUMIFS(Adjustments!$G:$G,Adjustments!$H:$H,"2D",Adjustments!$I:$I,'Schedule 2D Adjustments'!$N$12,Adjustments!$J:$J,'Schedule 2D Adjustments'!$A49)</f>
        <v>0</v>
      </c>
      <c r="P49" s="303">
        <f t="shared" si="3"/>
        <v>0</v>
      </c>
      <c r="Q49" s="68">
        <f>IFERROR(N49*'As-Filed Schedule 1'!$E$103,0)</f>
        <v>0</v>
      </c>
      <c r="R49" s="68">
        <f>IFERROR(P49*'Adjusted Schedule 1'!$E$104,0)</f>
        <v>0</v>
      </c>
      <c r="S49" s="68">
        <f t="shared" si="4"/>
        <v>0</v>
      </c>
      <c r="T49" s="304">
        <f t="shared" si="5"/>
        <v>0</v>
      </c>
      <c r="V49" s="117">
        <f>'As-Filed Schedule 2D'!N49</f>
        <v>0</v>
      </c>
      <c r="W49" s="307">
        <f>SUMIFS(Adjustments!$G:$G,Adjustments!$H:$H,"2D",Adjustments!$I:$I,'Schedule 2D Adjustments'!$V$12,Adjustments!$J:$J,'Schedule 2D Adjustments'!$A49)</f>
        <v>0</v>
      </c>
      <c r="X49" s="303">
        <f t="shared" si="6"/>
        <v>0</v>
      </c>
      <c r="Y49" s="117">
        <f>'As-Filed Schedule 2D'!O49</f>
        <v>0</v>
      </c>
      <c r="Z49" s="307">
        <f>SUMIFS(Adjustments!$G:$G,Adjustments!$H:$H,"2D",Adjustments!$I:$I,'Schedule 2D Adjustments'!$Y$12,Adjustments!$J:$J,'Schedule 2D Adjustments'!$A49)</f>
        <v>0</v>
      </c>
      <c r="AA49" s="303">
        <f t="shared" si="7"/>
        <v>0</v>
      </c>
    </row>
    <row r="50" spans="1:27" x14ac:dyDescent="0.35">
      <c r="A50" s="24">
        <v>36</v>
      </c>
      <c r="B50" s="565" t="str">
        <f>IF('As-Filed Schedule 2D'!B50:D50=0,"",'As-Filed Schedule 2D'!B50:D50)</f>
        <v/>
      </c>
      <c r="C50" s="565"/>
      <c r="D50" s="565"/>
      <c r="F50" s="114">
        <f>'As-Filed Schedule 2D'!F50</f>
        <v>0</v>
      </c>
      <c r="G50" s="307">
        <f>SUMIFS(Adjustments!$G:$G,Adjustments!$H:$H,"2D",Adjustments!$I:$I,'Schedule 2D Adjustments'!$F$12,Adjustments!$J:$J,'Schedule 2D Adjustments'!$A50)</f>
        <v>0</v>
      </c>
      <c r="H50" s="303">
        <f t="shared" si="0"/>
        <v>0</v>
      </c>
      <c r="I50" s="68">
        <f>IFERROR(F50*'As-Filed Schedule 1'!$E$103,0)</f>
        <v>0</v>
      </c>
      <c r="J50" s="304">
        <f>IFERROR(H50*'Adjusted Schedule 1'!$E$104,0)</f>
        <v>0</v>
      </c>
      <c r="K50" s="68">
        <f t="shared" si="1"/>
        <v>0</v>
      </c>
      <c r="L50" s="304">
        <f t="shared" si="2"/>
        <v>0</v>
      </c>
      <c r="N50" s="114">
        <f>'As-Filed Schedule 2D'!J50</f>
        <v>0</v>
      </c>
      <c r="O50" s="307">
        <f>SUMIFS(Adjustments!$G:$G,Adjustments!$H:$H,"2D",Adjustments!$I:$I,'Schedule 2D Adjustments'!$N$12,Adjustments!$J:$J,'Schedule 2D Adjustments'!$A50)</f>
        <v>0</v>
      </c>
      <c r="P50" s="303">
        <f t="shared" si="3"/>
        <v>0</v>
      </c>
      <c r="Q50" s="68">
        <f>IFERROR(N50*'As-Filed Schedule 1'!$E$103,0)</f>
        <v>0</v>
      </c>
      <c r="R50" s="68">
        <f>IFERROR(P50*'Adjusted Schedule 1'!$E$104,0)</f>
        <v>0</v>
      </c>
      <c r="S50" s="68">
        <f t="shared" si="4"/>
        <v>0</v>
      </c>
      <c r="T50" s="304">
        <f t="shared" si="5"/>
        <v>0</v>
      </c>
      <c r="V50" s="117">
        <f>'As-Filed Schedule 2D'!N50</f>
        <v>0</v>
      </c>
      <c r="W50" s="307">
        <f>SUMIFS(Adjustments!$G:$G,Adjustments!$H:$H,"2D",Adjustments!$I:$I,'Schedule 2D Adjustments'!$V$12,Adjustments!$J:$J,'Schedule 2D Adjustments'!$A50)</f>
        <v>0</v>
      </c>
      <c r="X50" s="303">
        <f t="shared" si="6"/>
        <v>0</v>
      </c>
      <c r="Y50" s="117">
        <f>'As-Filed Schedule 2D'!O50</f>
        <v>0</v>
      </c>
      <c r="Z50" s="307">
        <f>SUMIFS(Adjustments!$G:$G,Adjustments!$H:$H,"2D",Adjustments!$I:$I,'Schedule 2D Adjustments'!$Y$12,Adjustments!$J:$J,'Schedule 2D Adjustments'!$A50)</f>
        <v>0</v>
      </c>
      <c r="AA50" s="303">
        <f t="shared" si="7"/>
        <v>0</v>
      </c>
    </row>
    <row r="51" spans="1:27" x14ac:dyDescent="0.35">
      <c r="A51" s="24">
        <v>37</v>
      </c>
      <c r="B51" s="565" t="str">
        <f>IF('As-Filed Schedule 2D'!B51:D51=0,"",'As-Filed Schedule 2D'!B51:D51)</f>
        <v/>
      </c>
      <c r="C51" s="565"/>
      <c r="D51" s="565"/>
      <c r="F51" s="114">
        <f>'As-Filed Schedule 2D'!F51</f>
        <v>0</v>
      </c>
      <c r="G51" s="307">
        <f>SUMIFS(Adjustments!$G:$G,Adjustments!$H:$H,"2D",Adjustments!$I:$I,'Schedule 2D Adjustments'!$F$12,Adjustments!$J:$J,'Schedule 2D Adjustments'!$A51)</f>
        <v>0</v>
      </c>
      <c r="H51" s="303">
        <f t="shared" si="0"/>
        <v>0</v>
      </c>
      <c r="I51" s="68">
        <f>IFERROR(F51*'As-Filed Schedule 1'!$E$103,0)</f>
        <v>0</v>
      </c>
      <c r="J51" s="304">
        <f>IFERROR(H51*'Adjusted Schedule 1'!$E$104,0)</f>
        <v>0</v>
      </c>
      <c r="K51" s="68">
        <f t="shared" si="1"/>
        <v>0</v>
      </c>
      <c r="L51" s="304">
        <f t="shared" si="2"/>
        <v>0</v>
      </c>
      <c r="N51" s="114">
        <f>'As-Filed Schedule 2D'!J51</f>
        <v>0</v>
      </c>
      <c r="O51" s="307">
        <f>SUMIFS(Adjustments!$G:$G,Adjustments!$H:$H,"2D",Adjustments!$I:$I,'Schedule 2D Adjustments'!$N$12,Adjustments!$J:$J,'Schedule 2D Adjustments'!$A51)</f>
        <v>0</v>
      </c>
      <c r="P51" s="303">
        <f t="shared" si="3"/>
        <v>0</v>
      </c>
      <c r="Q51" s="68">
        <f>IFERROR(N51*'As-Filed Schedule 1'!$E$103,0)</f>
        <v>0</v>
      </c>
      <c r="R51" s="68">
        <f>IFERROR(P51*'Adjusted Schedule 1'!$E$104,0)</f>
        <v>0</v>
      </c>
      <c r="S51" s="68">
        <f t="shared" si="4"/>
        <v>0</v>
      </c>
      <c r="T51" s="304">
        <f t="shared" si="5"/>
        <v>0</v>
      </c>
      <c r="V51" s="117">
        <f>'As-Filed Schedule 2D'!N51</f>
        <v>0</v>
      </c>
      <c r="W51" s="307">
        <f>SUMIFS(Adjustments!$G:$G,Adjustments!$H:$H,"2D",Adjustments!$I:$I,'Schedule 2D Adjustments'!$V$12,Adjustments!$J:$J,'Schedule 2D Adjustments'!$A51)</f>
        <v>0</v>
      </c>
      <c r="X51" s="303">
        <f t="shared" si="6"/>
        <v>0</v>
      </c>
      <c r="Y51" s="117">
        <f>'As-Filed Schedule 2D'!O51</f>
        <v>0</v>
      </c>
      <c r="Z51" s="307">
        <f>SUMIFS(Adjustments!$G:$G,Adjustments!$H:$H,"2D",Adjustments!$I:$I,'Schedule 2D Adjustments'!$Y$12,Adjustments!$J:$J,'Schedule 2D Adjustments'!$A51)</f>
        <v>0</v>
      </c>
      <c r="AA51" s="303">
        <f t="shared" si="7"/>
        <v>0</v>
      </c>
    </row>
    <row r="52" spans="1:27" x14ac:dyDescent="0.35">
      <c r="A52" s="24">
        <v>38</v>
      </c>
      <c r="B52" s="565" t="str">
        <f>IF('As-Filed Schedule 2D'!B52:D52=0,"",'As-Filed Schedule 2D'!B52:D52)</f>
        <v/>
      </c>
      <c r="C52" s="565"/>
      <c r="D52" s="565"/>
      <c r="F52" s="114">
        <f>'As-Filed Schedule 2D'!F52</f>
        <v>0</v>
      </c>
      <c r="G52" s="307">
        <f>SUMIFS(Adjustments!$G:$G,Adjustments!$H:$H,"2D",Adjustments!$I:$I,'Schedule 2D Adjustments'!$F$12,Adjustments!$J:$J,'Schedule 2D Adjustments'!$A52)</f>
        <v>0</v>
      </c>
      <c r="H52" s="303">
        <f t="shared" si="0"/>
        <v>0</v>
      </c>
      <c r="I52" s="68">
        <f>IFERROR(F52*'As-Filed Schedule 1'!$E$103,0)</f>
        <v>0</v>
      </c>
      <c r="J52" s="304">
        <f>IFERROR(H52*'Adjusted Schedule 1'!$E$104,0)</f>
        <v>0</v>
      </c>
      <c r="K52" s="68">
        <f t="shared" si="1"/>
        <v>0</v>
      </c>
      <c r="L52" s="304">
        <f t="shared" si="2"/>
        <v>0</v>
      </c>
      <c r="N52" s="114">
        <f>'As-Filed Schedule 2D'!J52</f>
        <v>0</v>
      </c>
      <c r="O52" s="307">
        <f>SUMIFS(Adjustments!$G:$G,Adjustments!$H:$H,"2D",Adjustments!$I:$I,'Schedule 2D Adjustments'!$N$12,Adjustments!$J:$J,'Schedule 2D Adjustments'!$A52)</f>
        <v>0</v>
      </c>
      <c r="P52" s="303">
        <f t="shared" si="3"/>
        <v>0</v>
      </c>
      <c r="Q52" s="68">
        <f>IFERROR(N52*'As-Filed Schedule 1'!$E$103,0)</f>
        <v>0</v>
      </c>
      <c r="R52" s="68">
        <f>IFERROR(P52*'Adjusted Schedule 1'!$E$104,0)</f>
        <v>0</v>
      </c>
      <c r="S52" s="68">
        <f t="shared" si="4"/>
        <v>0</v>
      </c>
      <c r="T52" s="304">
        <f t="shared" si="5"/>
        <v>0</v>
      </c>
      <c r="V52" s="117">
        <f>'As-Filed Schedule 2D'!N52</f>
        <v>0</v>
      </c>
      <c r="W52" s="307">
        <f>SUMIFS(Adjustments!$G:$G,Adjustments!$H:$H,"2D",Adjustments!$I:$I,'Schedule 2D Adjustments'!$V$12,Adjustments!$J:$J,'Schedule 2D Adjustments'!$A52)</f>
        <v>0</v>
      </c>
      <c r="X52" s="303">
        <f t="shared" si="6"/>
        <v>0</v>
      </c>
      <c r="Y52" s="117">
        <f>'As-Filed Schedule 2D'!O52</f>
        <v>0</v>
      </c>
      <c r="Z52" s="307">
        <f>SUMIFS(Adjustments!$G:$G,Adjustments!$H:$H,"2D",Adjustments!$I:$I,'Schedule 2D Adjustments'!$Y$12,Adjustments!$J:$J,'Schedule 2D Adjustments'!$A52)</f>
        <v>0</v>
      </c>
      <c r="AA52" s="303">
        <f t="shared" si="7"/>
        <v>0</v>
      </c>
    </row>
    <row r="53" spans="1:27" x14ac:dyDescent="0.35">
      <c r="A53" s="24">
        <v>39</v>
      </c>
      <c r="B53" s="565" t="str">
        <f>IF('As-Filed Schedule 2D'!B53:D53=0,"",'As-Filed Schedule 2D'!B53:D53)</f>
        <v/>
      </c>
      <c r="C53" s="565"/>
      <c r="D53" s="565"/>
      <c r="F53" s="114">
        <f>'As-Filed Schedule 2D'!F53</f>
        <v>0</v>
      </c>
      <c r="G53" s="307">
        <f>SUMIFS(Adjustments!$G:$G,Adjustments!$H:$H,"2D",Adjustments!$I:$I,'Schedule 2D Adjustments'!$F$12,Adjustments!$J:$J,'Schedule 2D Adjustments'!$A53)</f>
        <v>0</v>
      </c>
      <c r="H53" s="303">
        <f t="shared" si="0"/>
        <v>0</v>
      </c>
      <c r="I53" s="68">
        <f>IFERROR(F53*'As-Filed Schedule 1'!$E$103,0)</f>
        <v>0</v>
      </c>
      <c r="J53" s="304">
        <f>IFERROR(H53*'Adjusted Schedule 1'!$E$104,0)</f>
        <v>0</v>
      </c>
      <c r="K53" s="68">
        <f t="shared" si="1"/>
        <v>0</v>
      </c>
      <c r="L53" s="304">
        <f t="shared" si="2"/>
        <v>0</v>
      </c>
      <c r="N53" s="114">
        <f>'As-Filed Schedule 2D'!J53</f>
        <v>0</v>
      </c>
      <c r="O53" s="307">
        <f>SUMIFS(Adjustments!$G:$G,Adjustments!$H:$H,"2D",Adjustments!$I:$I,'Schedule 2D Adjustments'!$N$12,Adjustments!$J:$J,'Schedule 2D Adjustments'!$A53)</f>
        <v>0</v>
      </c>
      <c r="P53" s="303">
        <f t="shared" si="3"/>
        <v>0</v>
      </c>
      <c r="Q53" s="68">
        <f>IFERROR(N53*'As-Filed Schedule 1'!$E$103,0)</f>
        <v>0</v>
      </c>
      <c r="R53" s="68">
        <f>IFERROR(P53*'Adjusted Schedule 1'!$E$104,0)</f>
        <v>0</v>
      </c>
      <c r="S53" s="68">
        <f t="shared" si="4"/>
        <v>0</v>
      </c>
      <c r="T53" s="304">
        <f t="shared" si="5"/>
        <v>0</v>
      </c>
      <c r="V53" s="117">
        <f>'As-Filed Schedule 2D'!N53</f>
        <v>0</v>
      </c>
      <c r="W53" s="307">
        <f>SUMIFS(Adjustments!$G:$G,Adjustments!$H:$H,"2D",Adjustments!$I:$I,'Schedule 2D Adjustments'!$V$12,Adjustments!$J:$J,'Schedule 2D Adjustments'!$A53)</f>
        <v>0</v>
      </c>
      <c r="X53" s="303">
        <f t="shared" si="6"/>
        <v>0</v>
      </c>
      <c r="Y53" s="117">
        <f>'As-Filed Schedule 2D'!O53</f>
        <v>0</v>
      </c>
      <c r="Z53" s="307">
        <f>SUMIFS(Adjustments!$G:$G,Adjustments!$H:$H,"2D",Adjustments!$I:$I,'Schedule 2D Adjustments'!$Y$12,Adjustments!$J:$J,'Schedule 2D Adjustments'!$A53)</f>
        <v>0</v>
      </c>
      <c r="AA53" s="303">
        <f t="shared" si="7"/>
        <v>0</v>
      </c>
    </row>
    <row r="54" spans="1:27" x14ac:dyDescent="0.35">
      <c r="A54" s="24">
        <v>40</v>
      </c>
      <c r="B54" s="565" t="str">
        <f>IF('As-Filed Schedule 2D'!B54:D54=0,"",'As-Filed Schedule 2D'!B54:D54)</f>
        <v/>
      </c>
      <c r="C54" s="565"/>
      <c r="D54" s="565"/>
      <c r="F54" s="114">
        <f>'As-Filed Schedule 2D'!F54</f>
        <v>0</v>
      </c>
      <c r="G54" s="307">
        <f>SUMIFS(Adjustments!$G:$G,Adjustments!$H:$H,"2D",Adjustments!$I:$I,'Schedule 2D Adjustments'!$F$12,Adjustments!$J:$J,'Schedule 2D Adjustments'!$A54)</f>
        <v>0</v>
      </c>
      <c r="H54" s="303">
        <f t="shared" si="0"/>
        <v>0</v>
      </c>
      <c r="I54" s="68">
        <f>IFERROR(F54*'As-Filed Schedule 1'!$E$103,0)</f>
        <v>0</v>
      </c>
      <c r="J54" s="304">
        <f>IFERROR(H54*'Adjusted Schedule 1'!$E$104,0)</f>
        <v>0</v>
      </c>
      <c r="K54" s="68">
        <f t="shared" si="1"/>
        <v>0</v>
      </c>
      <c r="L54" s="304">
        <f t="shared" si="2"/>
        <v>0</v>
      </c>
      <c r="N54" s="114">
        <f>'As-Filed Schedule 2D'!J54</f>
        <v>0</v>
      </c>
      <c r="O54" s="307">
        <f>SUMIFS(Adjustments!$G:$G,Adjustments!$H:$H,"2D",Adjustments!$I:$I,'Schedule 2D Adjustments'!$N$12,Adjustments!$J:$J,'Schedule 2D Adjustments'!$A54)</f>
        <v>0</v>
      </c>
      <c r="P54" s="303">
        <f t="shared" si="3"/>
        <v>0</v>
      </c>
      <c r="Q54" s="68">
        <f>IFERROR(N54*'As-Filed Schedule 1'!$E$103,0)</f>
        <v>0</v>
      </c>
      <c r="R54" s="68">
        <f>IFERROR(P54*'Adjusted Schedule 1'!$E$104,0)</f>
        <v>0</v>
      </c>
      <c r="S54" s="68">
        <f t="shared" si="4"/>
        <v>0</v>
      </c>
      <c r="T54" s="304">
        <f t="shared" si="5"/>
        <v>0</v>
      </c>
      <c r="V54" s="117">
        <f>'As-Filed Schedule 2D'!N54</f>
        <v>0</v>
      </c>
      <c r="W54" s="307">
        <f>SUMIFS(Adjustments!$G:$G,Adjustments!$H:$H,"2D",Adjustments!$I:$I,'Schedule 2D Adjustments'!$V$12,Adjustments!$J:$J,'Schedule 2D Adjustments'!$A54)</f>
        <v>0</v>
      </c>
      <c r="X54" s="303">
        <f t="shared" si="6"/>
        <v>0</v>
      </c>
      <c r="Y54" s="117">
        <f>'As-Filed Schedule 2D'!O54</f>
        <v>0</v>
      </c>
      <c r="Z54" s="307">
        <f>SUMIFS(Adjustments!$G:$G,Adjustments!$H:$H,"2D",Adjustments!$I:$I,'Schedule 2D Adjustments'!$Y$12,Adjustments!$J:$J,'Schedule 2D Adjustments'!$A54)</f>
        <v>0</v>
      </c>
      <c r="AA54" s="303">
        <f t="shared" si="7"/>
        <v>0</v>
      </c>
    </row>
    <row r="55" spans="1:27" x14ac:dyDescent="0.35">
      <c r="A55" s="24">
        <v>41</v>
      </c>
      <c r="B55" s="565" t="str">
        <f>IF('As-Filed Schedule 2D'!B55:D55=0,"",'As-Filed Schedule 2D'!B55:D55)</f>
        <v/>
      </c>
      <c r="C55" s="565"/>
      <c r="D55" s="565"/>
      <c r="F55" s="114">
        <f>'As-Filed Schedule 2D'!F55</f>
        <v>0</v>
      </c>
      <c r="G55" s="307">
        <f>SUMIFS(Adjustments!$G:$G,Adjustments!$H:$H,"2D",Adjustments!$I:$I,'Schedule 2D Adjustments'!$F$12,Adjustments!$J:$J,'Schedule 2D Adjustments'!$A55)</f>
        <v>0</v>
      </c>
      <c r="H55" s="303">
        <f t="shared" si="0"/>
        <v>0</v>
      </c>
      <c r="I55" s="68">
        <f>IFERROR(F55*'As-Filed Schedule 1'!$E$103,0)</f>
        <v>0</v>
      </c>
      <c r="J55" s="304">
        <f>IFERROR(H55*'Adjusted Schedule 1'!$E$104,0)</f>
        <v>0</v>
      </c>
      <c r="K55" s="68">
        <f t="shared" si="1"/>
        <v>0</v>
      </c>
      <c r="L55" s="304">
        <f t="shared" si="2"/>
        <v>0</v>
      </c>
      <c r="N55" s="114">
        <f>'As-Filed Schedule 2D'!J55</f>
        <v>0</v>
      </c>
      <c r="O55" s="307">
        <f>SUMIFS(Adjustments!$G:$G,Adjustments!$H:$H,"2D",Adjustments!$I:$I,'Schedule 2D Adjustments'!$N$12,Adjustments!$J:$J,'Schedule 2D Adjustments'!$A55)</f>
        <v>0</v>
      </c>
      <c r="P55" s="303">
        <f t="shared" si="3"/>
        <v>0</v>
      </c>
      <c r="Q55" s="68">
        <f>IFERROR(N55*'As-Filed Schedule 1'!$E$103,0)</f>
        <v>0</v>
      </c>
      <c r="R55" s="68">
        <f>IFERROR(P55*'Adjusted Schedule 1'!$E$104,0)</f>
        <v>0</v>
      </c>
      <c r="S55" s="68">
        <f t="shared" si="4"/>
        <v>0</v>
      </c>
      <c r="T55" s="304">
        <f t="shared" si="5"/>
        <v>0</v>
      </c>
      <c r="V55" s="117">
        <f>'As-Filed Schedule 2D'!N55</f>
        <v>0</v>
      </c>
      <c r="W55" s="307">
        <f>SUMIFS(Adjustments!$G:$G,Adjustments!$H:$H,"2D",Adjustments!$I:$I,'Schedule 2D Adjustments'!$V$12,Adjustments!$J:$J,'Schedule 2D Adjustments'!$A55)</f>
        <v>0</v>
      </c>
      <c r="X55" s="303">
        <f t="shared" si="6"/>
        <v>0</v>
      </c>
      <c r="Y55" s="117">
        <f>'As-Filed Schedule 2D'!O55</f>
        <v>0</v>
      </c>
      <c r="Z55" s="307">
        <f>SUMIFS(Adjustments!$G:$G,Adjustments!$H:$H,"2D",Adjustments!$I:$I,'Schedule 2D Adjustments'!$Y$12,Adjustments!$J:$J,'Schedule 2D Adjustments'!$A55)</f>
        <v>0</v>
      </c>
      <c r="AA55" s="303">
        <f t="shared" si="7"/>
        <v>0</v>
      </c>
    </row>
    <row r="56" spans="1:27" x14ac:dyDescent="0.35">
      <c r="A56" s="24">
        <v>42</v>
      </c>
      <c r="B56" s="565" t="str">
        <f>IF('As-Filed Schedule 2D'!B56:D56=0,"",'As-Filed Schedule 2D'!B56:D56)</f>
        <v/>
      </c>
      <c r="C56" s="565"/>
      <c r="D56" s="565"/>
      <c r="F56" s="114">
        <f>'As-Filed Schedule 2D'!F56</f>
        <v>0</v>
      </c>
      <c r="G56" s="307">
        <f>SUMIFS(Adjustments!$G:$G,Adjustments!$H:$H,"2D",Adjustments!$I:$I,'Schedule 2D Adjustments'!$F$12,Adjustments!$J:$J,'Schedule 2D Adjustments'!$A56)</f>
        <v>0</v>
      </c>
      <c r="H56" s="303">
        <f t="shared" si="0"/>
        <v>0</v>
      </c>
      <c r="I56" s="68">
        <f>IFERROR(F56*'As-Filed Schedule 1'!$E$103,0)</f>
        <v>0</v>
      </c>
      <c r="J56" s="304">
        <f>IFERROR(H56*'Adjusted Schedule 1'!$E$104,0)</f>
        <v>0</v>
      </c>
      <c r="K56" s="68">
        <f t="shared" si="1"/>
        <v>0</v>
      </c>
      <c r="L56" s="304">
        <f t="shared" si="2"/>
        <v>0</v>
      </c>
      <c r="N56" s="114">
        <f>'As-Filed Schedule 2D'!J56</f>
        <v>0</v>
      </c>
      <c r="O56" s="307">
        <f>SUMIFS(Adjustments!$G:$G,Adjustments!$H:$H,"2D",Adjustments!$I:$I,'Schedule 2D Adjustments'!$N$12,Adjustments!$J:$J,'Schedule 2D Adjustments'!$A56)</f>
        <v>0</v>
      </c>
      <c r="P56" s="303">
        <f t="shared" si="3"/>
        <v>0</v>
      </c>
      <c r="Q56" s="68">
        <f>IFERROR(N56*'As-Filed Schedule 1'!$E$103,0)</f>
        <v>0</v>
      </c>
      <c r="R56" s="68">
        <f>IFERROR(P56*'Adjusted Schedule 1'!$E$104,0)</f>
        <v>0</v>
      </c>
      <c r="S56" s="68">
        <f t="shared" si="4"/>
        <v>0</v>
      </c>
      <c r="T56" s="304">
        <f t="shared" si="5"/>
        <v>0</v>
      </c>
      <c r="V56" s="117">
        <f>'As-Filed Schedule 2D'!N56</f>
        <v>0</v>
      </c>
      <c r="W56" s="307">
        <f>SUMIFS(Adjustments!$G:$G,Adjustments!$H:$H,"2D",Adjustments!$I:$I,'Schedule 2D Adjustments'!$V$12,Adjustments!$J:$J,'Schedule 2D Adjustments'!$A56)</f>
        <v>0</v>
      </c>
      <c r="X56" s="303">
        <f t="shared" si="6"/>
        <v>0</v>
      </c>
      <c r="Y56" s="117">
        <f>'As-Filed Schedule 2D'!O56</f>
        <v>0</v>
      </c>
      <c r="Z56" s="307">
        <f>SUMIFS(Adjustments!$G:$G,Adjustments!$H:$H,"2D",Adjustments!$I:$I,'Schedule 2D Adjustments'!$Y$12,Adjustments!$J:$J,'Schedule 2D Adjustments'!$A56)</f>
        <v>0</v>
      </c>
      <c r="AA56" s="303">
        <f t="shared" si="7"/>
        <v>0</v>
      </c>
    </row>
    <row r="57" spans="1:27" x14ac:dyDescent="0.35">
      <c r="A57" s="24">
        <v>43</v>
      </c>
      <c r="B57" s="565" t="str">
        <f>IF('As-Filed Schedule 2D'!B57:D57=0,"",'As-Filed Schedule 2D'!B57:D57)</f>
        <v/>
      </c>
      <c r="C57" s="565"/>
      <c r="D57" s="565"/>
      <c r="F57" s="114">
        <f>'As-Filed Schedule 2D'!F57</f>
        <v>0</v>
      </c>
      <c r="G57" s="307">
        <f>SUMIFS(Adjustments!$G:$G,Adjustments!$H:$H,"2D",Adjustments!$I:$I,'Schedule 2D Adjustments'!$F$12,Adjustments!$J:$J,'Schedule 2D Adjustments'!$A57)</f>
        <v>0</v>
      </c>
      <c r="H57" s="303">
        <f t="shared" si="0"/>
        <v>0</v>
      </c>
      <c r="I57" s="68">
        <f>IFERROR(F57*'As-Filed Schedule 1'!$E$103,0)</f>
        <v>0</v>
      </c>
      <c r="J57" s="304">
        <f>IFERROR(H57*'Adjusted Schedule 1'!$E$104,0)</f>
        <v>0</v>
      </c>
      <c r="K57" s="68">
        <f t="shared" si="1"/>
        <v>0</v>
      </c>
      <c r="L57" s="304">
        <f t="shared" si="2"/>
        <v>0</v>
      </c>
      <c r="N57" s="114">
        <f>'As-Filed Schedule 2D'!J57</f>
        <v>0</v>
      </c>
      <c r="O57" s="307">
        <f>SUMIFS(Adjustments!$G:$G,Adjustments!$H:$H,"2D",Adjustments!$I:$I,'Schedule 2D Adjustments'!$N$12,Adjustments!$J:$J,'Schedule 2D Adjustments'!$A57)</f>
        <v>0</v>
      </c>
      <c r="P57" s="303">
        <f t="shared" si="3"/>
        <v>0</v>
      </c>
      <c r="Q57" s="68">
        <f>IFERROR(N57*'As-Filed Schedule 1'!$E$103,0)</f>
        <v>0</v>
      </c>
      <c r="R57" s="68">
        <f>IFERROR(P57*'Adjusted Schedule 1'!$E$104,0)</f>
        <v>0</v>
      </c>
      <c r="S57" s="68">
        <f t="shared" si="4"/>
        <v>0</v>
      </c>
      <c r="T57" s="304">
        <f t="shared" si="5"/>
        <v>0</v>
      </c>
      <c r="V57" s="117">
        <f>'As-Filed Schedule 2D'!N57</f>
        <v>0</v>
      </c>
      <c r="W57" s="307">
        <f>SUMIFS(Adjustments!$G:$G,Adjustments!$H:$H,"2D",Adjustments!$I:$I,'Schedule 2D Adjustments'!$V$12,Adjustments!$J:$J,'Schedule 2D Adjustments'!$A57)</f>
        <v>0</v>
      </c>
      <c r="X57" s="303">
        <f t="shared" si="6"/>
        <v>0</v>
      </c>
      <c r="Y57" s="117">
        <f>'As-Filed Schedule 2D'!O57</f>
        <v>0</v>
      </c>
      <c r="Z57" s="307">
        <f>SUMIFS(Adjustments!$G:$G,Adjustments!$H:$H,"2D",Adjustments!$I:$I,'Schedule 2D Adjustments'!$Y$12,Adjustments!$J:$J,'Schedule 2D Adjustments'!$A57)</f>
        <v>0</v>
      </c>
      <c r="AA57" s="303">
        <f t="shared" si="7"/>
        <v>0</v>
      </c>
    </row>
    <row r="58" spans="1:27" x14ac:dyDescent="0.35">
      <c r="A58" s="24">
        <v>44</v>
      </c>
      <c r="B58" s="565" t="str">
        <f>IF('As-Filed Schedule 2D'!B58:D58=0,"",'As-Filed Schedule 2D'!B58:D58)</f>
        <v/>
      </c>
      <c r="C58" s="565"/>
      <c r="D58" s="565"/>
      <c r="F58" s="114">
        <f>'As-Filed Schedule 2D'!F58</f>
        <v>0</v>
      </c>
      <c r="G58" s="307">
        <f>SUMIFS(Adjustments!$G:$G,Adjustments!$H:$H,"2D",Adjustments!$I:$I,'Schedule 2D Adjustments'!$F$12,Adjustments!$J:$J,'Schedule 2D Adjustments'!$A58)</f>
        <v>0</v>
      </c>
      <c r="H58" s="303">
        <f t="shared" si="0"/>
        <v>0</v>
      </c>
      <c r="I58" s="68">
        <f>IFERROR(F58*'As-Filed Schedule 1'!$E$103,0)</f>
        <v>0</v>
      </c>
      <c r="J58" s="304">
        <f>IFERROR(H58*'Adjusted Schedule 1'!$E$104,0)</f>
        <v>0</v>
      </c>
      <c r="K58" s="68">
        <f t="shared" si="1"/>
        <v>0</v>
      </c>
      <c r="L58" s="304">
        <f t="shared" si="2"/>
        <v>0</v>
      </c>
      <c r="N58" s="114">
        <f>'As-Filed Schedule 2D'!J58</f>
        <v>0</v>
      </c>
      <c r="O58" s="307">
        <f>SUMIFS(Adjustments!$G:$G,Adjustments!$H:$H,"2D",Adjustments!$I:$I,'Schedule 2D Adjustments'!$N$12,Adjustments!$J:$J,'Schedule 2D Adjustments'!$A58)</f>
        <v>0</v>
      </c>
      <c r="P58" s="303">
        <f t="shared" si="3"/>
        <v>0</v>
      </c>
      <c r="Q58" s="68">
        <f>IFERROR(N58*'As-Filed Schedule 1'!$E$103,0)</f>
        <v>0</v>
      </c>
      <c r="R58" s="68">
        <f>IFERROR(P58*'Adjusted Schedule 1'!$E$104,0)</f>
        <v>0</v>
      </c>
      <c r="S58" s="68">
        <f t="shared" si="4"/>
        <v>0</v>
      </c>
      <c r="T58" s="304">
        <f t="shared" si="5"/>
        <v>0</v>
      </c>
      <c r="V58" s="117">
        <f>'As-Filed Schedule 2D'!N58</f>
        <v>0</v>
      </c>
      <c r="W58" s="307">
        <f>SUMIFS(Adjustments!$G:$G,Adjustments!$H:$H,"2D",Adjustments!$I:$I,'Schedule 2D Adjustments'!$V$12,Adjustments!$J:$J,'Schedule 2D Adjustments'!$A58)</f>
        <v>0</v>
      </c>
      <c r="X58" s="303">
        <f t="shared" si="6"/>
        <v>0</v>
      </c>
      <c r="Y58" s="117">
        <f>'As-Filed Schedule 2D'!O58</f>
        <v>0</v>
      </c>
      <c r="Z58" s="307">
        <f>SUMIFS(Adjustments!$G:$G,Adjustments!$H:$H,"2D",Adjustments!$I:$I,'Schedule 2D Adjustments'!$Y$12,Adjustments!$J:$J,'Schedule 2D Adjustments'!$A58)</f>
        <v>0</v>
      </c>
      <c r="AA58" s="303">
        <f t="shared" si="7"/>
        <v>0</v>
      </c>
    </row>
    <row r="59" spans="1:27" x14ac:dyDescent="0.35">
      <c r="A59" s="24">
        <v>45</v>
      </c>
      <c r="B59" s="565" t="str">
        <f>IF('As-Filed Schedule 2D'!B59:D59=0,"",'As-Filed Schedule 2D'!B59:D59)</f>
        <v/>
      </c>
      <c r="C59" s="565"/>
      <c r="D59" s="565"/>
      <c r="F59" s="114">
        <f>'As-Filed Schedule 2D'!F59</f>
        <v>0</v>
      </c>
      <c r="G59" s="307">
        <f>SUMIFS(Adjustments!$G:$G,Adjustments!$H:$H,"2D",Adjustments!$I:$I,'Schedule 2D Adjustments'!$F$12,Adjustments!$J:$J,'Schedule 2D Adjustments'!$A59)</f>
        <v>0</v>
      </c>
      <c r="H59" s="303">
        <f t="shared" si="0"/>
        <v>0</v>
      </c>
      <c r="I59" s="68">
        <f>IFERROR(F59*'As-Filed Schedule 1'!$E$103,0)</f>
        <v>0</v>
      </c>
      <c r="J59" s="304">
        <f>IFERROR(H59*'Adjusted Schedule 1'!$E$104,0)</f>
        <v>0</v>
      </c>
      <c r="K59" s="68">
        <f t="shared" si="1"/>
        <v>0</v>
      </c>
      <c r="L59" s="304">
        <f t="shared" si="2"/>
        <v>0</v>
      </c>
      <c r="N59" s="114">
        <f>'As-Filed Schedule 2D'!J59</f>
        <v>0</v>
      </c>
      <c r="O59" s="307">
        <f>SUMIFS(Adjustments!$G:$G,Adjustments!$H:$H,"2D",Adjustments!$I:$I,'Schedule 2D Adjustments'!$N$12,Adjustments!$J:$J,'Schedule 2D Adjustments'!$A59)</f>
        <v>0</v>
      </c>
      <c r="P59" s="303">
        <f t="shared" si="3"/>
        <v>0</v>
      </c>
      <c r="Q59" s="68">
        <f>IFERROR(N59*'As-Filed Schedule 1'!$E$103,0)</f>
        <v>0</v>
      </c>
      <c r="R59" s="68">
        <f>IFERROR(P59*'Adjusted Schedule 1'!$E$104,0)</f>
        <v>0</v>
      </c>
      <c r="S59" s="68">
        <f t="shared" si="4"/>
        <v>0</v>
      </c>
      <c r="T59" s="304">
        <f t="shared" si="5"/>
        <v>0</v>
      </c>
      <c r="V59" s="117">
        <f>'As-Filed Schedule 2D'!N59</f>
        <v>0</v>
      </c>
      <c r="W59" s="307">
        <f>SUMIFS(Adjustments!$G:$G,Adjustments!$H:$H,"2D",Adjustments!$I:$I,'Schedule 2D Adjustments'!$V$12,Adjustments!$J:$J,'Schedule 2D Adjustments'!$A59)</f>
        <v>0</v>
      </c>
      <c r="X59" s="303">
        <f t="shared" si="6"/>
        <v>0</v>
      </c>
      <c r="Y59" s="117">
        <f>'As-Filed Schedule 2D'!O59</f>
        <v>0</v>
      </c>
      <c r="Z59" s="307">
        <f>SUMIFS(Adjustments!$G:$G,Adjustments!$H:$H,"2D",Adjustments!$I:$I,'Schedule 2D Adjustments'!$Y$12,Adjustments!$J:$J,'Schedule 2D Adjustments'!$A59)</f>
        <v>0</v>
      </c>
      <c r="AA59" s="303">
        <f t="shared" si="7"/>
        <v>0</v>
      </c>
    </row>
    <row r="60" spans="1:27" x14ac:dyDescent="0.35">
      <c r="A60" s="24">
        <v>46</v>
      </c>
      <c r="B60" s="565" t="str">
        <f>IF('As-Filed Schedule 2D'!B60:D60=0,"",'As-Filed Schedule 2D'!B60:D60)</f>
        <v/>
      </c>
      <c r="C60" s="565"/>
      <c r="D60" s="565"/>
      <c r="F60" s="114">
        <f>'As-Filed Schedule 2D'!F60</f>
        <v>0</v>
      </c>
      <c r="G60" s="307">
        <f>SUMIFS(Adjustments!$G:$G,Adjustments!$H:$H,"2D",Adjustments!$I:$I,'Schedule 2D Adjustments'!$F$12,Adjustments!$J:$J,'Schedule 2D Adjustments'!$A60)</f>
        <v>0</v>
      </c>
      <c r="H60" s="303">
        <f t="shared" si="0"/>
        <v>0</v>
      </c>
      <c r="I60" s="68">
        <f>IFERROR(F60*'As-Filed Schedule 1'!$E$103,0)</f>
        <v>0</v>
      </c>
      <c r="J60" s="304">
        <f>IFERROR(H60*'Adjusted Schedule 1'!$E$104,0)</f>
        <v>0</v>
      </c>
      <c r="K60" s="68">
        <f t="shared" si="1"/>
        <v>0</v>
      </c>
      <c r="L60" s="304">
        <f t="shared" si="2"/>
        <v>0</v>
      </c>
      <c r="N60" s="114">
        <f>'As-Filed Schedule 2D'!J60</f>
        <v>0</v>
      </c>
      <c r="O60" s="307">
        <f>SUMIFS(Adjustments!$G:$G,Adjustments!$H:$H,"2D",Adjustments!$I:$I,'Schedule 2D Adjustments'!$N$12,Adjustments!$J:$J,'Schedule 2D Adjustments'!$A60)</f>
        <v>0</v>
      </c>
      <c r="P60" s="303">
        <f t="shared" si="3"/>
        <v>0</v>
      </c>
      <c r="Q60" s="68">
        <f>IFERROR(N60*'As-Filed Schedule 1'!$E$103,0)</f>
        <v>0</v>
      </c>
      <c r="R60" s="68">
        <f>IFERROR(P60*'Adjusted Schedule 1'!$E$104,0)</f>
        <v>0</v>
      </c>
      <c r="S60" s="68">
        <f t="shared" si="4"/>
        <v>0</v>
      </c>
      <c r="T60" s="304">
        <f t="shared" si="5"/>
        <v>0</v>
      </c>
      <c r="V60" s="117">
        <f>'As-Filed Schedule 2D'!N60</f>
        <v>0</v>
      </c>
      <c r="W60" s="307">
        <f>SUMIFS(Adjustments!$G:$G,Adjustments!$H:$H,"2D",Adjustments!$I:$I,'Schedule 2D Adjustments'!$V$12,Adjustments!$J:$J,'Schedule 2D Adjustments'!$A60)</f>
        <v>0</v>
      </c>
      <c r="X60" s="303">
        <f t="shared" si="6"/>
        <v>0</v>
      </c>
      <c r="Y60" s="117">
        <f>'As-Filed Schedule 2D'!O60</f>
        <v>0</v>
      </c>
      <c r="Z60" s="307">
        <f>SUMIFS(Adjustments!$G:$G,Adjustments!$H:$H,"2D",Adjustments!$I:$I,'Schedule 2D Adjustments'!$Y$12,Adjustments!$J:$J,'Schedule 2D Adjustments'!$A60)</f>
        <v>0</v>
      </c>
      <c r="AA60" s="303">
        <f t="shared" si="7"/>
        <v>0</v>
      </c>
    </row>
    <row r="61" spans="1:27" x14ac:dyDescent="0.35">
      <c r="A61" s="24">
        <v>47</v>
      </c>
      <c r="B61" s="565" t="str">
        <f>IF('As-Filed Schedule 2D'!B61:D61=0,"",'As-Filed Schedule 2D'!B61:D61)</f>
        <v/>
      </c>
      <c r="C61" s="565"/>
      <c r="D61" s="565"/>
      <c r="F61" s="114">
        <f>'As-Filed Schedule 2D'!F61</f>
        <v>0</v>
      </c>
      <c r="G61" s="307">
        <f>SUMIFS(Adjustments!$G:$G,Adjustments!$H:$H,"2D",Adjustments!$I:$I,'Schedule 2D Adjustments'!$F$12,Adjustments!$J:$J,'Schedule 2D Adjustments'!$A61)</f>
        <v>0</v>
      </c>
      <c r="H61" s="303">
        <f t="shared" si="0"/>
        <v>0</v>
      </c>
      <c r="I61" s="68">
        <f>IFERROR(F61*'As-Filed Schedule 1'!$E$103,0)</f>
        <v>0</v>
      </c>
      <c r="J61" s="304">
        <f>IFERROR(H61*'Adjusted Schedule 1'!$E$104,0)</f>
        <v>0</v>
      </c>
      <c r="K61" s="68">
        <f t="shared" si="1"/>
        <v>0</v>
      </c>
      <c r="L61" s="304">
        <f t="shared" si="2"/>
        <v>0</v>
      </c>
      <c r="N61" s="114">
        <f>'As-Filed Schedule 2D'!J61</f>
        <v>0</v>
      </c>
      <c r="O61" s="307">
        <f>SUMIFS(Adjustments!$G:$G,Adjustments!$H:$H,"2D",Adjustments!$I:$I,'Schedule 2D Adjustments'!$N$12,Adjustments!$J:$J,'Schedule 2D Adjustments'!$A61)</f>
        <v>0</v>
      </c>
      <c r="P61" s="303">
        <f t="shared" si="3"/>
        <v>0</v>
      </c>
      <c r="Q61" s="68">
        <f>IFERROR(N61*'As-Filed Schedule 1'!$E$103,0)</f>
        <v>0</v>
      </c>
      <c r="R61" s="68">
        <f>IFERROR(P61*'Adjusted Schedule 1'!$E$104,0)</f>
        <v>0</v>
      </c>
      <c r="S61" s="68">
        <f t="shared" si="4"/>
        <v>0</v>
      </c>
      <c r="T61" s="304">
        <f t="shared" si="5"/>
        <v>0</v>
      </c>
      <c r="V61" s="117">
        <f>'As-Filed Schedule 2D'!N61</f>
        <v>0</v>
      </c>
      <c r="W61" s="307">
        <f>SUMIFS(Adjustments!$G:$G,Adjustments!$H:$H,"2D",Adjustments!$I:$I,'Schedule 2D Adjustments'!$V$12,Adjustments!$J:$J,'Schedule 2D Adjustments'!$A61)</f>
        <v>0</v>
      </c>
      <c r="X61" s="303">
        <f t="shared" si="6"/>
        <v>0</v>
      </c>
      <c r="Y61" s="117">
        <f>'As-Filed Schedule 2D'!O61</f>
        <v>0</v>
      </c>
      <c r="Z61" s="307">
        <f>SUMIFS(Adjustments!$G:$G,Adjustments!$H:$H,"2D",Adjustments!$I:$I,'Schedule 2D Adjustments'!$Y$12,Adjustments!$J:$J,'Schedule 2D Adjustments'!$A61)</f>
        <v>0</v>
      </c>
      <c r="AA61" s="303">
        <f t="shared" si="7"/>
        <v>0</v>
      </c>
    </row>
    <row r="62" spans="1:27" x14ac:dyDescent="0.35">
      <c r="A62" s="24">
        <v>48</v>
      </c>
      <c r="B62" s="565" t="str">
        <f>IF('As-Filed Schedule 2D'!B62:D62=0,"",'As-Filed Schedule 2D'!B62:D62)</f>
        <v/>
      </c>
      <c r="C62" s="565"/>
      <c r="D62" s="565"/>
      <c r="F62" s="114">
        <f>'As-Filed Schedule 2D'!F62</f>
        <v>0</v>
      </c>
      <c r="G62" s="307">
        <f>SUMIFS(Adjustments!$G:$G,Adjustments!$H:$H,"2D",Adjustments!$I:$I,'Schedule 2D Adjustments'!$F$12,Adjustments!$J:$J,'Schedule 2D Adjustments'!$A62)</f>
        <v>0</v>
      </c>
      <c r="H62" s="303">
        <f t="shared" si="0"/>
        <v>0</v>
      </c>
      <c r="I62" s="68">
        <f>IFERROR(F62*'As-Filed Schedule 1'!$E$103,0)</f>
        <v>0</v>
      </c>
      <c r="J62" s="304">
        <f>IFERROR(H62*'Adjusted Schedule 1'!$E$104,0)</f>
        <v>0</v>
      </c>
      <c r="K62" s="68">
        <f t="shared" si="1"/>
        <v>0</v>
      </c>
      <c r="L62" s="304">
        <f t="shared" si="2"/>
        <v>0</v>
      </c>
      <c r="N62" s="114">
        <f>'As-Filed Schedule 2D'!J62</f>
        <v>0</v>
      </c>
      <c r="O62" s="307">
        <f>SUMIFS(Adjustments!$G:$G,Adjustments!$H:$H,"2D",Adjustments!$I:$I,'Schedule 2D Adjustments'!$N$12,Adjustments!$J:$J,'Schedule 2D Adjustments'!$A62)</f>
        <v>0</v>
      </c>
      <c r="P62" s="303">
        <f t="shared" si="3"/>
        <v>0</v>
      </c>
      <c r="Q62" s="68">
        <f>IFERROR(N62*'As-Filed Schedule 1'!$E$103,0)</f>
        <v>0</v>
      </c>
      <c r="R62" s="68">
        <f>IFERROR(P62*'Adjusted Schedule 1'!$E$104,0)</f>
        <v>0</v>
      </c>
      <c r="S62" s="68">
        <f t="shared" si="4"/>
        <v>0</v>
      </c>
      <c r="T62" s="304">
        <f t="shared" si="5"/>
        <v>0</v>
      </c>
      <c r="V62" s="117">
        <f>'As-Filed Schedule 2D'!N62</f>
        <v>0</v>
      </c>
      <c r="W62" s="307">
        <f>SUMIFS(Adjustments!$G:$G,Adjustments!$H:$H,"2D",Adjustments!$I:$I,'Schedule 2D Adjustments'!$V$12,Adjustments!$J:$J,'Schedule 2D Adjustments'!$A62)</f>
        <v>0</v>
      </c>
      <c r="X62" s="303">
        <f t="shared" si="6"/>
        <v>0</v>
      </c>
      <c r="Y62" s="117">
        <f>'As-Filed Schedule 2D'!O62</f>
        <v>0</v>
      </c>
      <c r="Z62" s="307">
        <f>SUMIFS(Adjustments!$G:$G,Adjustments!$H:$H,"2D",Adjustments!$I:$I,'Schedule 2D Adjustments'!$Y$12,Adjustments!$J:$J,'Schedule 2D Adjustments'!$A62)</f>
        <v>0</v>
      </c>
      <c r="AA62" s="303">
        <f t="shared" si="7"/>
        <v>0</v>
      </c>
    </row>
    <row r="63" spans="1:27" x14ac:dyDescent="0.35">
      <c r="A63" s="24">
        <v>49</v>
      </c>
      <c r="B63" s="565" t="str">
        <f>IF('As-Filed Schedule 2D'!B63:D63=0,"",'As-Filed Schedule 2D'!B63:D63)</f>
        <v/>
      </c>
      <c r="C63" s="565"/>
      <c r="D63" s="565"/>
      <c r="F63" s="114">
        <f>'As-Filed Schedule 2D'!F63</f>
        <v>0</v>
      </c>
      <c r="G63" s="307">
        <f>SUMIFS(Adjustments!$G:$G,Adjustments!$H:$H,"2D",Adjustments!$I:$I,'Schedule 2D Adjustments'!$F$12,Adjustments!$J:$J,'Schedule 2D Adjustments'!$A63)</f>
        <v>0</v>
      </c>
      <c r="H63" s="303">
        <f t="shared" si="0"/>
        <v>0</v>
      </c>
      <c r="I63" s="68">
        <f>IFERROR(F63*'As-Filed Schedule 1'!$E$103,0)</f>
        <v>0</v>
      </c>
      <c r="J63" s="304">
        <f>IFERROR(H63*'Adjusted Schedule 1'!$E$104,0)</f>
        <v>0</v>
      </c>
      <c r="K63" s="68">
        <f t="shared" si="1"/>
        <v>0</v>
      </c>
      <c r="L63" s="304">
        <f t="shared" si="2"/>
        <v>0</v>
      </c>
      <c r="N63" s="114">
        <f>'As-Filed Schedule 2D'!J63</f>
        <v>0</v>
      </c>
      <c r="O63" s="307">
        <f>SUMIFS(Adjustments!$G:$G,Adjustments!$H:$H,"2D",Adjustments!$I:$I,'Schedule 2D Adjustments'!$N$12,Adjustments!$J:$J,'Schedule 2D Adjustments'!$A63)</f>
        <v>0</v>
      </c>
      <c r="P63" s="303">
        <f t="shared" si="3"/>
        <v>0</v>
      </c>
      <c r="Q63" s="68">
        <f>IFERROR(N63*'As-Filed Schedule 1'!$E$103,0)</f>
        <v>0</v>
      </c>
      <c r="R63" s="68">
        <f>IFERROR(P63*'Adjusted Schedule 1'!$E$104,0)</f>
        <v>0</v>
      </c>
      <c r="S63" s="68">
        <f t="shared" si="4"/>
        <v>0</v>
      </c>
      <c r="T63" s="304">
        <f t="shared" si="5"/>
        <v>0</v>
      </c>
      <c r="V63" s="117">
        <f>'As-Filed Schedule 2D'!N63</f>
        <v>0</v>
      </c>
      <c r="W63" s="307">
        <f>SUMIFS(Adjustments!$G:$G,Adjustments!$H:$H,"2D",Adjustments!$I:$I,'Schedule 2D Adjustments'!$V$12,Adjustments!$J:$J,'Schedule 2D Adjustments'!$A63)</f>
        <v>0</v>
      </c>
      <c r="X63" s="303">
        <f t="shared" si="6"/>
        <v>0</v>
      </c>
      <c r="Y63" s="117">
        <f>'As-Filed Schedule 2D'!O63</f>
        <v>0</v>
      </c>
      <c r="Z63" s="307">
        <f>SUMIFS(Adjustments!$G:$G,Adjustments!$H:$H,"2D",Adjustments!$I:$I,'Schedule 2D Adjustments'!$Y$12,Adjustments!$J:$J,'Schedule 2D Adjustments'!$A63)</f>
        <v>0</v>
      </c>
      <c r="AA63" s="303">
        <f t="shared" si="7"/>
        <v>0</v>
      </c>
    </row>
    <row r="64" spans="1:27" x14ac:dyDescent="0.35">
      <c r="A64" s="24">
        <v>50</v>
      </c>
      <c r="B64" s="565" t="str">
        <f>IF('As-Filed Schedule 2D'!B64:D64=0,"",'As-Filed Schedule 2D'!B64:D64)</f>
        <v/>
      </c>
      <c r="C64" s="565"/>
      <c r="D64" s="565"/>
      <c r="F64" s="114">
        <f>'As-Filed Schedule 2D'!F64</f>
        <v>0</v>
      </c>
      <c r="G64" s="307">
        <f>SUMIFS(Adjustments!$G:$G,Adjustments!$H:$H,"2D",Adjustments!$I:$I,'Schedule 2D Adjustments'!$F$12,Adjustments!$J:$J,'Schedule 2D Adjustments'!$A64)</f>
        <v>0</v>
      </c>
      <c r="H64" s="303">
        <f t="shared" si="0"/>
        <v>0</v>
      </c>
      <c r="I64" s="68">
        <f>IFERROR(F64*'As-Filed Schedule 1'!$E$103,0)</f>
        <v>0</v>
      </c>
      <c r="J64" s="304">
        <f>IFERROR(H64*'Adjusted Schedule 1'!$E$104,0)</f>
        <v>0</v>
      </c>
      <c r="K64" s="68">
        <f t="shared" si="1"/>
        <v>0</v>
      </c>
      <c r="L64" s="304">
        <f t="shared" si="2"/>
        <v>0</v>
      </c>
      <c r="N64" s="114">
        <f>'As-Filed Schedule 2D'!J64</f>
        <v>0</v>
      </c>
      <c r="O64" s="307">
        <f>SUMIFS(Adjustments!$G:$G,Adjustments!$H:$H,"2D",Adjustments!$I:$I,'Schedule 2D Adjustments'!$N$12,Adjustments!$J:$J,'Schedule 2D Adjustments'!$A64)</f>
        <v>0</v>
      </c>
      <c r="P64" s="303">
        <f t="shared" si="3"/>
        <v>0</v>
      </c>
      <c r="Q64" s="68">
        <f>IFERROR(N64*'As-Filed Schedule 1'!$E$103,0)</f>
        <v>0</v>
      </c>
      <c r="R64" s="68">
        <f>IFERROR(P64*'Adjusted Schedule 1'!$E$104,0)</f>
        <v>0</v>
      </c>
      <c r="S64" s="68">
        <f t="shared" si="4"/>
        <v>0</v>
      </c>
      <c r="T64" s="304">
        <f t="shared" si="5"/>
        <v>0</v>
      </c>
      <c r="V64" s="117">
        <f>'As-Filed Schedule 2D'!N64</f>
        <v>0</v>
      </c>
      <c r="W64" s="307">
        <f>SUMIFS(Adjustments!$G:$G,Adjustments!$H:$H,"2D",Adjustments!$I:$I,'Schedule 2D Adjustments'!$V$12,Adjustments!$J:$J,'Schedule 2D Adjustments'!$A64)</f>
        <v>0</v>
      </c>
      <c r="X64" s="303">
        <f t="shared" si="6"/>
        <v>0</v>
      </c>
      <c r="Y64" s="117">
        <f>'As-Filed Schedule 2D'!O64</f>
        <v>0</v>
      </c>
      <c r="Z64" s="307">
        <f>SUMIFS(Adjustments!$G:$G,Adjustments!$H:$H,"2D",Adjustments!$I:$I,'Schedule 2D Adjustments'!$Y$12,Adjustments!$J:$J,'Schedule 2D Adjustments'!$A64)</f>
        <v>0</v>
      </c>
      <c r="AA64" s="303">
        <f t="shared" si="7"/>
        <v>0</v>
      </c>
    </row>
    <row r="65" spans="1:27" x14ac:dyDescent="0.35">
      <c r="A65" s="24">
        <v>51</v>
      </c>
      <c r="B65" s="565" t="str">
        <f>IF('As-Filed Schedule 2D'!B65:D65=0,"",'As-Filed Schedule 2D'!B65:D65)</f>
        <v/>
      </c>
      <c r="C65" s="565"/>
      <c r="D65" s="565"/>
      <c r="F65" s="114">
        <f>'As-Filed Schedule 2D'!F65</f>
        <v>0</v>
      </c>
      <c r="G65" s="307">
        <f>SUMIFS(Adjustments!$G:$G,Adjustments!$H:$H,"2D",Adjustments!$I:$I,'Schedule 2D Adjustments'!$F$12,Adjustments!$J:$J,'Schedule 2D Adjustments'!$A65)</f>
        <v>0</v>
      </c>
      <c r="H65" s="303">
        <f t="shared" si="0"/>
        <v>0</v>
      </c>
      <c r="I65" s="68">
        <f>IFERROR(F65*'As-Filed Schedule 1'!$E$103,0)</f>
        <v>0</v>
      </c>
      <c r="J65" s="304">
        <f>IFERROR(H65*'Adjusted Schedule 1'!$E$104,0)</f>
        <v>0</v>
      </c>
      <c r="K65" s="68">
        <f t="shared" si="1"/>
        <v>0</v>
      </c>
      <c r="L65" s="304">
        <f t="shared" si="2"/>
        <v>0</v>
      </c>
      <c r="N65" s="114">
        <f>'As-Filed Schedule 2D'!J65</f>
        <v>0</v>
      </c>
      <c r="O65" s="307">
        <f>SUMIFS(Adjustments!$G:$G,Adjustments!$H:$H,"2D",Adjustments!$I:$I,'Schedule 2D Adjustments'!$N$12,Adjustments!$J:$J,'Schedule 2D Adjustments'!$A65)</f>
        <v>0</v>
      </c>
      <c r="P65" s="303">
        <f t="shared" si="3"/>
        <v>0</v>
      </c>
      <c r="Q65" s="68">
        <f>IFERROR(N65*'As-Filed Schedule 1'!$E$103,0)</f>
        <v>0</v>
      </c>
      <c r="R65" s="68">
        <f>IFERROR(P65*'Adjusted Schedule 1'!$E$104,0)</f>
        <v>0</v>
      </c>
      <c r="S65" s="68">
        <f t="shared" si="4"/>
        <v>0</v>
      </c>
      <c r="T65" s="304">
        <f t="shared" si="5"/>
        <v>0</v>
      </c>
      <c r="V65" s="117">
        <f>'As-Filed Schedule 2D'!N65</f>
        <v>0</v>
      </c>
      <c r="W65" s="307">
        <f>SUMIFS(Adjustments!$G:$G,Adjustments!$H:$H,"2D",Adjustments!$I:$I,'Schedule 2D Adjustments'!$V$12,Adjustments!$J:$J,'Schedule 2D Adjustments'!$A65)</f>
        <v>0</v>
      </c>
      <c r="X65" s="303">
        <f t="shared" si="6"/>
        <v>0</v>
      </c>
      <c r="Y65" s="117">
        <f>'As-Filed Schedule 2D'!O65</f>
        <v>0</v>
      </c>
      <c r="Z65" s="307">
        <f>SUMIFS(Adjustments!$G:$G,Adjustments!$H:$H,"2D",Adjustments!$I:$I,'Schedule 2D Adjustments'!$Y$12,Adjustments!$J:$J,'Schedule 2D Adjustments'!$A65)</f>
        <v>0</v>
      </c>
      <c r="AA65" s="303">
        <f t="shared" si="7"/>
        <v>0</v>
      </c>
    </row>
    <row r="66" spans="1:27" x14ac:dyDescent="0.35">
      <c r="A66" s="24">
        <v>52</v>
      </c>
      <c r="B66" s="565" t="str">
        <f>IF('As-Filed Schedule 2D'!B66:D66=0,"",'As-Filed Schedule 2D'!B66:D66)</f>
        <v/>
      </c>
      <c r="C66" s="565"/>
      <c r="D66" s="565"/>
      <c r="F66" s="114">
        <f>'As-Filed Schedule 2D'!F66</f>
        <v>0</v>
      </c>
      <c r="G66" s="307">
        <f>SUMIFS(Adjustments!$G:$G,Adjustments!$H:$H,"2D",Adjustments!$I:$I,'Schedule 2D Adjustments'!$F$12,Adjustments!$J:$J,'Schedule 2D Adjustments'!$A66)</f>
        <v>0</v>
      </c>
      <c r="H66" s="303">
        <f t="shared" si="0"/>
        <v>0</v>
      </c>
      <c r="I66" s="68">
        <f>IFERROR(F66*'As-Filed Schedule 1'!$E$103,0)</f>
        <v>0</v>
      </c>
      <c r="J66" s="304">
        <f>IFERROR(H66*'Adjusted Schedule 1'!$E$104,0)</f>
        <v>0</v>
      </c>
      <c r="K66" s="68">
        <f t="shared" si="1"/>
        <v>0</v>
      </c>
      <c r="L66" s="304">
        <f t="shared" si="2"/>
        <v>0</v>
      </c>
      <c r="N66" s="114">
        <f>'As-Filed Schedule 2D'!J66</f>
        <v>0</v>
      </c>
      <c r="O66" s="307">
        <f>SUMIFS(Adjustments!$G:$G,Adjustments!$H:$H,"2D",Adjustments!$I:$I,'Schedule 2D Adjustments'!$N$12,Adjustments!$J:$J,'Schedule 2D Adjustments'!$A66)</f>
        <v>0</v>
      </c>
      <c r="P66" s="303">
        <f t="shared" si="3"/>
        <v>0</v>
      </c>
      <c r="Q66" s="68">
        <f>IFERROR(N66*'As-Filed Schedule 1'!$E$103,0)</f>
        <v>0</v>
      </c>
      <c r="R66" s="68">
        <f>IFERROR(P66*'Adjusted Schedule 1'!$E$104,0)</f>
        <v>0</v>
      </c>
      <c r="S66" s="68">
        <f t="shared" si="4"/>
        <v>0</v>
      </c>
      <c r="T66" s="304">
        <f t="shared" si="5"/>
        <v>0</v>
      </c>
      <c r="V66" s="117">
        <f>'As-Filed Schedule 2D'!N66</f>
        <v>0</v>
      </c>
      <c r="W66" s="307">
        <f>SUMIFS(Adjustments!$G:$G,Adjustments!$H:$H,"2D",Adjustments!$I:$I,'Schedule 2D Adjustments'!$V$12,Adjustments!$J:$J,'Schedule 2D Adjustments'!$A66)</f>
        <v>0</v>
      </c>
      <c r="X66" s="303">
        <f t="shared" si="6"/>
        <v>0</v>
      </c>
      <c r="Y66" s="117">
        <f>'As-Filed Schedule 2D'!O66</f>
        <v>0</v>
      </c>
      <c r="Z66" s="307">
        <f>SUMIFS(Adjustments!$G:$G,Adjustments!$H:$H,"2D",Adjustments!$I:$I,'Schedule 2D Adjustments'!$Y$12,Adjustments!$J:$J,'Schedule 2D Adjustments'!$A66)</f>
        <v>0</v>
      </c>
      <c r="AA66" s="303">
        <f t="shared" si="7"/>
        <v>0</v>
      </c>
    </row>
    <row r="67" spans="1:27" x14ac:dyDescent="0.35">
      <c r="A67" s="24">
        <v>53</v>
      </c>
      <c r="B67" s="565" t="str">
        <f>IF('As-Filed Schedule 2D'!B67:D67=0,"",'As-Filed Schedule 2D'!B67:D67)</f>
        <v/>
      </c>
      <c r="C67" s="565"/>
      <c r="D67" s="565"/>
      <c r="F67" s="114">
        <f>'As-Filed Schedule 2D'!F67</f>
        <v>0</v>
      </c>
      <c r="G67" s="307">
        <f>SUMIFS(Adjustments!$G:$G,Adjustments!$H:$H,"2D",Adjustments!$I:$I,'Schedule 2D Adjustments'!$F$12,Adjustments!$J:$J,'Schedule 2D Adjustments'!$A67)</f>
        <v>0</v>
      </c>
      <c r="H67" s="303">
        <f t="shared" si="0"/>
        <v>0</v>
      </c>
      <c r="I67" s="68">
        <f>IFERROR(F67*'As-Filed Schedule 1'!$E$103,0)</f>
        <v>0</v>
      </c>
      <c r="J67" s="304">
        <f>IFERROR(H67*'Adjusted Schedule 1'!$E$104,0)</f>
        <v>0</v>
      </c>
      <c r="K67" s="68">
        <f t="shared" si="1"/>
        <v>0</v>
      </c>
      <c r="L67" s="304">
        <f t="shared" si="2"/>
        <v>0</v>
      </c>
      <c r="N67" s="114">
        <f>'As-Filed Schedule 2D'!J67</f>
        <v>0</v>
      </c>
      <c r="O67" s="307">
        <f>SUMIFS(Adjustments!$G:$G,Adjustments!$H:$H,"2D",Adjustments!$I:$I,'Schedule 2D Adjustments'!$N$12,Adjustments!$J:$J,'Schedule 2D Adjustments'!$A67)</f>
        <v>0</v>
      </c>
      <c r="P67" s="303">
        <f t="shared" si="3"/>
        <v>0</v>
      </c>
      <c r="Q67" s="68">
        <f>IFERROR(N67*'As-Filed Schedule 1'!$E$103,0)</f>
        <v>0</v>
      </c>
      <c r="R67" s="68">
        <f>IFERROR(P67*'Adjusted Schedule 1'!$E$104,0)</f>
        <v>0</v>
      </c>
      <c r="S67" s="68">
        <f t="shared" si="4"/>
        <v>0</v>
      </c>
      <c r="T67" s="304">
        <f t="shared" si="5"/>
        <v>0</v>
      </c>
      <c r="V67" s="117">
        <f>'As-Filed Schedule 2D'!N67</f>
        <v>0</v>
      </c>
      <c r="W67" s="307">
        <f>SUMIFS(Adjustments!$G:$G,Adjustments!$H:$H,"2D",Adjustments!$I:$I,'Schedule 2D Adjustments'!$V$12,Adjustments!$J:$J,'Schedule 2D Adjustments'!$A67)</f>
        <v>0</v>
      </c>
      <c r="X67" s="303">
        <f t="shared" si="6"/>
        <v>0</v>
      </c>
      <c r="Y67" s="117">
        <f>'As-Filed Schedule 2D'!O67</f>
        <v>0</v>
      </c>
      <c r="Z67" s="307">
        <f>SUMIFS(Adjustments!$G:$G,Adjustments!$H:$H,"2D",Adjustments!$I:$I,'Schedule 2D Adjustments'!$Y$12,Adjustments!$J:$J,'Schedule 2D Adjustments'!$A67)</f>
        <v>0</v>
      </c>
      <c r="AA67" s="303">
        <f t="shared" si="7"/>
        <v>0</v>
      </c>
    </row>
    <row r="68" spans="1:27" x14ac:dyDescent="0.35">
      <c r="A68" s="24">
        <v>54</v>
      </c>
      <c r="B68" s="565" t="str">
        <f>IF('As-Filed Schedule 2D'!B68:D68=0,"",'As-Filed Schedule 2D'!B68:D68)</f>
        <v/>
      </c>
      <c r="C68" s="565"/>
      <c r="D68" s="565"/>
      <c r="F68" s="114">
        <f>'As-Filed Schedule 2D'!F68</f>
        <v>0</v>
      </c>
      <c r="G68" s="307">
        <f>SUMIFS(Adjustments!$G:$G,Adjustments!$H:$H,"2D",Adjustments!$I:$I,'Schedule 2D Adjustments'!$F$12,Adjustments!$J:$J,'Schedule 2D Adjustments'!$A68)</f>
        <v>0</v>
      </c>
      <c r="H68" s="303">
        <f t="shared" si="0"/>
        <v>0</v>
      </c>
      <c r="I68" s="68">
        <f>IFERROR(F68*'As-Filed Schedule 1'!$E$103,0)</f>
        <v>0</v>
      </c>
      <c r="J68" s="304">
        <f>IFERROR(H68*'Adjusted Schedule 1'!$E$104,0)</f>
        <v>0</v>
      </c>
      <c r="K68" s="68">
        <f t="shared" si="1"/>
        <v>0</v>
      </c>
      <c r="L68" s="304">
        <f t="shared" si="2"/>
        <v>0</v>
      </c>
      <c r="N68" s="114">
        <f>'As-Filed Schedule 2D'!J68</f>
        <v>0</v>
      </c>
      <c r="O68" s="307">
        <f>SUMIFS(Adjustments!$G:$G,Adjustments!$H:$H,"2D",Adjustments!$I:$I,'Schedule 2D Adjustments'!$N$12,Adjustments!$J:$J,'Schedule 2D Adjustments'!$A68)</f>
        <v>0</v>
      </c>
      <c r="P68" s="303">
        <f t="shared" si="3"/>
        <v>0</v>
      </c>
      <c r="Q68" s="68">
        <f>IFERROR(N68*'As-Filed Schedule 1'!$E$103,0)</f>
        <v>0</v>
      </c>
      <c r="R68" s="68">
        <f>IFERROR(P68*'Adjusted Schedule 1'!$E$104,0)</f>
        <v>0</v>
      </c>
      <c r="S68" s="68">
        <f t="shared" si="4"/>
        <v>0</v>
      </c>
      <c r="T68" s="304">
        <f t="shared" si="5"/>
        <v>0</v>
      </c>
      <c r="V68" s="117">
        <f>'As-Filed Schedule 2D'!N68</f>
        <v>0</v>
      </c>
      <c r="W68" s="307">
        <f>SUMIFS(Adjustments!$G:$G,Adjustments!$H:$H,"2D",Adjustments!$I:$I,'Schedule 2D Adjustments'!$V$12,Adjustments!$J:$J,'Schedule 2D Adjustments'!$A68)</f>
        <v>0</v>
      </c>
      <c r="X68" s="303">
        <f t="shared" si="6"/>
        <v>0</v>
      </c>
      <c r="Y68" s="117">
        <f>'As-Filed Schedule 2D'!O68</f>
        <v>0</v>
      </c>
      <c r="Z68" s="307">
        <f>SUMIFS(Adjustments!$G:$G,Adjustments!$H:$H,"2D",Adjustments!$I:$I,'Schedule 2D Adjustments'!$Y$12,Adjustments!$J:$J,'Schedule 2D Adjustments'!$A68)</f>
        <v>0</v>
      </c>
      <c r="AA68" s="303">
        <f t="shared" si="7"/>
        <v>0</v>
      </c>
    </row>
    <row r="69" spans="1:27" x14ac:dyDescent="0.35">
      <c r="A69" s="24">
        <v>55</v>
      </c>
      <c r="B69" s="565" t="str">
        <f>IF('As-Filed Schedule 2D'!B69:D69=0,"",'As-Filed Schedule 2D'!B69:D69)</f>
        <v/>
      </c>
      <c r="C69" s="565"/>
      <c r="D69" s="565"/>
      <c r="F69" s="114">
        <f>'As-Filed Schedule 2D'!F69</f>
        <v>0</v>
      </c>
      <c r="G69" s="307">
        <f>SUMIFS(Adjustments!$G:$G,Adjustments!$H:$H,"2D",Adjustments!$I:$I,'Schedule 2D Adjustments'!$F$12,Adjustments!$J:$J,'Schedule 2D Adjustments'!$A69)</f>
        <v>0</v>
      </c>
      <c r="H69" s="303">
        <f t="shared" si="0"/>
        <v>0</v>
      </c>
      <c r="I69" s="68">
        <f>IFERROR(F69*'As-Filed Schedule 1'!$E$103,0)</f>
        <v>0</v>
      </c>
      <c r="J69" s="304">
        <f>IFERROR(H69*'Adjusted Schedule 1'!$E$104,0)</f>
        <v>0</v>
      </c>
      <c r="K69" s="68">
        <f t="shared" si="1"/>
        <v>0</v>
      </c>
      <c r="L69" s="304">
        <f t="shared" si="2"/>
        <v>0</v>
      </c>
      <c r="N69" s="114">
        <f>'As-Filed Schedule 2D'!J69</f>
        <v>0</v>
      </c>
      <c r="O69" s="307">
        <f>SUMIFS(Adjustments!$G:$G,Adjustments!$H:$H,"2D",Adjustments!$I:$I,'Schedule 2D Adjustments'!$N$12,Adjustments!$J:$J,'Schedule 2D Adjustments'!$A69)</f>
        <v>0</v>
      </c>
      <c r="P69" s="303">
        <f t="shared" si="3"/>
        <v>0</v>
      </c>
      <c r="Q69" s="68">
        <f>IFERROR(N69*'As-Filed Schedule 1'!$E$103,0)</f>
        <v>0</v>
      </c>
      <c r="R69" s="68">
        <f>IFERROR(P69*'Adjusted Schedule 1'!$E$104,0)</f>
        <v>0</v>
      </c>
      <c r="S69" s="68">
        <f t="shared" si="4"/>
        <v>0</v>
      </c>
      <c r="T69" s="304">
        <f t="shared" si="5"/>
        <v>0</v>
      </c>
      <c r="V69" s="117">
        <f>'As-Filed Schedule 2D'!N69</f>
        <v>0</v>
      </c>
      <c r="W69" s="307">
        <f>SUMIFS(Adjustments!$G:$G,Adjustments!$H:$H,"2D",Adjustments!$I:$I,'Schedule 2D Adjustments'!$V$12,Adjustments!$J:$J,'Schedule 2D Adjustments'!$A69)</f>
        <v>0</v>
      </c>
      <c r="X69" s="303">
        <f t="shared" si="6"/>
        <v>0</v>
      </c>
      <c r="Y69" s="117">
        <f>'As-Filed Schedule 2D'!O69</f>
        <v>0</v>
      </c>
      <c r="Z69" s="307">
        <f>SUMIFS(Adjustments!$G:$G,Adjustments!$H:$H,"2D",Adjustments!$I:$I,'Schedule 2D Adjustments'!$Y$12,Adjustments!$J:$J,'Schedule 2D Adjustments'!$A69)</f>
        <v>0</v>
      </c>
      <c r="AA69" s="303">
        <f t="shared" si="7"/>
        <v>0</v>
      </c>
    </row>
    <row r="70" spans="1:27" x14ac:dyDescent="0.35">
      <c r="A70" s="24">
        <v>56</v>
      </c>
      <c r="B70" s="565" t="str">
        <f>IF('As-Filed Schedule 2D'!B70:D70=0,"",'As-Filed Schedule 2D'!B70:D70)</f>
        <v/>
      </c>
      <c r="C70" s="565"/>
      <c r="D70" s="565"/>
      <c r="F70" s="114">
        <f>'As-Filed Schedule 2D'!F70</f>
        <v>0</v>
      </c>
      <c r="G70" s="307">
        <f>SUMIFS(Adjustments!$G:$G,Adjustments!$H:$H,"2D",Adjustments!$I:$I,'Schedule 2D Adjustments'!$F$12,Adjustments!$J:$J,'Schedule 2D Adjustments'!$A70)</f>
        <v>0</v>
      </c>
      <c r="H70" s="303">
        <f t="shared" si="0"/>
        <v>0</v>
      </c>
      <c r="I70" s="68">
        <f>IFERROR(F70*'As-Filed Schedule 1'!$E$103,0)</f>
        <v>0</v>
      </c>
      <c r="J70" s="304">
        <f>IFERROR(H70*'Adjusted Schedule 1'!$E$104,0)</f>
        <v>0</v>
      </c>
      <c r="K70" s="68">
        <f t="shared" si="1"/>
        <v>0</v>
      </c>
      <c r="L70" s="304">
        <f t="shared" si="2"/>
        <v>0</v>
      </c>
      <c r="N70" s="114">
        <f>'As-Filed Schedule 2D'!J70</f>
        <v>0</v>
      </c>
      <c r="O70" s="307">
        <f>SUMIFS(Adjustments!$G:$G,Adjustments!$H:$H,"2D",Adjustments!$I:$I,'Schedule 2D Adjustments'!$N$12,Adjustments!$J:$J,'Schedule 2D Adjustments'!$A70)</f>
        <v>0</v>
      </c>
      <c r="P70" s="303">
        <f t="shared" si="3"/>
        <v>0</v>
      </c>
      <c r="Q70" s="68">
        <f>IFERROR(N70*'As-Filed Schedule 1'!$E$103,0)</f>
        <v>0</v>
      </c>
      <c r="R70" s="68">
        <f>IFERROR(P70*'Adjusted Schedule 1'!$E$104,0)</f>
        <v>0</v>
      </c>
      <c r="S70" s="68">
        <f t="shared" si="4"/>
        <v>0</v>
      </c>
      <c r="T70" s="304">
        <f t="shared" si="5"/>
        <v>0</v>
      </c>
      <c r="V70" s="117">
        <f>'As-Filed Schedule 2D'!N70</f>
        <v>0</v>
      </c>
      <c r="W70" s="307">
        <f>SUMIFS(Adjustments!$G:$G,Adjustments!$H:$H,"2D",Adjustments!$I:$I,'Schedule 2D Adjustments'!$V$12,Adjustments!$J:$J,'Schedule 2D Adjustments'!$A70)</f>
        <v>0</v>
      </c>
      <c r="X70" s="303">
        <f t="shared" si="6"/>
        <v>0</v>
      </c>
      <c r="Y70" s="117">
        <f>'As-Filed Schedule 2D'!O70</f>
        <v>0</v>
      </c>
      <c r="Z70" s="307">
        <f>SUMIFS(Adjustments!$G:$G,Adjustments!$H:$H,"2D",Adjustments!$I:$I,'Schedule 2D Adjustments'!$Y$12,Adjustments!$J:$J,'Schedule 2D Adjustments'!$A70)</f>
        <v>0</v>
      </c>
      <c r="AA70" s="303">
        <f t="shared" si="7"/>
        <v>0</v>
      </c>
    </row>
    <row r="71" spans="1:27" x14ac:dyDescent="0.35">
      <c r="A71" s="24">
        <v>57</v>
      </c>
      <c r="B71" s="565" t="str">
        <f>IF('As-Filed Schedule 2D'!B71:D71=0,"",'As-Filed Schedule 2D'!B71:D71)</f>
        <v/>
      </c>
      <c r="C71" s="565"/>
      <c r="D71" s="565"/>
      <c r="F71" s="114">
        <f>'As-Filed Schedule 2D'!F71</f>
        <v>0</v>
      </c>
      <c r="G71" s="307">
        <f>SUMIFS(Adjustments!$G:$G,Adjustments!$H:$H,"2D",Adjustments!$I:$I,'Schedule 2D Adjustments'!$F$12,Adjustments!$J:$J,'Schedule 2D Adjustments'!$A71)</f>
        <v>0</v>
      </c>
      <c r="H71" s="303">
        <f t="shared" si="0"/>
        <v>0</v>
      </c>
      <c r="I71" s="68">
        <f>IFERROR(F71*'As-Filed Schedule 1'!$E$103,0)</f>
        <v>0</v>
      </c>
      <c r="J71" s="304">
        <f>IFERROR(H71*'Adjusted Schedule 1'!$E$104,0)</f>
        <v>0</v>
      </c>
      <c r="K71" s="68">
        <f t="shared" si="1"/>
        <v>0</v>
      </c>
      <c r="L71" s="304">
        <f t="shared" si="2"/>
        <v>0</v>
      </c>
      <c r="N71" s="114">
        <f>'As-Filed Schedule 2D'!J71</f>
        <v>0</v>
      </c>
      <c r="O71" s="307">
        <f>SUMIFS(Adjustments!$G:$G,Adjustments!$H:$H,"2D",Adjustments!$I:$I,'Schedule 2D Adjustments'!$N$12,Adjustments!$J:$J,'Schedule 2D Adjustments'!$A71)</f>
        <v>0</v>
      </c>
      <c r="P71" s="303">
        <f t="shared" si="3"/>
        <v>0</v>
      </c>
      <c r="Q71" s="68">
        <f>IFERROR(N71*'As-Filed Schedule 1'!$E$103,0)</f>
        <v>0</v>
      </c>
      <c r="R71" s="68">
        <f>IFERROR(P71*'Adjusted Schedule 1'!$E$104,0)</f>
        <v>0</v>
      </c>
      <c r="S71" s="68">
        <f t="shared" si="4"/>
        <v>0</v>
      </c>
      <c r="T71" s="304">
        <f t="shared" si="5"/>
        <v>0</v>
      </c>
      <c r="V71" s="117">
        <f>'As-Filed Schedule 2D'!N71</f>
        <v>0</v>
      </c>
      <c r="W71" s="307">
        <f>SUMIFS(Adjustments!$G:$G,Adjustments!$H:$H,"2D",Adjustments!$I:$I,'Schedule 2D Adjustments'!$V$12,Adjustments!$J:$J,'Schedule 2D Adjustments'!$A71)</f>
        <v>0</v>
      </c>
      <c r="X71" s="303">
        <f t="shared" si="6"/>
        <v>0</v>
      </c>
      <c r="Y71" s="117">
        <f>'As-Filed Schedule 2D'!O71</f>
        <v>0</v>
      </c>
      <c r="Z71" s="307">
        <f>SUMIFS(Adjustments!$G:$G,Adjustments!$H:$H,"2D",Adjustments!$I:$I,'Schedule 2D Adjustments'!$Y$12,Adjustments!$J:$J,'Schedule 2D Adjustments'!$A71)</f>
        <v>0</v>
      </c>
      <c r="AA71" s="303">
        <f t="shared" si="7"/>
        <v>0</v>
      </c>
    </row>
    <row r="72" spans="1:27" x14ac:dyDescent="0.35">
      <c r="A72" s="24">
        <v>58</v>
      </c>
      <c r="B72" s="565" t="str">
        <f>IF('As-Filed Schedule 2D'!B72:D72=0,"",'As-Filed Schedule 2D'!B72:D72)</f>
        <v/>
      </c>
      <c r="C72" s="565"/>
      <c r="D72" s="565"/>
      <c r="F72" s="114">
        <f>'As-Filed Schedule 2D'!F72</f>
        <v>0</v>
      </c>
      <c r="G72" s="307">
        <f>SUMIFS(Adjustments!$G:$G,Adjustments!$H:$H,"2D",Adjustments!$I:$I,'Schedule 2D Adjustments'!$F$12,Adjustments!$J:$J,'Schedule 2D Adjustments'!$A72)</f>
        <v>0</v>
      </c>
      <c r="H72" s="303">
        <f t="shared" si="0"/>
        <v>0</v>
      </c>
      <c r="I72" s="68">
        <f>IFERROR(F72*'As-Filed Schedule 1'!$E$103,0)</f>
        <v>0</v>
      </c>
      <c r="J72" s="304">
        <f>IFERROR(H72*'Adjusted Schedule 1'!$E$104,0)</f>
        <v>0</v>
      </c>
      <c r="K72" s="68">
        <f t="shared" si="1"/>
        <v>0</v>
      </c>
      <c r="L72" s="304">
        <f t="shared" si="2"/>
        <v>0</v>
      </c>
      <c r="N72" s="114">
        <f>'As-Filed Schedule 2D'!J72</f>
        <v>0</v>
      </c>
      <c r="O72" s="307">
        <f>SUMIFS(Adjustments!$G:$G,Adjustments!$H:$H,"2D",Adjustments!$I:$I,'Schedule 2D Adjustments'!$N$12,Adjustments!$J:$J,'Schedule 2D Adjustments'!$A72)</f>
        <v>0</v>
      </c>
      <c r="P72" s="303">
        <f t="shared" si="3"/>
        <v>0</v>
      </c>
      <c r="Q72" s="68">
        <f>IFERROR(N72*'As-Filed Schedule 1'!$E$103,0)</f>
        <v>0</v>
      </c>
      <c r="R72" s="68">
        <f>IFERROR(P72*'Adjusted Schedule 1'!$E$104,0)</f>
        <v>0</v>
      </c>
      <c r="S72" s="68">
        <f t="shared" si="4"/>
        <v>0</v>
      </c>
      <c r="T72" s="304">
        <f t="shared" si="5"/>
        <v>0</v>
      </c>
      <c r="V72" s="117">
        <f>'As-Filed Schedule 2D'!N72</f>
        <v>0</v>
      </c>
      <c r="W72" s="307">
        <f>SUMIFS(Adjustments!$G:$G,Adjustments!$H:$H,"2D",Adjustments!$I:$I,'Schedule 2D Adjustments'!$V$12,Adjustments!$J:$J,'Schedule 2D Adjustments'!$A72)</f>
        <v>0</v>
      </c>
      <c r="X72" s="303">
        <f t="shared" si="6"/>
        <v>0</v>
      </c>
      <c r="Y72" s="117">
        <f>'As-Filed Schedule 2D'!O72</f>
        <v>0</v>
      </c>
      <c r="Z72" s="307">
        <f>SUMIFS(Adjustments!$G:$G,Adjustments!$H:$H,"2D",Adjustments!$I:$I,'Schedule 2D Adjustments'!$Y$12,Adjustments!$J:$J,'Schedule 2D Adjustments'!$A72)</f>
        <v>0</v>
      </c>
      <c r="AA72" s="303">
        <f t="shared" si="7"/>
        <v>0</v>
      </c>
    </row>
    <row r="73" spans="1:27" x14ac:dyDescent="0.35">
      <c r="A73" s="24">
        <v>59</v>
      </c>
      <c r="F73" s="18">
        <f>SUM(F15:F72)</f>
        <v>22442752.928997252</v>
      </c>
      <c r="G73" s="18">
        <f t="shared" ref="G73:H73" si="8">SUM(G15:G72)</f>
        <v>4949.42</v>
      </c>
      <c r="H73" s="18">
        <f t="shared" si="8"/>
        <v>22447702.34899725</v>
      </c>
      <c r="I73" s="18">
        <f t="shared" ref="I73:K73" si="9">SUM(I15:I72)</f>
        <v>5832922.2474503443</v>
      </c>
      <c r="J73" s="304">
        <f>IFERROR(H73*'Adjusted Schedule 1'!$E$104,0)</f>
        <v>5834208.6129029812</v>
      </c>
      <c r="K73" s="18">
        <f t="shared" si="9"/>
        <v>28275675.176447596</v>
      </c>
      <c r="L73" s="305">
        <f t="shared" ref="L73" si="10">SUM(L15:L72)</f>
        <v>28281910.961900238</v>
      </c>
      <c r="N73" s="18">
        <f>SUM(N15:N72)</f>
        <v>2160362.7385681863</v>
      </c>
      <c r="O73" s="18">
        <f t="shared" ref="O73:P73" si="11">SUM(O15:O72)</f>
        <v>-4949.42</v>
      </c>
      <c r="P73" s="18">
        <f t="shared" si="11"/>
        <v>2155413.3185681859</v>
      </c>
      <c r="Q73" s="18">
        <f t="shared" ref="Q73:S73" si="12">SUM(Q15:Q72)</f>
        <v>561483.1620801586</v>
      </c>
      <c r="R73" s="18">
        <f t="shared" si="12"/>
        <v>560196.79662751954</v>
      </c>
      <c r="S73" s="18">
        <f t="shared" si="12"/>
        <v>2721845.9006483448</v>
      </c>
      <c r="T73" s="305">
        <f t="shared" ref="T73" si="13">SUM(T15:T72)</f>
        <v>2715610.1151957056</v>
      </c>
      <c r="Y73" s="83" t="s">
        <v>313</v>
      </c>
      <c r="Z73" s="325"/>
      <c r="AA73" s="322"/>
    </row>
    <row r="74" spans="1:27" ht="15" thickBot="1" x14ac:dyDescent="0.4">
      <c r="K74" s="37" t="s">
        <v>257</v>
      </c>
      <c r="L74" s="318" t="s">
        <v>257</v>
      </c>
      <c r="S74" s="37" t="s">
        <v>258</v>
      </c>
      <c r="T74" s="318" t="s">
        <v>258</v>
      </c>
    </row>
    <row r="75" spans="1:27" s="72" customFormat="1" ht="16" thickBot="1" x14ac:dyDescent="0.4">
      <c r="A75" s="24">
        <v>60</v>
      </c>
      <c r="B75" s="73" t="s">
        <v>462</v>
      </c>
      <c r="F75" s="75">
        <f>K73+S73</f>
        <v>30997521.077095941</v>
      </c>
      <c r="G75"/>
      <c r="H75" s="75">
        <f>L73+T73</f>
        <v>30997521.077095944</v>
      </c>
      <c r="I75" s="74"/>
      <c r="J75" s="319"/>
      <c r="K75" s="74"/>
      <c r="L75" s="319"/>
      <c r="M75" s="74"/>
      <c r="N75" s="74"/>
      <c r="O75" s="326"/>
      <c r="P75" s="319"/>
      <c r="Q75" s="74"/>
      <c r="R75" s="319"/>
      <c r="T75" s="321"/>
      <c r="W75" s="324"/>
      <c r="X75" s="321"/>
      <c r="Z75" s="324"/>
      <c r="AA75" s="321"/>
    </row>
  </sheetData>
  <sheetProtection sheet="1" objects="1" scenarios="1"/>
  <customSheetViews>
    <customSheetView guid="{17302493-42B1-4877-869E-E424A97AE78B}">
      <selection activeCell="F8" sqref="F8"/>
      <pageMargins left="0.7" right="0.7" top="0.75" bottom="0.75" header="0.3" footer="0.3"/>
      <pageSetup orientation="portrait" horizontalDpi="1200" verticalDpi="1200" r:id="rId1"/>
    </customSheetView>
    <customSheetView guid="{5C0BA3A5-859C-46C2-B685-44D9A90065E4}">
      <selection activeCell="F8" sqref="F8"/>
      <pageMargins left="0.7" right="0.7" top="0.75" bottom="0.75" header="0.3" footer="0.3"/>
      <pageSetup orientation="portrait" horizontalDpi="1200" verticalDpi="1200" r:id="rId2"/>
    </customSheetView>
  </customSheetViews>
  <mergeCells count="69">
    <mergeCell ref="B19:D19"/>
    <mergeCell ref="A3:K3"/>
    <mergeCell ref="B12:D12"/>
    <mergeCell ref="B13:D14"/>
    <mergeCell ref="Y13:Y14"/>
    <mergeCell ref="B15:D15"/>
    <mergeCell ref="B16:D16"/>
    <mergeCell ref="B17:D17"/>
    <mergeCell ref="B18:D18"/>
    <mergeCell ref="V13:V14"/>
    <mergeCell ref="W13:W14"/>
    <mergeCell ref="X13:X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9:D69"/>
    <mergeCell ref="B70:D70"/>
    <mergeCell ref="B71:D71"/>
    <mergeCell ref="B72:D72"/>
    <mergeCell ref="B67:D67"/>
    <mergeCell ref="Z13:Z14"/>
    <mergeCell ref="AA13:AA14"/>
    <mergeCell ref="F13:L13"/>
    <mergeCell ref="N13:T13"/>
    <mergeCell ref="B68:D68"/>
    <mergeCell ref="B56:D56"/>
    <mergeCell ref="B57:D57"/>
    <mergeCell ref="B58:D58"/>
    <mergeCell ref="B59:D59"/>
    <mergeCell ref="B60:D60"/>
    <mergeCell ref="B61:D61"/>
    <mergeCell ref="B62:D62"/>
    <mergeCell ref="B63:D63"/>
    <mergeCell ref="B64:D64"/>
    <mergeCell ref="B65:D65"/>
    <mergeCell ref="B66:D66"/>
  </mergeCells>
  <pageMargins left="0.7" right="0.7" top="0.75" bottom="0.75" header="0.3" footer="0.3"/>
  <pageSetup orientation="portrait" horizontalDpi="1200" verticalDpi="1200"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A1:AA75"/>
  <sheetViews>
    <sheetView workbookViewId="0">
      <selection activeCell="F17" sqref="F17"/>
    </sheetView>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6" width="18.1796875" customWidth="1"/>
    <col min="7" max="7" width="18.1796875" style="253"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53"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53" customWidth="1"/>
    <col min="24" max="24" width="13.26953125" style="48" customWidth="1"/>
    <col min="25" max="25" width="12" customWidth="1"/>
    <col min="26" max="26" width="16.1796875" style="253" customWidth="1"/>
    <col min="27" max="27" width="12" style="48" customWidth="1"/>
  </cols>
  <sheetData>
    <row r="1" spans="1:27" ht="26" x14ac:dyDescent="0.6">
      <c r="A1" s="3" t="s">
        <v>777</v>
      </c>
    </row>
    <row r="2" spans="1:27" ht="21" x14ac:dyDescent="0.5">
      <c r="A2" s="2" t="s">
        <v>775</v>
      </c>
    </row>
    <row r="3" spans="1:27" ht="25" customHeight="1" x14ac:dyDescent="0.5">
      <c r="A3" s="546" t="s">
        <v>842</v>
      </c>
      <c r="B3" s="546"/>
      <c r="C3" s="546"/>
      <c r="D3" s="546"/>
      <c r="E3" s="546"/>
      <c r="F3" s="546"/>
      <c r="G3" s="546"/>
      <c r="H3" s="546"/>
      <c r="I3" s="546"/>
      <c r="J3" s="546"/>
      <c r="K3" s="546"/>
      <c r="L3" s="315"/>
    </row>
    <row r="5" spans="1:27" x14ac:dyDescent="0.35">
      <c r="A5" s="1" t="s">
        <v>776</v>
      </c>
      <c r="C5" s="414" t="str">
        <f>Results!$C$6</f>
        <v>WellPower</v>
      </c>
    </row>
    <row r="6" spans="1:27" x14ac:dyDescent="0.35">
      <c r="A6" s="1" t="s">
        <v>0</v>
      </c>
      <c r="C6" s="35">
        <f>Results!$C$7</f>
        <v>45473</v>
      </c>
      <c r="F6" s="35"/>
      <c r="G6" s="313"/>
      <c r="H6" s="60"/>
    </row>
    <row r="8" spans="1:27" x14ac:dyDescent="0.35">
      <c r="A8" s="1" t="s">
        <v>253</v>
      </c>
      <c r="B8" s="1" t="s">
        <v>813</v>
      </c>
      <c r="C8" s="1"/>
      <c r="F8" s="116" t="str">
        <f>'As-Filed Schedule 2E'!F8</f>
        <v>Yes/No</v>
      </c>
      <c r="G8" s="41" t="s">
        <v>259</v>
      </c>
    </row>
    <row r="10" spans="1:27" x14ac:dyDescent="0.35">
      <c r="A10" s="1" t="s">
        <v>254</v>
      </c>
      <c r="B10" s="1" t="s">
        <v>256</v>
      </c>
      <c r="C10" s="1"/>
    </row>
    <row r="12" spans="1:27" x14ac:dyDescent="0.35">
      <c r="B12" s="560">
        <v>1</v>
      </c>
      <c r="C12" s="560"/>
      <c r="D12" s="560"/>
      <c r="F12" s="23">
        <v>2</v>
      </c>
      <c r="G12" s="248" t="s">
        <v>550</v>
      </c>
      <c r="H12" s="249" t="s">
        <v>551</v>
      </c>
      <c r="I12" s="23">
        <v>3</v>
      </c>
      <c r="J12" s="249" t="s">
        <v>555</v>
      </c>
      <c r="K12" s="23">
        <v>4</v>
      </c>
      <c r="L12" s="249" t="s">
        <v>559</v>
      </c>
      <c r="N12" s="23">
        <v>5</v>
      </c>
      <c r="O12" s="248" t="s">
        <v>560</v>
      </c>
      <c r="P12" s="249" t="s">
        <v>561</v>
      </c>
      <c r="Q12" s="23">
        <v>6</v>
      </c>
      <c r="R12" s="249" t="s">
        <v>565</v>
      </c>
      <c r="S12" s="23">
        <v>7</v>
      </c>
      <c r="T12" s="249" t="s">
        <v>569</v>
      </c>
      <c r="V12" s="23">
        <v>8</v>
      </c>
      <c r="W12" s="248" t="s">
        <v>610</v>
      </c>
      <c r="X12" s="249" t="s">
        <v>623</v>
      </c>
      <c r="Y12" s="23">
        <v>9</v>
      </c>
      <c r="Z12" s="248" t="s">
        <v>612</v>
      </c>
      <c r="AA12" s="249" t="s">
        <v>613</v>
      </c>
    </row>
    <row r="13" spans="1:27" ht="15" customHeight="1" x14ac:dyDescent="0.35">
      <c r="B13" s="561" t="s">
        <v>255</v>
      </c>
      <c r="C13" s="561"/>
      <c r="D13" s="561"/>
      <c r="F13" s="563" t="s">
        <v>261</v>
      </c>
      <c r="G13" s="568"/>
      <c r="H13" s="568"/>
      <c r="I13" s="568"/>
      <c r="J13" s="568"/>
      <c r="K13" s="568"/>
      <c r="L13" s="564"/>
      <c r="N13" s="563" t="s">
        <v>262</v>
      </c>
      <c r="O13" s="568"/>
      <c r="P13" s="568"/>
      <c r="Q13" s="568"/>
      <c r="R13" s="568"/>
      <c r="S13" s="568"/>
      <c r="T13" s="564"/>
      <c r="V13" s="562" t="s">
        <v>250</v>
      </c>
      <c r="W13" s="621" t="s">
        <v>614</v>
      </c>
      <c r="X13" s="622" t="s">
        <v>615</v>
      </c>
      <c r="Y13" s="562" t="s">
        <v>312</v>
      </c>
      <c r="Z13" s="621" t="s">
        <v>624</v>
      </c>
      <c r="AA13" s="622" t="s">
        <v>625</v>
      </c>
    </row>
    <row r="14" spans="1:27" ht="55.5" customHeight="1" x14ac:dyDescent="0.35">
      <c r="B14" s="561"/>
      <c r="C14" s="561"/>
      <c r="D14" s="561"/>
      <c r="E14" s="48"/>
      <c r="F14" s="10" t="s">
        <v>214</v>
      </c>
      <c r="G14" s="250" t="s">
        <v>603</v>
      </c>
      <c r="H14" s="251" t="s">
        <v>604</v>
      </c>
      <c r="I14" s="142" t="s">
        <v>493</v>
      </c>
      <c r="J14" s="251" t="s">
        <v>607</v>
      </c>
      <c r="K14" s="142" t="s">
        <v>215</v>
      </c>
      <c r="L14" s="251" t="s">
        <v>609</v>
      </c>
      <c r="M14" s="48"/>
      <c r="N14" s="142" t="s">
        <v>214</v>
      </c>
      <c r="O14" s="250" t="s">
        <v>603</v>
      </c>
      <c r="P14" s="251" t="s">
        <v>604</v>
      </c>
      <c r="Q14" s="142" t="s">
        <v>493</v>
      </c>
      <c r="R14" s="251" t="s">
        <v>607</v>
      </c>
      <c r="S14" s="10" t="s">
        <v>215</v>
      </c>
      <c r="T14" s="251" t="s">
        <v>609</v>
      </c>
      <c r="U14" s="48"/>
      <c r="V14" s="562"/>
      <c r="W14" s="621"/>
      <c r="X14" s="622"/>
      <c r="Y14" s="562"/>
      <c r="Z14" s="621"/>
      <c r="AA14" s="622"/>
    </row>
    <row r="15" spans="1:27" x14ac:dyDescent="0.35">
      <c r="A15" s="24">
        <v>1</v>
      </c>
      <c r="B15" s="565" t="str">
        <f>IF('As-Filed Schedule 2E'!B15:D15=0,"",'As-Filed Schedule 2E'!B15:D15)</f>
        <v/>
      </c>
      <c r="C15" s="565"/>
      <c r="D15" s="565"/>
      <c r="F15" s="114">
        <f>'As-Filed Schedule 2E'!F15</f>
        <v>0</v>
      </c>
      <c r="G15" s="307">
        <f>SUMIFS(Adjustments!$G:$G,Adjustments!$H:$H,"2E",Adjustments!$I:$I,'Schedule 2E Adjustments'!$F$12,Adjustments!$J:$J,'Schedule 2E Adjustments'!$A15)</f>
        <v>0</v>
      </c>
      <c r="H15" s="303">
        <f>SUM(F15:G15)</f>
        <v>0</v>
      </c>
      <c r="I15" s="68">
        <f>IFERROR(F15*'As-Filed Schedule 1'!$E$103,0)</f>
        <v>0</v>
      </c>
      <c r="J15" s="304">
        <f>IFERROR(H15*'Adjusted Schedule 1'!$E$104,0)</f>
        <v>0</v>
      </c>
      <c r="K15" s="68">
        <f>SUM(F15,I15)</f>
        <v>0</v>
      </c>
      <c r="L15" s="304">
        <f>SUM(H15,J15)</f>
        <v>0</v>
      </c>
      <c r="N15" s="114">
        <f>'As-Filed Schedule 2E'!J15</f>
        <v>0</v>
      </c>
      <c r="O15" s="307">
        <f>SUMIFS(Adjustments!$G:$G,Adjustments!$H:$H,"2E",Adjustments!$I:$I,'Schedule 2E Adjustments'!$N$12,Adjustments!$J:$J,'Schedule 2E Adjustments'!$A15)</f>
        <v>0</v>
      </c>
      <c r="P15" s="303">
        <f>SUM(N15:O15)</f>
        <v>0</v>
      </c>
      <c r="Q15" s="68">
        <f>IFERROR(N15*'As-Filed Schedule 1'!$E$103,0)</f>
        <v>0</v>
      </c>
      <c r="R15" s="68">
        <f>IFERROR(P15*'Adjusted Schedule 1'!$E$104,0)</f>
        <v>0</v>
      </c>
      <c r="S15" s="68">
        <f>SUM(N15,Q15)</f>
        <v>0</v>
      </c>
      <c r="T15" s="304">
        <f>SUM(P15,R15)</f>
        <v>0</v>
      </c>
      <c r="V15" s="117">
        <f>'As-Filed Schedule 2E'!N15</f>
        <v>0</v>
      </c>
      <c r="W15" s="307">
        <f>SUMIFS(Adjustments!$G:$G,Adjustments!$H:$H,"2E",Adjustments!$I:$I,'Schedule 2E Adjustments'!$V$12,Adjustments!$J:$J,'Schedule 2E Adjustments'!$A15)</f>
        <v>0</v>
      </c>
      <c r="X15" s="303">
        <f>SUM(V15:W15)</f>
        <v>0</v>
      </c>
      <c r="Y15" s="117">
        <f>'As-Filed Schedule 2E'!O15</f>
        <v>0</v>
      </c>
      <c r="Z15" s="307">
        <f>SUMIFS(Adjustments!$G:$G,Adjustments!$H:$H,"2E",Adjustments!$I:$I,'Schedule 2E Adjustments'!$Y$12,Adjustments!$J:$J,'Schedule 2E Adjustments'!$A15)</f>
        <v>0</v>
      </c>
      <c r="AA15" s="303">
        <f>SUM(Y15:Z15)</f>
        <v>0</v>
      </c>
    </row>
    <row r="16" spans="1:27" x14ac:dyDescent="0.35">
      <c r="A16" s="24">
        <v>2</v>
      </c>
      <c r="B16" s="565" t="str">
        <f>IF('As-Filed Schedule 2E'!B16:D16=0,"",'As-Filed Schedule 2E'!B16:D16)</f>
        <v/>
      </c>
      <c r="C16" s="565"/>
      <c r="D16" s="565"/>
      <c r="F16" s="114">
        <f>'As-Filed Schedule 2E'!F16</f>
        <v>0</v>
      </c>
      <c r="G16" s="307">
        <f>SUMIFS(Adjustments!$G:$G,Adjustments!$H:$H,"2E",Adjustments!$I:$I,'Schedule 2E Adjustments'!$F$12,Adjustments!$J:$J,'Schedule 2E Adjustments'!$A16)</f>
        <v>0</v>
      </c>
      <c r="H16" s="303">
        <f t="shared" ref="H16:H72" si="0">SUM(F16:G16)</f>
        <v>0</v>
      </c>
      <c r="I16" s="68">
        <f>IFERROR(F16*'As-Filed Schedule 1'!$E$103,0)</f>
        <v>0</v>
      </c>
      <c r="J16" s="304">
        <f>IFERROR(H16*'Adjusted Schedule 1'!$E$104,0)</f>
        <v>0</v>
      </c>
      <c r="K16" s="68">
        <f t="shared" ref="K16:K72" si="1">SUM(F16,I16)</f>
        <v>0</v>
      </c>
      <c r="L16" s="304">
        <f t="shared" ref="L16:L72" si="2">SUM(H16,J16)</f>
        <v>0</v>
      </c>
      <c r="N16" s="114">
        <f>'As-Filed Schedule 2E'!J16</f>
        <v>0</v>
      </c>
      <c r="O16" s="307">
        <f>SUMIFS(Adjustments!$G:$G,Adjustments!$H:$H,"2E",Adjustments!$I:$I,'Schedule 2E Adjustments'!$N$12,Adjustments!$J:$J,'Schedule 2E Adjustments'!$A16)</f>
        <v>0</v>
      </c>
      <c r="P16" s="303">
        <f t="shared" ref="P16:P72" si="3">SUM(N16:O16)</f>
        <v>0</v>
      </c>
      <c r="Q16" s="68">
        <f>IFERROR(N16*'As-Filed Schedule 1'!$E$103,0)</f>
        <v>0</v>
      </c>
      <c r="R16" s="68">
        <f>IFERROR(P16*'Adjusted Schedule 1'!$E$104,0)</f>
        <v>0</v>
      </c>
      <c r="S16" s="68">
        <f t="shared" ref="S16:S72" si="4">SUM(N16,Q16)</f>
        <v>0</v>
      </c>
      <c r="T16" s="304">
        <f t="shared" ref="T16:T72" si="5">SUM(P16,R16)</f>
        <v>0</v>
      </c>
      <c r="V16" s="117">
        <f>'As-Filed Schedule 2E'!N16</f>
        <v>0</v>
      </c>
      <c r="W16" s="307">
        <f>SUMIFS(Adjustments!$G:$G,Adjustments!$H:$H,"2E",Adjustments!$I:$I,'Schedule 2E Adjustments'!$V$12,Adjustments!$J:$J,'Schedule 2E Adjustments'!$A16)</f>
        <v>0</v>
      </c>
      <c r="X16" s="303">
        <f t="shared" ref="X16:X72" si="6">SUM(V16:W16)</f>
        <v>0</v>
      </c>
      <c r="Y16" s="117">
        <f>'As-Filed Schedule 2E'!O16</f>
        <v>0</v>
      </c>
      <c r="Z16" s="307">
        <f>SUMIFS(Adjustments!$G:$G,Adjustments!$H:$H,"2E",Adjustments!$I:$I,'Schedule 2E Adjustments'!$Y$12,Adjustments!$J:$J,'Schedule 2E Adjustments'!$A16)</f>
        <v>0</v>
      </c>
      <c r="AA16" s="303">
        <f t="shared" ref="AA16:AA72" si="7">SUM(Y16:Z16)</f>
        <v>0</v>
      </c>
    </row>
    <row r="17" spans="1:27" x14ac:dyDescent="0.35">
      <c r="A17" s="24">
        <v>3</v>
      </c>
      <c r="B17" s="565" t="str">
        <f>IF('As-Filed Schedule 2E'!B17:D17=0,"",'As-Filed Schedule 2E'!B17:D17)</f>
        <v/>
      </c>
      <c r="C17" s="565"/>
      <c r="D17" s="565"/>
      <c r="F17" s="114">
        <f>'As-Filed Schedule 2E'!F17</f>
        <v>0</v>
      </c>
      <c r="G17" s="307">
        <f>SUMIFS(Adjustments!$G:$G,Adjustments!$H:$H,"2E",Adjustments!$I:$I,'Schedule 2E Adjustments'!$F$12,Adjustments!$J:$J,'Schedule 2E Adjustments'!$A17)</f>
        <v>0</v>
      </c>
      <c r="H17" s="303">
        <f t="shared" si="0"/>
        <v>0</v>
      </c>
      <c r="I17" s="68">
        <f>IFERROR(F17*'As-Filed Schedule 1'!$E$103,0)</f>
        <v>0</v>
      </c>
      <c r="J17" s="304">
        <f>IFERROR(H17*'Adjusted Schedule 1'!$E$104,0)</f>
        <v>0</v>
      </c>
      <c r="K17" s="68">
        <f t="shared" si="1"/>
        <v>0</v>
      </c>
      <c r="L17" s="304">
        <f t="shared" si="2"/>
        <v>0</v>
      </c>
      <c r="N17" s="114">
        <f>'As-Filed Schedule 2E'!J17</f>
        <v>0</v>
      </c>
      <c r="O17" s="307">
        <f>SUMIFS(Adjustments!$G:$G,Adjustments!$H:$H,"2E",Adjustments!$I:$I,'Schedule 2E Adjustments'!$N$12,Adjustments!$J:$J,'Schedule 2E Adjustments'!$A17)</f>
        <v>0</v>
      </c>
      <c r="P17" s="303">
        <f t="shared" si="3"/>
        <v>0</v>
      </c>
      <c r="Q17" s="68">
        <f>IFERROR(N17*'As-Filed Schedule 1'!$E$103,0)</f>
        <v>0</v>
      </c>
      <c r="R17" s="68">
        <f>IFERROR(P17*'Adjusted Schedule 1'!$E$104,0)</f>
        <v>0</v>
      </c>
      <c r="S17" s="68">
        <f t="shared" si="4"/>
        <v>0</v>
      </c>
      <c r="T17" s="304">
        <f t="shared" si="5"/>
        <v>0</v>
      </c>
      <c r="V17" s="117">
        <f>'As-Filed Schedule 2E'!N17</f>
        <v>0</v>
      </c>
      <c r="W17" s="307">
        <f>SUMIFS(Adjustments!$G:$G,Adjustments!$H:$H,"2E",Adjustments!$I:$I,'Schedule 2E Adjustments'!$V$12,Adjustments!$J:$J,'Schedule 2E Adjustments'!$A17)</f>
        <v>0</v>
      </c>
      <c r="X17" s="303">
        <f t="shared" si="6"/>
        <v>0</v>
      </c>
      <c r="Y17" s="117">
        <f>'As-Filed Schedule 2E'!O17</f>
        <v>0</v>
      </c>
      <c r="Z17" s="307">
        <f>SUMIFS(Adjustments!$G:$G,Adjustments!$H:$H,"2E",Adjustments!$I:$I,'Schedule 2E Adjustments'!$Y$12,Adjustments!$J:$J,'Schedule 2E Adjustments'!$A17)</f>
        <v>0</v>
      </c>
      <c r="AA17" s="303">
        <f t="shared" si="7"/>
        <v>0</v>
      </c>
    </row>
    <row r="18" spans="1:27" x14ac:dyDescent="0.35">
      <c r="A18" s="24">
        <v>4</v>
      </c>
      <c r="B18" s="565" t="str">
        <f>IF('As-Filed Schedule 2E'!B18:D18=0,"",'As-Filed Schedule 2E'!B18:D18)</f>
        <v/>
      </c>
      <c r="C18" s="565"/>
      <c r="D18" s="565"/>
      <c r="F18" s="114">
        <f>'As-Filed Schedule 2E'!F18</f>
        <v>0</v>
      </c>
      <c r="G18" s="307">
        <f>SUMIFS(Adjustments!$G:$G,Adjustments!$H:$H,"2E",Adjustments!$I:$I,'Schedule 2E Adjustments'!$F$12,Adjustments!$J:$J,'Schedule 2E Adjustments'!$A18)</f>
        <v>0</v>
      </c>
      <c r="H18" s="303">
        <f t="shared" si="0"/>
        <v>0</v>
      </c>
      <c r="I18" s="68">
        <f>IFERROR(F18*'As-Filed Schedule 1'!$E$103,0)</f>
        <v>0</v>
      </c>
      <c r="J18" s="304">
        <f>IFERROR(H18*'Adjusted Schedule 1'!$E$104,0)</f>
        <v>0</v>
      </c>
      <c r="K18" s="68">
        <f>SUM(F18,I18)</f>
        <v>0</v>
      </c>
      <c r="L18" s="304">
        <f>SUM(H18,J18)</f>
        <v>0</v>
      </c>
      <c r="N18" s="114">
        <f>'As-Filed Schedule 2E'!J18</f>
        <v>0</v>
      </c>
      <c r="O18" s="307">
        <f>SUMIFS(Adjustments!$G:$G,Adjustments!$H:$H,"2E",Adjustments!$I:$I,'Schedule 2E Adjustments'!$N$12,Adjustments!$J:$J,'Schedule 2E Adjustments'!$A18)</f>
        <v>0</v>
      </c>
      <c r="P18" s="303">
        <f t="shared" si="3"/>
        <v>0</v>
      </c>
      <c r="Q18" s="68">
        <f>IFERROR(N18*'As-Filed Schedule 1'!$E$103,0)</f>
        <v>0</v>
      </c>
      <c r="R18" s="68">
        <f>IFERROR(P18*'Adjusted Schedule 1'!$E$104,0)</f>
        <v>0</v>
      </c>
      <c r="S18" s="68">
        <f t="shared" si="4"/>
        <v>0</v>
      </c>
      <c r="T18" s="304">
        <f t="shared" si="5"/>
        <v>0</v>
      </c>
      <c r="V18" s="117">
        <f>'As-Filed Schedule 2E'!N18</f>
        <v>0</v>
      </c>
      <c r="W18" s="307">
        <f>SUMIFS(Adjustments!$G:$G,Adjustments!$H:$H,"2E",Adjustments!$I:$I,'Schedule 2E Adjustments'!$V$12,Adjustments!$J:$J,'Schedule 2E Adjustments'!$A18)</f>
        <v>0</v>
      </c>
      <c r="X18" s="303">
        <f t="shared" si="6"/>
        <v>0</v>
      </c>
      <c r="Y18" s="117">
        <f>'As-Filed Schedule 2E'!O18</f>
        <v>0</v>
      </c>
      <c r="Z18" s="307">
        <f>SUMIFS(Adjustments!$G:$G,Adjustments!$H:$H,"2E",Adjustments!$I:$I,'Schedule 2E Adjustments'!$Y$12,Adjustments!$J:$J,'Schedule 2E Adjustments'!$A18)</f>
        <v>0</v>
      </c>
      <c r="AA18" s="303">
        <f t="shared" si="7"/>
        <v>0</v>
      </c>
    </row>
    <row r="19" spans="1:27" x14ac:dyDescent="0.35">
      <c r="A19" s="24">
        <v>5</v>
      </c>
      <c r="B19" s="565" t="str">
        <f>IF('As-Filed Schedule 2E'!B19:D19=0,"",'As-Filed Schedule 2E'!B19:D19)</f>
        <v/>
      </c>
      <c r="C19" s="565"/>
      <c r="D19" s="565"/>
      <c r="F19" s="114">
        <f>'As-Filed Schedule 2E'!F19</f>
        <v>0</v>
      </c>
      <c r="G19" s="307">
        <f>SUMIFS(Adjustments!$G:$G,Adjustments!$H:$H,"2E",Adjustments!$I:$I,'Schedule 2E Adjustments'!$F$12,Adjustments!$J:$J,'Schedule 2E Adjustments'!$A19)</f>
        <v>0</v>
      </c>
      <c r="H19" s="303">
        <f t="shared" si="0"/>
        <v>0</v>
      </c>
      <c r="I19" s="68">
        <f>IFERROR(F19*'As-Filed Schedule 1'!$E$103,0)</f>
        <v>0</v>
      </c>
      <c r="J19" s="304">
        <f>IFERROR(H19*'Adjusted Schedule 1'!$E$104,0)</f>
        <v>0</v>
      </c>
      <c r="K19" s="68">
        <f t="shared" si="1"/>
        <v>0</v>
      </c>
      <c r="L19" s="304">
        <f>SUM(H19,J19)</f>
        <v>0</v>
      </c>
      <c r="N19" s="114">
        <f>'As-Filed Schedule 2E'!J19</f>
        <v>0</v>
      </c>
      <c r="O19" s="307">
        <f>SUMIFS(Adjustments!$G:$G,Adjustments!$H:$H,"2E",Adjustments!$I:$I,'Schedule 2E Adjustments'!$N$12,Adjustments!$J:$J,'Schedule 2E Adjustments'!$A19)</f>
        <v>0</v>
      </c>
      <c r="P19" s="303">
        <f t="shared" si="3"/>
        <v>0</v>
      </c>
      <c r="Q19" s="68">
        <f>IFERROR(N19*'As-Filed Schedule 1'!$E$103,0)</f>
        <v>0</v>
      </c>
      <c r="R19" s="68">
        <f>IFERROR(P19*'Adjusted Schedule 1'!$E$104,0)</f>
        <v>0</v>
      </c>
      <c r="S19" s="68">
        <f t="shared" si="4"/>
        <v>0</v>
      </c>
      <c r="T19" s="304">
        <f t="shared" si="5"/>
        <v>0</v>
      </c>
      <c r="V19" s="117">
        <f>'As-Filed Schedule 2E'!N19</f>
        <v>0</v>
      </c>
      <c r="W19" s="307">
        <f>SUMIFS(Adjustments!$G:$G,Adjustments!$H:$H,"2E",Adjustments!$I:$I,'Schedule 2E Adjustments'!$V$12,Adjustments!$J:$J,'Schedule 2E Adjustments'!$A19)</f>
        <v>0</v>
      </c>
      <c r="X19" s="303">
        <f t="shared" si="6"/>
        <v>0</v>
      </c>
      <c r="Y19" s="117">
        <f>'As-Filed Schedule 2E'!O19</f>
        <v>0</v>
      </c>
      <c r="Z19" s="307">
        <f>SUMIFS(Adjustments!$G:$G,Adjustments!$H:$H,"2E",Adjustments!$I:$I,'Schedule 2E Adjustments'!$Y$12,Adjustments!$J:$J,'Schedule 2E Adjustments'!$A19)</f>
        <v>0</v>
      </c>
      <c r="AA19" s="303">
        <f t="shared" si="7"/>
        <v>0</v>
      </c>
    </row>
    <row r="20" spans="1:27" x14ac:dyDescent="0.35">
      <c r="A20" s="24">
        <v>6</v>
      </c>
      <c r="B20" s="565" t="str">
        <f>IF('As-Filed Schedule 2E'!B20:D20=0,"",'As-Filed Schedule 2E'!B20:D20)</f>
        <v/>
      </c>
      <c r="C20" s="565"/>
      <c r="D20" s="565"/>
      <c r="F20" s="114">
        <f>'As-Filed Schedule 2E'!F20</f>
        <v>0</v>
      </c>
      <c r="G20" s="307">
        <f>SUMIFS(Adjustments!$G:$G,Adjustments!$H:$H,"2E",Adjustments!$I:$I,'Schedule 2E Adjustments'!$F$12,Adjustments!$J:$J,'Schedule 2E Adjustments'!$A20)</f>
        <v>0</v>
      </c>
      <c r="H20" s="303">
        <f t="shared" si="0"/>
        <v>0</v>
      </c>
      <c r="I20" s="68">
        <f>IFERROR(F20*'As-Filed Schedule 1'!$E$103,0)</f>
        <v>0</v>
      </c>
      <c r="J20" s="304">
        <f>IFERROR(H20*'Adjusted Schedule 1'!$E$104,0)</f>
        <v>0</v>
      </c>
      <c r="K20" s="68">
        <f>SUM(F20,I20)</f>
        <v>0</v>
      </c>
      <c r="L20" s="304">
        <f t="shared" si="2"/>
        <v>0</v>
      </c>
      <c r="N20" s="114">
        <f>'As-Filed Schedule 2E'!J20</f>
        <v>0</v>
      </c>
      <c r="O20" s="307">
        <f>SUMIFS(Adjustments!$G:$G,Adjustments!$H:$H,"2E",Adjustments!$I:$I,'Schedule 2E Adjustments'!$N$12,Adjustments!$J:$J,'Schedule 2E Adjustments'!$A20)</f>
        <v>0</v>
      </c>
      <c r="P20" s="303">
        <f t="shared" si="3"/>
        <v>0</v>
      </c>
      <c r="Q20" s="68">
        <f>IFERROR(N20*'As-Filed Schedule 1'!$E$103,0)</f>
        <v>0</v>
      </c>
      <c r="R20" s="68">
        <f>IFERROR(P20*'Adjusted Schedule 1'!$E$104,0)</f>
        <v>0</v>
      </c>
      <c r="S20" s="68">
        <f t="shared" si="4"/>
        <v>0</v>
      </c>
      <c r="T20" s="304">
        <f t="shared" si="5"/>
        <v>0</v>
      </c>
      <c r="V20" s="117">
        <f>'As-Filed Schedule 2E'!N20</f>
        <v>0</v>
      </c>
      <c r="W20" s="307">
        <f>SUMIFS(Adjustments!$G:$G,Adjustments!$H:$H,"2E",Adjustments!$I:$I,'Schedule 2E Adjustments'!$V$12,Adjustments!$J:$J,'Schedule 2E Adjustments'!$A20)</f>
        <v>0</v>
      </c>
      <c r="X20" s="303">
        <f t="shared" si="6"/>
        <v>0</v>
      </c>
      <c r="Y20" s="117">
        <f>'As-Filed Schedule 2E'!O20</f>
        <v>0</v>
      </c>
      <c r="Z20" s="307">
        <f>SUMIFS(Adjustments!$G:$G,Adjustments!$H:$H,"2E",Adjustments!$I:$I,'Schedule 2E Adjustments'!$Y$12,Adjustments!$J:$J,'Schedule 2E Adjustments'!$A20)</f>
        <v>0</v>
      </c>
      <c r="AA20" s="303">
        <f t="shared" si="7"/>
        <v>0</v>
      </c>
    </row>
    <row r="21" spans="1:27" x14ac:dyDescent="0.35">
      <c r="A21" s="24">
        <v>7</v>
      </c>
      <c r="B21" s="565" t="str">
        <f>IF('As-Filed Schedule 2E'!B21:D21=0,"",'As-Filed Schedule 2E'!B21:D21)</f>
        <v/>
      </c>
      <c r="C21" s="565"/>
      <c r="D21" s="565"/>
      <c r="F21" s="114">
        <f>'As-Filed Schedule 2E'!F21</f>
        <v>0</v>
      </c>
      <c r="G21" s="307">
        <f>SUMIFS(Adjustments!$G:$G,Adjustments!$H:$H,"2E",Adjustments!$I:$I,'Schedule 2E Adjustments'!$F$12,Adjustments!$J:$J,'Schedule 2E Adjustments'!$A21)</f>
        <v>0</v>
      </c>
      <c r="H21" s="303">
        <f t="shared" si="0"/>
        <v>0</v>
      </c>
      <c r="I21" s="68">
        <f>IFERROR(F21*'As-Filed Schedule 1'!$E$103,0)</f>
        <v>0</v>
      </c>
      <c r="J21" s="304">
        <f>IFERROR(H21*'Adjusted Schedule 1'!$E$104,0)</f>
        <v>0</v>
      </c>
      <c r="K21" s="68">
        <f t="shared" si="1"/>
        <v>0</v>
      </c>
      <c r="L21" s="304">
        <f t="shared" si="2"/>
        <v>0</v>
      </c>
      <c r="N21" s="114">
        <f>'As-Filed Schedule 2E'!J21</f>
        <v>0</v>
      </c>
      <c r="O21" s="307">
        <f>SUMIFS(Adjustments!$G:$G,Adjustments!$H:$H,"2E",Adjustments!$I:$I,'Schedule 2E Adjustments'!$N$12,Adjustments!$J:$J,'Schedule 2E Adjustments'!$A21)</f>
        <v>0</v>
      </c>
      <c r="P21" s="303">
        <f t="shared" si="3"/>
        <v>0</v>
      </c>
      <c r="Q21" s="68">
        <f>IFERROR(N21*'As-Filed Schedule 1'!$E$103,0)</f>
        <v>0</v>
      </c>
      <c r="R21" s="68">
        <f>IFERROR(P21*'Adjusted Schedule 1'!$E$104,0)</f>
        <v>0</v>
      </c>
      <c r="S21" s="68">
        <f>SUM(N21,Q21)</f>
        <v>0</v>
      </c>
      <c r="T21" s="304">
        <f>SUM(P21,R21)</f>
        <v>0</v>
      </c>
      <c r="V21" s="117">
        <f>'As-Filed Schedule 2E'!N21</f>
        <v>0</v>
      </c>
      <c r="W21" s="307">
        <f>SUMIFS(Adjustments!$G:$G,Adjustments!$H:$H,"2E",Adjustments!$I:$I,'Schedule 2E Adjustments'!$V$12,Adjustments!$J:$J,'Schedule 2E Adjustments'!$A21)</f>
        <v>0</v>
      </c>
      <c r="X21" s="303">
        <f t="shared" si="6"/>
        <v>0</v>
      </c>
      <c r="Y21" s="117">
        <f>'As-Filed Schedule 2E'!O21</f>
        <v>0</v>
      </c>
      <c r="Z21" s="307">
        <f>SUMIFS(Adjustments!$G:$G,Adjustments!$H:$H,"2E",Adjustments!$I:$I,'Schedule 2E Adjustments'!$Y$12,Adjustments!$J:$J,'Schedule 2E Adjustments'!$A21)</f>
        <v>0</v>
      </c>
      <c r="AA21" s="303">
        <f t="shared" si="7"/>
        <v>0</v>
      </c>
    </row>
    <row r="22" spans="1:27" x14ac:dyDescent="0.35">
      <c r="A22" s="24">
        <v>8</v>
      </c>
      <c r="B22" s="565" t="str">
        <f>IF('As-Filed Schedule 2E'!B22:D22=0,"",'As-Filed Schedule 2E'!B22:D22)</f>
        <v/>
      </c>
      <c r="C22" s="565"/>
      <c r="D22" s="565"/>
      <c r="F22" s="114">
        <f>'As-Filed Schedule 2E'!F22</f>
        <v>0</v>
      </c>
      <c r="G22" s="307">
        <f>SUMIFS(Adjustments!$G:$G,Adjustments!$H:$H,"2E",Adjustments!$I:$I,'Schedule 2E Adjustments'!$F$12,Adjustments!$J:$J,'Schedule 2E Adjustments'!$A22)</f>
        <v>0</v>
      </c>
      <c r="H22" s="303">
        <f t="shared" si="0"/>
        <v>0</v>
      </c>
      <c r="I22" s="68">
        <f>IFERROR(F22*'As-Filed Schedule 1'!$E$103,0)</f>
        <v>0</v>
      </c>
      <c r="J22" s="304">
        <f>IFERROR(H22*'Adjusted Schedule 1'!$E$104,0)</f>
        <v>0</v>
      </c>
      <c r="K22" s="68">
        <f t="shared" si="1"/>
        <v>0</v>
      </c>
      <c r="L22" s="304">
        <f t="shared" si="2"/>
        <v>0</v>
      </c>
      <c r="N22" s="114">
        <f>'As-Filed Schedule 2E'!J22</f>
        <v>0</v>
      </c>
      <c r="O22" s="307">
        <f>SUMIFS(Adjustments!$G:$G,Adjustments!$H:$H,"2E",Adjustments!$I:$I,'Schedule 2E Adjustments'!$N$12,Adjustments!$J:$J,'Schedule 2E Adjustments'!$A22)</f>
        <v>0</v>
      </c>
      <c r="P22" s="303">
        <f t="shared" si="3"/>
        <v>0</v>
      </c>
      <c r="Q22" s="68">
        <f>IFERROR(N22*'As-Filed Schedule 1'!$E$103,0)</f>
        <v>0</v>
      </c>
      <c r="R22" s="68">
        <f>IFERROR(P22*'Adjusted Schedule 1'!$E$104,0)</f>
        <v>0</v>
      </c>
      <c r="S22" s="68">
        <f t="shared" si="4"/>
        <v>0</v>
      </c>
      <c r="T22" s="304">
        <f t="shared" si="5"/>
        <v>0</v>
      </c>
      <c r="V22" s="117">
        <f>'As-Filed Schedule 2E'!N22</f>
        <v>0</v>
      </c>
      <c r="W22" s="307">
        <f>SUMIFS(Adjustments!$G:$G,Adjustments!$H:$H,"2E",Adjustments!$I:$I,'Schedule 2E Adjustments'!$V$12,Adjustments!$J:$J,'Schedule 2E Adjustments'!$A22)</f>
        <v>0</v>
      </c>
      <c r="X22" s="303">
        <f t="shared" si="6"/>
        <v>0</v>
      </c>
      <c r="Y22" s="117">
        <f>'As-Filed Schedule 2E'!O22</f>
        <v>0</v>
      </c>
      <c r="Z22" s="307">
        <f>SUMIFS(Adjustments!$G:$G,Adjustments!$H:$H,"2E",Adjustments!$I:$I,'Schedule 2E Adjustments'!$Y$12,Adjustments!$J:$J,'Schedule 2E Adjustments'!$A22)</f>
        <v>0</v>
      </c>
      <c r="AA22" s="303">
        <f t="shared" si="7"/>
        <v>0</v>
      </c>
    </row>
    <row r="23" spans="1:27" x14ac:dyDescent="0.35">
      <c r="A23" s="24">
        <v>9</v>
      </c>
      <c r="B23" s="565" t="str">
        <f>IF('As-Filed Schedule 2E'!B23:D23=0,"",'As-Filed Schedule 2E'!B23:D23)</f>
        <v/>
      </c>
      <c r="C23" s="565"/>
      <c r="D23" s="565"/>
      <c r="F23" s="114">
        <f>'As-Filed Schedule 2E'!F23</f>
        <v>0</v>
      </c>
      <c r="G23" s="307">
        <f>SUMIFS(Adjustments!$G:$G,Adjustments!$H:$H,"2E",Adjustments!$I:$I,'Schedule 2E Adjustments'!$F$12,Adjustments!$J:$J,'Schedule 2E Adjustments'!$A23)</f>
        <v>0</v>
      </c>
      <c r="H23" s="303">
        <f t="shared" si="0"/>
        <v>0</v>
      </c>
      <c r="I23" s="68">
        <f>IFERROR(F23*'As-Filed Schedule 1'!$E$103,0)</f>
        <v>0</v>
      </c>
      <c r="J23" s="304">
        <f>IFERROR(H23*'Adjusted Schedule 1'!$E$104,0)</f>
        <v>0</v>
      </c>
      <c r="K23" s="68">
        <f t="shared" si="1"/>
        <v>0</v>
      </c>
      <c r="L23" s="304">
        <f t="shared" si="2"/>
        <v>0</v>
      </c>
      <c r="N23" s="114">
        <f>'As-Filed Schedule 2E'!J23</f>
        <v>0</v>
      </c>
      <c r="O23" s="307">
        <f>SUMIFS(Adjustments!$G:$G,Adjustments!$H:$H,"2E",Adjustments!$I:$I,'Schedule 2E Adjustments'!$N$12,Adjustments!$J:$J,'Schedule 2E Adjustments'!$A23)</f>
        <v>0</v>
      </c>
      <c r="P23" s="303">
        <f t="shared" si="3"/>
        <v>0</v>
      </c>
      <c r="Q23" s="68">
        <f>IFERROR(N23*'As-Filed Schedule 1'!$E$103,0)</f>
        <v>0</v>
      </c>
      <c r="R23" s="68">
        <f>IFERROR(P23*'Adjusted Schedule 1'!$E$104,0)</f>
        <v>0</v>
      </c>
      <c r="S23" s="68">
        <f t="shared" si="4"/>
        <v>0</v>
      </c>
      <c r="T23" s="304">
        <f t="shared" si="5"/>
        <v>0</v>
      </c>
      <c r="V23" s="117">
        <f>'As-Filed Schedule 2E'!N23</f>
        <v>0</v>
      </c>
      <c r="W23" s="307">
        <f>SUMIFS(Adjustments!$G:$G,Adjustments!$H:$H,"2E",Adjustments!$I:$I,'Schedule 2E Adjustments'!$V$12,Adjustments!$J:$J,'Schedule 2E Adjustments'!$A23)</f>
        <v>0</v>
      </c>
      <c r="X23" s="303">
        <f t="shared" si="6"/>
        <v>0</v>
      </c>
      <c r="Y23" s="117">
        <f>'As-Filed Schedule 2E'!O23</f>
        <v>0</v>
      </c>
      <c r="Z23" s="307">
        <f>SUMIFS(Adjustments!$G:$G,Adjustments!$H:$H,"2E",Adjustments!$I:$I,'Schedule 2E Adjustments'!$Y$12,Adjustments!$J:$J,'Schedule 2E Adjustments'!$A23)</f>
        <v>0</v>
      </c>
      <c r="AA23" s="303">
        <f t="shared" si="7"/>
        <v>0</v>
      </c>
    </row>
    <row r="24" spans="1:27" x14ac:dyDescent="0.35">
      <c r="A24" s="24">
        <v>10</v>
      </c>
      <c r="B24" s="565" t="str">
        <f>IF('As-Filed Schedule 2E'!B24:D24=0,"",'As-Filed Schedule 2E'!B24:D24)</f>
        <v/>
      </c>
      <c r="C24" s="565"/>
      <c r="D24" s="565"/>
      <c r="F24" s="114">
        <f>'As-Filed Schedule 2E'!F24</f>
        <v>0</v>
      </c>
      <c r="G24" s="307">
        <f>SUMIFS(Adjustments!$G:$G,Adjustments!$H:$H,"2E",Adjustments!$I:$I,'Schedule 2E Adjustments'!$F$12,Adjustments!$J:$J,'Schedule 2E Adjustments'!$A24)</f>
        <v>0</v>
      </c>
      <c r="H24" s="303">
        <f t="shared" si="0"/>
        <v>0</v>
      </c>
      <c r="I24" s="68">
        <f>IFERROR(F24*'As-Filed Schedule 1'!$E$103,0)</f>
        <v>0</v>
      </c>
      <c r="J24" s="304">
        <f>IFERROR(H24*'Adjusted Schedule 1'!$E$104,0)</f>
        <v>0</v>
      </c>
      <c r="K24" s="68">
        <f t="shared" si="1"/>
        <v>0</v>
      </c>
      <c r="L24" s="304">
        <f t="shared" si="2"/>
        <v>0</v>
      </c>
      <c r="N24" s="114">
        <f>'As-Filed Schedule 2E'!J24</f>
        <v>0</v>
      </c>
      <c r="O24" s="307">
        <f>SUMIFS(Adjustments!$G:$G,Adjustments!$H:$H,"2E",Adjustments!$I:$I,'Schedule 2E Adjustments'!$N$12,Adjustments!$J:$J,'Schedule 2E Adjustments'!$A24)</f>
        <v>0</v>
      </c>
      <c r="P24" s="303">
        <f t="shared" si="3"/>
        <v>0</v>
      </c>
      <c r="Q24" s="68">
        <f>IFERROR(N24*'As-Filed Schedule 1'!$E$103,0)</f>
        <v>0</v>
      </c>
      <c r="R24" s="68">
        <f>IFERROR(P24*'Adjusted Schedule 1'!$E$104,0)</f>
        <v>0</v>
      </c>
      <c r="S24" s="68">
        <f t="shared" si="4"/>
        <v>0</v>
      </c>
      <c r="T24" s="304">
        <f t="shared" si="5"/>
        <v>0</v>
      </c>
      <c r="V24" s="117">
        <f>'As-Filed Schedule 2E'!N24</f>
        <v>0</v>
      </c>
      <c r="W24" s="307">
        <f>SUMIFS(Adjustments!$G:$G,Adjustments!$H:$H,"2E",Adjustments!$I:$I,'Schedule 2E Adjustments'!$V$12,Adjustments!$J:$J,'Schedule 2E Adjustments'!$A24)</f>
        <v>0</v>
      </c>
      <c r="X24" s="303">
        <f t="shared" si="6"/>
        <v>0</v>
      </c>
      <c r="Y24" s="117">
        <f>'As-Filed Schedule 2E'!O24</f>
        <v>0</v>
      </c>
      <c r="Z24" s="307">
        <f>SUMIFS(Adjustments!$G:$G,Adjustments!$H:$H,"2E",Adjustments!$I:$I,'Schedule 2E Adjustments'!$Y$12,Adjustments!$J:$J,'Schedule 2E Adjustments'!$A24)</f>
        <v>0</v>
      </c>
      <c r="AA24" s="303">
        <f t="shared" si="7"/>
        <v>0</v>
      </c>
    </row>
    <row r="25" spans="1:27" x14ac:dyDescent="0.35">
      <c r="A25" s="24">
        <v>11</v>
      </c>
      <c r="B25" s="565" t="str">
        <f>IF('As-Filed Schedule 2E'!B25:D25=0,"",'As-Filed Schedule 2E'!B25:D25)</f>
        <v/>
      </c>
      <c r="C25" s="565"/>
      <c r="D25" s="565"/>
      <c r="F25" s="114">
        <f>'As-Filed Schedule 2E'!F25</f>
        <v>0</v>
      </c>
      <c r="G25" s="307">
        <f>SUMIFS(Adjustments!$G:$G,Adjustments!$H:$H,"2E",Adjustments!$I:$I,'Schedule 2E Adjustments'!$F$12,Adjustments!$J:$J,'Schedule 2E Adjustments'!$A25)</f>
        <v>0</v>
      </c>
      <c r="H25" s="303">
        <f t="shared" si="0"/>
        <v>0</v>
      </c>
      <c r="I25" s="68">
        <f>IFERROR(F25*'As-Filed Schedule 1'!$E$103,0)</f>
        <v>0</v>
      </c>
      <c r="J25" s="304">
        <f>IFERROR(H25*'Adjusted Schedule 1'!$E$104,0)</f>
        <v>0</v>
      </c>
      <c r="K25" s="68">
        <f t="shared" si="1"/>
        <v>0</v>
      </c>
      <c r="L25" s="304">
        <f t="shared" si="2"/>
        <v>0</v>
      </c>
      <c r="N25" s="114">
        <f>'As-Filed Schedule 2E'!J25</f>
        <v>0</v>
      </c>
      <c r="O25" s="307">
        <f>SUMIFS(Adjustments!$G:$G,Adjustments!$H:$H,"2E",Adjustments!$I:$I,'Schedule 2E Adjustments'!$N$12,Adjustments!$J:$J,'Schedule 2E Adjustments'!$A25)</f>
        <v>0</v>
      </c>
      <c r="P25" s="303">
        <f t="shared" si="3"/>
        <v>0</v>
      </c>
      <c r="Q25" s="68">
        <f>IFERROR(N25*'As-Filed Schedule 1'!$E$103,0)</f>
        <v>0</v>
      </c>
      <c r="R25" s="68">
        <f>IFERROR(P25*'Adjusted Schedule 1'!$E$104,0)</f>
        <v>0</v>
      </c>
      <c r="S25" s="68">
        <f t="shared" si="4"/>
        <v>0</v>
      </c>
      <c r="T25" s="304">
        <f t="shared" si="5"/>
        <v>0</v>
      </c>
      <c r="V25" s="117">
        <f>'As-Filed Schedule 2E'!N25</f>
        <v>0</v>
      </c>
      <c r="W25" s="307">
        <f>SUMIFS(Adjustments!$G:$G,Adjustments!$H:$H,"2E",Adjustments!$I:$I,'Schedule 2E Adjustments'!$V$12,Adjustments!$J:$J,'Schedule 2E Adjustments'!$A25)</f>
        <v>0</v>
      </c>
      <c r="X25" s="303">
        <f t="shared" si="6"/>
        <v>0</v>
      </c>
      <c r="Y25" s="117">
        <f>'As-Filed Schedule 2E'!O25</f>
        <v>0</v>
      </c>
      <c r="Z25" s="307">
        <f>SUMIFS(Adjustments!$G:$G,Adjustments!$H:$H,"2E",Adjustments!$I:$I,'Schedule 2E Adjustments'!$Y$12,Adjustments!$J:$J,'Schedule 2E Adjustments'!$A25)</f>
        <v>0</v>
      </c>
      <c r="AA25" s="303">
        <f t="shared" si="7"/>
        <v>0</v>
      </c>
    </row>
    <row r="26" spans="1:27" x14ac:dyDescent="0.35">
      <c r="A26" s="24">
        <v>12</v>
      </c>
      <c r="B26" s="565" t="str">
        <f>IF('As-Filed Schedule 2E'!B26:D26=0,"",'As-Filed Schedule 2E'!B26:D26)</f>
        <v/>
      </c>
      <c r="C26" s="565"/>
      <c r="D26" s="565"/>
      <c r="F26" s="114">
        <f>'As-Filed Schedule 2E'!F26</f>
        <v>0</v>
      </c>
      <c r="G26" s="307">
        <f>SUMIFS(Adjustments!$G:$G,Adjustments!$H:$H,"2E",Adjustments!$I:$I,'Schedule 2E Adjustments'!$F$12,Adjustments!$J:$J,'Schedule 2E Adjustments'!$A26)</f>
        <v>0</v>
      </c>
      <c r="H26" s="303">
        <f t="shared" si="0"/>
        <v>0</v>
      </c>
      <c r="I26" s="68">
        <f>IFERROR(F26*'As-Filed Schedule 1'!$E$103,0)</f>
        <v>0</v>
      </c>
      <c r="J26" s="304">
        <f>IFERROR(H26*'Adjusted Schedule 1'!$E$104,0)</f>
        <v>0</v>
      </c>
      <c r="K26" s="68">
        <f t="shared" si="1"/>
        <v>0</v>
      </c>
      <c r="L26" s="304">
        <f t="shared" si="2"/>
        <v>0</v>
      </c>
      <c r="N26" s="114">
        <f>'As-Filed Schedule 2E'!J26</f>
        <v>0</v>
      </c>
      <c r="O26" s="307">
        <f>SUMIFS(Adjustments!$G:$G,Adjustments!$H:$H,"2E",Adjustments!$I:$I,'Schedule 2E Adjustments'!$N$12,Adjustments!$J:$J,'Schedule 2E Adjustments'!$A26)</f>
        <v>0</v>
      </c>
      <c r="P26" s="303">
        <f t="shared" si="3"/>
        <v>0</v>
      </c>
      <c r="Q26" s="68">
        <f>IFERROR(N26*'As-Filed Schedule 1'!$E$103,0)</f>
        <v>0</v>
      </c>
      <c r="R26" s="68">
        <f>IFERROR(P26*'Adjusted Schedule 1'!$E$104,0)</f>
        <v>0</v>
      </c>
      <c r="S26" s="68">
        <f t="shared" si="4"/>
        <v>0</v>
      </c>
      <c r="T26" s="304">
        <f t="shared" si="5"/>
        <v>0</v>
      </c>
      <c r="V26" s="117">
        <f>'As-Filed Schedule 2E'!N26</f>
        <v>0</v>
      </c>
      <c r="W26" s="307">
        <f>SUMIFS(Adjustments!$G:$G,Adjustments!$H:$H,"2E",Adjustments!$I:$I,'Schedule 2E Adjustments'!$V$12,Adjustments!$J:$J,'Schedule 2E Adjustments'!$A26)</f>
        <v>0</v>
      </c>
      <c r="X26" s="303">
        <f t="shared" si="6"/>
        <v>0</v>
      </c>
      <c r="Y26" s="117">
        <f>'As-Filed Schedule 2E'!O26</f>
        <v>0</v>
      </c>
      <c r="Z26" s="307">
        <f>SUMIFS(Adjustments!$G:$G,Adjustments!$H:$H,"2E",Adjustments!$I:$I,'Schedule 2E Adjustments'!$Y$12,Adjustments!$J:$J,'Schedule 2E Adjustments'!$A26)</f>
        <v>0</v>
      </c>
      <c r="AA26" s="303">
        <f t="shared" si="7"/>
        <v>0</v>
      </c>
    </row>
    <row r="27" spans="1:27" x14ac:dyDescent="0.35">
      <c r="A27" s="24">
        <v>13</v>
      </c>
      <c r="B27" s="565" t="str">
        <f>IF('As-Filed Schedule 2E'!B27:D27=0,"",'As-Filed Schedule 2E'!B27:D27)</f>
        <v/>
      </c>
      <c r="C27" s="565"/>
      <c r="D27" s="565"/>
      <c r="F27" s="114">
        <f>'As-Filed Schedule 2E'!F27</f>
        <v>0</v>
      </c>
      <c r="G27" s="307">
        <f>SUMIFS(Adjustments!$G:$G,Adjustments!$H:$H,"2E",Adjustments!$I:$I,'Schedule 2E Adjustments'!$F$12,Adjustments!$J:$J,'Schedule 2E Adjustments'!$A27)</f>
        <v>0</v>
      </c>
      <c r="H27" s="303">
        <f t="shared" si="0"/>
        <v>0</v>
      </c>
      <c r="I27" s="68">
        <f>IFERROR(F27*'As-Filed Schedule 1'!$E$103,0)</f>
        <v>0</v>
      </c>
      <c r="J27" s="304">
        <f>IFERROR(H27*'Adjusted Schedule 1'!$E$104,0)</f>
        <v>0</v>
      </c>
      <c r="K27" s="68">
        <f t="shared" si="1"/>
        <v>0</v>
      </c>
      <c r="L27" s="304">
        <f t="shared" si="2"/>
        <v>0</v>
      </c>
      <c r="N27" s="114">
        <f>'As-Filed Schedule 2E'!J27</f>
        <v>0</v>
      </c>
      <c r="O27" s="307">
        <f>SUMIFS(Adjustments!$G:$G,Adjustments!$H:$H,"2E",Adjustments!$I:$I,'Schedule 2E Adjustments'!$N$12,Adjustments!$J:$J,'Schedule 2E Adjustments'!$A27)</f>
        <v>0</v>
      </c>
      <c r="P27" s="303">
        <f t="shared" si="3"/>
        <v>0</v>
      </c>
      <c r="Q27" s="68">
        <f>IFERROR(N27*'As-Filed Schedule 1'!$E$103,0)</f>
        <v>0</v>
      </c>
      <c r="R27" s="68">
        <f>IFERROR(P27*'Adjusted Schedule 1'!$E$104,0)</f>
        <v>0</v>
      </c>
      <c r="S27" s="68">
        <f t="shared" si="4"/>
        <v>0</v>
      </c>
      <c r="T27" s="304">
        <f t="shared" si="5"/>
        <v>0</v>
      </c>
      <c r="V27" s="117">
        <f>'As-Filed Schedule 2E'!N27</f>
        <v>0</v>
      </c>
      <c r="W27" s="307">
        <f>SUMIFS(Adjustments!$G:$G,Adjustments!$H:$H,"2E",Adjustments!$I:$I,'Schedule 2E Adjustments'!$V$12,Adjustments!$J:$J,'Schedule 2E Adjustments'!$A27)</f>
        <v>0</v>
      </c>
      <c r="X27" s="303">
        <f t="shared" si="6"/>
        <v>0</v>
      </c>
      <c r="Y27" s="117">
        <f>'As-Filed Schedule 2E'!O27</f>
        <v>0</v>
      </c>
      <c r="Z27" s="307">
        <f>SUMIFS(Adjustments!$G:$G,Adjustments!$H:$H,"2E",Adjustments!$I:$I,'Schedule 2E Adjustments'!$Y$12,Adjustments!$J:$J,'Schedule 2E Adjustments'!$A27)</f>
        <v>0</v>
      </c>
      <c r="AA27" s="303">
        <f t="shared" si="7"/>
        <v>0</v>
      </c>
    </row>
    <row r="28" spans="1:27" x14ac:dyDescent="0.35">
      <c r="A28" s="24">
        <v>14</v>
      </c>
      <c r="B28" s="565" t="str">
        <f>IF('As-Filed Schedule 2E'!B28:D28=0,"",'As-Filed Schedule 2E'!B28:D28)</f>
        <v/>
      </c>
      <c r="C28" s="565"/>
      <c r="D28" s="565"/>
      <c r="F28" s="114">
        <f>'As-Filed Schedule 2E'!F28</f>
        <v>0</v>
      </c>
      <c r="G28" s="307">
        <f>SUMIFS(Adjustments!$G:$G,Adjustments!$H:$H,"2E",Adjustments!$I:$I,'Schedule 2E Adjustments'!$F$12,Adjustments!$J:$J,'Schedule 2E Adjustments'!$A28)</f>
        <v>0</v>
      </c>
      <c r="H28" s="303">
        <f t="shared" si="0"/>
        <v>0</v>
      </c>
      <c r="I28" s="68">
        <f>IFERROR(F28*'As-Filed Schedule 1'!$E$103,0)</f>
        <v>0</v>
      </c>
      <c r="J28" s="304">
        <f>IFERROR(H28*'Adjusted Schedule 1'!$E$104,0)</f>
        <v>0</v>
      </c>
      <c r="K28" s="68">
        <f t="shared" si="1"/>
        <v>0</v>
      </c>
      <c r="L28" s="304">
        <f t="shared" si="2"/>
        <v>0</v>
      </c>
      <c r="N28" s="114">
        <f>'As-Filed Schedule 2E'!J28</f>
        <v>0</v>
      </c>
      <c r="O28" s="307">
        <f>SUMIFS(Adjustments!$G:$G,Adjustments!$H:$H,"2E",Adjustments!$I:$I,'Schedule 2E Adjustments'!$N$12,Adjustments!$J:$J,'Schedule 2E Adjustments'!$A28)</f>
        <v>0</v>
      </c>
      <c r="P28" s="303">
        <f t="shared" si="3"/>
        <v>0</v>
      </c>
      <c r="Q28" s="68">
        <f>IFERROR(N28*'As-Filed Schedule 1'!$E$103,0)</f>
        <v>0</v>
      </c>
      <c r="R28" s="68">
        <f>IFERROR(P28*'Adjusted Schedule 1'!$E$104,0)</f>
        <v>0</v>
      </c>
      <c r="S28" s="68">
        <f t="shared" si="4"/>
        <v>0</v>
      </c>
      <c r="T28" s="304">
        <f t="shared" si="5"/>
        <v>0</v>
      </c>
      <c r="V28" s="117">
        <f>'As-Filed Schedule 2E'!N28</f>
        <v>0</v>
      </c>
      <c r="W28" s="307">
        <f>SUMIFS(Adjustments!$G:$G,Adjustments!$H:$H,"2E",Adjustments!$I:$I,'Schedule 2E Adjustments'!$V$12,Adjustments!$J:$J,'Schedule 2E Adjustments'!$A28)</f>
        <v>0</v>
      </c>
      <c r="X28" s="303">
        <f t="shared" si="6"/>
        <v>0</v>
      </c>
      <c r="Y28" s="117">
        <f>'As-Filed Schedule 2E'!O28</f>
        <v>0</v>
      </c>
      <c r="Z28" s="307">
        <f>SUMIFS(Adjustments!$G:$G,Adjustments!$H:$H,"2E",Adjustments!$I:$I,'Schedule 2E Adjustments'!$Y$12,Adjustments!$J:$J,'Schedule 2E Adjustments'!$A28)</f>
        <v>0</v>
      </c>
      <c r="AA28" s="303">
        <f t="shared" si="7"/>
        <v>0</v>
      </c>
    </row>
    <row r="29" spans="1:27" x14ac:dyDescent="0.35">
      <c r="A29" s="24">
        <v>15</v>
      </c>
      <c r="B29" s="565" t="str">
        <f>IF('As-Filed Schedule 2E'!B29:D29=0,"",'As-Filed Schedule 2E'!B29:D29)</f>
        <v/>
      </c>
      <c r="C29" s="565"/>
      <c r="D29" s="565"/>
      <c r="F29" s="114">
        <f>'As-Filed Schedule 2E'!F29</f>
        <v>0</v>
      </c>
      <c r="G29" s="307">
        <f>SUMIFS(Adjustments!$G:$G,Adjustments!$H:$H,"2E",Adjustments!$I:$I,'Schedule 2E Adjustments'!$F$12,Adjustments!$J:$J,'Schedule 2E Adjustments'!$A29)</f>
        <v>0</v>
      </c>
      <c r="H29" s="303">
        <f t="shared" si="0"/>
        <v>0</v>
      </c>
      <c r="I29" s="68">
        <f>IFERROR(F29*'As-Filed Schedule 1'!$E$103,0)</f>
        <v>0</v>
      </c>
      <c r="J29" s="304">
        <f>IFERROR(H29*'Adjusted Schedule 1'!$E$104,0)</f>
        <v>0</v>
      </c>
      <c r="K29" s="68">
        <f t="shared" si="1"/>
        <v>0</v>
      </c>
      <c r="L29" s="304">
        <f t="shared" si="2"/>
        <v>0</v>
      </c>
      <c r="N29" s="114">
        <f>'As-Filed Schedule 2E'!J29</f>
        <v>0</v>
      </c>
      <c r="O29" s="307">
        <f>SUMIFS(Adjustments!$G:$G,Adjustments!$H:$H,"2E",Adjustments!$I:$I,'Schedule 2E Adjustments'!$N$12,Adjustments!$J:$J,'Schedule 2E Adjustments'!$A29)</f>
        <v>0</v>
      </c>
      <c r="P29" s="303">
        <f t="shared" si="3"/>
        <v>0</v>
      </c>
      <c r="Q29" s="68">
        <f>IFERROR(N29*'As-Filed Schedule 1'!$E$103,0)</f>
        <v>0</v>
      </c>
      <c r="R29" s="68">
        <f>IFERROR(P29*'Adjusted Schedule 1'!$E$104,0)</f>
        <v>0</v>
      </c>
      <c r="S29" s="68">
        <f t="shared" si="4"/>
        <v>0</v>
      </c>
      <c r="T29" s="304">
        <f t="shared" si="5"/>
        <v>0</v>
      </c>
      <c r="V29" s="117">
        <f>'As-Filed Schedule 2E'!N29</f>
        <v>0</v>
      </c>
      <c r="W29" s="307">
        <f>SUMIFS(Adjustments!$G:$G,Adjustments!$H:$H,"2E",Adjustments!$I:$I,'Schedule 2E Adjustments'!$V$12,Adjustments!$J:$J,'Schedule 2E Adjustments'!$A29)</f>
        <v>0</v>
      </c>
      <c r="X29" s="303">
        <f t="shared" si="6"/>
        <v>0</v>
      </c>
      <c r="Y29" s="117">
        <f>'As-Filed Schedule 2E'!O29</f>
        <v>0</v>
      </c>
      <c r="Z29" s="307">
        <f>SUMIFS(Adjustments!$G:$G,Adjustments!$H:$H,"2E",Adjustments!$I:$I,'Schedule 2E Adjustments'!$Y$12,Adjustments!$J:$J,'Schedule 2E Adjustments'!$A29)</f>
        <v>0</v>
      </c>
      <c r="AA29" s="303">
        <f t="shared" si="7"/>
        <v>0</v>
      </c>
    </row>
    <row r="30" spans="1:27" x14ac:dyDescent="0.35">
      <c r="A30" s="24">
        <v>16</v>
      </c>
      <c r="B30" s="565" t="str">
        <f>IF('As-Filed Schedule 2E'!B30:D30=0,"",'As-Filed Schedule 2E'!B30:D30)</f>
        <v/>
      </c>
      <c r="C30" s="565"/>
      <c r="D30" s="565"/>
      <c r="F30" s="114">
        <f>'As-Filed Schedule 2E'!F30</f>
        <v>0</v>
      </c>
      <c r="G30" s="307">
        <f>SUMIFS(Adjustments!$G:$G,Adjustments!$H:$H,"2E",Adjustments!$I:$I,'Schedule 2E Adjustments'!$F$12,Adjustments!$J:$J,'Schedule 2E Adjustments'!$A30)</f>
        <v>0</v>
      </c>
      <c r="H30" s="303">
        <f t="shared" si="0"/>
        <v>0</v>
      </c>
      <c r="I30" s="68">
        <f>IFERROR(F30*'As-Filed Schedule 1'!$E$103,0)</f>
        <v>0</v>
      </c>
      <c r="J30" s="304">
        <f>IFERROR(H30*'Adjusted Schedule 1'!$E$104,0)</f>
        <v>0</v>
      </c>
      <c r="K30" s="68">
        <f t="shared" si="1"/>
        <v>0</v>
      </c>
      <c r="L30" s="304">
        <f t="shared" si="2"/>
        <v>0</v>
      </c>
      <c r="N30" s="114">
        <f>'As-Filed Schedule 2E'!J30</f>
        <v>0</v>
      </c>
      <c r="O30" s="307">
        <f>SUMIFS(Adjustments!$G:$G,Adjustments!$H:$H,"2E",Adjustments!$I:$I,'Schedule 2E Adjustments'!$N$12,Adjustments!$J:$J,'Schedule 2E Adjustments'!$A30)</f>
        <v>0</v>
      </c>
      <c r="P30" s="303">
        <f t="shared" si="3"/>
        <v>0</v>
      </c>
      <c r="Q30" s="68">
        <f>IFERROR(N30*'As-Filed Schedule 1'!$E$103,0)</f>
        <v>0</v>
      </c>
      <c r="R30" s="68">
        <f>IFERROR(P30*'Adjusted Schedule 1'!$E$104,0)</f>
        <v>0</v>
      </c>
      <c r="S30" s="68">
        <f t="shared" si="4"/>
        <v>0</v>
      </c>
      <c r="T30" s="304">
        <f t="shared" si="5"/>
        <v>0</v>
      </c>
      <c r="V30" s="117">
        <f>'As-Filed Schedule 2E'!N30</f>
        <v>0</v>
      </c>
      <c r="W30" s="307">
        <f>SUMIFS(Adjustments!$G:$G,Adjustments!$H:$H,"2E",Adjustments!$I:$I,'Schedule 2E Adjustments'!$V$12,Adjustments!$J:$J,'Schedule 2E Adjustments'!$A30)</f>
        <v>0</v>
      </c>
      <c r="X30" s="303">
        <f t="shared" si="6"/>
        <v>0</v>
      </c>
      <c r="Y30" s="117">
        <f>'As-Filed Schedule 2E'!O30</f>
        <v>0</v>
      </c>
      <c r="Z30" s="307">
        <f>SUMIFS(Adjustments!$G:$G,Adjustments!$H:$H,"2E",Adjustments!$I:$I,'Schedule 2E Adjustments'!$Y$12,Adjustments!$J:$J,'Schedule 2E Adjustments'!$A30)</f>
        <v>0</v>
      </c>
      <c r="AA30" s="303">
        <f t="shared" si="7"/>
        <v>0</v>
      </c>
    </row>
    <row r="31" spans="1:27" x14ac:dyDescent="0.35">
      <c r="A31" s="24">
        <v>17</v>
      </c>
      <c r="B31" s="565" t="str">
        <f>IF('As-Filed Schedule 2E'!B31:D31=0,"",'As-Filed Schedule 2E'!B31:D31)</f>
        <v/>
      </c>
      <c r="C31" s="565"/>
      <c r="D31" s="565"/>
      <c r="F31" s="114">
        <f>'As-Filed Schedule 2E'!F31</f>
        <v>0</v>
      </c>
      <c r="G31" s="307">
        <f>SUMIFS(Adjustments!$G:$G,Adjustments!$H:$H,"2E",Adjustments!$I:$I,'Schedule 2E Adjustments'!$F$12,Adjustments!$J:$J,'Schedule 2E Adjustments'!$A31)</f>
        <v>0</v>
      </c>
      <c r="H31" s="303">
        <f t="shared" si="0"/>
        <v>0</v>
      </c>
      <c r="I31" s="68">
        <f>IFERROR(F31*'As-Filed Schedule 1'!$E$103,0)</f>
        <v>0</v>
      </c>
      <c r="J31" s="304">
        <f>IFERROR(H31*'Adjusted Schedule 1'!$E$104,0)</f>
        <v>0</v>
      </c>
      <c r="K31" s="68">
        <f t="shared" si="1"/>
        <v>0</v>
      </c>
      <c r="L31" s="304">
        <f t="shared" si="2"/>
        <v>0</v>
      </c>
      <c r="N31" s="114">
        <f>'As-Filed Schedule 2E'!J31</f>
        <v>0</v>
      </c>
      <c r="O31" s="307">
        <f>SUMIFS(Adjustments!$G:$G,Adjustments!$H:$H,"2E",Adjustments!$I:$I,'Schedule 2E Adjustments'!$N$12,Adjustments!$J:$J,'Schedule 2E Adjustments'!$A31)</f>
        <v>0</v>
      </c>
      <c r="P31" s="303">
        <f t="shared" si="3"/>
        <v>0</v>
      </c>
      <c r="Q31" s="68">
        <f>IFERROR(N31*'As-Filed Schedule 1'!$E$103,0)</f>
        <v>0</v>
      </c>
      <c r="R31" s="68">
        <f>IFERROR(P31*'Adjusted Schedule 1'!$E$104,0)</f>
        <v>0</v>
      </c>
      <c r="S31" s="68">
        <f t="shared" si="4"/>
        <v>0</v>
      </c>
      <c r="T31" s="304">
        <f t="shared" si="5"/>
        <v>0</v>
      </c>
      <c r="V31" s="117">
        <f>'As-Filed Schedule 2E'!N31</f>
        <v>0</v>
      </c>
      <c r="W31" s="307">
        <f>SUMIFS(Adjustments!$G:$G,Adjustments!$H:$H,"2E",Adjustments!$I:$I,'Schedule 2E Adjustments'!$V$12,Adjustments!$J:$J,'Schedule 2E Adjustments'!$A31)</f>
        <v>0</v>
      </c>
      <c r="X31" s="303">
        <f t="shared" si="6"/>
        <v>0</v>
      </c>
      <c r="Y31" s="117">
        <f>'As-Filed Schedule 2E'!O31</f>
        <v>0</v>
      </c>
      <c r="Z31" s="307">
        <f>SUMIFS(Adjustments!$G:$G,Adjustments!$H:$H,"2E",Adjustments!$I:$I,'Schedule 2E Adjustments'!$Y$12,Adjustments!$J:$J,'Schedule 2E Adjustments'!$A31)</f>
        <v>0</v>
      </c>
      <c r="AA31" s="303">
        <f t="shared" si="7"/>
        <v>0</v>
      </c>
    </row>
    <row r="32" spans="1:27" x14ac:dyDescent="0.35">
      <c r="A32" s="24">
        <v>18</v>
      </c>
      <c r="B32" s="565" t="str">
        <f>IF('As-Filed Schedule 2E'!B32:D32=0,"",'As-Filed Schedule 2E'!B32:D32)</f>
        <v/>
      </c>
      <c r="C32" s="565"/>
      <c r="D32" s="565"/>
      <c r="F32" s="114">
        <f>'As-Filed Schedule 2E'!F32</f>
        <v>0</v>
      </c>
      <c r="G32" s="307">
        <f>SUMIFS(Adjustments!$G:$G,Adjustments!$H:$H,"2E",Adjustments!$I:$I,'Schedule 2E Adjustments'!$F$12,Adjustments!$J:$J,'Schedule 2E Adjustments'!$A32)</f>
        <v>0</v>
      </c>
      <c r="H32" s="303">
        <f t="shared" si="0"/>
        <v>0</v>
      </c>
      <c r="I32" s="68">
        <f>IFERROR(F32*'As-Filed Schedule 1'!$E$103,0)</f>
        <v>0</v>
      </c>
      <c r="J32" s="304">
        <f>IFERROR(H32*'Adjusted Schedule 1'!$E$104,0)</f>
        <v>0</v>
      </c>
      <c r="K32" s="68">
        <f t="shared" si="1"/>
        <v>0</v>
      </c>
      <c r="L32" s="304">
        <f t="shared" si="2"/>
        <v>0</v>
      </c>
      <c r="N32" s="114">
        <f>'As-Filed Schedule 2E'!J32</f>
        <v>0</v>
      </c>
      <c r="O32" s="307">
        <f>SUMIFS(Adjustments!$G:$G,Adjustments!$H:$H,"2E",Adjustments!$I:$I,'Schedule 2E Adjustments'!$N$12,Adjustments!$J:$J,'Schedule 2E Adjustments'!$A32)</f>
        <v>0</v>
      </c>
      <c r="P32" s="303">
        <f t="shared" si="3"/>
        <v>0</v>
      </c>
      <c r="Q32" s="68">
        <f>IFERROR(N32*'As-Filed Schedule 1'!$E$103,0)</f>
        <v>0</v>
      </c>
      <c r="R32" s="68">
        <f>IFERROR(P32*'Adjusted Schedule 1'!$E$104,0)</f>
        <v>0</v>
      </c>
      <c r="S32" s="68">
        <f t="shared" si="4"/>
        <v>0</v>
      </c>
      <c r="T32" s="304">
        <f t="shared" si="5"/>
        <v>0</v>
      </c>
      <c r="V32" s="117">
        <f>'As-Filed Schedule 2E'!N32</f>
        <v>0</v>
      </c>
      <c r="W32" s="307">
        <f>SUMIFS(Adjustments!$G:$G,Adjustments!$H:$H,"2E",Adjustments!$I:$I,'Schedule 2E Adjustments'!$V$12,Adjustments!$J:$J,'Schedule 2E Adjustments'!$A32)</f>
        <v>0</v>
      </c>
      <c r="X32" s="303">
        <f t="shared" si="6"/>
        <v>0</v>
      </c>
      <c r="Y32" s="117">
        <f>'As-Filed Schedule 2E'!O32</f>
        <v>0</v>
      </c>
      <c r="Z32" s="307">
        <f>SUMIFS(Adjustments!$G:$G,Adjustments!$H:$H,"2E",Adjustments!$I:$I,'Schedule 2E Adjustments'!$Y$12,Adjustments!$J:$J,'Schedule 2E Adjustments'!$A32)</f>
        <v>0</v>
      </c>
      <c r="AA32" s="303">
        <f t="shared" si="7"/>
        <v>0</v>
      </c>
    </row>
    <row r="33" spans="1:27" x14ac:dyDescent="0.35">
      <c r="A33" s="24">
        <v>19</v>
      </c>
      <c r="B33" s="565" t="str">
        <f>IF('As-Filed Schedule 2E'!B33:D33=0,"",'As-Filed Schedule 2E'!B33:D33)</f>
        <v/>
      </c>
      <c r="C33" s="565"/>
      <c r="D33" s="565"/>
      <c r="F33" s="114">
        <f>'As-Filed Schedule 2E'!F33</f>
        <v>0</v>
      </c>
      <c r="G33" s="307">
        <f>SUMIFS(Adjustments!$G:$G,Adjustments!$H:$H,"2E",Adjustments!$I:$I,'Schedule 2E Adjustments'!$F$12,Adjustments!$J:$J,'Schedule 2E Adjustments'!$A33)</f>
        <v>0</v>
      </c>
      <c r="H33" s="303">
        <f t="shared" si="0"/>
        <v>0</v>
      </c>
      <c r="I33" s="68">
        <f>IFERROR(F33*'As-Filed Schedule 1'!$E$103,0)</f>
        <v>0</v>
      </c>
      <c r="J33" s="304">
        <f>IFERROR(H33*'Adjusted Schedule 1'!$E$104,0)</f>
        <v>0</v>
      </c>
      <c r="K33" s="68">
        <f t="shared" si="1"/>
        <v>0</v>
      </c>
      <c r="L33" s="304">
        <f t="shared" si="2"/>
        <v>0</v>
      </c>
      <c r="N33" s="114">
        <f>'As-Filed Schedule 2E'!J33</f>
        <v>0</v>
      </c>
      <c r="O33" s="307">
        <f>SUMIFS(Adjustments!$G:$G,Adjustments!$H:$H,"2E",Adjustments!$I:$I,'Schedule 2E Adjustments'!$N$12,Adjustments!$J:$J,'Schedule 2E Adjustments'!$A33)</f>
        <v>0</v>
      </c>
      <c r="P33" s="303">
        <f t="shared" si="3"/>
        <v>0</v>
      </c>
      <c r="Q33" s="68">
        <f>IFERROR(N33*'As-Filed Schedule 1'!$E$103,0)</f>
        <v>0</v>
      </c>
      <c r="R33" s="68">
        <f>IFERROR(P33*'Adjusted Schedule 1'!$E$104,0)</f>
        <v>0</v>
      </c>
      <c r="S33" s="68">
        <f t="shared" si="4"/>
        <v>0</v>
      </c>
      <c r="T33" s="304">
        <f t="shared" si="5"/>
        <v>0</v>
      </c>
      <c r="V33" s="117">
        <f>'As-Filed Schedule 2E'!N33</f>
        <v>0</v>
      </c>
      <c r="W33" s="307">
        <f>SUMIFS(Adjustments!$G:$G,Adjustments!$H:$H,"2E",Adjustments!$I:$I,'Schedule 2E Adjustments'!$V$12,Adjustments!$J:$J,'Schedule 2E Adjustments'!$A33)</f>
        <v>0</v>
      </c>
      <c r="X33" s="303">
        <f t="shared" si="6"/>
        <v>0</v>
      </c>
      <c r="Y33" s="117">
        <f>'As-Filed Schedule 2E'!O33</f>
        <v>0</v>
      </c>
      <c r="Z33" s="307">
        <f>SUMIFS(Adjustments!$G:$G,Adjustments!$H:$H,"2E",Adjustments!$I:$I,'Schedule 2E Adjustments'!$Y$12,Adjustments!$J:$J,'Schedule 2E Adjustments'!$A33)</f>
        <v>0</v>
      </c>
      <c r="AA33" s="303">
        <f t="shared" si="7"/>
        <v>0</v>
      </c>
    </row>
    <row r="34" spans="1:27" x14ac:dyDescent="0.35">
      <c r="A34" s="24">
        <v>20</v>
      </c>
      <c r="B34" s="565" t="str">
        <f>IF('As-Filed Schedule 2E'!B34:D34=0,"",'As-Filed Schedule 2E'!B34:D34)</f>
        <v/>
      </c>
      <c r="C34" s="565"/>
      <c r="D34" s="565"/>
      <c r="F34" s="114">
        <f>'As-Filed Schedule 2E'!F34</f>
        <v>0</v>
      </c>
      <c r="G34" s="307">
        <f>SUMIFS(Adjustments!$G:$G,Adjustments!$H:$H,"2E",Adjustments!$I:$I,'Schedule 2E Adjustments'!$F$12,Adjustments!$J:$J,'Schedule 2E Adjustments'!$A34)</f>
        <v>0</v>
      </c>
      <c r="H34" s="303">
        <f t="shared" si="0"/>
        <v>0</v>
      </c>
      <c r="I34" s="68">
        <f>IFERROR(F34*'As-Filed Schedule 1'!$E$103,0)</f>
        <v>0</v>
      </c>
      <c r="J34" s="304">
        <f>IFERROR(H34*'Adjusted Schedule 1'!$E$104,0)</f>
        <v>0</v>
      </c>
      <c r="K34" s="68">
        <f t="shared" si="1"/>
        <v>0</v>
      </c>
      <c r="L34" s="304">
        <f t="shared" si="2"/>
        <v>0</v>
      </c>
      <c r="N34" s="114">
        <f>'As-Filed Schedule 2E'!J34</f>
        <v>0</v>
      </c>
      <c r="O34" s="307">
        <f>SUMIFS(Adjustments!$G:$G,Adjustments!$H:$H,"2E",Adjustments!$I:$I,'Schedule 2E Adjustments'!$N$12,Adjustments!$J:$J,'Schedule 2E Adjustments'!$A34)</f>
        <v>0</v>
      </c>
      <c r="P34" s="303">
        <f t="shared" si="3"/>
        <v>0</v>
      </c>
      <c r="Q34" s="68">
        <f>IFERROR(N34*'As-Filed Schedule 1'!$E$103,0)</f>
        <v>0</v>
      </c>
      <c r="R34" s="68">
        <f>IFERROR(P34*'Adjusted Schedule 1'!$E$104,0)</f>
        <v>0</v>
      </c>
      <c r="S34" s="68">
        <f t="shared" si="4"/>
        <v>0</v>
      </c>
      <c r="T34" s="304">
        <f t="shared" si="5"/>
        <v>0</v>
      </c>
      <c r="V34" s="117">
        <f>'As-Filed Schedule 2E'!N34</f>
        <v>0</v>
      </c>
      <c r="W34" s="307">
        <f>SUMIFS(Adjustments!$G:$G,Adjustments!$H:$H,"2E",Adjustments!$I:$I,'Schedule 2E Adjustments'!$V$12,Adjustments!$J:$J,'Schedule 2E Adjustments'!$A34)</f>
        <v>0</v>
      </c>
      <c r="X34" s="303">
        <f t="shared" si="6"/>
        <v>0</v>
      </c>
      <c r="Y34" s="117">
        <f>'As-Filed Schedule 2E'!O34</f>
        <v>0</v>
      </c>
      <c r="Z34" s="307">
        <f>SUMIFS(Adjustments!$G:$G,Adjustments!$H:$H,"2E",Adjustments!$I:$I,'Schedule 2E Adjustments'!$Y$12,Adjustments!$J:$J,'Schedule 2E Adjustments'!$A34)</f>
        <v>0</v>
      </c>
      <c r="AA34" s="303">
        <f t="shared" si="7"/>
        <v>0</v>
      </c>
    </row>
    <row r="35" spans="1:27" x14ac:dyDescent="0.35">
      <c r="A35" s="24">
        <v>21</v>
      </c>
      <c r="B35" s="565" t="str">
        <f>IF('As-Filed Schedule 2E'!B35:D35=0,"",'As-Filed Schedule 2E'!B35:D35)</f>
        <v/>
      </c>
      <c r="C35" s="565"/>
      <c r="D35" s="565"/>
      <c r="F35" s="114">
        <f>'As-Filed Schedule 2E'!F35</f>
        <v>0</v>
      </c>
      <c r="G35" s="307">
        <f>SUMIFS(Adjustments!$G:$G,Adjustments!$H:$H,"2E",Adjustments!$I:$I,'Schedule 2E Adjustments'!$F$12,Adjustments!$J:$J,'Schedule 2E Adjustments'!$A35)</f>
        <v>0</v>
      </c>
      <c r="H35" s="303">
        <f t="shared" si="0"/>
        <v>0</v>
      </c>
      <c r="I35" s="68">
        <f>IFERROR(F35*'As-Filed Schedule 1'!$E$103,0)</f>
        <v>0</v>
      </c>
      <c r="J35" s="304">
        <f>IFERROR(H35*'Adjusted Schedule 1'!$E$104,0)</f>
        <v>0</v>
      </c>
      <c r="K35" s="68">
        <f t="shared" si="1"/>
        <v>0</v>
      </c>
      <c r="L35" s="304">
        <f t="shared" si="2"/>
        <v>0</v>
      </c>
      <c r="N35" s="114">
        <f>'As-Filed Schedule 2E'!J35</f>
        <v>0</v>
      </c>
      <c r="O35" s="307">
        <f>SUMIFS(Adjustments!$G:$G,Adjustments!$H:$H,"2E",Adjustments!$I:$I,'Schedule 2E Adjustments'!$N$12,Adjustments!$J:$J,'Schedule 2E Adjustments'!$A35)</f>
        <v>0</v>
      </c>
      <c r="P35" s="303">
        <f t="shared" si="3"/>
        <v>0</v>
      </c>
      <c r="Q35" s="68">
        <f>IFERROR(N35*'As-Filed Schedule 1'!$E$103,0)</f>
        <v>0</v>
      </c>
      <c r="R35" s="68">
        <f>IFERROR(P35*'Adjusted Schedule 1'!$E$104,0)</f>
        <v>0</v>
      </c>
      <c r="S35" s="68">
        <f t="shared" si="4"/>
        <v>0</v>
      </c>
      <c r="T35" s="304">
        <f t="shared" si="5"/>
        <v>0</v>
      </c>
      <c r="V35" s="117">
        <f>'As-Filed Schedule 2E'!N35</f>
        <v>0</v>
      </c>
      <c r="W35" s="307">
        <f>SUMIFS(Adjustments!$G:$G,Adjustments!$H:$H,"2E",Adjustments!$I:$I,'Schedule 2E Adjustments'!$V$12,Adjustments!$J:$J,'Schedule 2E Adjustments'!$A35)</f>
        <v>0</v>
      </c>
      <c r="X35" s="303">
        <f t="shared" si="6"/>
        <v>0</v>
      </c>
      <c r="Y35" s="117">
        <f>'As-Filed Schedule 2E'!O35</f>
        <v>0</v>
      </c>
      <c r="Z35" s="307">
        <f>SUMIFS(Adjustments!$G:$G,Adjustments!$H:$H,"2E",Adjustments!$I:$I,'Schedule 2E Adjustments'!$Y$12,Adjustments!$J:$J,'Schedule 2E Adjustments'!$A35)</f>
        <v>0</v>
      </c>
      <c r="AA35" s="303">
        <f t="shared" si="7"/>
        <v>0</v>
      </c>
    </row>
    <row r="36" spans="1:27" x14ac:dyDescent="0.35">
      <c r="A36" s="24">
        <v>22</v>
      </c>
      <c r="B36" s="565" t="str">
        <f>IF('As-Filed Schedule 2E'!B36:D36=0,"",'As-Filed Schedule 2E'!B36:D36)</f>
        <v/>
      </c>
      <c r="C36" s="565"/>
      <c r="D36" s="565"/>
      <c r="F36" s="114">
        <f>'As-Filed Schedule 2E'!F36</f>
        <v>0</v>
      </c>
      <c r="G36" s="307">
        <f>SUMIFS(Adjustments!$G:$G,Adjustments!$H:$H,"2E",Adjustments!$I:$I,'Schedule 2E Adjustments'!$F$12,Adjustments!$J:$J,'Schedule 2E Adjustments'!$A36)</f>
        <v>0</v>
      </c>
      <c r="H36" s="303">
        <f t="shared" si="0"/>
        <v>0</v>
      </c>
      <c r="I36" s="68">
        <f>IFERROR(F36*'As-Filed Schedule 1'!$E$103,0)</f>
        <v>0</v>
      </c>
      <c r="J36" s="304">
        <f>IFERROR(H36*'Adjusted Schedule 1'!$E$104,0)</f>
        <v>0</v>
      </c>
      <c r="K36" s="68">
        <f t="shared" si="1"/>
        <v>0</v>
      </c>
      <c r="L36" s="304">
        <f t="shared" si="2"/>
        <v>0</v>
      </c>
      <c r="N36" s="114">
        <f>'As-Filed Schedule 2E'!J36</f>
        <v>0</v>
      </c>
      <c r="O36" s="307">
        <f>SUMIFS(Adjustments!$G:$G,Adjustments!$H:$H,"2E",Adjustments!$I:$I,'Schedule 2E Adjustments'!$N$12,Adjustments!$J:$J,'Schedule 2E Adjustments'!$A36)</f>
        <v>0</v>
      </c>
      <c r="P36" s="303">
        <f t="shared" si="3"/>
        <v>0</v>
      </c>
      <c r="Q36" s="68">
        <f>IFERROR(N36*'As-Filed Schedule 1'!$E$103,0)</f>
        <v>0</v>
      </c>
      <c r="R36" s="68">
        <f>IFERROR(P36*'Adjusted Schedule 1'!$E$104,0)</f>
        <v>0</v>
      </c>
      <c r="S36" s="68">
        <f t="shared" si="4"/>
        <v>0</v>
      </c>
      <c r="T36" s="304">
        <f t="shared" si="5"/>
        <v>0</v>
      </c>
      <c r="V36" s="117">
        <f>'As-Filed Schedule 2E'!N36</f>
        <v>0</v>
      </c>
      <c r="W36" s="307">
        <f>SUMIFS(Adjustments!$G:$G,Adjustments!$H:$H,"2E",Adjustments!$I:$I,'Schedule 2E Adjustments'!$V$12,Adjustments!$J:$J,'Schedule 2E Adjustments'!$A36)</f>
        <v>0</v>
      </c>
      <c r="X36" s="303">
        <f t="shared" si="6"/>
        <v>0</v>
      </c>
      <c r="Y36" s="117">
        <f>'As-Filed Schedule 2E'!O36</f>
        <v>0</v>
      </c>
      <c r="Z36" s="307">
        <f>SUMIFS(Adjustments!$G:$G,Adjustments!$H:$H,"2E",Adjustments!$I:$I,'Schedule 2E Adjustments'!$Y$12,Adjustments!$J:$J,'Schedule 2E Adjustments'!$A36)</f>
        <v>0</v>
      </c>
      <c r="AA36" s="303">
        <f t="shared" si="7"/>
        <v>0</v>
      </c>
    </row>
    <row r="37" spans="1:27" x14ac:dyDescent="0.35">
      <c r="A37" s="24">
        <v>23</v>
      </c>
      <c r="B37" s="565" t="str">
        <f>IF('As-Filed Schedule 2E'!B37:D37=0,"",'As-Filed Schedule 2E'!B37:D37)</f>
        <v/>
      </c>
      <c r="C37" s="565"/>
      <c r="D37" s="565"/>
      <c r="F37" s="114">
        <f>'As-Filed Schedule 2E'!F37</f>
        <v>0</v>
      </c>
      <c r="G37" s="307">
        <f>SUMIFS(Adjustments!$G:$G,Adjustments!$H:$H,"2E",Adjustments!$I:$I,'Schedule 2E Adjustments'!$F$12,Adjustments!$J:$J,'Schedule 2E Adjustments'!$A37)</f>
        <v>0</v>
      </c>
      <c r="H37" s="303">
        <f t="shared" si="0"/>
        <v>0</v>
      </c>
      <c r="I37" s="68">
        <f>IFERROR(F37*'As-Filed Schedule 1'!$E$103,0)</f>
        <v>0</v>
      </c>
      <c r="J37" s="304">
        <f>IFERROR(H37*'Adjusted Schedule 1'!$E$104,0)</f>
        <v>0</v>
      </c>
      <c r="K37" s="68">
        <f t="shared" si="1"/>
        <v>0</v>
      </c>
      <c r="L37" s="304">
        <f t="shared" si="2"/>
        <v>0</v>
      </c>
      <c r="N37" s="114">
        <f>'As-Filed Schedule 2E'!J37</f>
        <v>0</v>
      </c>
      <c r="O37" s="307">
        <f>SUMIFS(Adjustments!$G:$G,Adjustments!$H:$H,"2E",Adjustments!$I:$I,'Schedule 2E Adjustments'!$N$12,Adjustments!$J:$J,'Schedule 2E Adjustments'!$A37)</f>
        <v>0</v>
      </c>
      <c r="P37" s="303">
        <f t="shared" si="3"/>
        <v>0</v>
      </c>
      <c r="Q37" s="68">
        <f>IFERROR(N37*'As-Filed Schedule 1'!$E$103,0)</f>
        <v>0</v>
      </c>
      <c r="R37" s="68">
        <f>IFERROR(P37*'Adjusted Schedule 1'!$E$104,0)</f>
        <v>0</v>
      </c>
      <c r="S37" s="68">
        <f t="shared" si="4"/>
        <v>0</v>
      </c>
      <c r="T37" s="304">
        <f t="shared" si="5"/>
        <v>0</v>
      </c>
      <c r="V37" s="117">
        <f>'As-Filed Schedule 2E'!N37</f>
        <v>0</v>
      </c>
      <c r="W37" s="307">
        <f>SUMIFS(Adjustments!$G:$G,Adjustments!$H:$H,"2E",Adjustments!$I:$I,'Schedule 2E Adjustments'!$V$12,Adjustments!$J:$J,'Schedule 2E Adjustments'!$A37)</f>
        <v>0</v>
      </c>
      <c r="X37" s="303">
        <f t="shared" si="6"/>
        <v>0</v>
      </c>
      <c r="Y37" s="117">
        <f>'As-Filed Schedule 2E'!O37</f>
        <v>0</v>
      </c>
      <c r="Z37" s="307">
        <f>SUMIFS(Adjustments!$G:$G,Adjustments!$H:$H,"2E",Adjustments!$I:$I,'Schedule 2E Adjustments'!$Y$12,Adjustments!$J:$J,'Schedule 2E Adjustments'!$A37)</f>
        <v>0</v>
      </c>
      <c r="AA37" s="303">
        <f t="shared" si="7"/>
        <v>0</v>
      </c>
    </row>
    <row r="38" spans="1:27" x14ac:dyDescent="0.35">
      <c r="A38" s="24">
        <v>24</v>
      </c>
      <c r="B38" s="565" t="str">
        <f>IF('As-Filed Schedule 2E'!B38:D38=0,"",'As-Filed Schedule 2E'!B38:D38)</f>
        <v/>
      </c>
      <c r="C38" s="565"/>
      <c r="D38" s="565"/>
      <c r="F38" s="114">
        <f>'As-Filed Schedule 2E'!F38</f>
        <v>0</v>
      </c>
      <c r="G38" s="307">
        <f>SUMIFS(Adjustments!$G:$G,Adjustments!$H:$H,"2E",Adjustments!$I:$I,'Schedule 2E Adjustments'!$F$12,Adjustments!$J:$J,'Schedule 2E Adjustments'!$A38)</f>
        <v>0</v>
      </c>
      <c r="H38" s="303">
        <f t="shared" si="0"/>
        <v>0</v>
      </c>
      <c r="I38" s="68">
        <f>IFERROR(F38*'As-Filed Schedule 1'!$E$103,0)</f>
        <v>0</v>
      </c>
      <c r="J38" s="304">
        <f>IFERROR(H38*'Adjusted Schedule 1'!$E$104,0)</f>
        <v>0</v>
      </c>
      <c r="K38" s="68">
        <f t="shared" si="1"/>
        <v>0</v>
      </c>
      <c r="L38" s="304">
        <f t="shared" si="2"/>
        <v>0</v>
      </c>
      <c r="N38" s="114">
        <f>'As-Filed Schedule 2E'!J38</f>
        <v>0</v>
      </c>
      <c r="O38" s="307">
        <f>SUMIFS(Adjustments!$G:$G,Adjustments!$H:$H,"2E",Adjustments!$I:$I,'Schedule 2E Adjustments'!$N$12,Adjustments!$J:$J,'Schedule 2E Adjustments'!$A38)</f>
        <v>0</v>
      </c>
      <c r="P38" s="303">
        <f t="shared" si="3"/>
        <v>0</v>
      </c>
      <c r="Q38" s="68">
        <f>IFERROR(N38*'As-Filed Schedule 1'!$E$103,0)</f>
        <v>0</v>
      </c>
      <c r="R38" s="68">
        <f>IFERROR(P38*'Adjusted Schedule 1'!$E$104,0)</f>
        <v>0</v>
      </c>
      <c r="S38" s="68">
        <f t="shared" si="4"/>
        <v>0</v>
      </c>
      <c r="T38" s="304">
        <f t="shared" si="5"/>
        <v>0</v>
      </c>
      <c r="V38" s="117">
        <f>'As-Filed Schedule 2E'!N38</f>
        <v>0</v>
      </c>
      <c r="W38" s="307">
        <f>SUMIFS(Adjustments!$G:$G,Adjustments!$H:$H,"2E",Adjustments!$I:$I,'Schedule 2E Adjustments'!$V$12,Adjustments!$J:$J,'Schedule 2E Adjustments'!$A38)</f>
        <v>0</v>
      </c>
      <c r="X38" s="303">
        <f t="shared" si="6"/>
        <v>0</v>
      </c>
      <c r="Y38" s="117">
        <f>'As-Filed Schedule 2E'!O38</f>
        <v>0</v>
      </c>
      <c r="Z38" s="307">
        <f>SUMIFS(Adjustments!$G:$G,Adjustments!$H:$H,"2E",Adjustments!$I:$I,'Schedule 2E Adjustments'!$Y$12,Adjustments!$J:$J,'Schedule 2E Adjustments'!$A38)</f>
        <v>0</v>
      </c>
      <c r="AA38" s="303">
        <f t="shared" si="7"/>
        <v>0</v>
      </c>
    </row>
    <row r="39" spans="1:27" x14ac:dyDescent="0.35">
      <c r="A39" s="24">
        <v>25</v>
      </c>
      <c r="B39" s="565" t="str">
        <f>IF('As-Filed Schedule 2E'!B39:D39=0,"",'As-Filed Schedule 2E'!B39:D39)</f>
        <v/>
      </c>
      <c r="C39" s="565"/>
      <c r="D39" s="565"/>
      <c r="F39" s="114">
        <f>'As-Filed Schedule 2E'!F39</f>
        <v>0</v>
      </c>
      <c r="G39" s="307">
        <f>SUMIFS(Adjustments!$G:$G,Adjustments!$H:$H,"2E",Adjustments!$I:$I,'Schedule 2E Adjustments'!$F$12,Adjustments!$J:$J,'Schedule 2E Adjustments'!$A39)</f>
        <v>0</v>
      </c>
      <c r="H39" s="303">
        <f t="shared" si="0"/>
        <v>0</v>
      </c>
      <c r="I39" s="68">
        <f>IFERROR(F39*'As-Filed Schedule 1'!$E$103,0)</f>
        <v>0</v>
      </c>
      <c r="J39" s="304">
        <f>IFERROR(H39*'Adjusted Schedule 1'!$E$104,0)</f>
        <v>0</v>
      </c>
      <c r="K39" s="68">
        <f t="shared" si="1"/>
        <v>0</v>
      </c>
      <c r="L39" s="304">
        <f t="shared" si="2"/>
        <v>0</v>
      </c>
      <c r="N39" s="114">
        <f>'As-Filed Schedule 2E'!J39</f>
        <v>0</v>
      </c>
      <c r="O39" s="307">
        <f>SUMIFS(Adjustments!$G:$G,Adjustments!$H:$H,"2E",Adjustments!$I:$I,'Schedule 2E Adjustments'!$N$12,Adjustments!$J:$J,'Schedule 2E Adjustments'!$A39)</f>
        <v>0</v>
      </c>
      <c r="P39" s="303">
        <f t="shared" si="3"/>
        <v>0</v>
      </c>
      <c r="Q39" s="68">
        <f>IFERROR(N39*'As-Filed Schedule 1'!$E$103,0)</f>
        <v>0</v>
      </c>
      <c r="R39" s="68">
        <f>IFERROR(P39*'Adjusted Schedule 1'!$E$104,0)</f>
        <v>0</v>
      </c>
      <c r="S39" s="68">
        <f t="shared" si="4"/>
        <v>0</v>
      </c>
      <c r="T39" s="304">
        <f t="shared" si="5"/>
        <v>0</v>
      </c>
      <c r="V39" s="117">
        <f>'As-Filed Schedule 2E'!N39</f>
        <v>0</v>
      </c>
      <c r="W39" s="307">
        <f>SUMIFS(Adjustments!$G:$G,Adjustments!$H:$H,"2E",Adjustments!$I:$I,'Schedule 2E Adjustments'!$V$12,Adjustments!$J:$J,'Schedule 2E Adjustments'!$A39)</f>
        <v>0</v>
      </c>
      <c r="X39" s="303">
        <f t="shared" si="6"/>
        <v>0</v>
      </c>
      <c r="Y39" s="117">
        <f>'As-Filed Schedule 2E'!O39</f>
        <v>0</v>
      </c>
      <c r="Z39" s="307">
        <f>SUMIFS(Adjustments!$G:$G,Adjustments!$H:$H,"2E",Adjustments!$I:$I,'Schedule 2E Adjustments'!$Y$12,Adjustments!$J:$J,'Schedule 2E Adjustments'!$A39)</f>
        <v>0</v>
      </c>
      <c r="AA39" s="303">
        <f t="shared" si="7"/>
        <v>0</v>
      </c>
    </row>
    <row r="40" spans="1:27" x14ac:dyDescent="0.35">
      <c r="A40" s="24">
        <v>26</v>
      </c>
      <c r="B40" s="565" t="str">
        <f>IF('As-Filed Schedule 2E'!B40:D40=0,"",'As-Filed Schedule 2E'!B40:D40)</f>
        <v/>
      </c>
      <c r="C40" s="565"/>
      <c r="D40" s="565"/>
      <c r="F40" s="114">
        <f>'As-Filed Schedule 2E'!F40</f>
        <v>0</v>
      </c>
      <c r="G40" s="307">
        <f>SUMIFS(Adjustments!$G:$G,Adjustments!$H:$H,"2E",Adjustments!$I:$I,'Schedule 2E Adjustments'!$F$12,Adjustments!$J:$J,'Schedule 2E Adjustments'!$A40)</f>
        <v>0</v>
      </c>
      <c r="H40" s="303">
        <f t="shared" si="0"/>
        <v>0</v>
      </c>
      <c r="I40" s="68">
        <f>IFERROR(F40*'As-Filed Schedule 1'!$E$103,0)</f>
        <v>0</v>
      </c>
      <c r="J40" s="304">
        <f>IFERROR(H40*'Adjusted Schedule 1'!$E$104,0)</f>
        <v>0</v>
      </c>
      <c r="K40" s="68">
        <f t="shared" si="1"/>
        <v>0</v>
      </c>
      <c r="L40" s="304">
        <f t="shared" si="2"/>
        <v>0</v>
      </c>
      <c r="N40" s="114">
        <f>'As-Filed Schedule 2E'!J40</f>
        <v>0</v>
      </c>
      <c r="O40" s="307">
        <f>SUMIFS(Adjustments!$G:$G,Adjustments!$H:$H,"2E",Adjustments!$I:$I,'Schedule 2E Adjustments'!$N$12,Adjustments!$J:$J,'Schedule 2E Adjustments'!$A40)</f>
        <v>0</v>
      </c>
      <c r="P40" s="303">
        <f t="shared" si="3"/>
        <v>0</v>
      </c>
      <c r="Q40" s="68">
        <f>IFERROR(N40*'As-Filed Schedule 1'!$E$103,0)</f>
        <v>0</v>
      </c>
      <c r="R40" s="68">
        <f>IFERROR(P40*'Adjusted Schedule 1'!$E$104,0)</f>
        <v>0</v>
      </c>
      <c r="S40" s="68">
        <f t="shared" si="4"/>
        <v>0</v>
      </c>
      <c r="T40" s="304">
        <f t="shared" si="5"/>
        <v>0</v>
      </c>
      <c r="V40" s="117">
        <f>'As-Filed Schedule 2E'!N40</f>
        <v>0</v>
      </c>
      <c r="W40" s="307">
        <f>SUMIFS(Adjustments!$G:$G,Adjustments!$H:$H,"2E",Adjustments!$I:$I,'Schedule 2E Adjustments'!$V$12,Adjustments!$J:$J,'Schedule 2E Adjustments'!$A40)</f>
        <v>0</v>
      </c>
      <c r="X40" s="303">
        <f t="shared" si="6"/>
        <v>0</v>
      </c>
      <c r="Y40" s="117">
        <f>'As-Filed Schedule 2E'!O40</f>
        <v>0</v>
      </c>
      <c r="Z40" s="307">
        <f>SUMIFS(Adjustments!$G:$G,Adjustments!$H:$H,"2E",Adjustments!$I:$I,'Schedule 2E Adjustments'!$Y$12,Adjustments!$J:$J,'Schedule 2E Adjustments'!$A40)</f>
        <v>0</v>
      </c>
      <c r="AA40" s="303">
        <f t="shared" si="7"/>
        <v>0</v>
      </c>
    </row>
    <row r="41" spans="1:27" x14ac:dyDescent="0.35">
      <c r="A41" s="24">
        <v>27</v>
      </c>
      <c r="B41" s="565" t="str">
        <f>IF('As-Filed Schedule 2E'!B41:D41=0,"",'As-Filed Schedule 2E'!B41:D41)</f>
        <v/>
      </c>
      <c r="C41" s="565"/>
      <c r="D41" s="565"/>
      <c r="F41" s="114">
        <f>'As-Filed Schedule 2E'!F41</f>
        <v>0</v>
      </c>
      <c r="G41" s="307">
        <f>SUMIFS(Adjustments!$G:$G,Adjustments!$H:$H,"2E",Adjustments!$I:$I,'Schedule 2E Adjustments'!$F$12,Adjustments!$J:$J,'Schedule 2E Adjustments'!$A41)</f>
        <v>0</v>
      </c>
      <c r="H41" s="303">
        <f t="shared" si="0"/>
        <v>0</v>
      </c>
      <c r="I41" s="68">
        <f>IFERROR(F41*'As-Filed Schedule 1'!$E$103,0)</f>
        <v>0</v>
      </c>
      <c r="J41" s="304">
        <f>IFERROR(H41*'Adjusted Schedule 1'!$E$104,0)</f>
        <v>0</v>
      </c>
      <c r="K41" s="68">
        <f t="shared" si="1"/>
        <v>0</v>
      </c>
      <c r="L41" s="304">
        <f t="shared" si="2"/>
        <v>0</v>
      </c>
      <c r="N41" s="114">
        <f>'As-Filed Schedule 2E'!J41</f>
        <v>0</v>
      </c>
      <c r="O41" s="307">
        <f>SUMIFS(Adjustments!$G:$G,Adjustments!$H:$H,"2E",Adjustments!$I:$I,'Schedule 2E Adjustments'!$N$12,Adjustments!$J:$J,'Schedule 2E Adjustments'!$A41)</f>
        <v>0</v>
      </c>
      <c r="P41" s="303">
        <f t="shared" si="3"/>
        <v>0</v>
      </c>
      <c r="Q41" s="68">
        <f>IFERROR(N41*'As-Filed Schedule 1'!$E$103,0)</f>
        <v>0</v>
      </c>
      <c r="R41" s="68">
        <f>IFERROR(P41*'Adjusted Schedule 1'!$E$104,0)</f>
        <v>0</v>
      </c>
      <c r="S41" s="68">
        <f t="shared" si="4"/>
        <v>0</v>
      </c>
      <c r="T41" s="304">
        <f t="shared" si="5"/>
        <v>0</v>
      </c>
      <c r="V41" s="117">
        <f>'As-Filed Schedule 2E'!N41</f>
        <v>0</v>
      </c>
      <c r="W41" s="307">
        <f>SUMIFS(Adjustments!$G:$G,Adjustments!$H:$H,"2E",Adjustments!$I:$I,'Schedule 2E Adjustments'!$V$12,Adjustments!$J:$J,'Schedule 2E Adjustments'!$A41)</f>
        <v>0</v>
      </c>
      <c r="X41" s="303">
        <f t="shared" si="6"/>
        <v>0</v>
      </c>
      <c r="Y41" s="117">
        <f>'As-Filed Schedule 2E'!O41</f>
        <v>0</v>
      </c>
      <c r="Z41" s="307">
        <f>SUMIFS(Adjustments!$G:$G,Adjustments!$H:$H,"2E",Adjustments!$I:$I,'Schedule 2E Adjustments'!$Y$12,Adjustments!$J:$J,'Schedule 2E Adjustments'!$A41)</f>
        <v>0</v>
      </c>
      <c r="AA41" s="303">
        <f t="shared" si="7"/>
        <v>0</v>
      </c>
    </row>
    <row r="42" spans="1:27" x14ac:dyDescent="0.35">
      <c r="A42" s="24">
        <v>28</v>
      </c>
      <c r="B42" s="565" t="str">
        <f>IF('As-Filed Schedule 2E'!B42:D42=0,"",'As-Filed Schedule 2E'!B42:D42)</f>
        <v/>
      </c>
      <c r="C42" s="565"/>
      <c r="D42" s="565"/>
      <c r="F42" s="114">
        <f>'As-Filed Schedule 2E'!F42</f>
        <v>0</v>
      </c>
      <c r="G42" s="307">
        <f>SUMIFS(Adjustments!$G:$G,Adjustments!$H:$H,"2E",Adjustments!$I:$I,'Schedule 2E Adjustments'!$F$12,Adjustments!$J:$J,'Schedule 2E Adjustments'!$A42)</f>
        <v>0</v>
      </c>
      <c r="H42" s="303">
        <f t="shared" si="0"/>
        <v>0</v>
      </c>
      <c r="I42" s="68">
        <f>IFERROR(F42*'As-Filed Schedule 1'!$E$103,0)</f>
        <v>0</v>
      </c>
      <c r="J42" s="304">
        <f>IFERROR(H42*'Adjusted Schedule 1'!$E$104,0)</f>
        <v>0</v>
      </c>
      <c r="K42" s="68">
        <f t="shared" si="1"/>
        <v>0</v>
      </c>
      <c r="L42" s="304">
        <f t="shared" si="2"/>
        <v>0</v>
      </c>
      <c r="N42" s="114">
        <f>'As-Filed Schedule 2E'!J42</f>
        <v>0</v>
      </c>
      <c r="O42" s="307">
        <f>SUMIFS(Adjustments!$G:$G,Adjustments!$H:$H,"2E",Adjustments!$I:$I,'Schedule 2E Adjustments'!$N$12,Adjustments!$J:$J,'Schedule 2E Adjustments'!$A42)</f>
        <v>0</v>
      </c>
      <c r="P42" s="303">
        <f t="shared" si="3"/>
        <v>0</v>
      </c>
      <c r="Q42" s="68">
        <f>IFERROR(N42*'As-Filed Schedule 1'!$E$103,0)</f>
        <v>0</v>
      </c>
      <c r="R42" s="68">
        <f>IFERROR(P42*'Adjusted Schedule 1'!$E$104,0)</f>
        <v>0</v>
      </c>
      <c r="S42" s="68">
        <f t="shared" si="4"/>
        <v>0</v>
      </c>
      <c r="T42" s="304">
        <f t="shared" si="5"/>
        <v>0</v>
      </c>
      <c r="V42" s="117">
        <f>'As-Filed Schedule 2E'!N42</f>
        <v>0</v>
      </c>
      <c r="W42" s="307">
        <f>SUMIFS(Adjustments!$G:$G,Adjustments!$H:$H,"2E",Adjustments!$I:$I,'Schedule 2E Adjustments'!$V$12,Adjustments!$J:$J,'Schedule 2E Adjustments'!$A42)</f>
        <v>0</v>
      </c>
      <c r="X42" s="303">
        <f t="shared" si="6"/>
        <v>0</v>
      </c>
      <c r="Y42" s="117">
        <f>'As-Filed Schedule 2E'!O42</f>
        <v>0</v>
      </c>
      <c r="Z42" s="307">
        <f>SUMIFS(Adjustments!$G:$G,Adjustments!$H:$H,"2E",Adjustments!$I:$I,'Schedule 2E Adjustments'!$Y$12,Adjustments!$J:$J,'Schedule 2E Adjustments'!$A42)</f>
        <v>0</v>
      </c>
      <c r="AA42" s="303">
        <f t="shared" si="7"/>
        <v>0</v>
      </c>
    </row>
    <row r="43" spans="1:27" x14ac:dyDescent="0.35">
      <c r="A43" s="24">
        <v>29</v>
      </c>
      <c r="B43" s="565" t="str">
        <f>IF('As-Filed Schedule 2E'!B43:D43=0,"",'As-Filed Schedule 2E'!B43:D43)</f>
        <v/>
      </c>
      <c r="C43" s="565"/>
      <c r="D43" s="565"/>
      <c r="F43" s="114">
        <f>'As-Filed Schedule 2E'!F43</f>
        <v>0</v>
      </c>
      <c r="G43" s="307">
        <f>SUMIFS(Adjustments!$G:$G,Adjustments!$H:$H,"2E",Adjustments!$I:$I,'Schedule 2E Adjustments'!$F$12,Adjustments!$J:$J,'Schedule 2E Adjustments'!$A43)</f>
        <v>0</v>
      </c>
      <c r="H43" s="303">
        <f t="shared" si="0"/>
        <v>0</v>
      </c>
      <c r="I43" s="68">
        <f>IFERROR(F43*'As-Filed Schedule 1'!$E$103,0)</f>
        <v>0</v>
      </c>
      <c r="J43" s="304">
        <f>IFERROR(H43*'Adjusted Schedule 1'!$E$104,0)</f>
        <v>0</v>
      </c>
      <c r="K43" s="68">
        <f t="shared" si="1"/>
        <v>0</v>
      </c>
      <c r="L43" s="304">
        <f t="shared" si="2"/>
        <v>0</v>
      </c>
      <c r="N43" s="114">
        <f>'As-Filed Schedule 2E'!J43</f>
        <v>0</v>
      </c>
      <c r="O43" s="307">
        <f>SUMIFS(Adjustments!$G:$G,Adjustments!$H:$H,"2E",Adjustments!$I:$I,'Schedule 2E Adjustments'!$N$12,Adjustments!$J:$J,'Schedule 2E Adjustments'!$A43)</f>
        <v>0</v>
      </c>
      <c r="P43" s="303">
        <f t="shared" si="3"/>
        <v>0</v>
      </c>
      <c r="Q43" s="68">
        <f>IFERROR(N43*'As-Filed Schedule 1'!$E$103,0)</f>
        <v>0</v>
      </c>
      <c r="R43" s="68">
        <f>IFERROR(P43*'Adjusted Schedule 1'!$E$104,0)</f>
        <v>0</v>
      </c>
      <c r="S43" s="68">
        <f t="shared" si="4"/>
        <v>0</v>
      </c>
      <c r="T43" s="304">
        <f t="shared" si="5"/>
        <v>0</v>
      </c>
      <c r="V43" s="117">
        <f>'As-Filed Schedule 2E'!N43</f>
        <v>0</v>
      </c>
      <c r="W43" s="307">
        <f>SUMIFS(Adjustments!$G:$G,Adjustments!$H:$H,"2E",Adjustments!$I:$I,'Schedule 2E Adjustments'!$V$12,Adjustments!$J:$J,'Schedule 2E Adjustments'!$A43)</f>
        <v>0</v>
      </c>
      <c r="X43" s="303">
        <f t="shared" si="6"/>
        <v>0</v>
      </c>
      <c r="Y43" s="117">
        <f>'As-Filed Schedule 2E'!O43</f>
        <v>0</v>
      </c>
      <c r="Z43" s="307">
        <f>SUMIFS(Adjustments!$G:$G,Adjustments!$H:$H,"2E",Adjustments!$I:$I,'Schedule 2E Adjustments'!$Y$12,Adjustments!$J:$J,'Schedule 2E Adjustments'!$A43)</f>
        <v>0</v>
      </c>
      <c r="AA43" s="303">
        <f t="shared" si="7"/>
        <v>0</v>
      </c>
    </row>
    <row r="44" spans="1:27" x14ac:dyDescent="0.35">
      <c r="A44" s="24">
        <v>30</v>
      </c>
      <c r="B44" s="565" t="str">
        <f>IF('As-Filed Schedule 2E'!B44:D44=0,"",'As-Filed Schedule 2E'!B44:D44)</f>
        <v/>
      </c>
      <c r="C44" s="565"/>
      <c r="D44" s="565"/>
      <c r="F44" s="114">
        <f>'As-Filed Schedule 2E'!F44</f>
        <v>0</v>
      </c>
      <c r="G44" s="307">
        <f>SUMIFS(Adjustments!$G:$G,Adjustments!$H:$H,"2E",Adjustments!$I:$I,'Schedule 2E Adjustments'!$F$12,Adjustments!$J:$J,'Schedule 2E Adjustments'!$A44)</f>
        <v>0</v>
      </c>
      <c r="H44" s="303">
        <f t="shared" si="0"/>
        <v>0</v>
      </c>
      <c r="I44" s="68">
        <f>IFERROR(F44*'As-Filed Schedule 1'!$E$103,0)</f>
        <v>0</v>
      </c>
      <c r="J44" s="304">
        <f>IFERROR(H44*'Adjusted Schedule 1'!$E$104,0)</f>
        <v>0</v>
      </c>
      <c r="K44" s="68">
        <f t="shared" si="1"/>
        <v>0</v>
      </c>
      <c r="L44" s="304">
        <f t="shared" si="2"/>
        <v>0</v>
      </c>
      <c r="N44" s="114">
        <f>'As-Filed Schedule 2E'!J44</f>
        <v>0</v>
      </c>
      <c r="O44" s="307">
        <f>SUMIFS(Adjustments!$G:$G,Adjustments!$H:$H,"2E",Adjustments!$I:$I,'Schedule 2E Adjustments'!$N$12,Adjustments!$J:$J,'Schedule 2E Adjustments'!$A44)</f>
        <v>0</v>
      </c>
      <c r="P44" s="303">
        <f t="shared" si="3"/>
        <v>0</v>
      </c>
      <c r="Q44" s="68">
        <f>IFERROR(N44*'As-Filed Schedule 1'!$E$103,0)</f>
        <v>0</v>
      </c>
      <c r="R44" s="68">
        <f>IFERROR(P44*'Adjusted Schedule 1'!$E$104,0)</f>
        <v>0</v>
      </c>
      <c r="S44" s="68">
        <f t="shared" si="4"/>
        <v>0</v>
      </c>
      <c r="T44" s="304">
        <f t="shared" si="5"/>
        <v>0</v>
      </c>
      <c r="V44" s="117">
        <f>'As-Filed Schedule 2E'!N44</f>
        <v>0</v>
      </c>
      <c r="W44" s="307">
        <f>SUMIFS(Adjustments!$G:$G,Adjustments!$H:$H,"2E",Adjustments!$I:$I,'Schedule 2E Adjustments'!$V$12,Adjustments!$J:$J,'Schedule 2E Adjustments'!$A44)</f>
        <v>0</v>
      </c>
      <c r="X44" s="303">
        <f t="shared" si="6"/>
        <v>0</v>
      </c>
      <c r="Y44" s="117">
        <f>'As-Filed Schedule 2E'!O44</f>
        <v>0</v>
      </c>
      <c r="Z44" s="307">
        <f>SUMIFS(Adjustments!$G:$G,Adjustments!$H:$H,"2E",Adjustments!$I:$I,'Schedule 2E Adjustments'!$Y$12,Adjustments!$J:$J,'Schedule 2E Adjustments'!$A44)</f>
        <v>0</v>
      </c>
      <c r="AA44" s="303">
        <f t="shared" si="7"/>
        <v>0</v>
      </c>
    </row>
    <row r="45" spans="1:27" x14ac:dyDescent="0.35">
      <c r="A45" s="24">
        <v>31</v>
      </c>
      <c r="B45" s="565" t="str">
        <f>IF('As-Filed Schedule 2E'!B45:D45=0,"",'As-Filed Schedule 2E'!B45:D45)</f>
        <v/>
      </c>
      <c r="C45" s="565"/>
      <c r="D45" s="565"/>
      <c r="F45" s="114">
        <f>'As-Filed Schedule 2E'!F45</f>
        <v>0</v>
      </c>
      <c r="G45" s="307">
        <f>SUMIFS(Adjustments!$G:$G,Adjustments!$H:$H,"2E",Adjustments!$I:$I,'Schedule 2E Adjustments'!$F$12,Adjustments!$J:$J,'Schedule 2E Adjustments'!$A45)</f>
        <v>0</v>
      </c>
      <c r="H45" s="303">
        <f t="shared" si="0"/>
        <v>0</v>
      </c>
      <c r="I45" s="68">
        <f>IFERROR(F45*'As-Filed Schedule 1'!$E$103,0)</f>
        <v>0</v>
      </c>
      <c r="J45" s="304">
        <f>IFERROR(H45*'Adjusted Schedule 1'!$E$104,0)</f>
        <v>0</v>
      </c>
      <c r="K45" s="68">
        <f t="shared" si="1"/>
        <v>0</v>
      </c>
      <c r="L45" s="304">
        <f t="shared" si="2"/>
        <v>0</v>
      </c>
      <c r="N45" s="114">
        <f>'As-Filed Schedule 2E'!J45</f>
        <v>0</v>
      </c>
      <c r="O45" s="307">
        <f>SUMIFS(Adjustments!$G:$G,Adjustments!$H:$H,"2E",Adjustments!$I:$I,'Schedule 2E Adjustments'!$N$12,Adjustments!$J:$J,'Schedule 2E Adjustments'!$A45)</f>
        <v>0</v>
      </c>
      <c r="P45" s="303">
        <f t="shared" si="3"/>
        <v>0</v>
      </c>
      <c r="Q45" s="68">
        <f>IFERROR(N45*'As-Filed Schedule 1'!$E$103,0)</f>
        <v>0</v>
      </c>
      <c r="R45" s="68">
        <f>IFERROR(P45*'Adjusted Schedule 1'!$E$104,0)</f>
        <v>0</v>
      </c>
      <c r="S45" s="68">
        <f t="shared" si="4"/>
        <v>0</v>
      </c>
      <c r="T45" s="304">
        <f t="shared" si="5"/>
        <v>0</v>
      </c>
      <c r="V45" s="117">
        <f>'As-Filed Schedule 2E'!N45</f>
        <v>0</v>
      </c>
      <c r="W45" s="307">
        <f>SUMIFS(Adjustments!$G:$G,Adjustments!$H:$H,"2E",Adjustments!$I:$I,'Schedule 2E Adjustments'!$V$12,Adjustments!$J:$J,'Schedule 2E Adjustments'!$A45)</f>
        <v>0</v>
      </c>
      <c r="X45" s="303">
        <f t="shared" si="6"/>
        <v>0</v>
      </c>
      <c r="Y45" s="117">
        <f>'As-Filed Schedule 2E'!O45</f>
        <v>0</v>
      </c>
      <c r="Z45" s="307">
        <f>SUMIFS(Adjustments!$G:$G,Adjustments!$H:$H,"2E",Adjustments!$I:$I,'Schedule 2E Adjustments'!$Y$12,Adjustments!$J:$J,'Schedule 2E Adjustments'!$A45)</f>
        <v>0</v>
      </c>
      <c r="AA45" s="303">
        <f t="shared" si="7"/>
        <v>0</v>
      </c>
    </row>
    <row r="46" spans="1:27" x14ac:dyDescent="0.35">
      <c r="A46" s="24">
        <v>32</v>
      </c>
      <c r="B46" s="565" t="str">
        <f>IF('As-Filed Schedule 2E'!B46:D46=0,"",'As-Filed Schedule 2E'!B46:D46)</f>
        <v/>
      </c>
      <c r="C46" s="565"/>
      <c r="D46" s="565"/>
      <c r="F46" s="114">
        <f>'As-Filed Schedule 2E'!F46</f>
        <v>0</v>
      </c>
      <c r="G46" s="307">
        <f>SUMIFS(Adjustments!$G:$G,Adjustments!$H:$H,"2E",Adjustments!$I:$I,'Schedule 2E Adjustments'!$F$12,Adjustments!$J:$J,'Schedule 2E Adjustments'!$A46)</f>
        <v>0</v>
      </c>
      <c r="H46" s="303">
        <f t="shared" si="0"/>
        <v>0</v>
      </c>
      <c r="I46" s="68">
        <f>IFERROR(F46*'As-Filed Schedule 1'!$E$103,0)</f>
        <v>0</v>
      </c>
      <c r="J46" s="304">
        <f>IFERROR(H46*'Adjusted Schedule 1'!$E$104,0)</f>
        <v>0</v>
      </c>
      <c r="K46" s="68">
        <f t="shared" si="1"/>
        <v>0</v>
      </c>
      <c r="L46" s="304">
        <f t="shared" si="2"/>
        <v>0</v>
      </c>
      <c r="N46" s="114">
        <f>'As-Filed Schedule 2E'!J46</f>
        <v>0</v>
      </c>
      <c r="O46" s="307">
        <f>SUMIFS(Adjustments!$G:$G,Adjustments!$H:$H,"2E",Adjustments!$I:$I,'Schedule 2E Adjustments'!$N$12,Adjustments!$J:$J,'Schedule 2E Adjustments'!$A46)</f>
        <v>0</v>
      </c>
      <c r="P46" s="303">
        <f t="shared" si="3"/>
        <v>0</v>
      </c>
      <c r="Q46" s="68">
        <f>IFERROR(N46*'As-Filed Schedule 1'!$E$103,0)</f>
        <v>0</v>
      </c>
      <c r="R46" s="68">
        <f>IFERROR(P46*'Adjusted Schedule 1'!$E$104,0)</f>
        <v>0</v>
      </c>
      <c r="S46" s="68">
        <f t="shared" si="4"/>
        <v>0</v>
      </c>
      <c r="T46" s="304">
        <f t="shared" si="5"/>
        <v>0</v>
      </c>
      <c r="V46" s="117">
        <f>'As-Filed Schedule 2E'!N46</f>
        <v>0</v>
      </c>
      <c r="W46" s="307">
        <f>SUMIFS(Adjustments!$G:$G,Adjustments!$H:$H,"2E",Adjustments!$I:$I,'Schedule 2E Adjustments'!$V$12,Adjustments!$J:$J,'Schedule 2E Adjustments'!$A46)</f>
        <v>0</v>
      </c>
      <c r="X46" s="303">
        <f t="shared" si="6"/>
        <v>0</v>
      </c>
      <c r="Y46" s="117">
        <f>'As-Filed Schedule 2E'!O46</f>
        <v>0</v>
      </c>
      <c r="Z46" s="307">
        <f>SUMIFS(Adjustments!$G:$G,Adjustments!$H:$H,"2E",Adjustments!$I:$I,'Schedule 2E Adjustments'!$Y$12,Adjustments!$J:$J,'Schedule 2E Adjustments'!$A46)</f>
        <v>0</v>
      </c>
      <c r="AA46" s="303">
        <f t="shared" si="7"/>
        <v>0</v>
      </c>
    </row>
    <row r="47" spans="1:27" x14ac:dyDescent="0.35">
      <c r="A47" s="24">
        <v>33</v>
      </c>
      <c r="B47" s="565" t="str">
        <f>IF('As-Filed Schedule 2E'!B47:D47=0,"",'As-Filed Schedule 2E'!B47:D47)</f>
        <v/>
      </c>
      <c r="C47" s="565"/>
      <c r="D47" s="565"/>
      <c r="F47" s="114">
        <f>'As-Filed Schedule 2E'!F47</f>
        <v>0</v>
      </c>
      <c r="G47" s="307">
        <f>SUMIFS(Adjustments!$G:$G,Adjustments!$H:$H,"2E",Adjustments!$I:$I,'Schedule 2E Adjustments'!$F$12,Adjustments!$J:$J,'Schedule 2E Adjustments'!$A47)</f>
        <v>0</v>
      </c>
      <c r="H47" s="303">
        <f t="shared" si="0"/>
        <v>0</v>
      </c>
      <c r="I47" s="68">
        <f>IFERROR(F47*'As-Filed Schedule 1'!$E$103,0)</f>
        <v>0</v>
      </c>
      <c r="J47" s="304">
        <f>IFERROR(H47*'Adjusted Schedule 1'!$E$104,0)</f>
        <v>0</v>
      </c>
      <c r="K47" s="68">
        <f t="shared" si="1"/>
        <v>0</v>
      </c>
      <c r="L47" s="304">
        <f t="shared" si="2"/>
        <v>0</v>
      </c>
      <c r="N47" s="114">
        <f>'As-Filed Schedule 2E'!J47</f>
        <v>0</v>
      </c>
      <c r="O47" s="307">
        <f>SUMIFS(Adjustments!$G:$G,Adjustments!$H:$H,"2E",Adjustments!$I:$I,'Schedule 2E Adjustments'!$N$12,Adjustments!$J:$J,'Schedule 2E Adjustments'!$A47)</f>
        <v>0</v>
      </c>
      <c r="P47" s="303">
        <f t="shared" si="3"/>
        <v>0</v>
      </c>
      <c r="Q47" s="68">
        <f>IFERROR(N47*'As-Filed Schedule 1'!$E$103,0)</f>
        <v>0</v>
      </c>
      <c r="R47" s="68">
        <f>IFERROR(P47*'Adjusted Schedule 1'!$E$104,0)</f>
        <v>0</v>
      </c>
      <c r="S47" s="68">
        <f t="shared" si="4"/>
        <v>0</v>
      </c>
      <c r="T47" s="304">
        <f t="shared" si="5"/>
        <v>0</v>
      </c>
      <c r="V47" s="117">
        <f>'As-Filed Schedule 2E'!N47</f>
        <v>0</v>
      </c>
      <c r="W47" s="307">
        <f>SUMIFS(Adjustments!$G:$G,Adjustments!$H:$H,"2E",Adjustments!$I:$I,'Schedule 2E Adjustments'!$V$12,Adjustments!$J:$J,'Schedule 2E Adjustments'!$A47)</f>
        <v>0</v>
      </c>
      <c r="X47" s="303">
        <f t="shared" si="6"/>
        <v>0</v>
      </c>
      <c r="Y47" s="117">
        <f>'As-Filed Schedule 2E'!O47</f>
        <v>0</v>
      </c>
      <c r="Z47" s="307">
        <f>SUMIFS(Adjustments!$G:$G,Adjustments!$H:$H,"2E",Adjustments!$I:$I,'Schedule 2E Adjustments'!$Y$12,Adjustments!$J:$J,'Schedule 2E Adjustments'!$A47)</f>
        <v>0</v>
      </c>
      <c r="AA47" s="303">
        <f t="shared" si="7"/>
        <v>0</v>
      </c>
    </row>
    <row r="48" spans="1:27" x14ac:dyDescent="0.35">
      <c r="A48" s="24">
        <v>34</v>
      </c>
      <c r="B48" s="565" t="str">
        <f>IF('As-Filed Schedule 2E'!B48:D48=0,"",'As-Filed Schedule 2E'!B48:D48)</f>
        <v/>
      </c>
      <c r="C48" s="565"/>
      <c r="D48" s="565"/>
      <c r="F48" s="114">
        <f>'As-Filed Schedule 2E'!F48</f>
        <v>0</v>
      </c>
      <c r="G48" s="307">
        <f>SUMIFS(Adjustments!$G:$G,Adjustments!$H:$H,"2E",Adjustments!$I:$I,'Schedule 2E Adjustments'!$F$12,Adjustments!$J:$J,'Schedule 2E Adjustments'!$A48)</f>
        <v>0</v>
      </c>
      <c r="H48" s="303">
        <f t="shared" si="0"/>
        <v>0</v>
      </c>
      <c r="I48" s="68">
        <f>IFERROR(F48*'As-Filed Schedule 1'!$E$103,0)</f>
        <v>0</v>
      </c>
      <c r="J48" s="304">
        <f>IFERROR(H48*'Adjusted Schedule 1'!$E$104,0)</f>
        <v>0</v>
      </c>
      <c r="K48" s="68">
        <f t="shared" si="1"/>
        <v>0</v>
      </c>
      <c r="L48" s="304">
        <f t="shared" si="2"/>
        <v>0</v>
      </c>
      <c r="N48" s="114">
        <f>'As-Filed Schedule 2E'!J48</f>
        <v>0</v>
      </c>
      <c r="O48" s="307">
        <f>SUMIFS(Adjustments!$G:$G,Adjustments!$H:$H,"2E",Adjustments!$I:$I,'Schedule 2E Adjustments'!$N$12,Adjustments!$J:$J,'Schedule 2E Adjustments'!$A48)</f>
        <v>0</v>
      </c>
      <c r="P48" s="303">
        <f t="shared" si="3"/>
        <v>0</v>
      </c>
      <c r="Q48" s="68">
        <f>IFERROR(N48*'As-Filed Schedule 1'!$E$103,0)</f>
        <v>0</v>
      </c>
      <c r="R48" s="68">
        <f>IFERROR(P48*'Adjusted Schedule 1'!$E$104,0)</f>
        <v>0</v>
      </c>
      <c r="S48" s="68">
        <f t="shared" si="4"/>
        <v>0</v>
      </c>
      <c r="T48" s="304">
        <f t="shared" si="5"/>
        <v>0</v>
      </c>
      <c r="V48" s="117">
        <f>'As-Filed Schedule 2E'!N48</f>
        <v>0</v>
      </c>
      <c r="W48" s="307">
        <f>SUMIFS(Adjustments!$G:$G,Adjustments!$H:$H,"2E",Adjustments!$I:$I,'Schedule 2E Adjustments'!$V$12,Adjustments!$J:$J,'Schedule 2E Adjustments'!$A48)</f>
        <v>0</v>
      </c>
      <c r="X48" s="303">
        <f t="shared" si="6"/>
        <v>0</v>
      </c>
      <c r="Y48" s="117">
        <f>'As-Filed Schedule 2E'!O48</f>
        <v>0</v>
      </c>
      <c r="Z48" s="307">
        <f>SUMIFS(Adjustments!$G:$G,Adjustments!$H:$H,"2E",Adjustments!$I:$I,'Schedule 2E Adjustments'!$Y$12,Adjustments!$J:$J,'Schedule 2E Adjustments'!$A48)</f>
        <v>0</v>
      </c>
      <c r="AA48" s="303">
        <f t="shared" si="7"/>
        <v>0</v>
      </c>
    </row>
    <row r="49" spans="1:27" x14ac:dyDescent="0.35">
      <c r="A49" s="24">
        <v>35</v>
      </c>
      <c r="B49" s="565" t="str">
        <f>IF('As-Filed Schedule 2E'!B49:D49=0,"",'As-Filed Schedule 2E'!B49:D49)</f>
        <v/>
      </c>
      <c r="C49" s="565"/>
      <c r="D49" s="565"/>
      <c r="F49" s="114">
        <f>'As-Filed Schedule 2E'!F49</f>
        <v>0</v>
      </c>
      <c r="G49" s="307">
        <f>SUMIFS(Adjustments!$G:$G,Adjustments!$H:$H,"2E",Adjustments!$I:$I,'Schedule 2E Adjustments'!$F$12,Adjustments!$J:$J,'Schedule 2E Adjustments'!$A49)</f>
        <v>0</v>
      </c>
      <c r="H49" s="303">
        <f t="shared" si="0"/>
        <v>0</v>
      </c>
      <c r="I49" s="68">
        <f>IFERROR(F49*'As-Filed Schedule 1'!$E$103,0)</f>
        <v>0</v>
      </c>
      <c r="J49" s="304">
        <f>IFERROR(H49*'Adjusted Schedule 1'!$E$104,0)</f>
        <v>0</v>
      </c>
      <c r="K49" s="68">
        <f t="shared" si="1"/>
        <v>0</v>
      </c>
      <c r="L49" s="304">
        <f t="shared" si="2"/>
        <v>0</v>
      </c>
      <c r="N49" s="114">
        <f>'As-Filed Schedule 2E'!J49</f>
        <v>0</v>
      </c>
      <c r="O49" s="307">
        <f>SUMIFS(Adjustments!$G:$G,Adjustments!$H:$H,"2E",Adjustments!$I:$I,'Schedule 2E Adjustments'!$N$12,Adjustments!$J:$J,'Schedule 2E Adjustments'!$A49)</f>
        <v>0</v>
      </c>
      <c r="P49" s="303">
        <f t="shared" si="3"/>
        <v>0</v>
      </c>
      <c r="Q49" s="68">
        <f>IFERROR(N49*'As-Filed Schedule 1'!$E$103,0)</f>
        <v>0</v>
      </c>
      <c r="R49" s="68">
        <f>IFERROR(P49*'Adjusted Schedule 1'!$E$104,0)</f>
        <v>0</v>
      </c>
      <c r="S49" s="68">
        <f t="shared" si="4"/>
        <v>0</v>
      </c>
      <c r="T49" s="304">
        <f t="shared" si="5"/>
        <v>0</v>
      </c>
      <c r="V49" s="117">
        <f>'As-Filed Schedule 2E'!N49</f>
        <v>0</v>
      </c>
      <c r="W49" s="307">
        <f>SUMIFS(Adjustments!$G:$G,Adjustments!$H:$H,"2E",Adjustments!$I:$I,'Schedule 2E Adjustments'!$V$12,Adjustments!$J:$J,'Schedule 2E Adjustments'!$A49)</f>
        <v>0</v>
      </c>
      <c r="X49" s="303">
        <f t="shared" si="6"/>
        <v>0</v>
      </c>
      <c r="Y49" s="117">
        <f>'As-Filed Schedule 2E'!O49</f>
        <v>0</v>
      </c>
      <c r="Z49" s="307">
        <f>SUMIFS(Adjustments!$G:$G,Adjustments!$H:$H,"2E",Adjustments!$I:$I,'Schedule 2E Adjustments'!$Y$12,Adjustments!$J:$J,'Schedule 2E Adjustments'!$A49)</f>
        <v>0</v>
      </c>
      <c r="AA49" s="303">
        <f t="shared" si="7"/>
        <v>0</v>
      </c>
    </row>
    <row r="50" spans="1:27" x14ac:dyDescent="0.35">
      <c r="A50" s="24">
        <v>36</v>
      </c>
      <c r="B50" s="565" t="str">
        <f>IF('As-Filed Schedule 2E'!B50:D50=0,"",'As-Filed Schedule 2E'!B50:D50)</f>
        <v/>
      </c>
      <c r="C50" s="565"/>
      <c r="D50" s="565"/>
      <c r="F50" s="114">
        <f>'As-Filed Schedule 2E'!F50</f>
        <v>0</v>
      </c>
      <c r="G50" s="307">
        <f>SUMIFS(Adjustments!$G:$G,Adjustments!$H:$H,"2E",Adjustments!$I:$I,'Schedule 2E Adjustments'!$F$12,Adjustments!$J:$J,'Schedule 2E Adjustments'!$A50)</f>
        <v>0</v>
      </c>
      <c r="H50" s="303">
        <f t="shared" si="0"/>
        <v>0</v>
      </c>
      <c r="I50" s="68">
        <f>IFERROR(F50*'As-Filed Schedule 1'!$E$103,0)</f>
        <v>0</v>
      </c>
      <c r="J50" s="304">
        <f>IFERROR(H50*'Adjusted Schedule 1'!$E$104,0)</f>
        <v>0</v>
      </c>
      <c r="K50" s="68">
        <f t="shared" si="1"/>
        <v>0</v>
      </c>
      <c r="L50" s="304">
        <f t="shared" si="2"/>
        <v>0</v>
      </c>
      <c r="N50" s="114">
        <f>'As-Filed Schedule 2E'!J50</f>
        <v>0</v>
      </c>
      <c r="O50" s="307">
        <f>SUMIFS(Adjustments!$G:$G,Adjustments!$H:$H,"2E",Adjustments!$I:$I,'Schedule 2E Adjustments'!$N$12,Adjustments!$J:$J,'Schedule 2E Adjustments'!$A50)</f>
        <v>0</v>
      </c>
      <c r="P50" s="303">
        <f t="shared" si="3"/>
        <v>0</v>
      </c>
      <c r="Q50" s="68">
        <f>IFERROR(N50*'As-Filed Schedule 1'!$E$103,0)</f>
        <v>0</v>
      </c>
      <c r="R50" s="68">
        <f>IFERROR(P50*'Adjusted Schedule 1'!$E$104,0)</f>
        <v>0</v>
      </c>
      <c r="S50" s="68">
        <f t="shared" si="4"/>
        <v>0</v>
      </c>
      <c r="T50" s="304">
        <f t="shared" si="5"/>
        <v>0</v>
      </c>
      <c r="V50" s="117">
        <f>'As-Filed Schedule 2E'!N50</f>
        <v>0</v>
      </c>
      <c r="W50" s="307">
        <f>SUMIFS(Adjustments!$G:$G,Adjustments!$H:$H,"2E",Adjustments!$I:$I,'Schedule 2E Adjustments'!$V$12,Adjustments!$J:$J,'Schedule 2E Adjustments'!$A50)</f>
        <v>0</v>
      </c>
      <c r="X50" s="303">
        <f t="shared" si="6"/>
        <v>0</v>
      </c>
      <c r="Y50" s="117">
        <f>'As-Filed Schedule 2E'!O50</f>
        <v>0</v>
      </c>
      <c r="Z50" s="307">
        <f>SUMIFS(Adjustments!$G:$G,Adjustments!$H:$H,"2E",Adjustments!$I:$I,'Schedule 2E Adjustments'!$Y$12,Adjustments!$J:$J,'Schedule 2E Adjustments'!$A50)</f>
        <v>0</v>
      </c>
      <c r="AA50" s="303">
        <f t="shared" si="7"/>
        <v>0</v>
      </c>
    </row>
    <row r="51" spans="1:27" x14ac:dyDescent="0.35">
      <c r="A51" s="24">
        <v>37</v>
      </c>
      <c r="B51" s="565" t="str">
        <f>IF('As-Filed Schedule 2E'!B51:D51=0,"",'As-Filed Schedule 2E'!B51:D51)</f>
        <v/>
      </c>
      <c r="C51" s="565"/>
      <c r="D51" s="565"/>
      <c r="F51" s="114">
        <f>'As-Filed Schedule 2E'!F51</f>
        <v>0</v>
      </c>
      <c r="G51" s="307">
        <f>SUMIFS(Adjustments!$G:$G,Adjustments!$H:$H,"2E",Adjustments!$I:$I,'Schedule 2E Adjustments'!$F$12,Adjustments!$J:$J,'Schedule 2E Adjustments'!$A51)</f>
        <v>0</v>
      </c>
      <c r="H51" s="303">
        <f t="shared" si="0"/>
        <v>0</v>
      </c>
      <c r="I51" s="68">
        <f>IFERROR(F51*'As-Filed Schedule 1'!$E$103,0)</f>
        <v>0</v>
      </c>
      <c r="J51" s="304">
        <f>IFERROR(H51*'Adjusted Schedule 1'!$E$104,0)</f>
        <v>0</v>
      </c>
      <c r="K51" s="68">
        <f t="shared" si="1"/>
        <v>0</v>
      </c>
      <c r="L51" s="304">
        <f t="shared" si="2"/>
        <v>0</v>
      </c>
      <c r="N51" s="114">
        <f>'As-Filed Schedule 2E'!J51</f>
        <v>0</v>
      </c>
      <c r="O51" s="307">
        <f>SUMIFS(Adjustments!$G:$G,Adjustments!$H:$H,"2E",Adjustments!$I:$I,'Schedule 2E Adjustments'!$N$12,Adjustments!$J:$J,'Schedule 2E Adjustments'!$A51)</f>
        <v>0</v>
      </c>
      <c r="P51" s="303">
        <f t="shared" si="3"/>
        <v>0</v>
      </c>
      <c r="Q51" s="68">
        <f>IFERROR(N51*'As-Filed Schedule 1'!$E$103,0)</f>
        <v>0</v>
      </c>
      <c r="R51" s="68">
        <f>IFERROR(P51*'Adjusted Schedule 1'!$E$104,0)</f>
        <v>0</v>
      </c>
      <c r="S51" s="68">
        <f t="shared" si="4"/>
        <v>0</v>
      </c>
      <c r="T51" s="304">
        <f t="shared" si="5"/>
        <v>0</v>
      </c>
      <c r="V51" s="117">
        <f>'As-Filed Schedule 2E'!N51</f>
        <v>0</v>
      </c>
      <c r="W51" s="307">
        <f>SUMIFS(Adjustments!$G:$G,Adjustments!$H:$H,"2E",Adjustments!$I:$I,'Schedule 2E Adjustments'!$V$12,Adjustments!$J:$J,'Schedule 2E Adjustments'!$A51)</f>
        <v>0</v>
      </c>
      <c r="X51" s="303">
        <f t="shared" si="6"/>
        <v>0</v>
      </c>
      <c r="Y51" s="117">
        <f>'As-Filed Schedule 2E'!O51</f>
        <v>0</v>
      </c>
      <c r="Z51" s="307">
        <f>SUMIFS(Adjustments!$G:$G,Adjustments!$H:$H,"2E",Adjustments!$I:$I,'Schedule 2E Adjustments'!$Y$12,Adjustments!$J:$J,'Schedule 2E Adjustments'!$A51)</f>
        <v>0</v>
      </c>
      <c r="AA51" s="303">
        <f t="shared" si="7"/>
        <v>0</v>
      </c>
    </row>
    <row r="52" spans="1:27" x14ac:dyDescent="0.35">
      <c r="A52" s="24">
        <v>38</v>
      </c>
      <c r="B52" s="565" t="str">
        <f>IF('As-Filed Schedule 2E'!B52:D52=0,"",'As-Filed Schedule 2E'!B52:D52)</f>
        <v/>
      </c>
      <c r="C52" s="565"/>
      <c r="D52" s="565"/>
      <c r="F52" s="114">
        <f>'As-Filed Schedule 2E'!F52</f>
        <v>0</v>
      </c>
      <c r="G52" s="307">
        <f>SUMIFS(Adjustments!$G:$G,Adjustments!$H:$H,"2E",Adjustments!$I:$I,'Schedule 2E Adjustments'!$F$12,Adjustments!$J:$J,'Schedule 2E Adjustments'!$A52)</f>
        <v>0</v>
      </c>
      <c r="H52" s="303">
        <f t="shared" si="0"/>
        <v>0</v>
      </c>
      <c r="I52" s="68">
        <f>IFERROR(F52*'As-Filed Schedule 1'!$E$103,0)</f>
        <v>0</v>
      </c>
      <c r="J52" s="304">
        <f>IFERROR(H52*'Adjusted Schedule 1'!$E$104,0)</f>
        <v>0</v>
      </c>
      <c r="K52" s="68">
        <f t="shared" si="1"/>
        <v>0</v>
      </c>
      <c r="L52" s="304">
        <f t="shared" si="2"/>
        <v>0</v>
      </c>
      <c r="N52" s="114">
        <f>'As-Filed Schedule 2E'!J52</f>
        <v>0</v>
      </c>
      <c r="O52" s="307">
        <f>SUMIFS(Adjustments!$G:$G,Adjustments!$H:$H,"2E",Adjustments!$I:$I,'Schedule 2E Adjustments'!$N$12,Adjustments!$J:$J,'Schedule 2E Adjustments'!$A52)</f>
        <v>0</v>
      </c>
      <c r="P52" s="303">
        <f t="shared" si="3"/>
        <v>0</v>
      </c>
      <c r="Q52" s="68">
        <f>IFERROR(N52*'As-Filed Schedule 1'!$E$103,0)</f>
        <v>0</v>
      </c>
      <c r="R52" s="68">
        <f>IFERROR(P52*'Adjusted Schedule 1'!$E$104,0)</f>
        <v>0</v>
      </c>
      <c r="S52" s="68">
        <f t="shared" si="4"/>
        <v>0</v>
      </c>
      <c r="T52" s="304">
        <f t="shared" si="5"/>
        <v>0</v>
      </c>
      <c r="V52" s="117">
        <f>'As-Filed Schedule 2E'!N52</f>
        <v>0</v>
      </c>
      <c r="W52" s="307">
        <f>SUMIFS(Adjustments!$G:$G,Adjustments!$H:$H,"2E",Adjustments!$I:$I,'Schedule 2E Adjustments'!$V$12,Adjustments!$J:$J,'Schedule 2E Adjustments'!$A52)</f>
        <v>0</v>
      </c>
      <c r="X52" s="303">
        <f t="shared" si="6"/>
        <v>0</v>
      </c>
      <c r="Y52" s="117">
        <f>'As-Filed Schedule 2E'!O52</f>
        <v>0</v>
      </c>
      <c r="Z52" s="307">
        <f>SUMIFS(Adjustments!$G:$G,Adjustments!$H:$H,"2E",Adjustments!$I:$I,'Schedule 2E Adjustments'!$Y$12,Adjustments!$J:$J,'Schedule 2E Adjustments'!$A52)</f>
        <v>0</v>
      </c>
      <c r="AA52" s="303">
        <f t="shared" si="7"/>
        <v>0</v>
      </c>
    </row>
    <row r="53" spans="1:27" x14ac:dyDescent="0.35">
      <c r="A53" s="24">
        <v>39</v>
      </c>
      <c r="B53" s="565" t="str">
        <f>IF('As-Filed Schedule 2E'!B53:D53=0,"",'As-Filed Schedule 2E'!B53:D53)</f>
        <v/>
      </c>
      <c r="C53" s="565"/>
      <c r="D53" s="565"/>
      <c r="F53" s="114">
        <f>'As-Filed Schedule 2E'!F53</f>
        <v>0</v>
      </c>
      <c r="G53" s="307">
        <f>SUMIFS(Adjustments!$G:$G,Adjustments!$H:$H,"2E",Adjustments!$I:$I,'Schedule 2E Adjustments'!$F$12,Adjustments!$J:$J,'Schedule 2E Adjustments'!$A53)</f>
        <v>0</v>
      </c>
      <c r="H53" s="303">
        <f t="shared" si="0"/>
        <v>0</v>
      </c>
      <c r="I53" s="68">
        <f>IFERROR(F53*'As-Filed Schedule 1'!$E$103,0)</f>
        <v>0</v>
      </c>
      <c r="J53" s="304">
        <f>IFERROR(H53*'Adjusted Schedule 1'!$E$104,0)</f>
        <v>0</v>
      </c>
      <c r="K53" s="68">
        <f t="shared" si="1"/>
        <v>0</v>
      </c>
      <c r="L53" s="304">
        <f t="shared" si="2"/>
        <v>0</v>
      </c>
      <c r="N53" s="114">
        <f>'As-Filed Schedule 2E'!J53</f>
        <v>0</v>
      </c>
      <c r="O53" s="307">
        <f>SUMIFS(Adjustments!$G:$G,Adjustments!$H:$H,"2E",Adjustments!$I:$I,'Schedule 2E Adjustments'!$N$12,Adjustments!$J:$J,'Schedule 2E Adjustments'!$A53)</f>
        <v>0</v>
      </c>
      <c r="P53" s="303">
        <f t="shared" si="3"/>
        <v>0</v>
      </c>
      <c r="Q53" s="68">
        <f>IFERROR(N53*'As-Filed Schedule 1'!$E$103,0)</f>
        <v>0</v>
      </c>
      <c r="R53" s="68">
        <f>IFERROR(P53*'Adjusted Schedule 1'!$E$104,0)</f>
        <v>0</v>
      </c>
      <c r="S53" s="68">
        <f t="shared" si="4"/>
        <v>0</v>
      </c>
      <c r="T53" s="304">
        <f t="shared" si="5"/>
        <v>0</v>
      </c>
      <c r="V53" s="117">
        <f>'As-Filed Schedule 2E'!N53</f>
        <v>0</v>
      </c>
      <c r="W53" s="307">
        <f>SUMIFS(Adjustments!$G:$G,Adjustments!$H:$H,"2E",Adjustments!$I:$I,'Schedule 2E Adjustments'!$V$12,Adjustments!$J:$J,'Schedule 2E Adjustments'!$A53)</f>
        <v>0</v>
      </c>
      <c r="X53" s="303">
        <f t="shared" si="6"/>
        <v>0</v>
      </c>
      <c r="Y53" s="117">
        <f>'As-Filed Schedule 2E'!O53</f>
        <v>0</v>
      </c>
      <c r="Z53" s="307">
        <f>SUMIFS(Adjustments!$G:$G,Adjustments!$H:$H,"2E",Adjustments!$I:$I,'Schedule 2E Adjustments'!$Y$12,Adjustments!$J:$J,'Schedule 2E Adjustments'!$A53)</f>
        <v>0</v>
      </c>
      <c r="AA53" s="303">
        <f t="shared" si="7"/>
        <v>0</v>
      </c>
    </row>
    <row r="54" spans="1:27" x14ac:dyDescent="0.35">
      <c r="A54" s="24">
        <v>40</v>
      </c>
      <c r="B54" s="565" t="str">
        <f>IF('As-Filed Schedule 2E'!B54:D54=0,"",'As-Filed Schedule 2E'!B54:D54)</f>
        <v/>
      </c>
      <c r="C54" s="565"/>
      <c r="D54" s="565"/>
      <c r="F54" s="114">
        <f>'As-Filed Schedule 2E'!F54</f>
        <v>0</v>
      </c>
      <c r="G54" s="307">
        <f>SUMIFS(Adjustments!$G:$G,Adjustments!$H:$H,"2E",Adjustments!$I:$I,'Schedule 2E Adjustments'!$F$12,Adjustments!$J:$J,'Schedule 2E Adjustments'!$A54)</f>
        <v>0</v>
      </c>
      <c r="H54" s="303">
        <f t="shared" si="0"/>
        <v>0</v>
      </c>
      <c r="I54" s="68">
        <f>IFERROR(F54*'As-Filed Schedule 1'!$E$103,0)</f>
        <v>0</v>
      </c>
      <c r="J54" s="304">
        <f>IFERROR(H54*'Adjusted Schedule 1'!$E$104,0)</f>
        <v>0</v>
      </c>
      <c r="K54" s="68">
        <f t="shared" si="1"/>
        <v>0</v>
      </c>
      <c r="L54" s="304">
        <f t="shared" si="2"/>
        <v>0</v>
      </c>
      <c r="N54" s="114">
        <f>'As-Filed Schedule 2E'!J54</f>
        <v>0</v>
      </c>
      <c r="O54" s="307">
        <f>SUMIFS(Adjustments!$G:$G,Adjustments!$H:$H,"2E",Adjustments!$I:$I,'Schedule 2E Adjustments'!$N$12,Adjustments!$J:$J,'Schedule 2E Adjustments'!$A54)</f>
        <v>0</v>
      </c>
      <c r="P54" s="303">
        <f t="shared" si="3"/>
        <v>0</v>
      </c>
      <c r="Q54" s="68">
        <f>IFERROR(N54*'As-Filed Schedule 1'!$E$103,0)</f>
        <v>0</v>
      </c>
      <c r="R54" s="68">
        <f>IFERROR(P54*'Adjusted Schedule 1'!$E$104,0)</f>
        <v>0</v>
      </c>
      <c r="S54" s="68">
        <f t="shared" si="4"/>
        <v>0</v>
      </c>
      <c r="T54" s="304">
        <f t="shared" si="5"/>
        <v>0</v>
      </c>
      <c r="V54" s="117">
        <f>'As-Filed Schedule 2E'!N54</f>
        <v>0</v>
      </c>
      <c r="W54" s="307">
        <f>SUMIFS(Adjustments!$G:$G,Adjustments!$H:$H,"2E",Adjustments!$I:$I,'Schedule 2E Adjustments'!$V$12,Adjustments!$J:$J,'Schedule 2E Adjustments'!$A54)</f>
        <v>0</v>
      </c>
      <c r="X54" s="303">
        <f t="shared" si="6"/>
        <v>0</v>
      </c>
      <c r="Y54" s="117">
        <f>'As-Filed Schedule 2E'!O54</f>
        <v>0</v>
      </c>
      <c r="Z54" s="307">
        <f>SUMIFS(Adjustments!$G:$G,Adjustments!$H:$H,"2E",Adjustments!$I:$I,'Schedule 2E Adjustments'!$Y$12,Adjustments!$J:$J,'Schedule 2E Adjustments'!$A54)</f>
        <v>0</v>
      </c>
      <c r="AA54" s="303">
        <f t="shared" si="7"/>
        <v>0</v>
      </c>
    </row>
    <row r="55" spans="1:27" x14ac:dyDescent="0.35">
      <c r="A55" s="24">
        <v>41</v>
      </c>
      <c r="B55" s="565" t="str">
        <f>IF('As-Filed Schedule 2E'!B55:D55=0,"",'As-Filed Schedule 2E'!B55:D55)</f>
        <v/>
      </c>
      <c r="C55" s="565"/>
      <c r="D55" s="565"/>
      <c r="F55" s="114">
        <f>'As-Filed Schedule 2E'!F55</f>
        <v>0</v>
      </c>
      <c r="G55" s="307">
        <f>SUMIFS(Adjustments!$G:$G,Adjustments!$H:$H,"2E",Adjustments!$I:$I,'Schedule 2E Adjustments'!$F$12,Adjustments!$J:$J,'Schedule 2E Adjustments'!$A55)</f>
        <v>0</v>
      </c>
      <c r="H55" s="303">
        <f t="shared" si="0"/>
        <v>0</v>
      </c>
      <c r="I55" s="68">
        <f>IFERROR(F55*'As-Filed Schedule 1'!$E$103,0)</f>
        <v>0</v>
      </c>
      <c r="J55" s="304">
        <f>IFERROR(H55*'Adjusted Schedule 1'!$E$104,0)</f>
        <v>0</v>
      </c>
      <c r="K55" s="68">
        <f t="shared" si="1"/>
        <v>0</v>
      </c>
      <c r="L55" s="304">
        <f t="shared" si="2"/>
        <v>0</v>
      </c>
      <c r="N55" s="114">
        <f>'As-Filed Schedule 2E'!J55</f>
        <v>0</v>
      </c>
      <c r="O55" s="307">
        <f>SUMIFS(Adjustments!$G:$G,Adjustments!$H:$H,"2E",Adjustments!$I:$I,'Schedule 2E Adjustments'!$N$12,Adjustments!$J:$J,'Schedule 2E Adjustments'!$A55)</f>
        <v>0</v>
      </c>
      <c r="P55" s="303">
        <f t="shared" si="3"/>
        <v>0</v>
      </c>
      <c r="Q55" s="68">
        <f>IFERROR(N55*'As-Filed Schedule 1'!$E$103,0)</f>
        <v>0</v>
      </c>
      <c r="R55" s="68">
        <f>IFERROR(P55*'Adjusted Schedule 1'!$E$104,0)</f>
        <v>0</v>
      </c>
      <c r="S55" s="68">
        <f t="shared" si="4"/>
        <v>0</v>
      </c>
      <c r="T55" s="304">
        <f t="shared" si="5"/>
        <v>0</v>
      </c>
      <c r="V55" s="117">
        <f>'As-Filed Schedule 2E'!N55</f>
        <v>0</v>
      </c>
      <c r="W55" s="307">
        <f>SUMIFS(Adjustments!$G:$G,Adjustments!$H:$H,"2E",Adjustments!$I:$I,'Schedule 2E Adjustments'!$V$12,Adjustments!$J:$J,'Schedule 2E Adjustments'!$A55)</f>
        <v>0</v>
      </c>
      <c r="X55" s="303">
        <f t="shared" si="6"/>
        <v>0</v>
      </c>
      <c r="Y55" s="117">
        <f>'As-Filed Schedule 2E'!O55</f>
        <v>0</v>
      </c>
      <c r="Z55" s="307">
        <f>SUMIFS(Adjustments!$G:$G,Adjustments!$H:$H,"2E",Adjustments!$I:$I,'Schedule 2E Adjustments'!$Y$12,Adjustments!$J:$J,'Schedule 2E Adjustments'!$A55)</f>
        <v>0</v>
      </c>
      <c r="AA55" s="303">
        <f t="shared" si="7"/>
        <v>0</v>
      </c>
    </row>
    <row r="56" spans="1:27" x14ac:dyDescent="0.35">
      <c r="A56" s="24">
        <v>42</v>
      </c>
      <c r="B56" s="565" t="str">
        <f>IF('As-Filed Schedule 2E'!B56:D56=0,"",'As-Filed Schedule 2E'!B56:D56)</f>
        <v/>
      </c>
      <c r="C56" s="565"/>
      <c r="D56" s="565"/>
      <c r="F56" s="114">
        <f>'As-Filed Schedule 2E'!F56</f>
        <v>0</v>
      </c>
      <c r="G56" s="307">
        <f>SUMIFS(Adjustments!$G:$G,Adjustments!$H:$H,"2E",Adjustments!$I:$I,'Schedule 2E Adjustments'!$F$12,Adjustments!$J:$J,'Schedule 2E Adjustments'!$A56)</f>
        <v>0</v>
      </c>
      <c r="H56" s="303">
        <f t="shared" si="0"/>
        <v>0</v>
      </c>
      <c r="I56" s="68">
        <f>IFERROR(F56*'As-Filed Schedule 1'!$E$103,0)</f>
        <v>0</v>
      </c>
      <c r="J56" s="304">
        <f>IFERROR(H56*'Adjusted Schedule 1'!$E$104,0)</f>
        <v>0</v>
      </c>
      <c r="K56" s="68">
        <f t="shared" si="1"/>
        <v>0</v>
      </c>
      <c r="L56" s="304">
        <f t="shared" si="2"/>
        <v>0</v>
      </c>
      <c r="N56" s="114">
        <f>'As-Filed Schedule 2E'!J56</f>
        <v>0</v>
      </c>
      <c r="O56" s="307">
        <f>SUMIFS(Adjustments!$G:$G,Adjustments!$H:$H,"2E",Adjustments!$I:$I,'Schedule 2E Adjustments'!$N$12,Adjustments!$J:$J,'Schedule 2E Adjustments'!$A56)</f>
        <v>0</v>
      </c>
      <c r="P56" s="303">
        <f t="shared" si="3"/>
        <v>0</v>
      </c>
      <c r="Q56" s="68">
        <f>IFERROR(N56*'As-Filed Schedule 1'!$E$103,0)</f>
        <v>0</v>
      </c>
      <c r="R56" s="68">
        <f>IFERROR(P56*'Adjusted Schedule 1'!$E$104,0)</f>
        <v>0</v>
      </c>
      <c r="S56" s="68">
        <f t="shared" si="4"/>
        <v>0</v>
      </c>
      <c r="T56" s="304">
        <f t="shared" si="5"/>
        <v>0</v>
      </c>
      <c r="V56" s="117">
        <f>'As-Filed Schedule 2E'!N56</f>
        <v>0</v>
      </c>
      <c r="W56" s="307">
        <f>SUMIFS(Adjustments!$G:$G,Adjustments!$H:$H,"2E",Adjustments!$I:$I,'Schedule 2E Adjustments'!$V$12,Adjustments!$J:$J,'Schedule 2E Adjustments'!$A56)</f>
        <v>0</v>
      </c>
      <c r="X56" s="303">
        <f t="shared" si="6"/>
        <v>0</v>
      </c>
      <c r="Y56" s="117">
        <f>'As-Filed Schedule 2E'!O56</f>
        <v>0</v>
      </c>
      <c r="Z56" s="307">
        <f>SUMIFS(Adjustments!$G:$G,Adjustments!$H:$H,"2E",Adjustments!$I:$I,'Schedule 2E Adjustments'!$Y$12,Adjustments!$J:$J,'Schedule 2E Adjustments'!$A56)</f>
        <v>0</v>
      </c>
      <c r="AA56" s="303">
        <f t="shared" si="7"/>
        <v>0</v>
      </c>
    </row>
    <row r="57" spans="1:27" x14ac:dyDescent="0.35">
      <c r="A57" s="24">
        <v>43</v>
      </c>
      <c r="B57" s="565" t="str">
        <f>IF('As-Filed Schedule 2E'!B57:D57=0,"",'As-Filed Schedule 2E'!B57:D57)</f>
        <v/>
      </c>
      <c r="C57" s="565"/>
      <c r="D57" s="565"/>
      <c r="F57" s="114">
        <f>'As-Filed Schedule 2E'!F57</f>
        <v>0</v>
      </c>
      <c r="G57" s="307">
        <f>SUMIFS(Adjustments!$G:$G,Adjustments!$H:$H,"2E",Adjustments!$I:$I,'Schedule 2E Adjustments'!$F$12,Adjustments!$J:$J,'Schedule 2E Adjustments'!$A57)</f>
        <v>0</v>
      </c>
      <c r="H57" s="303">
        <f t="shared" si="0"/>
        <v>0</v>
      </c>
      <c r="I57" s="68">
        <f>IFERROR(F57*'As-Filed Schedule 1'!$E$103,0)</f>
        <v>0</v>
      </c>
      <c r="J57" s="304">
        <f>IFERROR(H57*'Adjusted Schedule 1'!$E$104,0)</f>
        <v>0</v>
      </c>
      <c r="K57" s="68">
        <f t="shared" si="1"/>
        <v>0</v>
      </c>
      <c r="L57" s="304">
        <f t="shared" si="2"/>
        <v>0</v>
      </c>
      <c r="N57" s="114">
        <f>'As-Filed Schedule 2E'!J57</f>
        <v>0</v>
      </c>
      <c r="O57" s="307">
        <f>SUMIFS(Adjustments!$G:$G,Adjustments!$H:$H,"2E",Adjustments!$I:$I,'Schedule 2E Adjustments'!$N$12,Adjustments!$J:$J,'Schedule 2E Adjustments'!$A57)</f>
        <v>0</v>
      </c>
      <c r="P57" s="303">
        <f t="shared" si="3"/>
        <v>0</v>
      </c>
      <c r="Q57" s="68">
        <f>IFERROR(N57*'As-Filed Schedule 1'!$E$103,0)</f>
        <v>0</v>
      </c>
      <c r="R57" s="68">
        <f>IFERROR(P57*'Adjusted Schedule 1'!$E$104,0)</f>
        <v>0</v>
      </c>
      <c r="S57" s="68">
        <f t="shared" si="4"/>
        <v>0</v>
      </c>
      <c r="T57" s="304">
        <f t="shared" si="5"/>
        <v>0</v>
      </c>
      <c r="V57" s="117">
        <f>'As-Filed Schedule 2E'!N57</f>
        <v>0</v>
      </c>
      <c r="W57" s="307">
        <f>SUMIFS(Adjustments!$G:$G,Adjustments!$H:$H,"2E",Adjustments!$I:$I,'Schedule 2E Adjustments'!$V$12,Adjustments!$J:$J,'Schedule 2E Adjustments'!$A57)</f>
        <v>0</v>
      </c>
      <c r="X57" s="303">
        <f t="shared" si="6"/>
        <v>0</v>
      </c>
      <c r="Y57" s="117">
        <f>'As-Filed Schedule 2E'!O57</f>
        <v>0</v>
      </c>
      <c r="Z57" s="307">
        <f>SUMIFS(Adjustments!$G:$G,Adjustments!$H:$H,"2E",Adjustments!$I:$I,'Schedule 2E Adjustments'!$Y$12,Adjustments!$J:$J,'Schedule 2E Adjustments'!$A57)</f>
        <v>0</v>
      </c>
      <c r="AA57" s="303">
        <f t="shared" si="7"/>
        <v>0</v>
      </c>
    </row>
    <row r="58" spans="1:27" x14ac:dyDescent="0.35">
      <c r="A58" s="24">
        <v>44</v>
      </c>
      <c r="B58" s="565" t="str">
        <f>IF('As-Filed Schedule 2E'!B58:D58=0,"",'As-Filed Schedule 2E'!B58:D58)</f>
        <v/>
      </c>
      <c r="C58" s="565"/>
      <c r="D58" s="565"/>
      <c r="F58" s="114">
        <f>'As-Filed Schedule 2E'!F58</f>
        <v>0</v>
      </c>
      <c r="G58" s="307">
        <f>SUMIFS(Adjustments!$G:$G,Adjustments!$H:$H,"2E",Adjustments!$I:$I,'Schedule 2E Adjustments'!$F$12,Adjustments!$J:$J,'Schedule 2E Adjustments'!$A58)</f>
        <v>0</v>
      </c>
      <c r="H58" s="303">
        <f t="shared" si="0"/>
        <v>0</v>
      </c>
      <c r="I58" s="68">
        <f>IFERROR(F58*'As-Filed Schedule 1'!$E$103,0)</f>
        <v>0</v>
      </c>
      <c r="J58" s="304">
        <f>IFERROR(H58*'Adjusted Schedule 1'!$E$104,0)</f>
        <v>0</v>
      </c>
      <c r="K58" s="68">
        <f t="shared" si="1"/>
        <v>0</v>
      </c>
      <c r="L58" s="304">
        <f t="shared" si="2"/>
        <v>0</v>
      </c>
      <c r="N58" s="114">
        <f>'As-Filed Schedule 2E'!J58</f>
        <v>0</v>
      </c>
      <c r="O58" s="307">
        <f>SUMIFS(Adjustments!$G:$G,Adjustments!$H:$H,"2E",Adjustments!$I:$I,'Schedule 2E Adjustments'!$N$12,Adjustments!$J:$J,'Schedule 2E Adjustments'!$A58)</f>
        <v>0</v>
      </c>
      <c r="P58" s="303">
        <f t="shared" si="3"/>
        <v>0</v>
      </c>
      <c r="Q58" s="68">
        <f>IFERROR(N58*'As-Filed Schedule 1'!$E$103,0)</f>
        <v>0</v>
      </c>
      <c r="R58" s="68">
        <f>IFERROR(P58*'Adjusted Schedule 1'!$E$104,0)</f>
        <v>0</v>
      </c>
      <c r="S58" s="68">
        <f t="shared" si="4"/>
        <v>0</v>
      </c>
      <c r="T58" s="304">
        <f t="shared" si="5"/>
        <v>0</v>
      </c>
      <c r="V58" s="117">
        <f>'As-Filed Schedule 2E'!N58</f>
        <v>0</v>
      </c>
      <c r="W58" s="307">
        <f>SUMIFS(Adjustments!$G:$G,Adjustments!$H:$H,"2E",Adjustments!$I:$I,'Schedule 2E Adjustments'!$V$12,Adjustments!$J:$J,'Schedule 2E Adjustments'!$A58)</f>
        <v>0</v>
      </c>
      <c r="X58" s="303">
        <f t="shared" si="6"/>
        <v>0</v>
      </c>
      <c r="Y58" s="117">
        <f>'As-Filed Schedule 2E'!O58</f>
        <v>0</v>
      </c>
      <c r="Z58" s="307">
        <f>SUMIFS(Adjustments!$G:$G,Adjustments!$H:$H,"2E",Adjustments!$I:$I,'Schedule 2E Adjustments'!$Y$12,Adjustments!$J:$J,'Schedule 2E Adjustments'!$A58)</f>
        <v>0</v>
      </c>
      <c r="AA58" s="303">
        <f t="shared" si="7"/>
        <v>0</v>
      </c>
    </row>
    <row r="59" spans="1:27" x14ac:dyDescent="0.35">
      <c r="A59" s="24">
        <v>45</v>
      </c>
      <c r="B59" s="565" t="str">
        <f>IF('As-Filed Schedule 2E'!B59:D59=0,"",'As-Filed Schedule 2E'!B59:D59)</f>
        <v/>
      </c>
      <c r="C59" s="565"/>
      <c r="D59" s="565"/>
      <c r="F59" s="114">
        <f>'As-Filed Schedule 2E'!F59</f>
        <v>0</v>
      </c>
      <c r="G59" s="307">
        <f>SUMIFS(Adjustments!$G:$G,Adjustments!$H:$H,"2E",Adjustments!$I:$I,'Schedule 2E Adjustments'!$F$12,Adjustments!$J:$J,'Schedule 2E Adjustments'!$A59)</f>
        <v>0</v>
      </c>
      <c r="H59" s="303">
        <f t="shared" si="0"/>
        <v>0</v>
      </c>
      <c r="I59" s="68">
        <f>IFERROR(F59*'As-Filed Schedule 1'!$E$103,0)</f>
        <v>0</v>
      </c>
      <c r="J59" s="304">
        <f>IFERROR(H59*'Adjusted Schedule 1'!$E$104,0)</f>
        <v>0</v>
      </c>
      <c r="K59" s="68">
        <f t="shared" si="1"/>
        <v>0</v>
      </c>
      <c r="L59" s="304">
        <f t="shared" si="2"/>
        <v>0</v>
      </c>
      <c r="N59" s="114">
        <f>'As-Filed Schedule 2E'!J59</f>
        <v>0</v>
      </c>
      <c r="O59" s="307">
        <f>SUMIFS(Adjustments!$G:$G,Adjustments!$H:$H,"2E",Adjustments!$I:$I,'Schedule 2E Adjustments'!$N$12,Adjustments!$J:$J,'Schedule 2E Adjustments'!$A59)</f>
        <v>0</v>
      </c>
      <c r="P59" s="303">
        <f t="shared" si="3"/>
        <v>0</v>
      </c>
      <c r="Q59" s="68">
        <f>IFERROR(N59*'As-Filed Schedule 1'!$E$103,0)</f>
        <v>0</v>
      </c>
      <c r="R59" s="68">
        <f>IFERROR(P59*'Adjusted Schedule 1'!$E$104,0)</f>
        <v>0</v>
      </c>
      <c r="S59" s="68">
        <f t="shared" si="4"/>
        <v>0</v>
      </c>
      <c r="T59" s="304">
        <f t="shared" si="5"/>
        <v>0</v>
      </c>
      <c r="V59" s="117">
        <f>'As-Filed Schedule 2E'!N59</f>
        <v>0</v>
      </c>
      <c r="W59" s="307">
        <f>SUMIFS(Adjustments!$G:$G,Adjustments!$H:$H,"2E",Adjustments!$I:$I,'Schedule 2E Adjustments'!$V$12,Adjustments!$J:$J,'Schedule 2E Adjustments'!$A59)</f>
        <v>0</v>
      </c>
      <c r="X59" s="303">
        <f t="shared" si="6"/>
        <v>0</v>
      </c>
      <c r="Y59" s="117">
        <f>'As-Filed Schedule 2E'!O59</f>
        <v>0</v>
      </c>
      <c r="Z59" s="307">
        <f>SUMIFS(Adjustments!$G:$G,Adjustments!$H:$H,"2E",Adjustments!$I:$I,'Schedule 2E Adjustments'!$Y$12,Adjustments!$J:$J,'Schedule 2E Adjustments'!$A59)</f>
        <v>0</v>
      </c>
      <c r="AA59" s="303">
        <f t="shared" si="7"/>
        <v>0</v>
      </c>
    </row>
    <row r="60" spans="1:27" x14ac:dyDescent="0.35">
      <c r="A60" s="24">
        <v>46</v>
      </c>
      <c r="B60" s="565" t="str">
        <f>IF('As-Filed Schedule 2E'!B60:D60=0,"",'As-Filed Schedule 2E'!B60:D60)</f>
        <v/>
      </c>
      <c r="C60" s="565"/>
      <c r="D60" s="565"/>
      <c r="F60" s="114">
        <f>'As-Filed Schedule 2E'!F60</f>
        <v>0</v>
      </c>
      <c r="G60" s="307">
        <f>SUMIFS(Adjustments!$G:$G,Adjustments!$H:$H,"2E",Adjustments!$I:$I,'Schedule 2E Adjustments'!$F$12,Adjustments!$J:$J,'Schedule 2E Adjustments'!$A60)</f>
        <v>0</v>
      </c>
      <c r="H60" s="303">
        <f t="shared" si="0"/>
        <v>0</v>
      </c>
      <c r="I60" s="68">
        <f>IFERROR(F60*'As-Filed Schedule 1'!$E$103,0)</f>
        <v>0</v>
      </c>
      <c r="J60" s="304">
        <f>IFERROR(H60*'Adjusted Schedule 1'!$E$104,0)</f>
        <v>0</v>
      </c>
      <c r="K60" s="68">
        <f t="shared" si="1"/>
        <v>0</v>
      </c>
      <c r="L60" s="304">
        <f t="shared" si="2"/>
        <v>0</v>
      </c>
      <c r="N60" s="114">
        <f>'As-Filed Schedule 2E'!J60</f>
        <v>0</v>
      </c>
      <c r="O60" s="307">
        <f>SUMIFS(Adjustments!$G:$G,Adjustments!$H:$H,"2E",Adjustments!$I:$I,'Schedule 2E Adjustments'!$N$12,Adjustments!$J:$J,'Schedule 2E Adjustments'!$A60)</f>
        <v>0</v>
      </c>
      <c r="P60" s="303">
        <f t="shared" si="3"/>
        <v>0</v>
      </c>
      <c r="Q60" s="68">
        <f>IFERROR(N60*'As-Filed Schedule 1'!$E$103,0)</f>
        <v>0</v>
      </c>
      <c r="R60" s="68">
        <f>IFERROR(P60*'Adjusted Schedule 1'!$E$104,0)</f>
        <v>0</v>
      </c>
      <c r="S60" s="68">
        <f t="shared" si="4"/>
        <v>0</v>
      </c>
      <c r="T60" s="304">
        <f t="shared" si="5"/>
        <v>0</v>
      </c>
      <c r="V60" s="117">
        <f>'As-Filed Schedule 2E'!N60</f>
        <v>0</v>
      </c>
      <c r="W60" s="307">
        <f>SUMIFS(Adjustments!$G:$G,Adjustments!$H:$H,"2E",Adjustments!$I:$I,'Schedule 2E Adjustments'!$V$12,Adjustments!$J:$J,'Schedule 2E Adjustments'!$A60)</f>
        <v>0</v>
      </c>
      <c r="X60" s="303">
        <f t="shared" si="6"/>
        <v>0</v>
      </c>
      <c r="Y60" s="117">
        <f>'As-Filed Schedule 2E'!O60</f>
        <v>0</v>
      </c>
      <c r="Z60" s="307">
        <f>SUMIFS(Adjustments!$G:$G,Adjustments!$H:$H,"2E",Adjustments!$I:$I,'Schedule 2E Adjustments'!$Y$12,Adjustments!$J:$J,'Schedule 2E Adjustments'!$A60)</f>
        <v>0</v>
      </c>
      <c r="AA60" s="303">
        <f t="shared" si="7"/>
        <v>0</v>
      </c>
    </row>
    <row r="61" spans="1:27" x14ac:dyDescent="0.35">
      <c r="A61" s="24">
        <v>47</v>
      </c>
      <c r="B61" s="565" t="str">
        <f>IF('As-Filed Schedule 2E'!B61:D61=0,"",'As-Filed Schedule 2E'!B61:D61)</f>
        <v/>
      </c>
      <c r="C61" s="565"/>
      <c r="D61" s="565"/>
      <c r="F61" s="114">
        <f>'As-Filed Schedule 2E'!F61</f>
        <v>0</v>
      </c>
      <c r="G61" s="307">
        <f>SUMIFS(Adjustments!$G:$G,Adjustments!$H:$H,"2E",Adjustments!$I:$I,'Schedule 2E Adjustments'!$F$12,Adjustments!$J:$J,'Schedule 2E Adjustments'!$A61)</f>
        <v>0</v>
      </c>
      <c r="H61" s="303">
        <f t="shared" si="0"/>
        <v>0</v>
      </c>
      <c r="I61" s="68">
        <f>IFERROR(F61*'As-Filed Schedule 1'!$E$103,0)</f>
        <v>0</v>
      </c>
      <c r="J61" s="304">
        <f>IFERROR(H61*'Adjusted Schedule 1'!$E$104,0)</f>
        <v>0</v>
      </c>
      <c r="K61" s="68">
        <f t="shared" si="1"/>
        <v>0</v>
      </c>
      <c r="L61" s="304">
        <f t="shared" si="2"/>
        <v>0</v>
      </c>
      <c r="N61" s="114">
        <f>'As-Filed Schedule 2E'!J61</f>
        <v>0</v>
      </c>
      <c r="O61" s="307">
        <f>SUMIFS(Adjustments!$G:$G,Adjustments!$H:$H,"2E",Adjustments!$I:$I,'Schedule 2E Adjustments'!$N$12,Adjustments!$J:$J,'Schedule 2E Adjustments'!$A61)</f>
        <v>0</v>
      </c>
      <c r="P61" s="303">
        <f t="shared" si="3"/>
        <v>0</v>
      </c>
      <c r="Q61" s="68">
        <f>IFERROR(N61*'As-Filed Schedule 1'!$E$103,0)</f>
        <v>0</v>
      </c>
      <c r="R61" s="68">
        <f>IFERROR(P61*'Adjusted Schedule 1'!$E$104,0)</f>
        <v>0</v>
      </c>
      <c r="S61" s="68">
        <f t="shared" si="4"/>
        <v>0</v>
      </c>
      <c r="T61" s="304">
        <f t="shared" si="5"/>
        <v>0</v>
      </c>
      <c r="V61" s="117">
        <f>'As-Filed Schedule 2E'!N61</f>
        <v>0</v>
      </c>
      <c r="W61" s="307">
        <f>SUMIFS(Adjustments!$G:$G,Adjustments!$H:$H,"2E",Adjustments!$I:$I,'Schedule 2E Adjustments'!$V$12,Adjustments!$J:$J,'Schedule 2E Adjustments'!$A61)</f>
        <v>0</v>
      </c>
      <c r="X61" s="303">
        <f t="shared" si="6"/>
        <v>0</v>
      </c>
      <c r="Y61" s="117">
        <f>'As-Filed Schedule 2E'!O61</f>
        <v>0</v>
      </c>
      <c r="Z61" s="307">
        <f>SUMIFS(Adjustments!$G:$G,Adjustments!$H:$H,"2E",Adjustments!$I:$I,'Schedule 2E Adjustments'!$Y$12,Adjustments!$J:$J,'Schedule 2E Adjustments'!$A61)</f>
        <v>0</v>
      </c>
      <c r="AA61" s="303">
        <f t="shared" si="7"/>
        <v>0</v>
      </c>
    </row>
    <row r="62" spans="1:27" x14ac:dyDescent="0.35">
      <c r="A62" s="24">
        <v>48</v>
      </c>
      <c r="B62" s="565" t="str">
        <f>IF('As-Filed Schedule 2E'!B62:D62=0,"",'As-Filed Schedule 2E'!B62:D62)</f>
        <v/>
      </c>
      <c r="C62" s="565"/>
      <c r="D62" s="565"/>
      <c r="F62" s="114">
        <f>'As-Filed Schedule 2E'!F62</f>
        <v>0</v>
      </c>
      <c r="G62" s="307">
        <f>SUMIFS(Adjustments!$G:$G,Adjustments!$H:$H,"2E",Adjustments!$I:$I,'Schedule 2E Adjustments'!$F$12,Adjustments!$J:$J,'Schedule 2E Adjustments'!$A62)</f>
        <v>0</v>
      </c>
      <c r="H62" s="303">
        <f t="shared" si="0"/>
        <v>0</v>
      </c>
      <c r="I62" s="68">
        <f>IFERROR(F62*'As-Filed Schedule 1'!$E$103,0)</f>
        <v>0</v>
      </c>
      <c r="J62" s="304">
        <f>IFERROR(H62*'Adjusted Schedule 1'!$E$104,0)</f>
        <v>0</v>
      </c>
      <c r="K62" s="68">
        <f t="shared" si="1"/>
        <v>0</v>
      </c>
      <c r="L62" s="304">
        <f t="shared" si="2"/>
        <v>0</v>
      </c>
      <c r="N62" s="114">
        <f>'As-Filed Schedule 2E'!J62</f>
        <v>0</v>
      </c>
      <c r="O62" s="307">
        <f>SUMIFS(Adjustments!$G:$G,Adjustments!$H:$H,"2E",Adjustments!$I:$I,'Schedule 2E Adjustments'!$N$12,Adjustments!$J:$J,'Schedule 2E Adjustments'!$A62)</f>
        <v>0</v>
      </c>
      <c r="P62" s="303">
        <f t="shared" si="3"/>
        <v>0</v>
      </c>
      <c r="Q62" s="68">
        <f>IFERROR(N62*'As-Filed Schedule 1'!$E$103,0)</f>
        <v>0</v>
      </c>
      <c r="R62" s="68">
        <f>IFERROR(P62*'Adjusted Schedule 1'!$E$104,0)</f>
        <v>0</v>
      </c>
      <c r="S62" s="68">
        <f t="shared" si="4"/>
        <v>0</v>
      </c>
      <c r="T62" s="304">
        <f t="shared" si="5"/>
        <v>0</v>
      </c>
      <c r="V62" s="117">
        <f>'As-Filed Schedule 2E'!N62</f>
        <v>0</v>
      </c>
      <c r="W62" s="307">
        <f>SUMIFS(Adjustments!$G:$G,Adjustments!$H:$H,"2E",Adjustments!$I:$I,'Schedule 2E Adjustments'!$V$12,Adjustments!$J:$J,'Schedule 2E Adjustments'!$A62)</f>
        <v>0</v>
      </c>
      <c r="X62" s="303">
        <f t="shared" si="6"/>
        <v>0</v>
      </c>
      <c r="Y62" s="117">
        <f>'As-Filed Schedule 2E'!O62</f>
        <v>0</v>
      </c>
      <c r="Z62" s="307">
        <f>SUMIFS(Adjustments!$G:$G,Adjustments!$H:$H,"2E",Adjustments!$I:$I,'Schedule 2E Adjustments'!$Y$12,Adjustments!$J:$J,'Schedule 2E Adjustments'!$A62)</f>
        <v>0</v>
      </c>
      <c r="AA62" s="303">
        <f t="shared" si="7"/>
        <v>0</v>
      </c>
    </row>
    <row r="63" spans="1:27" x14ac:dyDescent="0.35">
      <c r="A63" s="24">
        <v>49</v>
      </c>
      <c r="B63" s="565" t="str">
        <f>IF('As-Filed Schedule 2E'!B63:D63=0,"",'As-Filed Schedule 2E'!B63:D63)</f>
        <v/>
      </c>
      <c r="C63" s="565"/>
      <c r="D63" s="565"/>
      <c r="F63" s="114">
        <f>'As-Filed Schedule 2E'!F63</f>
        <v>0</v>
      </c>
      <c r="G63" s="307">
        <f>SUMIFS(Adjustments!$G:$G,Adjustments!$H:$H,"2E",Adjustments!$I:$I,'Schedule 2E Adjustments'!$F$12,Adjustments!$J:$J,'Schedule 2E Adjustments'!$A63)</f>
        <v>0</v>
      </c>
      <c r="H63" s="303">
        <f t="shared" si="0"/>
        <v>0</v>
      </c>
      <c r="I63" s="68">
        <f>IFERROR(F63*'As-Filed Schedule 1'!$E$103,0)</f>
        <v>0</v>
      </c>
      <c r="J63" s="304">
        <f>IFERROR(H63*'Adjusted Schedule 1'!$E$104,0)</f>
        <v>0</v>
      </c>
      <c r="K63" s="68">
        <f t="shared" si="1"/>
        <v>0</v>
      </c>
      <c r="L63" s="304">
        <f t="shared" si="2"/>
        <v>0</v>
      </c>
      <c r="N63" s="114">
        <f>'As-Filed Schedule 2E'!J63</f>
        <v>0</v>
      </c>
      <c r="O63" s="307">
        <f>SUMIFS(Adjustments!$G:$G,Adjustments!$H:$H,"2E",Adjustments!$I:$I,'Schedule 2E Adjustments'!$N$12,Adjustments!$J:$J,'Schedule 2E Adjustments'!$A63)</f>
        <v>0</v>
      </c>
      <c r="P63" s="303">
        <f t="shared" si="3"/>
        <v>0</v>
      </c>
      <c r="Q63" s="68">
        <f>IFERROR(N63*'As-Filed Schedule 1'!$E$103,0)</f>
        <v>0</v>
      </c>
      <c r="R63" s="68">
        <f>IFERROR(P63*'Adjusted Schedule 1'!$E$104,0)</f>
        <v>0</v>
      </c>
      <c r="S63" s="68">
        <f t="shared" si="4"/>
        <v>0</v>
      </c>
      <c r="T63" s="304">
        <f t="shared" si="5"/>
        <v>0</v>
      </c>
      <c r="V63" s="117">
        <f>'As-Filed Schedule 2E'!N63</f>
        <v>0</v>
      </c>
      <c r="W63" s="307">
        <f>SUMIFS(Adjustments!$G:$G,Adjustments!$H:$H,"2E",Adjustments!$I:$I,'Schedule 2E Adjustments'!$V$12,Adjustments!$J:$J,'Schedule 2E Adjustments'!$A63)</f>
        <v>0</v>
      </c>
      <c r="X63" s="303">
        <f t="shared" si="6"/>
        <v>0</v>
      </c>
      <c r="Y63" s="117">
        <f>'As-Filed Schedule 2E'!O63</f>
        <v>0</v>
      </c>
      <c r="Z63" s="307">
        <f>SUMIFS(Adjustments!$G:$G,Adjustments!$H:$H,"2E",Adjustments!$I:$I,'Schedule 2E Adjustments'!$Y$12,Adjustments!$J:$J,'Schedule 2E Adjustments'!$A63)</f>
        <v>0</v>
      </c>
      <c r="AA63" s="303">
        <f t="shared" si="7"/>
        <v>0</v>
      </c>
    </row>
    <row r="64" spans="1:27" x14ac:dyDescent="0.35">
      <c r="A64" s="24">
        <v>50</v>
      </c>
      <c r="B64" s="565" t="str">
        <f>IF('As-Filed Schedule 2E'!B64:D64=0,"",'As-Filed Schedule 2E'!B64:D64)</f>
        <v/>
      </c>
      <c r="C64" s="565"/>
      <c r="D64" s="565"/>
      <c r="F64" s="114">
        <f>'As-Filed Schedule 2E'!F64</f>
        <v>0</v>
      </c>
      <c r="G64" s="307">
        <f>SUMIFS(Adjustments!$G:$G,Adjustments!$H:$H,"2E",Adjustments!$I:$I,'Schedule 2E Adjustments'!$F$12,Adjustments!$J:$J,'Schedule 2E Adjustments'!$A64)</f>
        <v>0</v>
      </c>
      <c r="H64" s="303">
        <f t="shared" si="0"/>
        <v>0</v>
      </c>
      <c r="I64" s="68">
        <f>IFERROR(F64*'As-Filed Schedule 1'!$E$103,0)</f>
        <v>0</v>
      </c>
      <c r="J64" s="304">
        <f>IFERROR(H64*'Adjusted Schedule 1'!$E$104,0)</f>
        <v>0</v>
      </c>
      <c r="K64" s="68">
        <f t="shared" si="1"/>
        <v>0</v>
      </c>
      <c r="L64" s="304">
        <f t="shared" si="2"/>
        <v>0</v>
      </c>
      <c r="N64" s="114">
        <f>'As-Filed Schedule 2E'!J64</f>
        <v>0</v>
      </c>
      <c r="O64" s="307">
        <f>SUMIFS(Adjustments!$G:$G,Adjustments!$H:$H,"2E",Adjustments!$I:$I,'Schedule 2E Adjustments'!$N$12,Adjustments!$J:$J,'Schedule 2E Adjustments'!$A64)</f>
        <v>0</v>
      </c>
      <c r="P64" s="303">
        <f t="shared" si="3"/>
        <v>0</v>
      </c>
      <c r="Q64" s="68">
        <f>IFERROR(N64*'As-Filed Schedule 1'!$E$103,0)</f>
        <v>0</v>
      </c>
      <c r="R64" s="68">
        <f>IFERROR(P64*'Adjusted Schedule 1'!$E$104,0)</f>
        <v>0</v>
      </c>
      <c r="S64" s="68">
        <f t="shared" si="4"/>
        <v>0</v>
      </c>
      <c r="T64" s="304">
        <f t="shared" si="5"/>
        <v>0</v>
      </c>
      <c r="V64" s="117">
        <f>'As-Filed Schedule 2E'!N64</f>
        <v>0</v>
      </c>
      <c r="W64" s="307">
        <f>SUMIFS(Adjustments!$G:$G,Adjustments!$H:$H,"2E",Adjustments!$I:$I,'Schedule 2E Adjustments'!$V$12,Adjustments!$J:$J,'Schedule 2E Adjustments'!$A64)</f>
        <v>0</v>
      </c>
      <c r="X64" s="303">
        <f t="shared" si="6"/>
        <v>0</v>
      </c>
      <c r="Y64" s="117">
        <f>'As-Filed Schedule 2E'!O64</f>
        <v>0</v>
      </c>
      <c r="Z64" s="307">
        <f>SUMIFS(Adjustments!$G:$G,Adjustments!$H:$H,"2E",Adjustments!$I:$I,'Schedule 2E Adjustments'!$Y$12,Adjustments!$J:$J,'Schedule 2E Adjustments'!$A64)</f>
        <v>0</v>
      </c>
      <c r="AA64" s="303">
        <f t="shared" si="7"/>
        <v>0</v>
      </c>
    </row>
    <row r="65" spans="1:27" x14ac:dyDescent="0.35">
      <c r="A65" s="24">
        <v>51</v>
      </c>
      <c r="B65" s="565" t="str">
        <f>IF('As-Filed Schedule 2E'!B65:D65=0,"",'As-Filed Schedule 2E'!B65:D65)</f>
        <v/>
      </c>
      <c r="C65" s="565"/>
      <c r="D65" s="565"/>
      <c r="F65" s="114">
        <f>'As-Filed Schedule 2E'!F65</f>
        <v>0</v>
      </c>
      <c r="G65" s="307">
        <f>SUMIFS(Adjustments!$G:$G,Adjustments!$H:$H,"2E",Adjustments!$I:$I,'Schedule 2E Adjustments'!$F$12,Adjustments!$J:$J,'Schedule 2E Adjustments'!$A65)</f>
        <v>0</v>
      </c>
      <c r="H65" s="303">
        <f t="shared" si="0"/>
        <v>0</v>
      </c>
      <c r="I65" s="68">
        <f>IFERROR(F65*'As-Filed Schedule 1'!$E$103,0)</f>
        <v>0</v>
      </c>
      <c r="J65" s="304">
        <f>IFERROR(H65*'Adjusted Schedule 1'!$E$104,0)</f>
        <v>0</v>
      </c>
      <c r="K65" s="68">
        <f t="shared" si="1"/>
        <v>0</v>
      </c>
      <c r="L65" s="304">
        <f t="shared" si="2"/>
        <v>0</v>
      </c>
      <c r="N65" s="114">
        <f>'As-Filed Schedule 2E'!J65</f>
        <v>0</v>
      </c>
      <c r="O65" s="307">
        <f>SUMIFS(Adjustments!$G:$G,Adjustments!$H:$H,"2E",Adjustments!$I:$I,'Schedule 2E Adjustments'!$N$12,Adjustments!$J:$J,'Schedule 2E Adjustments'!$A65)</f>
        <v>0</v>
      </c>
      <c r="P65" s="303">
        <f t="shared" si="3"/>
        <v>0</v>
      </c>
      <c r="Q65" s="68">
        <f>IFERROR(N65*'As-Filed Schedule 1'!$E$103,0)</f>
        <v>0</v>
      </c>
      <c r="R65" s="68">
        <f>IFERROR(P65*'Adjusted Schedule 1'!$E$104,0)</f>
        <v>0</v>
      </c>
      <c r="S65" s="68">
        <f t="shared" si="4"/>
        <v>0</v>
      </c>
      <c r="T65" s="304">
        <f t="shared" si="5"/>
        <v>0</v>
      </c>
      <c r="V65" s="117">
        <f>'As-Filed Schedule 2E'!N65</f>
        <v>0</v>
      </c>
      <c r="W65" s="307">
        <f>SUMIFS(Adjustments!$G:$G,Adjustments!$H:$H,"2E",Adjustments!$I:$I,'Schedule 2E Adjustments'!$V$12,Adjustments!$J:$J,'Schedule 2E Adjustments'!$A65)</f>
        <v>0</v>
      </c>
      <c r="X65" s="303">
        <f t="shared" si="6"/>
        <v>0</v>
      </c>
      <c r="Y65" s="117">
        <f>'As-Filed Schedule 2E'!O65</f>
        <v>0</v>
      </c>
      <c r="Z65" s="307">
        <f>SUMIFS(Adjustments!$G:$G,Adjustments!$H:$H,"2E",Adjustments!$I:$I,'Schedule 2E Adjustments'!$Y$12,Adjustments!$J:$J,'Schedule 2E Adjustments'!$A65)</f>
        <v>0</v>
      </c>
      <c r="AA65" s="303">
        <f t="shared" si="7"/>
        <v>0</v>
      </c>
    </row>
    <row r="66" spans="1:27" x14ac:dyDescent="0.35">
      <c r="A66" s="24">
        <v>52</v>
      </c>
      <c r="B66" s="565" t="str">
        <f>IF('As-Filed Schedule 2E'!B66:D66=0,"",'As-Filed Schedule 2E'!B66:D66)</f>
        <v/>
      </c>
      <c r="C66" s="565"/>
      <c r="D66" s="565"/>
      <c r="F66" s="114">
        <f>'As-Filed Schedule 2E'!F66</f>
        <v>0</v>
      </c>
      <c r="G66" s="307">
        <f>SUMIFS(Adjustments!$G:$G,Adjustments!$H:$H,"2E",Adjustments!$I:$I,'Schedule 2E Adjustments'!$F$12,Adjustments!$J:$J,'Schedule 2E Adjustments'!$A66)</f>
        <v>0</v>
      </c>
      <c r="H66" s="303">
        <f t="shared" si="0"/>
        <v>0</v>
      </c>
      <c r="I66" s="68">
        <f>IFERROR(F66*'As-Filed Schedule 1'!$E$103,0)</f>
        <v>0</v>
      </c>
      <c r="J66" s="304">
        <f>IFERROR(H66*'Adjusted Schedule 1'!$E$104,0)</f>
        <v>0</v>
      </c>
      <c r="K66" s="68">
        <f t="shared" si="1"/>
        <v>0</v>
      </c>
      <c r="L66" s="304">
        <f t="shared" si="2"/>
        <v>0</v>
      </c>
      <c r="N66" s="114">
        <f>'As-Filed Schedule 2E'!J66</f>
        <v>0</v>
      </c>
      <c r="O66" s="307">
        <f>SUMIFS(Adjustments!$G:$G,Adjustments!$H:$H,"2E",Adjustments!$I:$I,'Schedule 2E Adjustments'!$N$12,Adjustments!$J:$J,'Schedule 2E Adjustments'!$A66)</f>
        <v>0</v>
      </c>
      <c r="P66" s="303">
        <f t="shared" si="3"/>
        <v>0</v>
      </c>
      <c r="Q66" s="68">
        <f>IFERROR(N66*'As-Filed Schedule 1'!$E$103,0)</f>
        <v>0</v>
      </c>
      <c r="R66" s="68">
        <f>IFERROR(P66*'Adjusted Schedule 1'!$E$104,0)</f>
        <v>0</v>
      </c>
      <c r="S66" s="68">
        <f t="shared" si="4"/>
        <v>0</v>
      </c>
      <c r="T66" s="304">
        <f t="shared" si="5"/>
        <v>0</v>
      </c>
      <c r="V66" s="117">
        <f>'As-Filed Schedule 2E'!N66</f>
        <v>0</v>
      </c>
      <c r="W66" s="307">
        <f>SUMIFS(Adjustments!$G:$G,Adjustments!$H:$H,"2E",Adjustments!$I:$I,'Schedule 2E Adjustments'!$V$12,Adjustments!$J:$J,'Schedule 2E Adjustments'!$A66)</f>
        <v>0</v>
      </c>
      <c r="X66" s="303">
        <f t="shared" si="6"/>
        <v>0</v>
      </c>
      <c r="Y66" s="117">
        <f>'As-Filed Schedule 2E'!O66</f>
        <v>0</v>
      </c>
      <c r="Z66" s="307">
        <f>SUMIFS(Adjustments!$G:$G,Adjustments!$H:$H,"2E",Adjustments!$I:$I,'Schedule 2E Adjustments'!$Y$12,Adjustments!$J:$J,'Schedule 2E Adjustments'!$A66)</f>
        <v>0</v>
      </c>
      <c r="AA66" s="303">
        <f t="shared" si="7"/>
        <v>0</v>
      </c>
    </row>
    <row r="67" spans="1:27" x14ac:dyDescent="0.35">
      <c r="A67" s="24">
        <v>53</v>
      </c>
      <c r="B67" s="565" t="str">
        <f>IF('As-Filed Schedule 2E'!B67:D67=0,"",'As-Filed Schedule 2E'!B67:D67)</f>
        <v/>
      </c>
      <c r="C67" s="565"/>
      <c r="D67" s="565"/>
      <c r="F67" s="114">
        <f>'As-Filed Schedule 2E'!F67</f>
        <v>0</v>
      </c>
      <c r="G67" s="307">
        <f>SUMIFS(Adjustments!$G:$G,Adjustments!$H:$H,"2E",Adjustments!$I:$I,'Schedule 2E Adjustments'!$F$12,Adjustments!$J:$J,'Schedule 2E Adjustments'!$A67)</f>
        <v>0</v>
      </c>
      <c r="H67" s="303">
        <f t="shared" si="0"/>
        <v>0</v>
      </c>
      <c r="I67" s="68">
        <f>IFERROR(F67*'As-Filed Schedule 1'!$E$103,0)</f>
        <v>0</v>
      </c>
      <c r="J67" s="304">
        <f>IFERROR(H67*'Adjusted Schedule 1'!$E$104,0)</f>
        <v>0</v>
      </c>
      <c r="K67" s="68">
        <f t="shared" si="1"/>
        <v>0</v>
      </c>
      <c r="L67" s="304">
        <f t="shared" si="2"/>
        <v>0</v>
      </c>
      <c r="N67" s="114">
        <f>'As-Filed Schedule 2E'!J67</f>
        <v>0</v>
      </c>
      <c r="O67" s="307">
        <f>SUMIFS(Adjustments!$G:$G,Adjustments!$H:$H,"2E",Adjustments!$I:$I,'Schedule 2E Adjustments'!$N$12,Adjustments!$J:$J,'Schedule 2E Adjustments'!$A67)</f>
        <v>0</v>
      </c>
      <c r="P67" s="303">
        <f t="shared" si="3"/>
        <v>0</v>
      </c>
      <c r="Q67" s="68">
        <f>IFERROR(N67*'As-Filed Schedule 1'!$E$103,0)</f>
        <v>0</v>
      </c>
      <c r="R67" s="68">
        <f>IFERROR(P67*'Adjusted Schedule 1'!$E$104,0)</f>
        <v>0</v>
      </c>
      <c r="S67" s="68">
        <f t="shared" si="4"/>
        <v>0</v>
      </c>
      <c r="T67" s="304">
        <f t="shared" si="5"/>
        <v>0</v>
      </c>
      <c r="V67" s="117">
        <f>'As-Filed Schedule 2E'!N67</f>
        <v>0</v>
      </c>
      <c r="W67" s="307">
        <f>SUMIFS(Adjustments!$G:$G,Adjustments!$H:$H,"2E",Adjustments!$I:$I,'Schedule 2E Adjustments'!$V$12,Adjustments!$J:$J,'Schedule 2E Adjustments'!$A67)</f>
        <v>0</v>
      </c>
      <c r="X67" s="303">
        <f t="shared" si="6"/>
        <v>0</v>
      </c>
      <c r="Y67" s="117">
        <f>'As-Filed Schedule 2E'!O67</f>
        <v>0</v>
      </c>
      <c r="Z67" s="307">
        <f>SUMIFS(Adjustments!$G:$G,Adjustments!$H:$H,"2E",Adjustments!$I:$I,'Schedule 2E Adjustments'!$Y$12,Adjustments!$J:$J,'Schedule 2E Adjustments'!$A67)</f>
        <v>0</v>
      </c>
      <c r="AA67" s="303">
        <f t="shared" si="7"/>
        <v>0</v>
      </c>
    </row>
    <row r="68" spans="1:27" x14ac:dyDescent="0.35">
      <c r="A68" s="24">
        <v>54</v>
      </c>
      <c r="B68" s="565" t="str">
        <f>IF('As-Filed Schedule 2E'!B68:D68=0,"",'As-Filed Schedule 2E'!B68:D68)</f>
        <v/>
      </c>
      <c r="C68" s="565"/>
      <c r="D68" s="565"/>
      <c r="F68" s="114">
        <f>'As-Filed Schedule 2E'!F68</f>
        <v>0</v>
      </c>
      <c r="G68" s="307">
        <f>SUMIFS(Adjustments!$G:$G,Adjustments!$H:$H,"2E",Adjustments!$I:$I,'Schedule 2E Adjustments'!$F$12,Adjustments!$J:$J,'Schedule 2E Adjustments'!$A68)</f>
        <v>0</v>
      </c>
      <c r="H68" s="303">
        <f t="shared" si="0"/>
        <v>0</v>
      </c>
      <c r="I68" s="68">
        <f>IFERROR(F68*'As-Filed Schedule 1'!$E$103,0)</f>
        <v>0</v>
      </c>
      <c r="J68" s="304">
        <f>IFERROR(H68*'Adjusted Schedule 1'!$E$104,0)</f>
        <v>0</v>
      </c>
      <c r="K68" s="68">
        <f t="shared" si="1"/>
        <v>0</v>
      </c>
      <c r="L68" s="304">
        <f t="shared" si="2"/>
        <v>0</v>
      </c>
      <c r="N68" s="114">
        <f>'As-Filed Schedule 2E'!J68</f>
        <v>0</v>
      </c>
      <c r="O68" s="307">
        <f>SUMIFS(Adjustments!$G:$G,Adjustments!$H:$H,"2E",Adjustments!$I:$I,'Schedule 2E Adjustments'!$N$12,Adjustments!$J:$J,'Schedule 2E Adjustments'!$A68)</f>
        <v>0</v>
      </c>
      <c r="P68" s="303">
        <f t="shared" si="3"/>
        <v>0</v>
      </c>
      <c r="Q68" s="68">
        <f>IFERROR(N68*'As-Filed Schedule 1'!$E$103,0)</f>
        <v>0</v>
      </c>
      <c r="R68" s="68">
        <f>IFERROR(P68*'Adjusted Schedule 1'!$E$104,0)</f>
        <v>0</v>
      </c>
      <c r="S68" s="68">
        <f t="shared" si="4"/>
        <v>0</v>
      </c>
      <c r="T68" s="304">
        <f t="shared" si="5"/>
        <v>0</v>
      </c>
      <c r="V68" s="117">
        <f>'As-Filed Schedule 2E'!N68</f>
        <v>0</v>
      </c>
      <c r="W68" s="307">
        <f>SUMIFS(Adjustments!$G:$G,Adjustments!$H:$H,"2E",Adjustments!$I:$I,'Schedule 2E Adjustments'!$V$12,Adjustments!$J:$J,'Schedule 2E Adjustments'!$A68)</f>
        <v>0</v>
      </c>
      <c r="X68" s="303">
        <f t="shared" si="6"/>
        <v>0</v>
      </c>
      <c r="Y68" s="117">
        <f>'As-Filed Schedule 2E'!O68</f>
        <v>0</v>
      </c>
      <c r="Z68" s="307">
        <f>SUMIFS(Adjustments!$G:$G,Adjustments!$H:$H,"2E",Adjustments!$I:$I,'Schedule 2E Adjustments'!$Y$12,Adjustments!$J:$J,'Schedule 2E Adjustments'!$A68)</f>
        <v>0</v>
      </c>
      <c r="AA68" s="303">
        <f t="shared" si="7"/>
        <v>0</v>
      </c>
    </row>
    <row r="69" spans="1:27" x14ac:dyDescent="0.35">
      <c r="A69" s="24">
        <v>55</v>
      </c>
      <c r="B69" s="565" t="str">
        <f>IF('As-Filed Schedule 2E'!B69:D69=0,"",'As-Filed Schedule 2E'!B69:D69)</f>
        <v/>
      </c>
      <c r="C69" s="565"/>
      <c r="D69" s="565"/>
      <c r="F69" s="114">
        <f>'As-Filed Schedule 2E'!F69</f>
        <v>0</v>
      </c>
      <c r="G69" s="307">
        <f>SUMIFS(Adjustments!$G:$G,Adjustments!$H:$H,"2E",Adjustments!$I:$I,'Schedule 2E Adjustments'!$F$12,Adjustments!$J:$J,'Schedule 2E Adjustments'!$A69)</f>
        <v>0</v>
      </c>
      <c r="H69" s="303">
        <f t="shared" si="0"/>
        <v>0</v>
      </c>
      <c r="I69" s="68">
        <f>IFERROR(F69*'As-Filed Schedule 1'!$E$103,0)</f>
        <v>0</v>
      </c>
      <c r="J69" s="304">
        <f>IFERROR(H69*'Adjusted Schedule 1'!$E$104,0)</f>
        <v>0</v>
      </c>
      <c r="K69" s="68">
        <f t="shared" si="1"/>
        <v>0</v>
      </c>
      <c r="L69" s="304">
        <f t="shared" si="2"/>
        <v>0</v>
      </c>
      <c r="N69" s="114">
        <f>'As-Filed Schedule 2E'!J69</f>
        <v>0</v>
      </c>
      <c r="O69" s="307">
        <f>SUMIFS(Adjustments!$G:$G,Adjustments!$H:$H,"2E",Adjustments!$I:$I,'Schedule 2E Adjustments'!$N$12,Adjustments!$J:$J,'Schedule 2E Adjustments'!$A69)</f>
        <v>0</v>
      </c>
      <c r="P69" s="303">
        <f t="shared" si="3"/>
        <v>0</v>
      </c>
      <c r="Q69" s="68">
        <f>IFERROR(N69*'As-Filed Schedule 1'!$E$103,0)</f>
        <v>0</v>
      </c>
      <c r="R69" s="68">
        <f>IFERROR(P69*'Adjusted Schedule 1'!$E$104,0)</f>
        <v>0</v>
      </c>
      <c r="S69" s="68">
        <f t="shared" si="4"/>
        <v>0</v>
      </c>
      <c r="T69" s="304">
        <f t="shared" si="5"/>
        <v>0</v>
      </c>
      <c r="V69" s="117">
        <f>'As-Filed Schedule 2E'!N69</f>
        <v>0</v>
      </c>
      <c r="W69" s="307">
        <f>SUMIFS(Adjustments!$G:$G,Adjustments!$H:$H,"2E",Adjustments!$I:$I,'Schedule 2E Adjustments'!$V$12,Adjustments!$J:$J,'Schedule 2E Adjustments'!$A69)</f>
        <v>0</v>
      </c>
      <c r="X69" s="303">
        <f t="shared" si="6"/>
        <v>0</v>
      </c>
      <c r="Y69" s="117">
        <f>'As-Filed Schedule 2E'!O69</f>
        <v>0</v>
      </c>
      <c r="Z69" s="307">
        <f>SUMIFS(Adjustments!$G:$G,Adjustments!$H:$H,"2E",Adjustments!$I:$I,'Schedule 2E Adjustments'!$Y$12,Adjustments!$J:$J,'Schedule 2E Adjustments'!$A69)</f>
        <v>0</v>
      </c>
      <c r="AA69" s="303">
        <f t="shared" si="7"/>
        <v>0</v>
      </c>
    </row>
    <row r="70" spans="1:27" x14ac:dyDescent="0.35">
      <c r="A70" s="24">
        <v>56</v>
      </c>
      <c r="B70" s="565" t="str">
        <f>IF('As-Filed Schedule 2E'!B70:D70=0,"",'As-Filed Schedule 2E'!B70:D70)</f>
        <v/>
      </c>
      <c r="C70" s="565"/>
      <c r="D70" s="565"/>
      <c r="F70" s="114">
        <f>'As-Filed Schedule 2E'!F70</f>
        <v>0</v>
      </c>
      <c r="G70" s="307">
        <f>SUMIFS(Adjustments!$G:$G,Adjustments!$H:$H,"2E",Adjustments!$I:$I,'Schedule 2E Adjustments'!$F$12,Adjustments!$J:$J,'Schedule 2E Adjustments'!$A70)</f>
        <v>0</v>
      </c>
      <c r="H70" s="303">
        <f t="shared" si="0"/>
        <v>0</v>
      </c>
      <c r="I70" s="68">
        <f>IFERROR(F70*'As-Filed Schedule 1'!$E$103,0)</f>
        <v>0</v>
      </c>
      <c r="J70" s="304">
        <f>IFERROR(H70*'Adjusted Schedule 1'!$E$104,0)</f>
        <v>0</v>
      </c>
      <c r="K70" s="68">
        <f t="shared" si="1"/>
        <v>0</v>
      </c>
      <c r="L70" s="304">
        <f t="shared" si="2"/>
        <v>0</v>
      </c>
      <c r="N70" s="114">
        <f>'As-Filed Schedule 2E'!J70</f>
        <v>0</v>
      </c>
      <c r="O70" s="307">
        <f>SUMIFS(Adjustments!$G:$G,Adjustments!$H:$H,"2E",Adjustments!$I:$I,'Schedule 2E Adjustments'!$N$12,Adjustments!$J:$J,'Schedule 2E Adjustments'!$A70)</f>
        <v>0</v>
      </c>
      <c r="P70" s="303">
        <f t="shared" si="3"/>
        <v>0</v>
      </c>
      <c r="Q70" s="68">
        <f>IFERROR(N70*'As-Filed Schedule 1'!$E$103,0)</f>
        <v>0</v>
      </c>
      <c r="R70" s="68">
        <f>IFERROR(P70*'Adjusted Schedule 1'!$E$104,0)</f>
        <v>0</v>
      </c>
      <c r="S70" s="68">
        <f t="shared" si="4"/>
        <v>0</v>
      </c>
      <c r="T70" s="304">
        <f t="shared" si="5"/>
        <v>0</v>
      </c>
      <c r="V70" s="117">
        <f>'As-Filed Schedule 2E'!N70</f>
        <v>0</v>
      </c>
      <c r="W70" s="307">
        <f>SUMIFS(Adjustments!$G:$G,Adjustments!$H:$H,"2E",Adjustments!$I:$I,'Schedule 2E Adjustments'!$V$12,Adjustments!$J:$J,'Schedule 2E Adjustments'!$A70)</f>
        <v>0</v>
      </c>
      <c r="X70" s="303">
        <f t="shared" si="6"/>
        <v>0</v>
      </c>
      <c r="Y70" s="117">
        <f>'As-Filed Schedule 2E'!O70</f>
        <v>0</v>
      </c>
      <c r="Z70" s="307">
        <f>SUMIFS(Adjustments!$G:$G,Adjustments!$H:$H,"2E",Adjustments!$I:$I,'Schedule 2E Adjustments'!$Y$12,Adjustments!$J:$J,'Schedule 2E Adjustments'!$A70)</f>
        <v>0</v>
      </c>
      <c r="AA70" s="303">
        <f t="shared" si="7"/>
        <v>0</v>
      </c>
    </row>
    <row r="71" spans="1:27" x14ac:dyDescent="0.35">
      <c r="A71" s="24">
        <v>57</v>
      </c>
      <c r="B71" s="565" t="str">
        <f>IF('As-Filed Schedule 2E'!B71:D71=0,"",'As-Filed Schedule 2E'!B71:D71)</f>
        <v/>
      </c>
      <c r="C71" s="565"/>
      <c r="D71" s="565"/>
      <c r="F71" s="114">
        <f>'As-Filed Schedule 2E'!F71</f>
        <v>0</v>
      </c>
      <c r="G71" s="307">
        <f>SUMIFS(Adjustments!$G:$G,Adjustments!$H:$H,"2E",Adjustments!$I:$I,'Schedule 2E Adjustments'!$F$12,Adjustments!$J:$J,'Schedule 2E Adjustments'!$A71)</f>
        <v>0</v>
      </c>
      <c r="H71" s="303">
        <f t="shared" si="0"/>
        <v>0</v>
      </c>
      <c r="I71" s="68">
        <f>IFERROR(F71*'As-Filed Schedule 1'!$E$103,0)</f>
        <v>0</v>
      </c>
      <c r="J71" s="304">
        <f>IFERROR(H71*'Adjusted Schedule 1'!$E$104,0)</f>
        <v>0</v>
      </c>
      <c r="K71" s="68">
        <f t="shared" si="1"/>
        <v>0</v>
      </c>
      <c r="L71" s="304">
        <f t="shared" si="2"/>
        <v>0</v>
      </c>
      <c r="N71" s="114">
        <f>'As-Filed Schedule 2E'!J71</f>
        <v>0</v>
      </c>
      <c r="O71" s="307">
        <f>SUMIFS(Adjustments!$G:$G,Adjustments!$H:$H,"2E",Adjustments!$I:$I,'Schedule 2E Adjustments'!$N$12,Adjustments!$J:$J,'Schedule 2E Adjustments'!$A71)</f>
        <v>0</v>
      </c>
      <c r="P71" s="303">
        <f t="shared" si="3"/>
        <v>0</v>
      </c>
      <c r="Q71" s="68">
        <f>IFERROR(N71*'As-Filed Schedule 1'!$E$103,0)</f>
        <v>0</v>
      </c>
      <c r="R71" s="68">
        <f>IFERROR(P71*'Adjusted Schedule 1'!$E$104,0)</f>
        <v>0</v>
      </c>
      <c r="S71" s="68">
        <f t="shared" si="4"/>
        <v>0</v>
      </c>
      <c r="T71" s="304">
        <f t="shared" si="5"/>
        <v>0</v>
      </c>
      <c r="V71" s="117">
        <f>'As-Filed Schedule 2E'!N71</f>
        <v>0</v>
      </c>
      <c r="W71" s="307">
        <f>SUMIFS(Adjustments!$G:$G,Adjustments!$H:$H,"2E",Adjustments!$I:$I,'Schedule 2E Adjustments'!$V$12,Adjustments!$J:$J,'Schedule 2E Adjustments'!$A71)</f>
        <v>0</v>
      </c>
      <c r="X71" s="303">
        <f t="shared" si="6"/>
        <v>0</v>
      </c>
      <c r="Y71" s="117">
        <f>'As-Filed Schedule 2E'!O71</f>
        <v>0</v>
      </c>
      <c r="Z71" s="307">
        <f>SUMIFS(Adjustments!$G:$G,Adjustments!$H:$H,"2E",Adjustments!$I:$I,'Schedule 2E Adjustments'!$Y$12,Adjustments!$J:$J,'Schedule 2E Adjustments'!$A71)</f>
        <v>0</v>
      </c>
      <c r="AA71" s="303">
        <f t="shared" si="7"/>
        <v>0</v>
      </c>
    </row>
    <row r="72" spans="1:27" x14ac:dyDescent="0.35">
      <c r="A72" s="24">
        <v>58</v>
      </c>
      <c r="B72" s="565" t="str">
        <f>IF('As-Filed Schedule 2E'!B72:D72=0,"",'As-Filed Schedule 2E'!B72:D72)</f>
        <v/>
      </c>
      <c r="C72" s="565"/>
      <c r="D72" s="565"/>
      <c r="F72" s="114">
        <f>'As-Filed Schedule 2E'!F72</f>
        <v>0</v>
      </c>
      <c r="G72" s="307">
        <f>SUMIFS(Adjustments!$G:$G,Adjustments!$H:$H,"2E",Adjustments!$I:$I,'Schedule 2E Adjustments'!$F$12,Adjustments!$J:$J,'Schedule 2E Adjustments'!$A72)</f>
        <v>0</v>
      </c>
      <c r="H72" s="303">
        <f t="shared" si="0"/>
        <v>0</v>
      </c>
      <c r="I72" s="68">
        <f>IFERROR(F72*'As-Filed Schedule 1'!$E$103,0)</f>
        <v>0</v>
      </c>
      <c r="J72" s="304">
        <f>IFERROR(H72*'Adjusted Schedule 1'!$E$104,0)</f>
        <v>0</v>
      </c>
      <c r="K72" s="68">
        <f t="shared" si="1"/>
        <v>0</v>
      </c>
      <c r="L72" s="304">
        <f t="shared" si="2"/>
        <v>0</v>
      </c>
      <c r="N72" s="114">
        <f>'As-Filed Schedule 2E'!J72</f>
        <v>0</v>
      </c>
      <c r="O72" s="307">
        <f>SUMIFS(Adjustments!$G:$G,Adjustments!$H:$H,"2E",Adjustments!$I:$I,'Schedule 2E Adjustments'!$N$12,Adjustments!$J:$J,'Schedule 2E Adjustments'!$A72)</f>
        <v>0</v>
      </c>
      <c r="P72" s="303">
        <f t="shared" si="3"/>
        <v>0</v>
      </c>
      <c r="Q72" s="68">
        <f>IFERROR(N72*'As-Filed Schedule 1'!$E$103,0)</f>
        <v>0</v>
      </c>
      <c r="R72" s="68">
        <f>IFERROR(P72*'Adjusted Schedule 1'!$E$104,0)</f>
        <v>0</v>
      </c>
      <c r="S72" s="68">
        <f t="shared" si="4"/>
        <v>0</v>
      </c>
      <c r="T72" s="304">
        <f t="shared" si="5"/>
        <v>0</v>
      </c>
      <c r="V72" s="117">
        <f>'As-Filed Schedule 2E'!N72</f>
        <v>0</v>
      </c>
      <c r="W72" s="307">
        <f>SUMIFS(Adjustments!$G:$G,Adjustments!$H:$H,"2E",Adjustments!$I:$I,'Schedule 2E Adjustments'!$V$12,Adjustments!$J:$J,'Schedule 2E Adjustments'!$A72)</f>
        <v>0</v>
      </c>
      <c r="X72" s="303">
        <f t="shared" si="6"/>
        <v>0</v>
      </c>
      <c r="Y72" s="117">
        <f>'As-Filed Schedule 2E'!O72</f>
        <v>0</v>
      </c>
      <c r="Z72" s="307">
        <f>SUMIFS(Adjustments!$G:$G,Adjustments!$H:$H,"2E",Adjustments!$I:$I,'Schedule 2E Adjustments'!$Y$12,Adjustments!$J:$J,'Schedule 2E Adjustments'!$A72)</f>
        <v>0</v>
      </c>
      <c r="AA72" s="303">
        <f t="shared" si="7"/>
        <v>0</v>
      </c>
    </row>
    <row r="73" spans="1:27" x14ac:dyDescent="0.35">
      <c r="A73" s="24">
        <v>59</v>
      </c>
      <c r="F73" s="18">
        <f>SUM(F15:F72)</f>
        <v>0</v>
      </c>
      <c r="G73" s="18">
        <f>SUM(G15:G72)</f>
        <v>0</v>
      </c>
      <c r="H73" s="18">
        <f t="shared" ref="H73:K73" si="8">SUM(H15:H72)</f>
        <v>0</v>
      </c>
      <c r="I73" s="18">
        <f t="shared" si="8"/>
        <v>0</v>
      </c>
      <c r="J73" s="304">
        <f>IFERROR(H73*'Adjusted Schedule 1'!$E$104,0)</f>
        <v>0</v>
      </c>
      <c r="K73" s="18">
        <f t="shared" si="8"/>
        <v>0</v>
      </c>
      <c r="L73" s="305">
        <f t="shared" ref="L73" si="9">SUM(L15:L72)</f>
        <v>0</v>
      </c>
      <c r="N73" s="18">
        <f>SUM(N15:N72)</f>
        <v>0</v>
      </c>
      <c r="O73" s="18">
        <f t="shared" ref="O73:S73" si="10">SUM(O15:O72)</f>
        <v>0</v>
      </c>
      <c r="P73" s="18">
        <f t="shared" si="10"/>
        <v>0</v>
      </c>
      <c r="Q73" s="18">
        <f t="shared" si="10"/>
        <v>0</v>
      </c>
      <c r="R73" s="18">
        <f t="shared" si="10"/>
        <v>0</v>
      </c>
      <c r="S73" s="18">
        <f t="shared" si="10"/>
        <v>0</v>
      </c>
      <c r="T73" s="305">
        <f>SUM(T15:T72)</f>
        <v>0</v>
      </c>
      <c r="Y73" s="83" t="s">
        <v>313</v>
      </c>
      <c r="Z73" s="325"/>
      <c r="AA73" s="322"/>
    </row>
    <row r="74" spans="1:27" ht="15" thickBot="1" x14ac:dyDescent="0.4">
      <c r="K74" s="37" t="s">
        <v>257</v>
      </c>
      <c r="L74" s="318" t="s">
        <v>257</v>
      </c>
      <c r="S74" s="37" t="s">
        <v>258</v>
      </c>
      <c r="T74" s="318" t="s">
        <v>258</v>
      </c>
    </row>
    <row r="75" spans="1:27" s="72" customFormat="1" ht="16" thickBot="1" x14ac:dyDescent="0.4">
      <c r="A75" s="24">
        <v>60</v>
      </c>
      <c r="B75" s="73" t="s">
        <v>814</v>
      </c>
      <c r="F75" s="75">
        <f>K73+S73</f>
        <v>0</v>
      </c>
      <c r="G75"/>
      <c r="H75" s="75">
        <f>L73+T73</f>
        <v>0</v>
      </c>
      <c r="I75" s="74"/>
      <c r="J75" s="319"/>
      <c r="K75" s="74"/>
      <c r="L75" s="319"/>
      <c r="N75" s="74"/>
      <c r="O75" s="326"/>
      <c r="P75" s="319"/>
      <c r="Q75" s="74"/>
      <c r="R75" s="319"/>
      <c r="T75" s="321"/>
      <c r="W75" s="324"/>
      <c r="X75" s="321"/>
      <c r="Z75" s="324"/>
      <c r="AA75" s="321"/>
    </row>
  </sheetData>
  <sheetProtection sheet="1" objects="1" scenarios="1"/>
  <customSheetViews>
    <customSheetView guid="{17302493-42B1-4877-869E-E424A97AE78B}" state="hidden">
      <selection activeCell="F17" sqref="F17"/>
      <pageMargins left="0.7" right="0.7" top="0.75" bottom="0.75" header="0.3" footer="0.3"/>
      <pageSetup orientation="portrait" horizontalDpi="1200" verticalDpi="1200" r:id="rId1"/>
    </customSheetView>
    <customSheetView guid="{5C0BA3A5-859C-46C2-B685-44D9A90065E4}">
      <selection activeCell="G18" sqref="G18"/>
      <pageMargins left="0.7" right="0.7" top="0.75" bottom="0.75" header="0.3" footer="0.3"/>
      <pageSetup orientation="portrait" horizontalDpi="1200" verticalDpi="1200" r:id="rId2"/>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pageSetup orientation="portrait" horizontalDpi="1200" verticalDpi="1200"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A1:AA75"/>
  <sheetViews>
    <sheetView topLeftCell="I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53"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53"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53" customWidth="1"/>
    <col min="24" max="24" width="13.26953125" style="48" customWidth="1"/>
    <col min="25" max="25" width="12" customWidth="1"/>
    <col min="26" max="26" width="16.1796875" style="253" customWidth="1"/>
    <col min="27" max="27" width="12" style="48" customWidth="1"/>
  </cols>
  <sheetData>
    <row r="1" spans="1:27" ht="26" x14ac:dyDescent="0.6">
      <c r="A1" s="3" t="s">
        <v>777</v>
      </c>
    </row>
    <row r="2" spans="1:27" ht="21" x14ac:dyDescent="0.5">
      <c r="A2" s="2" t="s">
        <v>775</v>
      </c>
    </row>
    <row r="3" spans="1:27" ht="25" customHeight="1" x14ac:dyDescent="0.5">
      <c r="A3" s="546" t="s">
        <v>843</v>
      </c>
      <c r="B3" s="546"/>
      <c r="C3" s="546"/>
      <c r="D3" s="546"/>
      <c r="E3" s="546"/>
      <c r="F3" s="546"/>
      <c r="G3" s="546"/>
      <c r="H3" s="546"/>
      <c r="I3" s="546"/>
      <c r="J3" s="546"/>
      <c r="K3" s="546"/>
      <c r="L3" s="315"/>
    </row>
    <row r="5" spans="1:27" x14ac:dyDescent="0.35">
      <c r="A5" s="1" t="s">
        <v>776</v>
      </c>
      <c r="C5" s="414" t="str">
        <f>Results!$C$6</f>
        <v>WellPower</v>
      </c>
    </row>
    <row r="6" spans="1:27" x14ac:dyDescent="0.35">
      <c r="A6" s="1" t="s">
        <v>0</v>
      </c>
      <c r="C6" s="35">
        <f>Results!$C$7</f>
        <v>45473</v>
      </c>
      <c r="F6" s="35"/>
      <c r="G6" s="313"/>
      <c r="H6" s="60"/>
    </row>
    <row r="8" spans="1:27" x14ac:dyDescent="0.35">
      <c r="A8" s="1" t="s">
        <v>253</v>
      </c>
      <c r="B8" s="1" t="s">
        <v>816</v>
      </c>
      <c r="C8" s="1"/>
      <c r="F8" s="116" t="str">
        <f>'As-Filed Schedule 2F'!F8</f>
        <v>Yes/No</v>
      </c>
      <c r="G8" s="41" t="s">
        <v>259</v>
      </c>
    </row>
    <row r="10" spans="1:27" x14ac:dyDescent="0.35">
      <c r="A10" s="1" t="s">
        <v>254</v>
      </c>
      <c r="B10" s="1" t="s">
        <v>256</v>
      </c>
      <c r="C10" s="1"/>
    </row>
    <row r="12" spans="1:27" x14ac:dyDescent="0.35">
      <c r="B12" s="560">
        <v>1</v>
      </c>
      <c r="C12" s="560"/>
      <c r="D12" s="560"/>
      <c r="F12" s="23">
        <v>2</v>
      </c>
      <c r="G12" s="248" t="s">
        <v>550</v>
      </c>
      <c r="H12" s="249" t="s">
        <v>551</v>
      </c>
      <c r="I12" s="23">
        <v>3</v>
      </c>
      <c r="J12" s="249" t="s">
        <v>555</v>
      </c>
      <c r="K12" s="23">
        <v>4</v>
      </c>
      <c r="L12" s="249" t="s">
        <v>559</v>
      </c>
      <c r="N12" s="23">
        <v>5</v>
      </c>
      <c r="O12" s="248" t="s">
        <v>560</v>
      </c>
      <c r="P12" s="249" t="s">
        <v>561</v>
      </c>
      <c r="Q12" s="23">
        <v>6</v>
      </c>
      <c r="R12" s="249" t="s">
        <v>565</v>
      </c>
      <c r="S12" s="23">
        <v>7</v>
      </c>
      <c r="T12" s="249" t="s">
        <v>569</v>
      </c>
      <c r="V12" s="23">
        <v>8</v>
      </c>
      <c r="W12" s="248" t="s">
        <v>610</v>
      </c>
      <c r="X12" s="249" t="s">
        <v>623</v>
      </c>
      <c r="Y12" s="23">
        <v>9</v>
      </c>
      <c r="Z12" s="248" t="s">
        <v>612</v>
      </c>
      <c r="AA12" s="249" t="s">
        <v>613</v>
      </c>
    </row>
    <row r="13" spans="1:27" ht="15" customHeight="1" x14ac:dyDescent="0.35">
      <c r="B13" s="561" t="s">
        <v>255</v>
      </c>
      <c r="C13" s="561"/>
      <c r="D13" s="561"/>
      <c r="F13" s="563" t="s">
        <v>261</v>
      </c>
      <c r="G13" s="568"/>
      <c r="H13" s="568"/>
      <c r="I13" s="568"/>
      <c r="J13" s="568"/>
      <c r="K13" s="568"/>
      <c r="L13" s="564"/>
      <c r="N13" s="563" t="s">
        <v>262</v>
      </c>
      <c r="O13" s="568"/>
      <c r="P13" s="568"/>
      <c r="Q13" s="568"/>
      <c r="R13" s="568"/>
      <c r="S13" s="568"/>
      <c r="T13" s="564"/>
      <c r="V13" s="562" t="s">
        <v>250</v>
      </c>
      <c r="W13" s="621" t="s">
        <v>614</v>
      </c>
      <c r="X13" s="622" t="s">
        <v>615</v>
      </c>
      <c r="Y13" s="562" t="s">
        <v>312</v>
      </c>
      <c r="Z13" s="621" t="s">
        <v>624</v>
      </c>
      <c r="AA13" s="622" t="s">
        <v>625</v>
      </c>
    </row>
    <row r="14" spans="1:27" ht="55.5" customHeight="1" x14ac:dyDescent="0.35">
      <c r="B14" s="561"/>
      <c r="C14" s="561"/>
      <c r="D14" s="561"/>
      <c r="E14" s="48"/>
      <c r="F14" s="10" t="s">
        <v>214</v>
      </c>
      <c r="G14" s="250" t="s">
        <v>603</v>
      </c>
      <c r="H14" s="251" t="s">
        <v>604</v>
      </c>
      <c r="I14" s="142" t="s">
        <v>493</v>
      </c>
      <c r="J14" s="251" t="s">
        <v>607</v>
      </c>
      <c r="K14" s="142" t="s">
        <v>215</v>
      </c>
      <c r="L14" s="251" t="s">
        <v>609</v>
      </c>
      <c r="M14" s="48"/>
      <c r="N14" s="142" t="s">
        <v>214</v>
      </c>
      <c r="O14" s="250" t="s">
        <v>603</v>
      </c>
      <c r="P14" s="251" t="s">
        <v>604</v>
      </c>
      <c r="Q14" s="142" t="s">
        <v>493</v>
      </c>
      <c r="R14" s="251" t="s">
        <v>607</v>
      </c>
      <c r="S14" s="10" t="s">
        <v>215</v>
      </c>
      <c r="T14" s="251" t="s">
        <v>609</v>
      </c>
      <c r="U14" s="48"/>
      <c r="V14" s="562"/>
      <c r="W14" s="621"/>
      <c r="X14" s="622"/>
      <c r="Y14" s="562"/>
      <c r="Z14" s="621"/>
      <c r="AA14" s="622"/>
    </row>
    <row r="15" spans="1:27" x14ac:dyDescent="0.35">
      <c r="A15" s="24">
        <v>1</v>
      </c>
      <c r="B15" s="565" t="str">
        <f>IF('As-Filed Schedule 2F'!B15:D15=0,"",'As-Filed Schedule 2F'!B15:D15)</f>
        <v/>
      </c>
      <c r="C15" s="565"/>
      <c r="D15" s="565"/>
      <c r="F15" s="114">
        <f>'As-Filed Schedule 2F'!F15</f>
        <v>0</v>
      </c>
      <c r="G15" s="307">
        <f>SUMIFS(Adjustments!$G:$G,Adjustments!$H:$H,"2F",Adjustments!$I:$I,'Schedule 2F Adjustments'!$F$12,Adjustments!$J:$J,'Schedule 2F Adjustments'!$A15)</f>
        <v>0</v>
      </c>
      <c r="H15" s="303">
        <f>SUM(F15:G15)</f>
        <v>0</v>
      </c>
      <c r="I15" s="68">
        <f>IFERROR(F15*'As-Filed Schedule 1'!$E$103,0)</f>
        <v>0</v>
      </c>
      <c r="J15" s="304">
        <f>IFERROR(H15*'Adjusted Schedule 1'!$E$104,0)</f>
        <v>0</v>
      </c>
      <c r="K15" s="68">
        <f>SUM(F15,I15)</f>
        <v>0</v>
      </c>
      <c r="L15" s="304">
        <f>SUM(H15,J15)</f>
        <v>0</v>
      </c>
      <c r="N15" s="114">
        <f>'As-Filed Schedule 2F'!J15</f>
        <v>0</v>
      </c>
      <c r="O15" s="307">
        <f>SUMIFS(Adjustments!$G:$G,Adjustments!$H:$H,"2F",Adjustments!$I:$I,'Schedule 2F Adjustments'!$N$12,Adjustments!$J:$J,'Schedule 2F Adjustments'!$A15)</f>
        <v>0</v>
      </c>
      <c r="P15" s="303">
        <f>SUM(N15:O15)</f>
        <v>0</v>
      </c>
      <c r="Q15" s="68">
        <f>IFERROR(N15*'As-Filed Schedule 1'!$E$103,0)</f>
        <v>0</v>
      </c>
      <c r="R15" s="68">
        <f>IFERROR(P15*'Adjusted Schedule 1'!$E$104,0)</f>
        <v>0</v>
      </c>
      <c r="S15" s="68">
        <f>SUM(N15,Q15)</f>
        <v>0</v>
      </c>
      <c r="T15" s="304">
        <f>SUM(P15,R15)</f>
        <v>0</v>
      </c>
      <c r="V15" s="117">
        <f>'As-Filed Schedule 2F'!N15</f>
        <v>0</v>
      </c>
      <c r="W15" s="307">
        <f>SUMIFS(Adjustments!$G:$G,Adjustments!$H:$H,"2F",Adjustments!$I:$I,'Schedule 2F Adjustments'!$V$12,Adjustments!$J:$J,'Schedule 2F Adjustments'!$A15)</f>
        <v>0</v>
      </c>
      <c r="X15" s="303">
        <f>SUM(V15:W15)</f>
        <v>0</v>
      </c>
      <c r="Y15" s="117">
        <f>'As-Filed Schedule 2F'!O15</f>
        <v>0</v>
      </c>
      <c r="Z15" s="307">
        <f>SUMIFS(Adjustments!$G:$G,Adjustments!$H:$H,"2F",Adjustments!$I:$I,'Schedule 2F Adjustments'!$Y$12,Adjustments!$J:$J,'Schedule 2F Adjustments'!$A15)</f>
        <v>0</v>
      </c>
      <c r="AA15" s="303">
        <f>SUM(Y15:Z15)</f>
        <v>0</v>
      </c>
    </row>
    <row r="16" spans="1:27" x14ac:dyDescent="0.35">
      <c r="A16" s="24">
        <v>2</v>
      </c>
      <c r="B16" s="565" t="str">
        <f>IF('As-Filed Schedule 2F'!B16:D16=0,"",'As-Filed Schedule 2F'!B16:D16)</f>
        <v/>
      </c>
      <c r="C16" s="565"/>
      <c r="D16" s="565"/>
      <c r="F16" s="114">
        <f>'As-Filed Schedule 2F'!F16</f>
        <v>0</v>
      </c>
      <c r="G16" s="307">
        <f>SUMIFS(Adjustments!$G:$G,Adjustments!$H:$H,"2F",Adjustments!$I:$I,'Schedule 2F Adjustments'!$F$12,Adjustments!$J:$J,'Schedule 2F Adjustments'!$A16)</f>
        <v>0</v>
      </c>
      <c r="H16" s="303">
        <f t="shared" ref="H16:H72" si="0">SUM(F16:G16)</f>
        <v>0</v>
      </c>
      <c r="I16" s="68">
        <f>IFERROR(F16*'As-Filed Schedule 1'!$E$103,0)</f>
        <v>0</v>
      </c>
      <c r="J16" s="304">
        <f>IFERROR(H16*'Adjusted Schedule 1'!$E$104,0)</f>
        <v>0</v>
      </c>
      <c r="K16" s="68">
        <f t="shared" ref="K16:K72" si="1">SUM(F16,I16)</f>
        <v>0</v>
      </c>
      <c r="L16" s="304">
        <f t="shared" ref="L16:L72" si="2">SUM(H16,J16)</f>
        <v>0</v>
      </c>
      <c r="N16" s="114">
        <f>'As-Filed Schedule 2F'!J16</f>
        <v>0</v>
      </c>
      <c r="O16" s="307">
        <f>SUMIFS(Adjustments!$G:$G,Adjustments!$H:$H,"2F",Adjustments!$I:$I,'Schedule 2F Adjustments'!$N$12,Adjustments!$J:$J,'Schedule 2F Adjustments'!$A16)</f>
        <v>0</v>
      </c>
      <c r="P16" s="303">
        <f t="shared" ref="P16:P72" si="3">SUM(N16:O16)</f>
        <v>0</v>
      </c>
      <c r="Q16" s="68">
        <f>IFERROR(N16*'As-Filed Schedule 1'!$E$103,0)</f>
        <v>0</v>
      </c>
      <c r="R16" s="68">
        <f>IFERROR(P16*'Adjusted Schedule 1'!$E$104,0)</f>
        <v>0</v>
      </c>
      <c r="S16" s="68">
        <f t="shared" ref="S16:S72" si="4">SUM(N16,Q16)</f>
        <v>0</v>
      </c>
      <c r="T16" s="304">
        <f t="shared" ref="T16:T72" si="5">SUM(P16,R16)</f>
        <v>0</v>
      </c>
      <c r="V16" s="117">
        <f>'As-Filed Schedule 2F'!N16</f>
        <v>0</v>
      </c>
      <c r="W16" s="307">
        <f>SUMIFS(Adjustments!$G:$G,Adjustments!$H:$H,"2F",Adjustments!$I:$I,'Schedule 2F Adjustments'!$V$12,Adjustments!$J:$J,'Schedule 2F Adjustments'!$A16)</f>
        <v>0</v>
      </c>
      <c r="X16" s="303">
        <f t="shared" ref="X16:X72" si="6">SUM(V16:W16)</f>
        <v>0</v>
      </c>
      <c r="Y16" s="117">
        <f>'As-Filed Schedule 2F'!O16</f>
        <v>0</v>
      </c>
      <c r="Z16" s="307">
        <f>SUMIFS(Adjustments!$G:$G,Adjustments!$H:$H,"2F",Adjustments!$I:$I,'Schedule 2F Adjustments'!$Y$12,Adjustments!$J:$J,'Schedule 2F Adjustments'!$A16)</f>
        <v>0</v>
      </c>
      <c r="AA16" s="303">
        <f t="shared" ref="AA16:AA72" si="7">SUM(Y16:Z16)</f>
        <v>0</v>
      </c>
    </row>
    <row r="17" spans="1:27" x14ac:dyDescent="0.35">
      <c r="A17" s="24">
        <v>3</v>
      </c>
      <c r="B17" s="565" t="str">
        <f>IF('As-Filed Schedule 2F'!B17:D17=0,"",'As-Filed Schedule 2F'!B17:D17)</f>
        <v/>
      </c>
      <c r="C17" s="565"/>
      <c r="D17" s="565"/>
      <c r="F17" s="114">
        <f>'As-Filed Schedule 2F'!F17</f>
        <v>0</v>
      </c>
      <c r="G17" s="307">
        <f>SUMIFS(Adjustments!$G:$G,Adjustments!$H:$H,"2F",Adjustments!$I:$I,'Schedule 2F Adjustments'!$F$12,Adjustments!$J:$J,'Schedule 2F Adjustments'!$A17)</f>
        <v>0</v>
      </c>
      <c r="H17" s="303">
        <f t="shared" si="0"/>
        <v>0</v>
      </c>
      <c r="I17" s="68">
        <f>IFERROR(F17*'As-Filed Schedule 1'!$E$103,0)</f>
        <v>0</v>
      </c>
      <c r="J17" s="304">
        <f>IFERROR(H17*'Adjusted Schedule 1'!$E$104,0)</f>
        <v>0</v>
      </c>
      <c r="K17" s="68">
        <f t="shared" si="1"/>
        <v>0</v>
      </c>
      <c r="L17" s="304">
        <f t="shared" si="2"/>
        <v>0</v>
      </c>
      <c r="N17" s="114">
        <f>'As-Filed Schedule 2F'!J17</f>
        <v>0</v>
      </c>
      <c r="O17" s="307">
        <f>SUMIFS(Adjustments!$G:$G,Adjustments!$H:$H,"2F",Adjustments!$I:$I,'Schedule 2F Adjustments'!$N$12,Adjustments!$J:$J,'Schedule 2F Adjustments'!$A17)</f>
        <v>0</v>
      </c>
      <c r="P17" s="303">
        <f t="shared" si="3"/>
        <v>0</v>
      </c>
      <c r="Q17" s="68">
        <f>IFERROR(N17*'As-Filed Schedule 1'!$E$103,0)</f>
        <v>0</v>
      </c>
      <c r="R17" s="68">
        <f>IFERROR(P17*'Adjusted Schedule 1'!$E$104,0)</f>
        <v>0</v>
      </c>
      <c r="S17" s="68">
        <f t="shared" si="4"/>
        <v>0</v>
      </c>
      <c r="T17" s="304">
        <f t="shared" si="5"/>
        <v>0</v>
      </c>
      <c r="V17" s="117">
        <f>'As-Filed Schedule 2F'!N17</f>
        <v>0</v>
      </c>
      <c r="W17" s="307">
        <f>SUMIFS(Adjustments!$G:$G,Adjustments!$H:$H,"2F",Adjustments!$I:$I,'Schedule 2F Adjustments'!$V$12,Adjustments!$J:$J,'Schedule 2F Adjustments'!$A17)</f>
        <v>0</v>
      </c>
      <c r="X17" s="303">
        <f t="shared" si="6"/>
        <v>0</v>
      </c>
      <c r="Y17" s="117">
        <f>'As-Filed Schedule 2F'!O17</f>
        <v>0</v>
      </c>
      <c r="Z17" s="307">
        <f>SUMIFS(Adjustments!$G:$G,Adjustments!$H:$H,"2F",Adjustments!$I:$I,'Schedule 2F Adjustments'!$Y$12,Adjustments!$J:$J,'Schedule 2F Adjustments'!$A17)</f>
        <v>0</v>
      </c>
      <c r="AA17" s="303">
        <f t="shared" si="7"/>
        <v>0</v>
      </c>
    </row>
    <row r="18" spans="1:27" x14ac:dyDescent="0.35">
      <c r="A18" s="24">
        <v>4</v>
      </c>
      <c r="B18" s="565" t="str">
        <f>IF('As-Filed Schedule 2F'!B18:D18=0,"",'As-Filed Schedule 2F'!B18:D18)</f>
        <v/>
      </c>
      <c r="C18" s="565"/>
      <c r="D18" s="565"/>
      <c r="F18" s="114">
        <f>'As-Filed Schedule 2F'!F18</f>
        <v>0</v>
      </c>
      <c r="G18" s="307">
        <f>SUMIFS(Adjustments!$G:$G,Adjustments!$H:$H,"2F",Adjustments!$I:$I,'Schedule 2F Adjustments'!$F$12,Adjustments!$J:$J,'Schedule 2F Adjustments'!$A18)</f>
        <v>0</v>
      </c>
      <c r="H18" s="303">
        <f t="shared" si="0"/>
        <v>0</v>
      </c>
      <c r="I18" s="68">
        <f>IFERROR(F18*'As-Filed Schedule 1'!$E$103,0)</f>
        <v>0</v>
      </c>
      <c r="J18" s="304">
        <f>IFERROR(H18*'Adjusted Schedule 1'!$E$104,0)</f>
        <v>0</v>
      </c>
      <c r="K18" s="68">
        <f>SUM(F18,I18)</f>
        <v>0</v>
      </c>
      <c r="L18" s="304">
        <f>SUM(H18,J18)</f>
        <v>0</v>
      </c>
      <c r="N18" s="114">
        <f>'As-Filed Schedule 2F'!J18</f>
        <v>0</v>
      </c>
      <c r="O18" s="307">
        <f>SUMIFS(Adjustments!$G:$G,Adjustments!$H:$H,"2F",Adjustments!$I:$I,'Schedule 2F Adjustments'!$N$12,Adjustments!$J:$J,'Schedule 2F Adjustments'!$A18)</f>
        <v>0</v>
      </c>
      <c r="P18" s="303">
        <f t="shared" si="3"/>
        <v>0</v>
      </c>
      <c r="Q18" s="68">
        <f>IFERROR(N18*'As-Filed Schedule 1'!$E$103,0)</f>
        <v>0</v>
      </c>
      <c r="R18" s="68">
        <f>IFERROR(P18*'Adjusted Schedule 1'!$E$104,0)</f>
        <v>0</v>
      </c>
      <c r="S18" s="68">
        <f t="shared" si="4"/>
        <v>0</v>
      </c>
      <c r="T18" s="304">
        <f t="shared" si="5"/>
        <v>0</v>
      </c>
      <c r="V18" s="117">
        <f>'As-Filed Schedule 2F'!N18</f>
        <v>0</v>
      </c>
      <c r="W18" s="307">
        <f>SUMIFS(Adjustments!$G:$G,Adjustments!$H:$H,"2F",Adjustments!$I:$I,'Schedule 2F Adjustments'!$V$12,Adjustments!$J:$J,'Schedule 2F Adjustments'!$A18)</f>
        <v>0</v>
      </c>
      <c r="X18" s="303">
        <f t="shared" si="6"/>
        <v>0</v>
      </c>
      <c r="Y18" s="117">
        <f>'As-Filed Schedule 2F'!O18</f>
        <v>0</v>
      </c>
      <c r="Z18" s="307">
        <f>SUMIFS(Adjustments!$G:$G,Adjustments!$H:$H,"2F",Adjustments!$I:$I,'Schedule 2F Adjustments'!$Y$12,Adjustments!$J:$J,'Schedule 2F Adjustments'!$A18)</f>
        <v>0</v>
      </c>
      <c r="AA18" s="303">
        <f t="shared" si="7"/>
        <v>0</v>
      </c>
    </row>
    <row r="19" spans="1:27" x14ac:dyDescent="0.35">
      <c r="A19" s="24">
        <v>5</v>
      </c>
      <c r="B19" s="565" t="str">
        <f>IF('As-Filed Schedule 2F'!B19:D19=0,"",'As-Filed Schedule 2F'!B19:D19)</f>
        <v/>
      </c>
      <c r="C19" s="565"/>
      <c r="D19" s="565"/>
      <c r="F19" s="114">
        <f>'As-Filed Schedule 2F'!F19</f>
        <v>0</v>
      </c>
      <c r="G19" s="307">
        <f>SUMIFS(Adjustments!$G:$G,Adjustments!$H:$H,"2F",Adjustments!$I:$I,'Schedule 2F Adjustments'!$F$12,Adjustments!$J:$J,'Schedule 2F Adjustments'!$A19)</f>
        <v>0</v>
      </c>
      <c r="H19" s="303">
        <f t="shared" si="0"/>
        <v>0</v>
      </c>
      <c r="I19" s="68">
        <f>IFERROR(F19*'As-Filed Schedule 1'!$E$103,0)</f>
        <v>0</v>
      </c>
      <c r="J19" s="304">
        <f>IFERROR(H19*'Adjusted Schedule 1'!$E$104,0)</f>
        <v>0</v>
      </c>
      <c r="K19" s="68">
        <f t="shared" si="1"/>
        <v>0</v>
      </c>
      <c r="L19" s="304">
        <f>SUM(H19,J19)</f>
        <v>0</v>
      </c>
      <c r="N19" s="114">
        <f>'As-Filed Schedule 2F'!J19</f>
        <v>0</v>
      </c>
      <c r="O19" s="307">
        <f>SUMIFS(Adjustments!$G:$G,Adjustments!$H:$H,"2F",Adjustments!$I:$I,'Schedule 2F Adjustments'!$N$12,Adjustments!$J:$J,'Schedule 2F Adjustments'!$A19)</f>
        <v>0</v>
      </c>
      <c r="P19" s="303">
        <f t="shared" si="3"/>
        <v>0</v>
      </c>
      <c r="Q19" s="68">
        <f>IFERROR(N19*'As-Filed Schedule 1'!$E$103,0)</f>
        <v>0</v>
      </c>
      <c r="R19" s="68">
        <f>IFERROR(P19*'Adjusted Schedule 1'!$E$104,0)</f>
        <v>0</v>
      </c>
      <c r="S19" s="68">
        <f t="shared" si="4"/>
        <v>0</v>
      </c>
      <c r="T19" s="304">
        <f t="shared" si="5"/>
        <v>0</v>
      </c>
      <c r="V19" s="117">
        <f>'As-Filed Schedule 2F'!N19</f>
        <v>0</v>
      </c>
      <c r="W19" s="307">
        <f>SUMIFS(Adjustments!$G:$G,Adjustments!$H:$H,"2F",Adjustments!$I:$I,'Schedule 2F Adjustments'!$V$12,Adjustments!$J:$J,'Schedule 2F Adjustments'!$A19)</f>
        <v>0</v>
      </c>
      <c r="X19" s="303">
        <f t="shared" si="6"/>
        <v>0</v>
      </c>
      <c r="Y19" s="117">
        <f>'As-Filed Schedule 2F'!O19</f>
        <v>0</v>
      </c>
      <c r="Z19" s="307">
        <f>SUMIFS(Adjustments!$G:$G,Adjustments!$H:$H,"2F",Adjustments!$I:$I,'Schedule 2F Adjustments'!$Y$12,Adjustments!$J:$J,'Schedule 2F Adjustments'!$A19)</f>
        <v>0</v>
      </c>
      <c r="AA19" s="303">
        <f t="shared" si="7"/>
        <v>0</v>
      </c>
    </row>
    <row r="20" spans="1:27" x14ac:dyDescent="0.35">
      <c r="A20" s="24">
        <v>6</v>
      </c>
      <c r="B20" s="565" t="str">
        <f>IF('As-Filed Schedule 2F'!B20:D20=0,"",'As-Filed Schedule 2F'!B20:D20)</f>
        <v/>
      </c>
      <c r="C20" s="565"/>
      <c r="D20" s="565"/>
      <c r="F20" s="114">
        <f>'As-Filed Schedule 2F'!F20</f>
        <v>0</v>
      </c>
      <c r="G20" s="307">
        <f>SUMIFS(Adjustments!$G:$G,Adjustments!$H:$H,"2F",Adjustments!$I:$I,'Schedule 2F Adjustments'!$F$12,Adjustments!$J:$J,'Schedule 2F Adjustments'!$A20)</f>
        <v>0</v>
      </c>
      <c r="H20" s="303">
        <f t="shared" si="0"/>
        <v>0</v>
      </c>
      <c r="I20" s="68">
        <f>IFERROR(F20*'As-Filed Schedule 1'!$E$103,0)</f>
        <v>0</v>
      </c>
      <c r="J20" s="304">
        <f>IFERROR(H20*'Adjusted Schedule 1'!$E$104,0)</f>
        <v>0</v>
      </c>
      <c r="K20" s="68">
        <f>SUM(F20,I20)</f>
        <v>0</v>
      </c>
      <c r="L20" s="304">
        <f t="shared" si="2"/>
        <v>0</v>
      </c>
      <c r="N20" s="114">
        <f>'As-Filed Schedule 2F'!J20</f>
        <v>0</v>
      </c>
      <c r="O20" s="307">
        <f>SUMIFS(Adjustments!$G:$G,Adjustments!$H:$H,"2F",Adjustments!$I:$I,'Schedule 2F Adjustments'!$N$12,Adjustments!$J:$J,'Schedule 2F Adjustments'!$A20)</f>
        <v>0</v>
      </c>
      <c r="P20" s="303">
        <f t="shared" si="3"/>
        <v>0</v>
      </c>
      <c r="Q20" s="68">
        <f>IFERROR(N20*'As-Filed Schedule 1'!$E$103,0)</f>
        <v>0</v>
      </c>
      <c r="R20" s="68">
        <f>IFERROR(P20*'Adjusted Schedule 1'!$E$104,0)</f>
        <v>0</v>
      </c>
      <c r="S20" s="68">
        <f t="shared" si="4"/>
        <v>0</v>
      </c>
      <c r="T20" s="304">
        <f t="shared" si="5"/>
        <v>0</v>
      </c>
      <c r="V20" s="117">
        <f>'As-Filed Schedule 2F'!N20</f>
        <v>0</v>
      </c>
      <c r="W20" s="307">
        <f>SUMIFS(Adjustments!$G:$G,Adjustments!$H:$H,"2F",Adjustments!$I:$I,'Schedule 2F Adjustments'!$V$12,Adjustments!$J:$J,'Schedule 2F Adjustments'!$A20)</f>
        <v>0</v>
      </c>
      <c r="X20" s="303">
        <f t="shared" si="6"/>
        <v>0</v>
      </c>
      <c r="Y20" s="117">
        <f>'As-Filed Schedule 2F'!O20</f>
        <v>0</v>
      </c>
      <c r="Z20" s="307">
        <f>SUMIFS(Adjustments!$G:$G,Adjustments!$H:$H,"2F",Adjustments!$I:$I,'Schedule 2F Adjustments'!$Y$12,Adjustments!$J:$J,'Schedule 2F Adjustments'!$A20)</f>
        <v>0</v>
      </c>
      <c r="AA20" s="303">
        <f t="shared" si="7"/>
        <v>0</v>
      </c>
    </row>
    <row r="21" spans="1:27" x14ac:dyDescent="0.35">
      <c r="A21" s="24">
        <v>7</v>
      </c>
      <c r="B21" s="565" t="str">
        <f>IF('As-Filed Schedule 2F'!B21:D21=0,"",'As-Filed Schedule 2F'!B21:D21)</f>
        <v/>
      </c>
      <c r="C21" s="565"/>
      <c r="D21" s="565"/>
      <c r="F21" s="114">
        <f>'As-Filed Schedule 2F'!F21</f>
        <v>0</v>
      </c>
      <c r="G21" s="307">
        <f>SUMIFS(Adjustments!$G:$G,Adjustments!$H:$H,"2F",Adjustments!$I:$I,'Schedule 2F Adjustments'!$F$12,Adjustments!$J:$J,'Schedule 2F Adjustments'!$A21)</f>
        <v>0</v>
      </c>
      <c r="H21" s="303">
        <f t="shared" si="0"/>
        <v>0</v>
      </c>
      <c r="I21" s="68">
        <f>IFERROR(F21*'As-Filed Schedule 1'!$E$103,0)</f>
        <v>0</v>
      </c>
      <c r="J21" s="304">
        <f>IFERROR(H21*'Adjusted Schedule 1'!$E$104,0)</f>
        <v>0</v>
      </c>
      <c r="K21" s="68">
        <f t="shared" si="1"/>
        <v>0</v>
      </c>
      <c r="L21" s="304">
        <f t="shared" si="2"/>
        <v>0</v>
      </c>
      <c r="N21" s="114">
        <f>'As-Filed Schedule 2F'!J21</f>
        <v>0</v>
      </c>
      <c r="O21" s="307">
        <f>SUMIFS(Adjustments!$G:$G,Adjustments!$H:$H,"2F",Adjustments!$I:$I,'Schedule 2F Adjustments'!$N$12,Adjustments!$J:$J,'Schedule 2F Adjustments'!$A21)</f>
        <v>0</v>
      </c>
      <c r="P21" s="303">
        <f t="shared" si="3"/>
        <v>0</v>
      </c>
      <c r="Q21" s="68">
        <f>IFERROR(N21*'As-Filed Schedule 1'!$E$103,0)</f>
        <v>0</v>
      </c>
      <c r="R21" s="68">
        <f>IFERROR(P21*'Adjusted Schedule 1'!$E$104,0)</f>
        <v>0</v>
      </c>
      <c r="S21" s="68">
        <f>SUM(N21,Q21)</f>
        <v>0</v>
      </c>
      <c r="T21" s="304">
        <f>SUM(P21,R21)</f>
        <v>0</v>
      </c>
      <c r="V21" s="117">
        <f>'As-Filed Schedule 2F'!N21</f>
        <v>0</v>
      </c>
      <c r="W21" s="307">
        <f>SUMIFS(Adjustments!$G:$G,Adjustments!$H:$H,"2F",Adjustments!$I:$I,'Schedule 2F Adjustments'!$V$12,Adjustments!$J:$J,'Schedule 2F Adjustments'!$A21)</f>
        <v>0</v>
      </c>
      <c r="X21" s="303">
        <f t="shared" si="6"/>
        <v>0</v>
      </c>
      <c r="Y21" s="117">
        <f>'As-Filed Schedule 2F'!O21</f>
        <v>0</v>
      </c>
      <c r="Z21" s="307">
        <f>SUMIFS(Adjustments!$G:$G,Adjustments!$H:$H,"2F",Adjustments!$I:$I,'Schedule 2F Adjustments'!$Y$12,Adjustments!$J:$J,'Schedule 2F Adjustments'!$A21)</f>
        <v>0</v>
      </c>
      <c r="AA21" s="303">
        <f t="shared" si="7"/>
        <v>0</v>
      </c>
    </row>
    <row r="22" spans="1:27" x14ac:dyDescent="0.35">
      <c r="A22" s="24">
        <v>8</v>
      </c>
      <c r="B22" s="565" t="str">
        <f>IF('As-Filed Schedule 2F'!B22:D22=0,"",'As-Filed Schedule 2F'!B22:D22)</f>
        <v/>
      </c>
      <c r="C22" s="565"/>
      <c r="D22" s="565"/>
      <c r="F22" s="114">
        <f>'As-Filed Schedule 2F'!F22</f>
        <v>0</v>
      </c>
      <c r="G22" s="307">
        <f>SUMIFS(Adjustments!$G:$G,Adjustments!$H:$H,"2F",Adjustments!$I:$I,'Schedule 2F Adjustments'!$F$12,Adjustments!$J:$J,'Schedule 2F Adjustments'!$A22)</f>
        <v>0</v>
      </c>
      <c r="H22" s="303">
        <f t="shared" si="0"/>
        <v>0</v>
      </c>
      <c r="I22" s="68">
        <f>IFERROR(F22*'As-Filed Schedule 1'!$E$103,0)</f>
        <v>0</v>
      </c>
      <c r="J22" s="304">
        <f>IFERROR(H22*'Adjusted Schedule 1'!$E$104,0)</f>
        <v>0</v>
      </c>
      <c r="K22" s="68">
        <f t="shared" si="1"/>
        <v>0</v>
      </c>
      <c r="L22" s="304">
        <f t="shared" si="2"/>
        <v>0</v>
      </c>
      <c r="N22" s="114">
        <f>'As-Filed Schedule 2F'!J22</f>
        <v>0</v>
      </c>
      <c r="O22" s="307">
        <f>SUMIFS(Adjustments!$G:$G,Adjustments!$H:$H,"2F",Adjustments!$I:$I,'Schedule 2F Adjustments'!$N$12,Adjustments!$J:$J,'Schedule 2F Adjustments'!$A22)</f>
        <v>0</v>
      </c>
      <c r="P22" s="303">
        <f t="shared" si="3"/>
        <v>0</v>
      </c>
      <c r="Q22" s="68">
        <f>IFERROR(N22*'As-Filed Schedule 1'!$E$103,0)</f>
        <v>0</v>
      </c>
      <c r="R22" s="68">
        <f>IFERROR(P22*'Adjusted Schedule 1'!$E$104,0)</f>
        <v>0</v>
      </c>
      <c r="S22" s="68">
        <f t="shared" si="4"/>
        <v>0</v>
      </c>
      <c r="T22" s="304">
        <f t="shared" si="5"/>
        <v>0</v>
      </c>
      <c r="V22" s="117">
        <f>'As-Filed Schedule 2F'!N22</f>
        <v>0</v>
      </c>
      <c r="W22" s="307">
        <f>SUMIFS(Adjustments!$G:$G,Adjustments!$H:$H,"2F",Adjustments!$I:$I,'Schedule 2F Adjustments'!$V$12,Adjustments!$J:$J,'Schedule 2F Adjustments'!$A22)</f>
        <v>0</v>
      </c>
      <c r="X22" s="303">
        <f t="shared" si="6"/>
        <v>0</v>
      </c>
      <c r="Y22" s="117">
        <f>'As-Filed Schedule 2F'!O22</f>
        <v>0</v>
      </c>
      <c r="Z22" s="307">
        <f>SUMIFS(Adjustments!$G:$G,Adjustments!$H:$H,"2F",Adjustments!$I:$I,'Schedule 2F Adjustments'!$Y$12,Adjustments!$J:$J,'Schedule 2F Adjustments'!$A22)</f>
        <v>0</v>
      </c>
      <c r="AA22" s="303">
        <f t="shared" si="7"/>
        <v>0</v>
      </c>
    </row>
    <row r="23" spans="1:27" x14ac:dyDescent="0.35">
      <c r="A23" s="24">
        <v>9</v>
      </c>
      <c r="B23" s="565" t="str">
        <f>IF('As-Filed Schedule 2F'!B23:D23=0,"",'As-Filed Schedule 2F'!B23:D23)</f>
        <v/>
      </c>
      <c r="C23" s="565"/>
      <c r="D23" s="565"/>
      <c r="F23" s="114">
        <f>'As-Filed Schedule 2F'!F23</f>
        <v>0</v>
      </c>
      <c r="G23" s="307">
        <f>SUMIFS(Adjustments!$G:$G,Adjustments!$H:$H,"2F",Adjustments!$I:$I,'Schedule 2F Adjustments'!$F$12,Adjustments!$J:$J,'Schedule 2F Adjustments'!$A23)</f>
        <v>0</v>
      </c>
      <c r="H23" s="303">
        <f t="shared" si="0"/>
        <v>0</v>
      </c>
      <c r="I23" s="68">
        <f>IFERROR(F23*'As-Filed Schedule 1'!$E$103,0)</f>
        <v>0</v>
      </c>
      <c r="J23" s="304">
        <f>IFERROR(H23*'Adjusted Schedule 1'!$E$104,0)</f>
        <v>0</v>
      </c>
      <c r="K23" s="68">
        <f t="shared" si="1"/>
        <v>0</v>
      </c>
      <c r="L23" s="304">
        <f t="shared" si="2"/>
        <v>0</v>
      </c>
      <c r="N23" s="114">
        <f>'As-Filed Schedule 2F'!J23</f>
        <v>0</v>
      </c>
      <c r="O23" s="307">
        <f>SUMIFS(Adjustments!$G:$G,Adjustments!$H:$H,"2F",Adjustments!$I:$I,'Schedule 2F Adjustments'!$N$12,Adjustments!$J:$J,'Schedule 2F Adjustments'!$A23)</f>
        <v>0</v>
      </c>
      <c r="P23" s="303">
        <f t="shared" si="3"/>
        <v>0</v>
      </c>
      <c r="Q23" s="68">
        <f>IFERROR(N23*'As-Filed Schedule 1'!$E$103,0)</f>
        <v>0</v>
      </c>
      <c r="R23" s="68">
        <f>IFERROR(P23*'Adjusted Schedule 1'!$E$104,0)</f>
        <v>0</v>
      </c>
      <c r="S23" s="68">
        <f t="shared" si="4"/>
        <v>0</v>
      </c>
      <c r="T23" s="304">
        <f t="shared" si="5"/>
        <v>0</v>
      </c>
      <c r="V23" s="117">
        <f>'As-Filed Schedule 2F'!N23</f>
        <v>0</v>
      </c>
      <c r="W23" s="307">
        <f>SUMIFS(Adjustments!$G:$G,Adjustments!$H:$H,"2F",Adjustments!$I:$I,'Schedule 2F Adjustments'!$V$12,Adjustments!$J:$J,'Schedule 2F Adjustments'!$A23)</f>
        <v>0</v>
      </c>
      <c r="X23" s="303">
        <f t="shared" si="6"/>
        <v>0</v>
      </c>
      <c r="Y23" s="117">
        <f>'As-Filed Schedule 2F'!O23</f>
        <v>0</v>
      </c>
      <c r="Z23" s="307">
        <f>SUMIFS(Adjustments!$G:$G,Adjustments!$H:$H,"2F",Adjustments!$I:$I,'Schedule 2F Adjustments'!$Y$12,Adjustments!$J:$J,'Schedule 2F Adjustments'!$A23)</f>
        <v>0</v>
      </c>
      <c r="AA23" s="303">
        <f t="shared" si="7"/>
        <v>0</v>
      </c>
    </row>
    <row r="24" spans="1:27" x14ac:dyDescent="0.35">
      <c r="A24" s="24">
        <v>10</v>
      </c>
      <c r="B24" s="565" t="str">
        <f>IF('As-Filed Schedule 2F'!B24:D24=0,"",'As-Filed Schedule 2F'!B24:D24)</f>
        <v/>
      </c>
      <c r="C24" s="565"/>
      <c r="D24" s="565"/>
      <c r="F24" s="114">
        <f>'As-Filed Schedule 2F'!F24</f>
        <v>0</v>
      </c>
      <c r="G24" s="307">
        <f>SUMIFS(Adjustments!$G:$G,Adjustments!$H:$H,"2F",Adjustments!$I:$I,'Schedule 2F Adjustments'!$F$12,Adjustments!$J:$J,'Schedule 2F Adjustments'!$A24)</f>
        <v>0</v>
      </c>
      <c r="H24" s="303">
        <f t="shared" si="0"/>
        <v>0</v>
      </c>
      <c r="I24" s="68">
        <f>IFERROR(F24*'As-Filed Schedule 1'!$E$103,0)</f>
        <v>0</v>
      </c>
      <c r="J24" s="304">
        <f>IFERROR(H24*'Adjusted Schedule 1'!$E$104,0)</f>
        <v>0</v>
      </c>
      <c r="K24" s="68">
        <f t="shared" si="1"/>
        <v>0</v>
      </c>
      <c r="L24" s="304">
        <f t="shared" si="2"/>
        <v>0</v>
      </c>
      <c r="N24" s="114">
        <f>'As-Filed Schedule 2F'!J24</f>
        <v>0</v>
      </c>
      <c r="O24" s="307">
        <f>SUMIFS(Adjustments!$G:$G,Adjustments!$H:$H,"2F",Adjustments!$I:$I,'Schedule 2F Adjustments'!$N$12,Adjustments!$J:$J,'Schedule 2F Adjustments'!$A24)</f>
        <v>0</v>
      </c>
      <c r="P24" s="303">
        <f t="shared" si="3"/>
        <v>0</v>
      </c>
      <c r="Q24" s="68">
        <f>IFERROR(N24*'As-Filed Schedule 1'!$E$103,0)</f>
        <v>0</v>
      </c>
      <c r="R24" s="68">
        <f>IFERROR(P24*'Adjusted Schedule 1'!$E$104,0)</f>
        <v>0</v>
      </c>
      <c r="S24" s="68">
        <f t="shared" si="4"/>
        <v>0</v>
      </c>
      <c r="T24" s="304">
        <f t="shared" si="5"/>
        <v>0</v>
      </c>
      <c r="V24" s="117">
        <f>'As-Filed Schedule 2F'!N24</f>
        <v>0</v>
      </c>
      <c r="W24" s="307">
        <f>SUMIFS(Adjustments!$G:$G,Adjustments!$H:$H,"2F",Adjustments!$I:$I,'Schedule 2F Adjustments'!$V$12,Adjustments!$J:$J,'Schedule 2F Adjustments'!$A24)</f>
        <v>0</v>
      </c>
      <c r="X24" s="303">
        <f t="shared" si="6"/>
        <v>0</v>
      </c>
      <c r="Y24" s="117">
        <f>'As-Filed Schedule 2F'!O24</f>
        <v>0</v>
      </c>
      <c r="Z24" s="307">
        <f>SUMIFS(Adjustments!$G:$G,Adjustments!$H:$H,"2F",Adjustments!$I:$I,'Schedule 2F Adjustments'!$Y$12,Adjustments!$J:$J,'Schedule 2F Adjustments'!$A24)</f>
        <v>0</v>
      </c>
      <c r="AA24" s="303">
        <f t="shared" si="7"/>
        <v>0</v>
      </c>
    </row>
    <row r="25" spans="1:27" x14ac:dyDescent="0.35">
      <c r="A25" s="24">
        <v>11</v>
      </c>
      <c r="B25" s="565" t="str">
        <f>IF('As-Filed Schedule 2F'!B25:D25=0,"",'As-Filed Schedule 2F'!B25:D25)</f>
        <v/>
      </c>
      <c r="C25" s="565"/>
      <c r="D25" s="565"/>
      <c r="F25" s="114">
        <f>'As-Filed Schedule 2F'!F25</f>
        <v>0</v>
      </c>
      <c r="G25" s="307">
        <f>SUMIFS(Adjustments!$G:$G,Adjustments!$H:$H,"2F",Adjustments!$I:$I,'Schedule 2F Adjustments'!$F$12,Adjustments!$J:$J,'Schedule 2F Adjustments'!$A25)</f>
        <v>0</v>
      </c>
      <c r="H25" s="303">
        <f t="shared" si="0"/>
        <v>0</v>
      </c>
      <c r="I25" s="68">
        <f>IFERROR(F25*'As-Filed Schedule 1'!$E$103,0)</f>
        <v>0</v>
      </c>
      <c r="J25" s="304">
        <f>IFERROR(H25*'Adjusted Schedule 1'!$E$104,0)</f>
        <v>0</v>
      </c>
      <c r="K25" s="68">
        <f t="shared" si="1"/>
        <v>0</v>
      </c>
      <c r="L25" s="304">
        <f t="shared" si="2"/>
        <v>0</v>
      </c>
      <c r="N25" s="114">
        <f>'As-Filed Schedule 2F'!J25</f>
        <v>0</v>
      </c>
      <c r="O25" s="307">
        <f>SUMIFS(Adjustments!$G:$G,Adjustments!$H:$H,"2F",Adjustments!$I:$I,'Schedule 2F Adjustments'!$N$12,Adjustments!$J:$J,'Schedule 2F Adjustments'!$A25)</f>
        <v>0</v>
      </c>
      <c r="P25" s="303">
        <f t="shared" si="3"/>
        <v>0</v>
      </c>
      <c r="Q25" s="68">
        <f>IFERROR(N25*'As-Filed Schedule 1'!$E$103,0)</f>
        <v>0</v>
      </c>
      <c r="R25" s="68">
        <f>IFERROR(P25*'Adjusted Schedule 1'!$E$104,0)</f>
        <v>0</v>
      </c>
      <c r="S25" s="68">
        <f t="shared" si="4"/>
        <v>0</v>
      </c>
      <c r="T25" s="304">
        <f t="shared" si="5"/>
        <v>0</v>
      </c>
      <c r="V25" s="117">
        <f>'As-Filed Schedule 2F'!N25</f>
        <v>0</v>
      </c>
      <c r="W25" s="307">
        <f>SUMIFS(Adjustments!$G:$G,Adjustments!$H:$H,"2F",Adjustments!$I:$I,'Schedule 2F Adjustments'!$V$12,Adjustments!$J:$J,'Schedule 2F Adjustments'!$A25)</f>
        <v>0</v>
      </c>
      <c r="X25" s="303">
        <f t="shared" si="6"/>
        <v>0</v>
      </c>
      <c r="Y25" s="117">
        <f>'As-Filed Schedule 2F'!O25</f>
        <v>0</v>
      </c>
      <c r="Z25" s="307">
        <f>SUMIFS(Adjustments!$G:$G,Adjustments!$H:$H,"2F",Adjustments!$I:$I,'Schedule 2F Adjustments'!$Y$12,Adjustments!$J:$J,'Schedule 2F Adjustments'!$A25)</f>
        <v>0</v>
      </c>
      <c r="AA25" s="303">
        <f t="shared" si="7"/>
        <v>0</v>
      </c>
    </row>
    <row r="26" spans="1:27" x14ac:dyDescent="0.35">
      <c r="A26" s="24">
        <v>12</v>
      </c>
      <c r="B26" s="565" t="str">
        <f>IF('As-Filed Schedule 2F'!B26:D26=0,"",'As-Filed Schedule 2F'!B26:D26)</f>
        <v/>
      </c>
      <c r="C26" s="565"/>
      <c r="D26" s="565"/>
      <c r="F26" s="114">
        <f>'As-Filed Schedule 2F'!F26</f>
        <v>0</v>
      </c>
      <c r="G26" s="307">
        <f>SUMIFS(Adjustments!$G:$G,Adjustments!$H:$H,"2F",Adjustments!$I:$I,'Schedule 2F Adjustments'!$F$12,Adjustments!$J:$J,'Schedule 2F Adjustments'!$A26)</f>
        <v>0</v>
      </c>
      <c r="H26" s="303">
        <f t="shared" si="0"/>
        <v>0</v>
      </c>
      <c r="I26" s="68">
        <f>IFERROR(F26*'As-Filed Schedule 1'!$E$103,0)</f>
        <v>0</v>
      </c>
      <c r="J26" s="304">
        <f>IFERROR(H26*'Adjusted Schedule 1'!$E$104,0)</f>
        <v>0</v>
      </c>
      <c r="K26" s="68">
        <f t="shared" si="1"/>
        <v>0</v>
      </c>
      <c r="L26" s="304">
        <f t="shared" si="2"/>
        <v>0</v>
      </c>
      <c r="N26" s="114">
        <f>'As-Filed Schedule 2F'!J26</f>
        <v>0</v>
      </c>
      <c r="O26" s="307">
        <f>SUMIFS(Adjustments!$G:$G,Adjustments!$H:$H,"2F",Adjustments!$I:$I,'Schedule 2F Adjustments'!$N$12,Adjustments!$J:$J,'Schedule 2F Adjustments'!$A26)</f>
        <v>0</v>
      </c>
      <c r="P26" s="303">
        <f t="shared" si="3"/>
        <v>0</v>
      </c>
      <c r="Q26" s="68">
        <f>IFERROR(N26*'As-Filed Schedule 1'!$E$103,0)</f>
        <v>0</v>
      </c>
      <c r="R26" s="68">
        <f>IFERROR(P26*'Adjusted Schedule 1'!$E$104,0)</f>
        <v>0</v>
      </c>
      <c r="S26" s="68">
        <f t="shared" si="4"/>
        <v>0</v>
      </c>
      <c r="T26" s="304">
        <f t="shared" si="5"/>
        <v>0</v>
      </c>
      <c r="V26" s="117">
        <f>'As-Filed Schedule 2F'!N26</f>
        <v>0</v>
      </c>
      <c r="W26" s="307">
        <f>SUMIFS(Adjustments!$G:$G,Adjustments!$H:$H,"2F",Adjustments!$I:$I,'Schedule 2F Adjustments'!$V$12,Adjustments!$J:$J,'Schedule 2F Adjustments'!$A26)</f>
        <v>0</v>
      </c>
      <c r="X26" s="303">
        <f t="shared" si="6"/>
        <v>0</v>
      </c>
      <c r="Y26" s="117">
        <f>'As-Filed Schedule 2F'!O26</f>
        <v>0</v>
      </c>
      <c r="Z26" s="307">
        <f>SUMIFS(Adjustments!$G:$G,Adjustments!$H:$H,"2F",Adjustments!$I:$I,'Schedule 2F Adjustments'!$Y$12,Adjustments!$J:$J,'Schedule 2F Adjustments'!$A26)</f>
        <v>0</v>
      </c>
      <c r="AA26" s="303">
        <f t="shared" si="7"/>
        <v>0</v>
      </c>
    </row>
    <row r="27" spans="1:27" x14ac:dyDescent="0.35">
      <c r="A27" s="24">
        <v>13</v>
      </c>
      <c r="B27" s="565" t="str">
        <f>IF('As-Filed Schedule 2F'!B27:D27=0,"",'As-Filed Schedule 2F'!B27:D27)</f>
        <v/>
      </c>
      <c r="C27" s="565"/>
      <c r="D27" s="565"/>
      <c r="F27" s="114">
        <f>'As-Filed Schedule 2F'!F27</f>
        <v>0</v>
      </c>
      <c r="G27" s="307">
        <f>SUMIFS(Adjustments!$G:$G,Adjustments!$H:$H,"2F",Adjustments!$I:$I,'Schedule 2F Adjustments'!$F$12,Adjustments!$J:$J,'Schedule 2F Adjustments'!$A27)</f>
        <v>0</v>
      </c>
      <c r="H27" s="303">
        <f t="shared" si="0"/>
        <v>0</v>
      </c>
      <c r="I27" s="68">
        <f>IFERROR(F27*'As-Filed Schedule 1'!$E$103,0)</f>
        <v>0</v>
      </c>
      <c r="J27" s="304">
        <f>IFERROR(H27*'Adjusted Schedule 1'!$E$104,0)</f>
        <v>0</v>
      </c>
      <c r="K27" s="68">
        <f t="shared" si="1"/>
        <v>0</v>
      </c>
      <c r="L27" s="304">
        <f t="shared" si="2"/>
        <v>0</v>
      </c>
      <c r="N27" s="114">
        <f>'As-Filed Schedule 2F'!J27</f>
        <v>0</v>
      </c>
      <c r="O27" s="307">
        <f>SUMIFS(Adjustments!$G:$G,Adjustments!$H:$H,"2F",Adjustments!$I:$I,'Schedule 2F Adjustments'!$N$12,Adjustments!$J:$J,'Schedule 2F Adjustments'!$A27)</f>
        <v>0</v>
      </c>
      <c r="P27" s="303">
        <f t="shared" si="3"/>
        <v>0</v>
      </c>
      <c r="Q27" s="68">
        <f>IFERROR(N27*'As-Filed Schedule 1'!$E$103,0)</f>
        <v>0</v>
      </c>
      <c r="R27" s="68">
        <f>IFERROR(P27*'Adjusted Schedule 1'!$E$104,0)</f>
        <v>0</v>
      </c>
      <c r="S27" s="68">
        <f t="shared" si="4"/>
        <v>0</v>
      </c>
      <c r="T27" s="304">
        <f t="shared" si="5"/>
        <v>0</v>
      </c>
      <c r="V27" s="117">
        <f>'As-Filed Schedule 2F'!N27</f>
        <v>0</v>
      </c>
      <c r="W27" s="307">
        <f>SUMIFS(Adjustments!$G:$G,Adjustments!$H:$H,"2F",Adjustments!$I:$I,'Schedule 2F Adjustments'!$V$12,Adjustments!$J:$J,'Schedule 2F Adjustments'!$A27)</f>
        <v>0</v>
      </c>
      <c r="X27" s="303">
        <f t="shared" si="6"/>
        <v>0</v>
      </c>
      <c r="Y27" s="117">
        <f>'As-Filed Schedule 2F'!O27</f>
        <v>0</v>
      </c>
      <c r="Z27" s="307">
        <f>SUMIFS(Adjustments!$G:$G,Adjustments!$H:$H,"2F",Adjustments!$I:$I,'Schedule 2F Adjustments'!$Y$12,Adjustments!$J:$J,'Schedule 2F Adjustments'!$A27)</f>
        <v>0</v>
      </c>
      <c r="AA27" s="303">
        <f t="shared" si="7"/>
        <v>0</v>
      </c>
    </row>
    <row r="28" spans="1:27" x14ac:dyDescent="0.35">
      <c r="A28" s="24">
        <v>14</v>
      </c>
      <c r="B28" s="565" t="str">
        <f>IF('As-Filed Schedule 2F'!B28:D28=0,"",'As-Filed Schedule 2F'!B28:D28)</f>
        <v/>
      </c>
      <c r="C28" s="565"/>
      <c r="D28" s="565"/>
      <c r="F28" s="114">
        <f>'As-Filed Schedule 2F'!F28</f>
        <v>0</v>
      </c>
      <c r="G28" s="307">
        <f>SUMIFS(Adjustments!$G:$G,Adjustments!$H:$H,"2F",Adjustments!$I:$I,'Schedule 2F Adjustments'!$F$12,Adjustments!$J:$J,'Schedule 2F Adjustments'!$A28)</f>
        <v>0</v>
      </c>
      <c r="H28" s="303">
        <f t="shared" si="0"/>
        <v>0</v>
      </c>
      <c r="I28" s="68">
        <f>IFERROR(F28*'As-Filed Schedule 1'!$E$103,0)</f>
        <v>0</v>
      </c>
      <c r="J28" s="304">
        <f>IFERROR(H28*'Adjusted Schedule 1'!$E$104,0)</f>
        <v>0</v>
      </c>
      <c r="K28" s="68">
        <f t="shared" si="1"/>
        <v>0</v>
      </c>
      <c r="L28" s="304">
        <f t="shared" si="2"/>
        <v>0</v>
      </c>
      <c r="N28" s="114">
        <f>'As-Filed Schedule 2F'!J28</f>
        <v>0</v>
      </c>
      <c r="O28" s="307">
        <f>SUMIFS(Adjustments!$G:$G,Adjustments!$H:$H,"2F",Adjustments!$I:$I,'Schedule 2F Adjustments'!$N$12,Adjustments!$J:$J,'Schedule 2F Adjustments'!$A28)</f>
        <v>0</v>
      </c>
      <c r="P28" s="303">
        <f t="shared" si="3"/>
        <v>0</v>
      </c>
      <c r="Q28" s="68">
        <f>IFERROR(N28*'As-Filed Schedule 1'!$E$103,0)</f>
        <v>0</v>
      </c>
      <c r="R28" s="68">
        <f>IFERROR(P28*'Adjusted Schedule 1'!$E$104,0)</f>
        <v>0</v>
      </c>
      <c r="S28" s="68">
        <f t="shared" si="4"/>
        <v>0</v>
      </c>
      <c r="T28" s="304">
        <f t="shared" si="5"/>
        <v>0</v>
      </c>
      <c r="V28" s="117">
        <f>'As-Filed Schedule 2F'!N28</f>
        <v>0</v>
      </c>
      <c r="W28" s="307">
        <f>SUMIFS(Adjustments!$G:$G,Adjustments!$H:$H,"2F",Adjustments!$I:$I,'Schedule 2F Adjustments'!$V$12,Adjustments!$J:$J,'Schedule 2F Adjustments'!$A28)</f>
        <v>0</v>
      </c>
      <c r="X28" s="303">
        <f t="shared" si="6"/>
        <v>0</v>
      </c>
      <c r="Y28" s="117">
        <f>'As-Filed Schedule 2F'!O28</f>
        <v>0</v>
      </c>
      <c r="Z28" s="307">
        <f>SUMIFS(Adjustments!$G:$G,Adjustments!$H:$H,"2F",Adjustments!$I:$I,'Schedule 2F Adjustments'!$Y$12,Adjustments!$J:$J,'Schedule 2F Adjustments'!$A28)</f>
        <v>0</v>
      </c>
      <c r="AA28" s="303">
        <f t="shared" si="7"/>
        <v>0</v>
      </c>
    </row>
    <row r="29" spans="1:27" x14ac:dyDescent="0.35">
      <c r="A29" s="24">
        <v>15</v>
      </c>
      <c r="B29" s="565" t="str">
        <f>IF('As-Filed Schedule 2F'!B29:D29=0,"",'As-Filed Schedule 2F'!B29:D29)</f>
        <v/>
      </c>
      <c r="C29" s="565"/>
      <c r="D29" s="565"/>
      <c r="F29" s="114">
        <f>'As-Filed Schedule 2F'!F29</f>
        <v>0</v>
      </c>
      <c r="G29" s="307">
        <f>SUMIFS(Adjustments!$G:$G,Adjustments!$H:$H,"2F",Adjustments!$I:$I,'Schedule 2F Adjustments'!$F$12,Adjustments!$J:$J,'Schedule 2F Adjustments'!$A29)</f>
        <v>0</v>
      </c>
      <c r="H29" s="303">
        <f t="shared" si="0"/>
        <v>0</v>
      </c>
      <c r="I29" s="68">
        <f>IFERROR(F29*'As-Filed Schedule 1'!$E$103,0)</f>
        <v>0</v>
      </c>
      <c r="J29" s="304">
        <f>IFERROR(H29*'Adjusted Schedule 1'!$E$104,0)</f>
        <v>0</v>
      </c>
      <c r="K29" s="68">
        <f t="shared" si="1"/>
        <v>0</v>
      </c>
      <c r="L29" s="304">
        <f t="shared" si="2"/>
        <v>0</v>
      </c>
      <c r="N29" s="114">
        <f>'As-Filed Schedule 2F'!J29</f>
        <v>0</v>
      </c>
      <c r="O29" s="307">
        <f>SUMIFS(Adjustments!$G:$G,Adjustments!$H:$H,"2F",Adjustments!$I:$I,'Schedule 2F Adjustments'!$N$12,Adjustments!$J:$J,'Schedule 2F Adjustments'!$A29)</f>
        <v>0</v>
      </c>
      <c r="P29" s="303">
        <f t="shared" si="3"/>
        <v>0</v>
      </c>
      <c r="Q29" s="68">
        <f>IFERROR(N29*'As-Filed Schedule 1'!$E$103,0)</f>
        <v>0</v>
      </c>
      <c r="R29" s="68">
        <f>IFERROR(P29*'Adjusted Schedule 1'!$E$104,0)</f>
        <v>0</v>
      </c>
      <c r="S29" s="68">
        <f t="shared" si="4"/>
        <v>0</v>
      </c>
      <c r="T29" s="304">
        <f t="shared" si="5"/>
        <v>0</v>
      </c>
      <c r="V29" s="117">
        <f>'As-Filed Schedule 2F'!N29</f>
        <v>0</v>
      </c>
      <c r="W29" s="307">
        <f>SUMIFS(Adjustments!$G:$G,Adjustments!$H:$H,"2F",Adjustments!$I:$I,'Schedule 2F Adjustments'!$V$12,Adjustments!$J:$J,'Schedule 2F Adjustments'!$A29)</f>
        <v>0</v>
      </c>
      <c r="X29" s="303">
        <f t="shared" si="6"/>
        <v>0</v>
      </c>
      <c r="Y29" s="117">
        <f>'As-Filed Schedule 2F'!O29</f>
        <v>0</v>
      </c>
      <c r="Z29" s="307">
        <f>SUMIFS(Adjustments!$G:$G,Adjustments!$H:$H,"2F",Adjustments!$I:$I,'Schedule 2F Adjustments'!$Y$12,Adjustments!$J:$J,'Schedule 2F Adjustments'!$A29)</f>
        <v>0</v>
      </c>
      <c r="AA29" s="303">
        <f t="shared" si="7"/>
        <v>0</v>
      </c>
    </row>
    <row r="30" spans="1:27" x14ac:dyDescent="0.35">
      <c r="A30" s="24">
        <v>16</v>
      </c>
      <c r="B30" s="565" t="str">
        <f>IF('As-Filed Schedule 2F'!B30:D30=0,"",'As-Filed Schedule 2F'!B30:D30)</f>
        <v/>
      </c>
      <c r="C30" s="565"/>
      <c r="D30" s="565"/>
      <c r="F30" s="114">
        <f>'As-Filed Schedule 2F'!F30</f>
        <v>0</v>
      </c>
      <c r="G30" s="307">
        <f>SUMIFS(Adjustments!$G:$G,Adjustments!$H:$H,"2F",Adjustments!$I:$I,'Schedule 2F Adjustments'!$F$12,Adjustments!$J:$J,'Schedule 2F Adjustments'!$A30)</f>
        <v>0</v>
      </c>
      <c r="H30" s="303">
        <f t="shared" si="0"/>
        <v>0</v>
      </c>
      <c r="I30" s="68">
        <f>IFERROR(F30*'As-Filed Schedule 1'!$E$103,0)</f>
        <v>0</v>
      </c>
      <c r="J30" s="304">
        <f>IFERROR(H30*'Adjusted Schedule 1'!$E$104,0)</f>
        <v>0</v>
      </c>
      <c r="K30" s="68">
        <f t="shared" si="1"/>
        <v>0</v>
      </c>
      <c r="L30" s="304">
        <f t="shared" si="2"/>
        <v>0</v>
      </c>
      <c r="N30" s="114">
        <f>'As-Filed Schedule 2F'!J30</f>
        <v>0</v>
      </c>
      <c r="O30" s="307">
        <f>SUMIFS(Adjustments!$G:$G,Adjustments!$H:$H,"2F",Adjustments!$I:$I,'Schedule 2F Adjustments'!$N$12,Adjustments!$J:$J,'Schedule 2F Adjustments'!$A30)</f>
        <v>0</v>
      </c>
      <c r="P30" s="303">
        <f t="shared" si="3"/>
        <v>0</v>
      </c>
      <c r="Q30" s="68">
        <f>IFERROR(N30*'As-Filed Schedule 1'!$E$103,0)</f>
        <v>0</v>
      </c>
      <c r="R30" s="68">
        <f>IFERROR(P30*'Adjusted Schedule 1'!$E$104,0)</f>
        <v>0</v>
      </c>
      <c r="S30" s="68">
        <f t="shared" si="4"/>
        <v>0</v>
      </c>
      <c r="T30" s="304">
        <f t="shared" si="5"/>
        <v>0</v>
      </c>
      <c r="V30" s="117">
        <f>'As-Filed Schedule 2F'!N30</f>
        <v>0</v>
      </c>
      <c r="W30" s="307">
        <f>SUMIFS(Adjustments!$G:$G,Adjustments!$H:$H,"2F",Adjustments!$I:$I,'Schedule 2F Adjustments'!$V$12,Adjustments!$J:$J,'Schedule 2F Adjustments'!$A30)</f>
        <v>0</v>
      </c>
      <c r="X30" s="303">
        <f t="shared" si="6"/>
        <v>0</v>
      </c>
      <c r="Y30" s="117">
        <f>'As-Filed Schedule 2F'!O30</f>
        <v>0</v>
      </c>
      <c r="Z30" s="307">
        <f>SUMIFS(Adjustments!$G:$G,Adjustments!$H:$H,"2F",Adjustments!$I:$I,'Schedule 2F Adjustments'!$Y$12,Adjustments!$J:$J,'Schedule 2F Adjustments'!$A30)</f>
        <v>0</v>
      </c>
      <c r="AA30" s="303">
        <f t="shared" si="7"/>
        <v>0</v>
      </c>
    </row>
    <row r="31" spans="1:27" x14ac:dyDescent="0.35">
      <c r="A31" s="24">
        <v>17</v>
      </c>
      <c r="B31" s="565" t="str">
        <f>IF('As-Filed Schedule 2F'!B31:D31=0,"",'As-Filed Schedule 2F'!B31:D31)</f>
        <v/>
      </c>
      <c r="C31" s="565"/>
      <c r="D31" s="565"/>
      <c r="F31" s="114">
        <f>'As-Filed Schedule 2F'!F31</f>
        <v>0</v>
      </c>
      <c r="G31" s="307">
        <f>SUMIFS(Adjustments!$G:$G,Adjustments!$H:$H,"2F",Adjustments!$I:$I,'Schedule 2F Adjustments'!$F$12,Adjustments!$J:$J,'Schedule 2F Adjustments'!$A31)</f>
        <v>0</v>
      </c>
      <c r="H31" s="303">
        <f t="shared" si="0"/>
        <v>0</v>
      </c>
      <c r="I31" s="68">
        <f>IFERROR(F31*'As-Filed Schedule 1'!$E$103,0)</f>
        <v>0</v>
      </c>
      <c r="J31" s="304">
        <f>IFERROR(H31*'Adjusted Schedule 1'!$E$104,0)</f>
        <v>0</v>
      </c>
      <c r="K31" s="68">
        <f t="shared" si="1"/>
        <v>0</v>
      </c>
      <c r="L31" s="304">
        <f t="shared" si="2"/>
        <v>0</v>
      </c>
      <c r="N31" s="114">
        <f>'As-Filed Schedule 2F'!J31</f>
        <v>0</v>
      </c>
      <c r="O31" s="307">
        <f>SUMIFS(Adjustments!$G:$G,Adjustments!$H:$H,"2F",Adjustments!$I:$I,'Schedule 2F Adjustments'!$N$12,Adjustments!$J:$J,'Schedule 2F Adjustments'!$A31)</f>
        <v>0</v>
      </c>
      <c r="P31" s="303">
        <f t="shared" si="3"/>
        <v>0</v>
      </c>
      <c r="Q31" s="68">
        <f>IFERROR(N31*'As-Filed Schedule 1'!$E$103,0)</f>
        <v>0</v>
      </c>
      <c r="R31" s="68">
        <f>IFERROR(P31*'Adjusted Schedule 1'!$E$104,0)</f>
        <v>0</v>
      </c>
      <c r="S31" s="68">
        <f t="shared" si="4"/>
        <v>0</v>
      </c>
      <c r="T31" s="304">
        <f t="shared" si="5"/>
        <v>0</v>
      </c>
      <c r="V31" s="117">
        <f>'As-Filed Schedule 2F'!N31</f>
        <v>0</v>
      </c>
      <c r="W31" s="307">
        <f>SUMIFS(Adjustments!$G:$G,Adjustments!$H:$H,"2F",Adjustments!$I:$I,'Schedule 2F Adjustments'!$V$12,Adjustments!$J:$J,'Schedule 2F Adjustments'!$A31)</f>
        <v>0</v>
      </c>
      <c r="X31" s="303">
        <f t="shared" si="6"/>
        <v>0</v>
      </c>
      <c r="Y31" s="117">
        <f>'As-Filed Schedule 2F'!O31</f>
        <v>0</v>
      </c>
      <c r="Z31" s="307">
        <f>SUMIFS(Adjustments!$G:$G,Adjustments!$H:$H,"2F",Adjustments!$I:$I,'Schedule 2F Adjustments'!$Y$12,Adjustments!$J:$J,'Schedule 2F Adjustments'!$A31)</f>
        <v>0</v>
      </c>
      <c r="AA31" s="303">
        <f t="shared" si="7"/>
        <v>0</v>
      </c>
    </row>
    <row r="32" spans="1:27" x14ac:dyDescent="0.35">
      <c r="A32" s="24">
        <v>18</v>
      </c>
      <c r="B32" s="565" t="str">
        <f>IF('As-Filed Schedule 2F'!B32:D32=0,"",'As-Filed Schedule 2F'!B32:D32)</f>
        <v/>
      </c>
      <c r="C32" s="565"/>
      <c r="D32" s="565"/>
      <c r="F32" s="114">
        <f>'As-Filed Schedule 2F'!F32</f>
        <v>0</v>
      </c>
      <c r="G32" s="307">
        <f>SUMIFS(Adjustments!$G:$G,Adjustments!$H:$H,"2F",Adjustments!$I:$I,'Schedule 2F Adjustments'!$F$12,Adjustments!$J:$J,'Schedule 2F Adjustments'!$A32)</f>
        <v>0</v>
      </c>
      <c r="H32" s="303">
        <f t="shared" si="0"/>
        <v>0</v>
      </c>
      <c r="I32" s="68">
        <f>IFERROR(F32*'As-Filed Schedule 1'!$E$103,0)</f>
        <v>0</v>
      </c>
      <c r="J32" s="304">
        <f>IFERROR(H32*'Adjusted Schedule 1'!$E$104,0)</f>
        <v>0</v>
      </c>
      <c r="K32" s="68">
        <f t="shared" si="1"/>
        <v>0</v>
      </c>
      <c r="L32" s="304">
        <f t="shared" si="2"/>
        <v>0</v>
      </c>
      <c r="N32" s="114">
        <f>'As-Filed Schedule 2F'!J32</f>
        <v>0</v>
      </c>
      <c r="O32" s="307">
        <f>SUMIFS(Adjustments!$G:$G,Adjustments!$H:$H,"2F",Adjustments!$I:$I,'Schedule 2F Adjustments'!$N$12,Adjustments!$J:$J,'Schedule 2F Adjustments'!$A32)</f>
        <v>0</v>
      </c>
      <c r="P32" s="303">
        <f t="shared" si="3"/>
        <v>0</v>
      </c>
      <c r="Q32" s="68">
        <f>IFERROR(N32*'As-Filed Schedule 1'!$E$103,0)</f>
        <v>0</v>
      </c>
      <c r="R32" s="68">
        <f>IFERROR(P32*'Adjusted Schedule 1'!$E$104,0)</f>
        <v>0</v>
      </c>
      <c r="S32" s="68">
        <f t="shared" si="4"/>
        <v>0</v>
      </c>
      <c r="T32" s="304">
        <f t="shared" si="5"/>
        <v>0</v>
      </c>
      <c r="V32" s="117">
        <f>'As-Filed Schedule 2F'!N32</f>
        <v>0</v>
      </c>
      <c r="W32" s="307">
        <f>SUMIFS(Adjustments!$G:$G,Adjustments!$H:$H,"2F",Adjustments!$I:$I,'Schedule 2F Adjustments'!$V$12,Adjustments!$J:$J,'Schedule 2F Adjustments'!$A32)</f>
        <v>0</v>
      </c>
      <c r="X32" s="303">
        <f t="shared" si="6"/>
        <v>0</v>
      </c>
      <c r="Y32" s="117">
        <f>'As-Filed Schedule 2F'!O32</f>
        <v>0</v>
      </c>
      <c r="Z32" s="307">
        <f>SUMIFS(Adjustments!$G:$G,Adjustments!$H:$H,"2F",Adjustments!$I:$I,'Schedule 2F Adjustments'!$Y$12,Adjustments!$J:$J,'Schedule 2F Adjustments'!$A32)</f>
        <v>0</v>
      </c>
      <c r="AA32" s="303">
        <f t="shared" si="7"/>
        <v>0</v>
      </c>
    </row>
    <row r="33" spans="1:27" x14ac:dyDescent="0.35">
      <c r="A33" s="24">
        <v>19</v>
      </c>
      <c r="B33" s="565" t="str">
        <f>IF('As-Filed Schedule 2F'!B33:D33=0,"",'As-Filed Schedule 2F'!B33:D33)</f>
        <v/>
      </c>
      <c r="C33" s="565"/>
      <c r="D33" s="565"/>
      <c r="F33" s="114">
        <f>'As-Filed Schedule 2F'!F33</f>
        <v>0</v>
      </c>
      <c r="G33" s="307">
        <f>SUMIFS(Adjustments!$G:$G,Adjustments!$H:$H,"2F",Adjustments!$I:$I,'Schedule 2F Adjustments'!$F$12,Adjustments!$J:$J,'Schedule 2F Adjustments'!$A33)</f>
        <v>0</v>
      </c>
      <c r="H33" s="303">
        <f t="shared" si="0"/>
        <v>0</v>
      </c>
      <c r="I33" s="68">
        <f>IFERROR(F33*'As-Filed Schedule 1'!$E$103,0)</f>
        <v>0</v>
      </c>
      <c r="J33" s="304">
        <f>IFERROR(H33*'Adjusted Schedule 1'!$E$104,0)</f>
        <v>0</v>
      </c>
      <c r="K33" s="68">
        <f t="shared" si="1"/>
        <v>0</v>
      </c>
      <c r="L33" s="304">
        <f t="shared" si="2"/>
        <v>0</v>
      </c>
      <c r="N33" s="114">
        <f>'As-Filed Schedule 2F'!J33</f>
        <v>0</v>
      </c>
      <c r="O33" s="307">
        <f>SUMIFS(Adjustments!$G:$G,Adjustments!$H:$H,"2F",Adjustments!$I:$I,'Schedule 2F Adjustments'!$N$12,Adjustments!$J:$J,'Schedule 2F Adjustments'!$A33)</f>
        <v>0</v>
      </c>
      <c r="P33" s="303">
        <f t="shared" si="3"/>
        <v>0</v>
      </c>
      <c r="Q33" s="68">
        <f>IFERROR(N33*'As-Filed Schedule 1'!$E$103,0)</f>
        <v>0</v>
      </c>
      <c r="R33" s="68">
        <f>IFERROR(P33*'Adjusted Schedule 1'!$E$104,0)</f>
        <v>0</v>
      </c>
      <c r="S33" s="68">
        <f t="shared" si="4"/>
        <v>0</v>
      </c>
      <c r="T33" s="304">
        <f t="shared" si="5"/>
        <v>0</v>
      </c>
      <c r="V33" s="117">
        <f>'As-Filed Schedule 2F'!N33</f>
        <v>0</v>
      </c>
      <c r="W33" s="307">
        <f>SUMIFS(Adjustments!$G:$G,Adjustments!$H:$H,"2F",Adjustments!$I:$I,'Schedule 2F Adjustments'!$V$12,Adjustments!$J:$J,'Schedule 2F Adjustments'!$A33)</f>
        <v>0</v>
      </c>
      <c r="X33" s="303">
        <f t="shared" si="6"/>
        <v>0</v>
      </c>
      <c r="Y33" s="117">
        <f>'As-Filed Schedule 2F'!O33</f>
        <v>0</v>
      </c>
      <c r="Z33" s="307">
        <f>SUMIFS(Adjustments!$G:$G,Adjustments!$H:$H,"2F",Adjustments!$I:$I,'Schedule 2F Adjustments'!$Y$12,Adjustments!$J:$J,'Schedule 2F Adjustments'!$A33)</f>
        <v>0</v>
      </c>
      <c r="AA33" s="303">
        <f t="shared" si="7"/>
        <v>0</v>
      </c>
    </row>
    <row r="34" spans="1:27" x14ac:dyDescent="0.35">
      <c r="A34" s="24">
        <v>20</v>
      </c>
      <c r="B34" s="565" t="str">
        <f>IF('As-Filed Schedule 2F'!B34:D34=0,"",'As-Filed Schedule 2F'!B34:D34)</f>
        <v/>
      </c>
      <c r="C34" s="565"/>
      <c r="D34" s="565"/>
      <c r="F34" s="114">
        <f>'As-Filed Schedule 2F'!F34</f>
        <v>0</v>
      </c>
      <c r="G34" s="307">
        <f>SUMIFS(Adjustments!$G:$G,Adjustments!$H:$H,"2F",Adjustments!$I:$I,'Schedule 2F Adjustments'!$F$12,Adjustments!$J:$J,'Schedule 2F Adjustments'!$A34)</f>
        <v>0</v>
      </c>
      <c r="H34" s="303">
        <f t="shared" si="0"/>
        <v>0</v>
      </c>
      <c r="I34" s="68">
        <f>IFERROR(F34*'As-Filed Schedule 1'!$E$103,0)</f>
        <v>0</v>
      </c>
      <c r="J34" s="304">
        <f>IFERROR(H34*'Adjusted Schedule 1'!$E$104,0)</f>
        <v>0</v>
      </c>
      <c r="K34" s="68">
        <f t="shared" si="1"/>
        <v>0</v>
      </c>
      <c r="L34" s="304">
        <f t="shared" si="2"/>
        <v>0</v>
      </c>
      <c r="N34" s="114">
        <f>'As-Filed Schedule 2F'!J34</f>
        <v>0</v>
      </c>
      <c r="O34" s="307">
        <f>SUMIFS(Adjustments!$G:$G,Adjustments!$H:$H,"2F",Adjustments!$I:$I,'Schedule 2F Adjustments'!$N$12,Adjustments!$J:$J,'Schedule 2F Adjustments'!$A34)</f>
        <v>0</v>
      </c>
      <c r="P34" s="303">
        <f t="shared" si="3"/>
        <v>0</v>
      </c>
      <c r="Q34" s="68">
        <f>IFERROR(N34*'As-Filed Schedule 1'!$E$103,0)</f>
        <v>0</v>
      </c>
      <c r="R34" s="68">
        <f>IFERROR(P34*'Adjusted Schedule 1'!$E$104,0)</f>
        <v>0</v>
      </c>
      <c r="S34" s="68">
        <f t="shared" si="4"/>
        <v>0</v>
      </c>
      <c r="T34" s="304">
        <f t="shared" si="5"/>
        <v>0</v>
      </c>
      <c r="V34" s="117">
        <f>'As-Filed Schedule 2F'!N34</f>
        <v>0</v>
      </c>
      <c r="W34" s="307">
        <f>SUMIFS(Adjustments!$G:$G,Adjustments!$H:$H,"2F",Adjustments!$I:$I,'Schedule 2F Adjustments'!$V$12,Adjustments!$J:$J,'Schedule 2F Adjustments'!$A34)</f>
        <v>0</v>
      </c>
      <c r="X34" s="303">
        <f t="shared" si="6"/>
        <v>0</v>
      </c>
      <c r="Y34" s="117">
        <f>'As-Filed Schedule 2F'!O34</f>
        <v>0</v>
      </c>
      <c r="Z34" s="307">
        <f>SUMIFS(Adjustments!$G:$G,Adjustments!$H:$H,"2F",Adjustments!$I:$I,'Schedule 2F Adjustments'!$Y$12,Adjustments!$J:$J,'Schedule 2F Adjustments'!$A34)</f>
        <v>0</v>
      </c>
      <c r="AA34" s="303">
        <f t="shared" si="7"/>
        <v>0</v>
      </c>
    </row>
    <row r="35" spans="1:27" x14ac:dyDescent="0.35">
      <c r="A35" s="24">
        <v>21</v>
      </c>
      <c r="B35" s="565" t="str">
        <f>IF('As-Filed Schedule 2F'!B35:D35=0,"",'As-Filed Schedule 2F'!B35:D35)</f>
        <v/>
      </c>
      <c r="C35" s="565"/>
      <c r="D35" s="565"/>
      <c r="F35" s="114">
        <f>'As-Filed Schedule 2F'!F35</f>
        <v>0</v>
      </c>
      <c r="G35" s="307">
        <f>SUMIFS(Adjustments!$G:$G,Adjustments!$H:$H,"2F",Adjustments!$I:$I,'Schedule 2F Adjustments'!$F$12,Adjustments!$J:$J,'Schedule 2F Adjustments'!$A35)</f>
        <v>0</v>
      </c>
      <c r="H35" s="303">
        <f t="shared" si="0"/>
        <v>0</v>
      </c>
      <c r="I35" s="68">
        <f>IFERROR(F35*'As-Filed Schedule 1'!$E$103,0)</f>
        <v>0</v>
      </c>
      <c r="J35" s="304">
        <f>IFERROR(H35*'Adjusted Schedule 1'!$E$104,0)</f>
        <v>0</v>
      </c>
      <c r="K35" s="68">
        <f t="shared" si="1"/>
        <v>0</v>
      </c>
      <c r="L35" s="304">
        <f t="shared" si="2"/>
        <v>0</v>
      </c>
      <c r="N35" s="114">
        <f>'As-Filed Schedule 2F'!J35</f>
        <v>0</v>
      </c>
      <c r="O35" s="307">
        <f>SUMIFS(Adjustments!$G:$G,Adjustments!$H:$H,"2F",Adjustments!$I:$I,'Schedule 2F Adjustments'!$N$12,Adjustments!$J:$J,'Schedule 2F Adjustments'!$A35)</f>
        <v>0</v>
      </c>
      <c r="P35" s="303">
        <f t="shared" si="3"/>
        <v>0</v>
      </c>
      <c r="Q35" s="68">
        <f>IFERROR(N35*'As-Filed Schedule 1'!$E$103,0)</f>
        <v>0</v>
      </c>
      <c r="R35" s="68">
        <f>IFERROR(P35*'Adjusted Schedule 1'!$E$104,0)</f>
        <v>0</v>
      </c>
      <c r="S35" s="68">
        <f t="shared" si="4"/>
        <v>0</v>
      </c>
      <c r="T35" s="304">
        <f t="shared" si="5"/>
        <v>0</v>
      </c>
      <c r="V35" s="117">
        <f>'As-Filed Schedule 2F'!N35</f>
        <v>0</v>
      </c>
      <c r="W35" s="307">
        <f>SUMIFS(Adjustments!$G:$G,Adjustments!$H:$H,"2F",Adjustments!$I:$I,'Schedule 2F Adjustments'!$V$12,Adjustments!$J:$J,'Schedule 2F Adjustments'!$A35)</f>
        <v>0</v>
      </c>
      <c r="X35" s="303">
        <f t="shared" si="6"/>
        <v>0</v>
      </c>
      <c r="Y35" s="117">
        <f>'As-Filed Schedule 2F'!O35</f>
        <v>0</v>
      </c>
      <c r="Z35" s="307">
        <f>SUMIFS(Adjustments!$G:$G,Adjustments!$H:$H,"2F",Adjustments!$I:$I,'Schedule 2F Adjustments'!$Y$12,Adjustments!$J:$J,'Schedule 2F Adjustments'!$A35)</f>
        <v>0</v>
      </c>
      <c r="AA35" s="303">
        <f t="shared" si="7"/>
        <v>0</v>
      </c>
    </row>
    <row r="36" spans="1:27" x14ac:dyDescent="0.35">
      <c r="A36" s="24">
        <v>22</v>
      </c>
      <c r="B36" s="565" t="str">
        <f>IF('As-Filed Schedule 2F'!B36:D36=0,"",'As-Filed Schedule 2F'!B36:D36)</f>
        <v/>
      </c>
      <c r="C36" s="565"/>
      <c r="D36" s="565"/>
      <c r="F36" s="114">
        <f>'As-Filed Schedule 2F'!F36</f>
        <v>0</v>
      </c>
      <c r="G36" s="307">
        <f>SUMIFS(Adjustments!$G:$G,Adjustments!$H:$H,"2F",Adjustments!$I:$I,'Schedule 2F Adjustments'!$F$12,Adjustments!$J:$J,'Schedule 2F Adjustments'!$A36)</f>
        <v>0</v>
      </c>
      <c r="H36" s="303">
        <f t="shared" si="0"/>
        <v>0</v>
      </c>
      <c r="I36" s="68">
        <f>IFERROR(F36*'As-Filed Schedule 1'!$E$103,0)</f>
        <v>0</v>
      </c>
      <c r="J36" s="304">
        <f>IFERROR(H36*'Adjusted Schedule 1'!$E$104,0)</f>
        <v>0</v>
      </c>
      <c r="K36" s="68">
        <f t="shared" si="1"/>
        <v>0</v>
      </c>
      <c r="L36" s="304">
        <f t="shared" si="2"/>
        <v>0</v>
      </c>
      <c r="N36" s="114">
        <f>'As-Filed Schedule 2F'!J36</f>
        <v>0</v>
      </c>
      <c r="O36" s="307">
        <f>SUMIFS(Adjustments!$G:$G,Adjustments!$H:$H,"2F",Adjustments!$I:$I,'Schedule 2F Adjustments'!$N$12,Adjustments!$J:$J,'Schedule 2F Adjustments'!$A36)</f>
        <v>0</v>
      </c>
      <c r="P36" s="303">
        <f t="shared" si="3"/>
        <v>0</v>
      </c>
      <c r="Q36" s="68">
        <f>IFERROR(N36*'As-Filed Schedule 1'!$E$103,0)</f>
        <v>0</v>
      </c>
      <c r="R36" s="68">
        <f>IFERROR(P36*'Adjusted Schedule 1'!$E$104,0)</f>
        <v>0</v>
      </c>
      <c r="S36" s="68">
        <f t="shared" si="4"/>
        <v>0</v>
      </c>
      <c r="T36" s="304">
        <f t="shared" si="5"/>
        <v>0</v>
      </c>
      <c r="V36" s="117">
        <f>'As-Filed Schedule 2F'!N36</f>
        <v>0</v>
      </c>
      <c r="W36" s="307">
        <f>SUMIFS(Adjustments!$G:$G,Adjustments!$H:$H,"2F",Adjustments!$I:$I,'Schedule 2F Adjustments'!$V$12,Adjustments!$J:$J,'Schedule 2F Adjustments'!$A36)</f>
        <v>0</v>
      </c>
      <c r="X36" s="303">
        <f t="shared" si="6"/>
        <v>0</v>
      </c>
      <c r="Y36" s="117">
        <f>'As-Filed Schedule 2F'!O36</f>
        <v>0</v>
      </c>
      <c r="Z36" s="307">
        <f>SUMIFS(Adjustments!$G:$G,Adjustments!$H:$H,"2F",Adjustments!$I:$I,'Schedule 2F Adjustments'!$Y$12,Adjustments!$J:$J,'Schedule 2F Adjustments'!$A36)</f>
        <v>0</v>
      </c>
      <c r="AA36" s="303">
        <f t="shared" si="7"/>
        <v>0</v>
      </c>
    </row>
    <row r="37" spans="1:27" x14ac:dyDescent="0.35">
      <c r="A37" s="24">
        <v>23</v>
      </c>
      <c r="B37" s="565" t="str">
        <f>IF('As-Filed Schedule 2F'!B37:D37=0,"",'As-Filed Schedule 2F'!B37:D37)</f>
        <v/>
      </c>
      <c r="C37" s="565"/>
      <c r="D37" s="565"/>
      <c r="F37" s="114">
        <f>'As-Filed Schedule 2F'!F37</f>
        <v>0</v>
      </c>
      <c r="G37" s="307">
        <f>SUMIFS(Adjustments!$G:$G,Adjustments!$H:$H,"2F",Adjustments!$I:$I,'Schedule 2F Adjustments'!$F$12,Adjustments!$J:$J,'Schedule 2F Adjustments'!$A37)</f>
        <v>0</v>
      </c>
      <c r="H37" s="303">
        <f t="shared" si="0"/>
        <v>0</v>
      </c>
      <c r="I37" s="68">
        <f>IFERROR(F37*'As-Filed Schedule 1'!$E$103,0)</f>
        <v>0</v>
      </c>
      <c r="J37" s="304">
        <f>IFERROR(H37*'Adjusted Schedule 1'!$E$104,0)</f>
        <v>0</v>
      </c>
      <c r="K37" s="68">
        <f t="shared" si="1"/>
        <v>0</v>
      </c>
      <c r="L37" s="304">
        <f t="shared" si="2"/>
        <v>0</v>
      </c>
      <c r="N37" s="114">
        <f>'As-Filed Schedule 2F'!J37</f>
        <v>0</v>
      </c>
      <c r="O37" s="307">
        <f>SUMIFS(Adjustments!$G:$G,Adjustments!$H:$H,"2F",Adjustments!$I:$I,'Schedule 2F Adjustments'!$N$12,Adjustments!$J:$J,'Schedule 2F Adjustments'!$A37)</f>
        <v>0</v>
      </c>
      <c r="P37" s="303">
        <f t="shared" si="3"/>
        <v>0</v>
      </c>
      <c r="Q37" s="68">
        <f>IFERROR(N37*'As-Filed Schedule 1'!$E$103,0)</f>
        <v>0</v>
      </c>
      <c r="R37" s="68">
        <f>IFERROR(P37*'Adjusted Schedule 1'!$E$104,0)</f>
        <v>0</v>
      </c>
      <c r="S37" s="68">
        <f t="shared" si="4"/>
        <v>0</v>
      </c>
      <c r="T37" s="304">
        <f t="shared" si="5"/>
        <v>0</v>
      </c>
      <c r="V37" s="117">
        <f>'As-Filed Schedule 2F'!N37</f>
        <v>0</v>
      </c>
      <c r="W37" s="307">
        <f>SUMIFS(Adjustments!$G:$G,Adjustments!$H:$H,"2F",Adjustments!$I:$I,'Schedule 2F Adjustments'!$V$12,Adjustments!$J:$J,'Schedule 2F Adjustments'!$A37)</f>
        <v>0</v>
      </c>
      <c r="X37" s="303">
        <f t="shared" si="6"/>
        <v>0</v>
      </c>
      <c r="Y37" s="117">
        <f>'As-Filed Schedule 2F'!O37</f>
        <v>0</v>
      </c>
      <c r="Z37" s="307">
        <f>SUMIFS(Adjustments!$G:$G,Adjustments!$H:$H,"2F",Adjustments!$I:$I,'Schedule 2F Adjustments'!$Y$12,Adjustments!$J:$J,'Schedule 2F Adjustments'!$A37)</f>
        <v>0</v>
      </c>
      <c r="AA37" s="303">
        <f t="shared" si="7"/>
        <v>0</v>
      </c>
    </row>
    <row r="38" spans="1:27" x14ac:dyDescent="0.35">
      <c r="A38" s="24">
        <v>24</v>
      </c>
      <c r="B38" s="565" t="str">
        <f>IF('As-Filed Schedule 2F'!B38:D38=0,"",'As-Filed Schedule 2F'!B38:D38)</f>
        <v/>
      </c>
      <c r="C38" s="565"/>
      <c r="D38" s="565"/>
      <c r="F38" s="114">
        <f>'As-Filed Schedule 2F'!F38</f>
        <v>0</v>
      </c>
      <c r="G38" s="307">
        <f>SUMIFS(Adjustments!$G:$G,Adjustments!$H:$H,"2F",Adjustments!$I:$I,'Schedule 2F Adjustments'!$F$12,Adjustments!$J:$J,'Schedule 2F Adjustments'!$A38)</f>
        <v>0</v>
      </c>
      <c r="H38" s="303">
        <f t="shared" si="0"/>
        <v>0</v>
      </c>
      <c r="I38" s="68">
        <f>IFERROR(F38*'As-Filed Schedule 1'!$E$103,0)</f>
        <v>0</v>
      </c>
      <c r="J38" s="304">
        <f>IFERROR(H38*'Adjusted Schedule 1'!$E$104,0)</f>
        <v>0</v>
      </c>
      <c r="K38" s="68">
        <f t="shared" si="1"/>
        <v>0</v>
      </c>
      <c r="L38" s="304">
        <f t="shared" si="2"/>
        <v>0</v>
      </c>
      <c r="N38" s="114">
        <f>'As-Filed Schedule 2F'!J38</f>
        <v>0</v>
      </c>
      <c r="O38" s="307">
        <f>SUMIFS(Adjustments!$G:$G,Adjustments!$H:$H,"2F",Adjustments!$I:$I,'Schedule 2F Adjustments'!$N$12,Adjustments!$J:$J,'Schedule 2F Adjustments'!$A38)</f>
        <v>0</v>
      </c>
      <c r="P38" s="303">
        <f t="shared" si="3"/>
        <v>0</v>
      </c>
      <c r="Q38" s="68">
        <f>IFERROR(N38*'As-Filed Schedule 1'!$E$103,0)</f>
        <v>0</v>
      </c>
      <c r="R38" s="68">
        <f>IFERROR(P38*'Adjusted Schedule 1'!$E$104,0)</f>
        <v>0</v>
      </c>
      <c r="S38" s="68">
        <f t="shared" si="4"/>
        <v>0</v>
      </c>
      <c r="T38" s="304">
        <f t="shared" si="5"/>
        <v>0</v>
      </c>
      <c r="V38" s="117">
        <f>'As-Filed Schedule 2F'!N38</f>
        <v>0</v>
      </c>
      <c r="W38" s="307">
        <f>SUMIFS(Adjustments!$G:$G,Adjustments!$H:$H,"2F",Adjustments!$I:$I,'Schedule 2F Adjustments'!$V$12,Adjustments!$J:$J,'Schedule 2F Adjustments'!$A38)</f>
        <v>0</v>
      </c>
      <c r="X38" s="303">
        <f t="shared" si="6"/>
        <v>0</v>
      </c>
      <c r="Y38" s="117">
        <f>'As-Filed Schedule 2F'!O38</f>
        <v>0</v>
      </c>
      <c r="Z38" s="307">
        <f>SUMIFS(Adjustments!$G:$G,Adjustments!$H:$H,"2F",Adjustments!$I:$I,'Schedule 2F Adjustments'!$Y$12,Adjustments!$J:$J,'Schedule 2F Adjustments'!$A38)</f>
        <v>0</v>
      </c>
      <c r="AA38" s="303">
        <f t="shared" si="7"/>
        <v>0</v>
      </c>
    </row>
    <row r="39" spans="1:27" x14ac:dyDescent="0.35">
      <c r="A39" s="24">
        <v>25</v>
      </c>
      <c r="B39" s="565" t="str">
        <f>IF('As-Filed Schedule 2F'!B39:D39=0,"",'As-Filed Schedule 2F'!B39:D39)</f>
        <v/>
      </c>
      <c r="C39" s="565"/>
      <c r="D39" s="565"/>
      <c r="F39" s="114">
        <f>'As-Filed Schedule 2F'!F39</f>
        <v>0</v>
      </c>
      <c r="G39" s="307">
        <f>SUMIFS(Adjustments!$G:$G,Adjustments!$H:$H,"2F",Adjustments!$I:$I,'Schedule 2F Adjustments'!$F$12,Adjustments!$J:$J,'Schedule 2F Adjustments'!$A39)</f>
        <v>0</v>
      </c>
      <c r="H39" s="303">
        <f t="shared" si="0"/>
        <v>0</v>
      </c>
      <c r="I39" s="68">
        <f>IFERROR(F39*'As-Filed Schedule 1'!$E$103,0)</f>
        <v>0</v>
      </c>
      <c r="J39" s="304">
        <f>IFERROR(H39*'Adjusted Schedule 1'!$E$104,0)</f>
        <v>0</v>
      </c>
      <c r="K39" s="68">
        <f t="shared" si="1"/>
        <v>0</v>
      </c>
      <c r="L39" s="304">
        <f t="shared" si="2"/>
        <v>0</v>
      </c>
      <c r="N39" s="114">
        <f>'As-Filed Schedule 2F'!J39</f>
        <v>0</v>
      </c>
      <c r="O39" s="307">
        <f>SUMIFS(Adjustments!$G:$G,Adjustments!$H:$H,"2F",Adjustments!$I:$I,'Schedule 2F Adjustments'!$N$12,Adjustments!$J:$J,'Schedule 2F Adjustments'!$A39)</f>
        <v>0</v>
      </c>
      <c r="P39" s="303">
        <f t="shared" si="3"/>
        <v>0</v>
      </c>
      <c r="Q39" s="68">
        <f>IFERROR(N39*'As-Filed Schedule 1'!$E$103,0)</f>
        <v>0</v>
      </c>
      <c r="R39" s="68">
        <f>IFERROR(P39*'Adjusted Schedule 1'!$E$104,0)</f>
        <v>0</v>
      </c>
      <c r="S39" s="68">
        <f t="shared" si="4"/>
        <v>0</v>
      </c>
      <c r="T39" s="304">
        <f t="shared" si="5"/>
        <v>0</v>
      </c>
      <c r="V39" s="117">
        <f>'As-Filed Schedule 2F'!N39</f>
        <v>0</v>
      </c>
      <c r="W39" s="307">
        <f>SUMIFS(Adjustments!$G:$G,Adjustments!$H:$H,"2F",Adjustments!$I:$I,'Schedule 2F Adjustments'!$V$12,Adjustments!$J:$J,'Schedule 2F Adjustments'!$A39)</f>
        <v>0</v>
      </c>
      <c r="X39" s="303">
        <f t="shared" si="6"/>
        <v>0</v>
      </c>
      <c r="Y39" s="117">
        <f>'As-Filed Schedule 2F'!O39</f>
        <v>0</v>
      </c>
      <c r="Z39" s="307">
        <f>SUMIFS(Adjustments!$G:$G,Adjustments!$H:$H,"2F",Adjustments!$I:$I,'Schedule 2F Adjustments'!$Y$12,Adjustments!$J:$J,'Schedule 2F Adjustments'!$A39)</f>
        <v>0</v>
      </c>
      <c r="AA39" s="303">
        <f t="shared" si="7"/>
        <v>0</v>
      </c>
    </row>
    <row r="40" spans="1:27" x14ac:dyDescent="0.35">
      <c r="A40" s="24">
        <v>26</v>
      </c>
      <c r="B40" s="565" t="str">
        <f>IF('As-Filed Schedule 2F'!B40:D40=0,"",'As-Filed Schedule 2F'!B40:D40)</f>
        <v/>
      </c>
      <c r="C40" s="565"/>
      <c r="D40" s="565"/>
      <c r="F40" s="114">
        <f>'As-Filed Schedule 2F'!F40</f>
        <v>0</v>
      </c>
      <c r="G40" s="307">
        <f>SUMIFS(Adjustments!$G:$G,Adjustments!$H:$H,"2F",Adjustments!$I:$I,'Schedule 2F Adjustments'!$F$12,Adjustments!$J:$J,'Schedule 2F Adjustments'!$A40)</f>
        <v>0</v>
      </c>
      <c r="H40" s="303">
        <f t="shared" si="0"/>
        <v>0</v>
      </c>
      <c r="I40" s="68">
        <f>IFERROR(F40*'As-Filed Schedule 1'!$E$103,0)</f>
        <v>0</v>
      </c>
      <c r="J40" s="304">
        <f>IFERROR(H40*'Adjusted Schedule 1'!$E$104,0)</f>
        <v>0</v>
      </c>
      <c r="K40" s="68">
        <f t="shared" si="1"/>
        <v>0</v>
      </c>
      <c r="L40" s="304">
        <f t="shared" si="2"/>
        <v>0</v>
      </c>
      <c r="N40" s="114">
        <f>'As-Filed Schedule 2F'!J40</f>
        <v>0</v>
      </c>
      <c r="O40" s="307">
        <f>SUMIFS(Adjustments!$G:$G,Adjustments!$H:$H,"2F",Adjustments!$I:$I,'Schedule 2F Adjustments'!$N$12,Adjustments!$J:$J,'Schedule 2F Adjustments'!$A40)</f>
        <v>0</v>
      </c>
      <c r="P40" s="303">
        <f t="shared" si="3"/>
        <v>0</v>
      </c>
      <c r="Q40" s="68">
        <f>IFERROR(N40*'As-Filed Schedule 1'!$E$103,0)</f>
        <v>0</v>
      </c>
      <c r="R40" s="68">
        <f>IFERROR(P40*'Adjusted Schedule 1'!$E$104,0)</f>
        <v>0</v>
      </c>
      <c r="S40" s="68">
        <f t="shared" si="4"/>
        <v>0</v>
      </c>
      <c r="T40" s="304">
        <f t="shared" si="5"/>
        <v>0</v>
      </c>
      <c r="V40" s="117">
        <f>'As-Filed Schedule 2F'!N40</f>
        <v>0</v>
      </c>
      <c r="W40" s="307">
        <f>SUMIFS(Adjustments!$G:$G,Adjustments!$H:$H,"2F",Adjustments!$I:$I,'Schedule 2F Adjustments'!$V$12,Adjustments!$J:$J,'Schedule 2F Adjustments'!$A40)</f>
        <v>0</v>
      </c>
      <c r="X40" s="303">
        <f t="shared" si="6"/>
        <v>0</v>
      </c>
      <c r="Y40" s="117">
        <f>'As-Filed Schedule 2F'!O40</f>
        <v>0</v>
      </c>
      <c r="Z40" s="307">
        <f>SUMIFS(Adjustments!$G:$G,Adjustments!$H:$H,"2F",Adjustments!$I:$I,'Schedule 2F Adjustments'!$Y$12,Adjustments!$J:$J,'Schedule 2F Adjustments'!$A40)</f>
        <v>0</v>
      </c>
      <c r="AA40" s="303">
        <f t="shared" si="7"/>
        <v>0</v>
      </c>
    </row>
    <row r="41" spans="1:27" x14ac:dyDescent="0.35">
      <c r="A41" s="24">
        <v>27</v>
      </c>
      <c r="B41" s="565" t="str">
        <f>IF('As-Filed Schedule 2F'!B41:D41=0,"",'As-Filed Schedule 2F'!B41:D41)</f>
        <v/>
      </c>
      <c r="C41" s="565"/>
      <c r="D41" s="565"/>
      <c r="F41" s="114">
        <f>'As-Filed Schedule 2F'!F41</f>
        <v>0</v>
      </c>
      <c r="G41" s="307">
        <f>SUMIFS(Adjustments!$G:$G,Adjustments!$H:$H,"2F",Adjustments!$I:$I,'Schedule 2F Adjustments'!$F$12,Adjustments!$J:$J,'Schedule 2F Adjustments'!$A41)</f>
        <v>0</v>
      </c>
      <c r="H41" s="303">
        <f t="shared" si="0"/>
        <v>0</v>
      </c>
      <c r="I41" s="68">
        <f>IFERROR(F41*'As-Filed Schedule 1'!$E$103,0)</f>
        <v>0</v>
      </c>
      <c r="J41" s="304">
        <f>IFERROR(H41*'Adjusted Schedule 1'!$E$104,0)</f>
        <v>0</v>
      </c>
      <c r="K41" s="68">
        <f t="shared" si="1"/>
        <v>0</v>
      </c>
      <c r="L41" s="304">
        <f t="shared" si="2"/>
        <v>0</v>
      </c>
      <c r="N41" s="114">
        <f>'As-Filed Schedule 2F'!J41</f>
        <v>0</v>
      </c>
      <c r="O41" s="307">
        <f>SUMIFS(Adjustments!$G:$G,Adjustments!$H:$H,"2F",Adjustments!$I:$I,'Schedule 2F Adjustments'!$N$12,Adjustments!$J:$J,'Schedule 2F Adjustments'!$A41)</f>
        <v>0</v>
      </c>
      <c r="P41" s="303">
        <f t="shared" si="3"/>
        <v>0</v>
      </c>
      <c r="Q41" s="68">
        <f>IFERROR(N41*'As-Filed Schedule 1'!$E$103,0)</f>
        <v>0</v>
      </c>
      <c r="R41" s="68">
        <f>IFERROR(P41*'Adjusted Schedule 1'!$E$104,0)</f>
        <v>0</v>
      </c>
      <c r="S41" s="68">
        <f t="shared" si="4"/>
        <v>0</v>
      </c>
      <c r="T41" s="304">
        <f t="shared" si="5"/>
        <v>0</v>
      </c>
      <c r="V41" s="117">
        <f>'As-Filed Schedule 2F'!N41</f>
        <v>0</v>
      </c>
      <c r="W41" s="307">
        <f>SUMIFS(Adjustments!$G:$G,Adjustments!$H:$H,"2F",Adjustments!$I:$I,'Schedule 2F Adjustments'!$V$12,Adjustments!$J:$J,'Schedule 2F Adjustments'!$A41)</f>
        <v>0</v>
      </c>
      <c r="X41" s="303">
        <f t="shared" si="6"/>
        <v>0</v>
      </c>
      <c r="Y41" s="117">
        <f>'As-Filed Schedule 2F'!O41</f>
        <v>0</v>
      </c>
      <c r="Z41" s="307">
        <f>SUMIFS(Adjustments!$G:$G,Adjustments!$H:$H,"2F",Adjustments!$I:$I,'Schedule 2F Adjustments'!$Y$12,Adjustments!$J:$J,'Schedule 2F Adjustments'!$A41)</f>
        <v>0</v>
      </c>
      <c r="AA41" s="303">
        <f t="shared" si="7"/>
        <v>0</v>
      </c>
    </row>
    <row r="42" spans="1:27" x14ac:dyDescent="0.35">
      <c r="A42" s="24">
        <v>28</v>
      </c>
      <c r="B42" s="565" t="str">
        <f>IF('As-Filed Schedule 2F'!B42:D42=0,"",'As-Filed Schedule 2F'!B42:D42)</f>
        <v/>
      </c>
      <c r="C42" s="565"/>
      <c r="D42" s="565"/>
      <c r="F42" s="114">
        <f>'As-Filed Schedule 2F'!F42</f>
        <v>0</v>
      </c>
      <c r="G42" s="307">
        <f>SUMIFS(Adjustments!$G:$G,Adjustments!$H:$H,"2F",Adjustments!$I:$I,'Schedule 2F Adjustments'!$F$12,Adjustments!$J:$J,'Schedule 2F Adjustments'!$A42)</f>
        <v>0</v>
      </c>
      <c r="H42" s="303">
        <f t="shared" si="0"/>
        <v>0</v>
      </c>
      <c r="I42" s="68">
        <f>IFERROR(F42*'As-Filed Schedule 1'!$E$103,0)</f>
        <v>0</v>
      </c>
      <c r="J42" s="304">
        <f>IFERROR(H42*'Adjusted Schedule 1'!$E$104,0)</f>
        <v>0</v>
      </c>
      <c r="K42" s="68">
        <f t="shared" si="1"/>
        <v>0</v>
      </c>
      <c r="L42" s="304">
        <f t="shared" si="2"/>
        <v>0</v>
      </c>
      <c r="N42" s="114">
        <f>'As-Filed Schedule 2F'!J42</f>
        <v>0</v>
      </c>
      <c r="O42" s="307">
        <f>SUMIFS(Adjustments!$G:$G,Adjustments!$H:$H,"2F",Adjustments!$I:$I,'Schedule 2F Adjustments'!$N$12,Adjustments!$J:$J,'Schedule 2F Adjustments'!$A42)</f>
        <v>0</v>
      </c>
      <c r="P42" s="303">
        <f t="shared" si="3"/>
        <v>0</v>
      </c>
      <c r="Q42" s="68">
        <f>IFERROR(N42*'As-Filed Schedule 1'!$E$103,0)</f>
        <v>0</v>
      </c>
      <c r="R42" s="68">
        <f>IFERROR(P42*'Adjusted Schedule 1'!$E$104,0)</f>
        <v>0</v>
      </c>
      <c r="S42" s="68">
        <f t="shared" si="4"/>
        <v>0</v>
      </c>
      <c r="T42" s="304">
        <f t="shared" si="5"/>
        <v>0</v>
      </c>
      <c r="V42" s="117">
        <f>'As-Filed Schedule 2F'!N42</f>
        <v>0</v>
      </c>
      <c r="W42" s="307">
        <f>SUMIFS(Adjustments!$G:$G,Adjustments!$H:$H,"2F",Adjustments!$I:$I,'Schedule 2F Adjustments'!$V$12,Adjustments!$J:$J,'Schedule 2F Adjustments'!$A42)</f>
        <v>0</v>
      </c>
      <c r="X42" s="303">
        <f t="shared" si="6"/>
        <v>0</v>
      </c>
      <c r="Y42" s="117">
        <f>'As-Filed Schedule 2F'!O42</f>
        <v>0</v>
      </c>
      <c r="Z42" s="307">
        <f>SUMIFS(Adjustments!$G:$G,Adjustments!$H:$H,"2F",Adjustments!$I:$I,'Schedule 2F Adjustments'!$Y$12,Adjustments!$J:$J,'Schedule 2F Adjustments'!$A42)</f>
        <v>0</v>
      </c>
      <c r="AA42" s="303">
        <f t="shared" si="7"/>
        <v>0</v>
      </c>
    </row>
    <row r="43" spans="1:27" x14ac:dyDescent="0.35">
      <c r="A43" s="24">
        <v>29</v>
      </c>
      <c r="B43" s="565" t="str">
        <f>IF('As-Filed Schedule 2F'!B43:D43=0,"",'As-Filed Schedule 2F'!B43:D43)</f>
        <v/>
      </c>
      <c r="C43" s="565"/>
      <c r="D43" s="565"/>
      <c r="F43" s="114">
        <f>'As-Filed Schedule 2F'!F43</f>
        <v>0</v>
      </c>
      <c r="G43" s="307">
        <f>SUMIFS(Adjustments!$G:$G,Adjustments!$H:$H,"2F",Adjustments!$I:$I,'Schedule 2F Adjustments'!$F$12,Adjustments!$J:$J,'Schedule 2F Adjustments'!$A43)</f>
        <v>0</v>
      </c>
      <c r="H43" s="303">
        <f t="shared" si="0"/>
        <v>0</v>
      </c>
      <c r="I43" s="68">
        <f>IFERROR(F43*'As-Filed Schedule 1'!$E$103,0)</f>
        <v>0</v>
      </c>
      <c r="J43" s="304">
        <f>IFERROR(H43*'Adjusted Schedule 1'!$E$104,0)</f>
        <v>0</v>
      </c>
      <c r="K43" s="68">
        <f t="shared" si="1"/>
        <v>0</v>
      </c>
      <c r="L43" s="304">
        <f t="shared" si="2"/>
        <v>0</v>
      </c>
      <c r="N43" s="114">
        <f>'As-Filed Schedule 2F'!J43</f>
        <v>0</v>
      </c>
      <c r="O43" s="307">
        <f>SUMIFS(Adjustments!$G:$G,Adjustments!$H:$H,"2F",Adjustments!$I:$I,'Schedule 2F Adjustments'!$N$12,Adjustments!$J:$J,'Schedule 2F Adjustments'!$A43)</f>
        <v>0</v>
      </c>
      <c r="P43" s="303">
        <f t="shared" si="3"/>
        <v>0</v>
      </c>
      <c r="Q43" s="68">
        <f>IFERROR(N43*'As-Filed Schedule 1'!$E$103,0)</f>
        <v>0</v>
      </c>
      <c r="R43" s="68">
        <f>IFERROR(P43*'Adjusted Schedule 1'!$E$104,0)</f>
        <v>0</v>
      </c>
      <c r="S43" s="68">
        <f t="shared" si="4"/>
        <v>0</v>
      </c>
      <c r="T43" s="304">
        <f t="shared" si="5"/>
        <v>0</v>
      </c>
      <c r="V43" s="117">
        <f>'As-Filed Schedule 2F'!N43</f>
        <v>0</v>
      </c>
      <c r="W43" s="307">
        <f>SUMIFS(Adjustments!$G:$G,Adjustments!$H:$H,"2F",Adjustments!$I:$I,'Schedule 2F Adjustments'!$V$12,Adjustments!$J:$J,'Schedule 2F Adjustments'!$A43)</f>
        <v>0</v>
      </c>
      <c r="X43" s="303">
        <f t="shared" si="6"/>
        <v>0</v>
      </c>
      <c r="Y43" s="117">
        <f>'As-Filed Schedule 2F'!O43</f>
        <v>0</v>
      </c>
      <c r="Z43" s="307">
        <f>SUMIFS(Adjustments!$G:$G,Adjustments!$H:$H,"2F",Adjustments!$I:$I,'Schedule 2F Adjustments'!$Y$12,Adjustments!$J:$J,'Schedule 2F Adjustments'!$A43)</f>
        <v>0</v>
      </c>
      <c r="AA43" s="303">
        <f t="shared" si="7"/>
        <v>0</v>
      </c>
    </row>
    <row r="44" spans="1:27" x14ac:dyDescent="0.35">
      <c r="A44" s="24">
        <v>30</v>
      </c>
      <c r="B44" s="565" t="str">
        <f>IF('As-Filed Schedule 2F'!B44:D44=0,"",'As-Filed Schedule 2F'!B44:D44)</f>
        <v/>
      </c>
      <c r="C44" s="565"/>
      <c r="D44" s="565"/>
      <c r="F44" s="114">
        <f>'As-Filed Schedule 2F'!F44</f>
        <v>0</v>
      </c>
      <c r="G44" s="307">
        <f>SUMIFS(Adjustments!$G:$G,Adjustments!$H:$H,"2F",Adjustments!$I:$I,'Schedule 2F Adjustments'!$F$12,Adjustments!$J:$J,'Schedule 2F Adjustments'!$A44)</f>
        <v>0</v>
      </c>
      <c r="H44" s="303">
        <f t="shared" si="0"/>
        <v>0</v>
      </c>
      <c r="I44" s="68">
        <f>IFERROR(F44*'As-Filed Schedule 1'!$E$103,0)</f>
        <v>0</v>
      </c>
      <c r="J44" s="304">
        <f>IFERROR(H44*'Adjusted Schedule 1'!$E$104,0)</f>
        <v>0</v>
      </c>
      <c r="K44" s="68">
        <f t="shared" si="1"/>
        <v>0</v>
      </c>
      <c r="L44" s="304">
        <f t="shared" si="2"/>
        <v>0</v>
      </c>
      <c r="N44" s="114">
        <f>'As-Filed Schedule 2F'!J44</f>
        <v>0</v>
      </c>
      <c r="O44" s="307">
        <f>SUMIFS(Adjustments!$G:$G,Adjustments!$H:$H,"2F",Adjustments!$I:$I,'Schedule 2F Adjustments'!$N$12,Adjustments!$J:$J,'Schedule 2F Adjustments'!$A44)</f>
        <v>0</v>
      </c>
      <c r="P44" s="303">
        <f t="shared" si="3"/>
        <v>0</v>
      </c>
      <c r="Q44" s="68">
        <f>IFERROR(N44*'As-Filed Schedule 1'!$E$103,0)</f>
        <v>0</v>
      </c>
      <c r="R44" s="68">
        <f>IFERROR(P44*'Adjusted Schedule 1'!$E$104,0)</f>
        <v>0</v>
      </c>
      <c r="S44" s="68">
        <f t="shared" si="4"/>
        <v>0</v>
      </c>
      <c r="T44" s="304">
        <f t="shared" si="5"/>
        <v>0</v>
      </c>
      <c r="V44" s="117">
        <f>'As-Filed Schedule 2F'!N44</f>
        <v>0</v>
      </c>
      <c r="W44" s="307">
        <f>SUMIFS(Adjustments!$G:$G,Adjustments!$H:$H,"2F",Adjustments!$I:$I,'Schedule 2F Adjustments'!$V$12,Adjustments!$J:$J,'Schedule 2F Adjustments'!$A44)</f>
        <v>0</v>
      </c>
      <c r="X44" s="303">
        <f t="shared" si="6"/>
        <v>0</v>
      </c>
      <c r="Y44" s="117">
        <f>'As-Filed Schedule 2F'!O44</f>
        <v>0</v>
      </c>
      <c r="Z44" s="307">
        <f>SUMIFS(Adjustments!$G:$G,Adjustments!$H:$H,"2F",Adjustments!$I:$I,'Schedule 2F Adjustments'!$Y$12,Adjustments!$J:$J,'Schedule 2F Adjustments'!$A44)</f>
        <v>0</v>
      </c>
      <c r="AA44" s="303">
        <f t="shared" si="7"/>
        <v>0</v>
      </c>
    </row>
    <row r="45" spans="1:27" x14ac:dyDescent="0.35">
      <c r="A45" s="24">
        <v>31</v>
      </c>
      <c r="B45" s="565" t="str">
        <f>IF('As-Filed Schedule 2F'!B45:D45=0,"",'As-Filed Schedule 2F'!B45:D45)</f>
        <v/>
      </c>
      <c r="C45" s="565"/>
      <c r="D45" s="565"/>
      <c r="F45" s="114">
        <f>'As-Filed Schedule 2F'!F45</f>
        <v>0</v>
      </c>
      <c r="G45" s="307">
        <f>SUMIFS(Adjustments!$G:$G,Adjustments!$H:$H,"2F",Adjustments!$I:$I,'Schedule 2F Adjustments'!$F$12,Adjustments!$J:$J,'Schedule 2F Adjustments'!$A45)</f>
        <v>0</v>
      </c>
      <c r="H45" s="303">
        <f t="shared" si="0"/>
        <v>0</v>
      </c>
      <c r="I45" s="68">
        <f>IFERROR(F45*'As-Filed Schedule 1'!$E$103,0)</f>
        <v>0</v>
      </c>
      <c r="J45" s="304">
        <f>IFERROR(H45*'Adjusted Schedule 1'!$E$104,0)</f>
        <v>0</v>
      </c>
      <c r="K45" s="68">
        <f t="shared" si="1"/>
        <v>0</v>
      </c>
      <c r="L45" s="304">
        <f t="shared" si="2"/>
        <v>0</v>
      </c>
      <c r="N45" s="114">
        <f>'As-Filed Schedule 2F'!J45</f>
        <v>0</v>
      </c>
      <c r="O45" s="307">
        <f>SUMIFS(Adjustments!$G:$G,Adjustments!$H:$H,"2F",Adjustments!$I:$I,'Schedule 2F Adjustments'!$N$12,Adjustments!$J:$J,'Schedule 2F Adjustments'!$A45)</f>
        <v>0</v>
      </c>
      <c r="P45" s="303">
        <f t="shared" si="3"/>
        <v>0</v>
      </c>
      <c r="Q45" s="68">
        <f>IFERROR(N45*'As-Filed Schedule 1'!$E$103,0)</f>
        <v>0</v>
      </c>
      <c r="R45" s="68">
        <f>IFERROR(P45*'Adjusted Schedule 1'!$E$104,0)</f>
        <v>0</v>
      </c>
      <c r="S45" s="68">
        <f t="shared" si="4"/>
        <v>0</v>
      </c>
      <c r="T45" s="304">
        <f t="shared" si="5"/>
        <v>0</v>
      </c>
      <c r="V45" s="117">
        <f>'As-Filed Schedule 2F'!N45</f>
        <v>0</v>
      </c>
      <c r="W45" s="307">
        <f>SUMIFS(Adjustments!$G:$G,Adjustments!$H:$H,"2F",Adjustments!$I:$I,'Schedule 2F Adjustments'!$V$12,Adjustments!$J:$J,'Schedule 2F Adjustments'!$A45)</f>
        <v>0</v>
      </c>
      <c r="X45" s="303">
        <f t="shared" si="6"/>
        <v>0</v>
      </c>
      <c r="Y45" s="117">
        <f>'As-Filed Schedule 2F'!O45</f>
        <v>0</v>
      </c>
      <c r="Z45" s="307">
        <f>SUMIFS(Adjustments!$G:$G,Adjustments!$H:$H,"2F",Adjustments!$I:$I,'Schedule 2F Adjustments'!$Y$12,Adjustments!$J:$J,'Schedule 2F Adjustments'!$A45)</f>
        <v>0</v>
      </c>
      <c r="AA45" s="303">
        <f t="shared" si="7"/>
        <v>0</v>
      </c>
    </row>
    <row r="46" spans="1:27" x14ac:dyDescent="0.35">
      <c r="A46" s="24">
        <v>32</v>
      </c>
      <c r="B46" s="565" t="str">
        <f>IF('As-Filed Schedule 2F'!B46:D46=0,"",'As-Filed Schedule 2F'!B46:D46)</f>
        <v/>
      </c>
      <c r="C46" s="565"/>
      <c r="D46" s="565"/>
      <c r="F46" s="114">
        <f>'As-Filed Schedule 2F'!F46</f>
        <v>0</v>
      </c>
      <c r="G46" s="307">
        <f>SUMIFS(Adjustments!$G:$G,Adjustments!$H:$H,"2F",Adjustments!$I:$I,'Schedule 2F Adjustments'!$F$12,Adjustments!$J:$J,'Schedule 2F Adjustments'!$A46)</f>
        <v>0</v>
      </c>
      <c r="H46" s="303">
        <f t="shared" si="0"/>
        <v>0</v>
      </c>
      <c r="I46" s="68">
        <f>IFERROR(F46*'As-Filed Schedule 1'!$E$103,0)</f>
        <v>0</v>
      </c>
      <c r="J46" s="304">
        <f>IFERROR(H46*'Adjusted Schedule 1'!$E$104,0)</f>
        <v>0</v>
      </c>
      <c r="K46" s="68">
        <f t="shared" si="1"/>
        <v>0</v>
      </c>
      <c r="L46" s="304">
        <f t="shared" si="2"/>
        <v>0</v>
      </c>
      <c r="N46" s="114">
        <f>'As-Filed Schedule 2F'!J46</f>
        <v>0</v>
      </c>
      <c r="O46" s="307">
        <f>SUMIFS(Adjustments!$G:$G,Adjustments!$H:$H,"2F",Adjustments!$I:$I,'Schedule 2F Adjustments'!$N$12,Adjustments!$J:$J,'Schedule 2F Adjustments'!$A46)</f>
        <v>0</v>
      </c>
      <c r="P46" s="303">
        <f t="shared" si="3"/>
        <v>0</v>
      </c>
      <c r="Q46" s="68">
        <f>IFERROR(N46*'As-Filed Schedule 1'!$E$103,0)</f>
        <v>0</v>
      </c>
      <c r="R46" s="68">
        <f>IFERROR(P46*'Adjusted Schedule 1'!$E$104,0)</f>
        <v>0</v>
      </c>
      <c r="S46" s="68">
        <f t="shared" si="4"/>
        <v>0</v>
      </c>
      <c r="T46" s="304">
        <f t="shared" si="5"/>
        <v>0</v>
      </c>
      <c r="V46" s="117">
        <f>'As-Filed Schedule 2F'!N46</f>
        <v>0</v>
      </c>
      <c r="W46" s="307">
        <f>SUMIFS(Adjustments!$G:$G,Adjustments!$H:$H,"2F",Adjustments!$I:$I,'Schedule 2F Adjustments'!$V$12,Adjustments!$J:$J,'Schedule 2F Adjustments'!$A46)</f>
        <v>0</v>
      </c>
      <c r="X46" s="303">
        <f t="shared" si="6"/>
        <v>0</v>
      </c>
      <c r="Y46" s="117">
        <f>'As-Filed Schedule 2F'!O46</f>
        <v>0</v>
      </c>
      <c r="Z46" s="307">
        <f>SUMIFS(Adjustments!$G:$G,Adjustments!$H:$H,"2F",Adjustments!$I:$I,'Schedule 2F Adjustments'!$Y$12,Adjustments!$J:$J,'Schedule 2F Adjustments'!$A46)</f>
        <v>0</v>
      </c>
      <c r="AA46" s="303">
        <f t="shared" si="7"/>
        <v>0</v>
      </c>
    </row>
    <row r="47" spans="1:27" x14ac:dyDescent="0.35">
      <c r="A47" s="24">
        <v>33</v>
      </c>
      <c r="B47" s="565" t="str">
        <f>IF('As-Filed Schedule 2F'!B47:D47=0,"",'As-Filed Schedule 2F'!B47:D47)</f>
        <v/>
      </c>
      <c r="C47" s="565"/>
      <c r="D47" s="565"/>
      <c r="F47" s="114">
        <f>'As-Filed Schedule 2F'!F47</f>
        <v>0</v>
      </c>
      <c r="G47" s="307">
        <f>SUMIFS(Adjustments!$G:$G,Adjustments!$H:$H,"2F",Adjustments!$I:$I,'Schedule 2F Adjustments'!$F$12,Adjustments!$J:$J,'Schedule 2F Adjustments'!$A47)</f>
        <v>0</v>
      </c>
      <c r="H47" s="303">
        <f t="shared" si="0"/>
        <v>0</v>
      </c>
      <c r="I47" s="68">
        <f>IFERROR(F47*'As-Filed Schedule 1'!$E$103,0)</f>
        <v>0</v>
      </c>
      <c r="J47" s="304">
        <f>IFERROR(H47*'Adjusted Schedule 1'!$E$104,0)</f>
        <v>0</v>
      </c>
      <c r="K47" s="68">
        <f t="shared" si="1"/>
        <v>0</v>
      </c>
      <c r="L47" s="304">
        <f t="shared" si="2"/>
        <v>0</v>
      </c>
      <c r="N47" s="114">
        <f>'As-Filed Schedule 2F'!J47</f>
        <v>0</v>
      </c>
      <c r="O47" s="307">
        <f>SUMIFS(Adjustments!$G:$G,Adjustments!$H:$H,"2F",Adjustments!$I:$I,'Schedule 2F Adjustments'!$N$12,Adjustments!$J:$J,'Schedule 2F Adjustments'!$A47)</f>
        <v>0</v>
      </c>
      <c r="P47" s="303">
        <f t="shared" si="3"/>
        <v>0</v>
      </c>
      <c r="Q47" s="68">
        <f>IFERROR(N47*'As-Filed Schedule 1'!$E$103,0)</f>
        <v>0</v>
      </c>
      <c r="R47" s="68">
        <f>IFERROR(P47*'Adjusted Schedule 1'!$E$104,0)</f>
        <v>0</v>
      </c>
      <c r="S47" s="68">
        <f t="shared" si="4"/>
        <v>0</v>
      </c>
      <c r="T47" s="304">
        <f t="shared" si="5"/>
        <v>0</v>
      </c>
      <c r="V47" s="117">
        <f>'As-Filed Schedule 2F'!N47</f>
        <v>0</v>
      </c>
      <c r="W47" s="307">
        <f>SUMIFS(Adjustments!$G:$G,Adjustments!$H:$H,"2F",Adjustments!$I:$I,'Schedule 2F Adjustments'!$V$12,Adjustments!$J:$J,'Schedule 2F Adjustments'!$A47)</f>
        <v>0</v>
      </c>
      <c r="X47" s="303">
        <f t="shared" si="6"/>
        <v>0</v>
      </c>
      <c r="Y47" s="117">
        <f>'As-Filed Schedule 2F'!O47</f>
        <v>0</v>
      </c>
      <c r="Z47" s="307">
        <f>SUMIFS(Adjustments!$G:$G,Adjustments!$H:$H,"2F",Adjustments!$I:$I,'Schedule 2F Adjustments'!$Y$12,Adjustments!$J:$J,'Schedule 2F Adjustments'!$A47)</f>
        <v>0</v>
      </c>
      <c r="AA47" s="303">
        <f t="shared" si="7"/>
        <v>0</v>
      </c>
    </row>
    <row r="48" spans="1:27" x14ac:dyDescent="0.35">
      <c r="A48" s="24">
        <v>34</v>
      </c>
      <c r="B48" s="565" t="str">
        <f>IF('As-Filed Schedule 2F'!B48:D48=0,"",'As-Filed Schedule 2F'!B48:D48)</f>
        <v/>
      </c>
      <c r="C48" s="565"/>
      <c r="D48" s="565"/>
      <c r="F48" s="114">
        <f>'As-Filed Schedule 2F'!F48</f>
        <v>0</v>
      </c>
      <c r="G48" s="307">
        <f>SUMIFS(Adjustments!$G:$G,Adjustments!$H:$H,"2F",Adjustments!$I:$I,'Schedule 2F Adjustments'!$F$12,Adjustments!$J:$J,'Schedule 2F Adjustments'!$A48)</f>
        <v>0</v>
      </c>
      <c r="H48" s="303">
        <f t="shared" si="0"/>
        <v>0</v>
      </c>
      <c r="I48" s="68">
        <f>IFERROR(F48*'As-Filed Schedule 1'!$E$103,0)</f>
        <v>0</v>
      </c>
      <c r="J48" s="304">
        <f>IFERROR(H48*'Adjusted Schedule 1'!$E$104,0)</f>
        <v>0</v>
      </c>
      <c r="K48" s="68">
        <f t="shared" si="1"/>
        <v>0</v>
      </c>
      <c r="L48" s="304">
        <f t="shared" si="2"/>
        <v>0</v>
      </c>
      <c r="N48" s="114">
        <f>'As-Filed Schedule 2F'!J48</f>
        <v>0</v>
      </c>
      <c r="O48" s="307">
        <f>SUMIFS(Adjustments!$G:$G,Adjustments!$H:$H,"2F",Adjustments!$I:$I,'Schedule 2F Adjustments'!$N$12,Adjustments!$J:$J,'Schedule 2F Adjustments'!$A48)</f>
        <v>0</v>
      </c>
      <c r="P48" s="303">
        <f t="shared" si="3"/>
        <v>0</v>
      </c>
      <c r="Q48" s="68">
        <f>IFERROR(N48*'As-Filed Schedule 1'!$E$103,0)</f>
        <v>0</v>
      </c>
      <c r="R48" s="68">
        <f>IFERROR(P48*'Adjusted Schedule 1'!$E$104,0)</f>
        <v>0</v>
      </c>
      <c r="S48" s="68">
        <f t="shared" si="4"/>
        <v>0</v>
      </c>
      <c r="T48" s="304">
        <f t="shared" si="5"/>
        <v>0</v>
      </c>
      <c r="V48" s="117">
        <f>'As-Filed Schedule 2F'!N48</f>
        <v>0</v>
      </c>
      <c r="W48" s="307">
        <f>SUMIFS(Adjustments!$G:$G,Adjustments!$H:$H,"2F",Adjustments!$I:$I,'Schedule 2F Adjustments'!$V$12,Adjustments!$J:$J,'Schedule 2F Adjustments'!$A48)</f>
        <v>0</v>
      </c>
      <c r="X48" s="303">
        <f t="shared" si="6"/>
        <v>0</v>
      </c>
      <c r="Y48" s="117">
        <f>'As-Filed Schedule 2F'!O48</f>
        <v>0</v>
      </c>
      <c r="Z48" s="307">
        <f>SUMIFS(Adjustments!$G:$G,Adjustments!$H:$H,"2F",Adjustments!$I:$I,'Schedule 2F Adjustments'!$Y$12,Adjustments!$J:$J,'Schedule 2F Adjustments'!$A48)</f>
        <v>0</v>
      </c>
      <c r="AA48" s="303">
        <f t="shared" si="7"/>
        <v>0</v>
      </c>
    </row>
    <row r="49" spans="1:27" x14ac:dyDescent="0.35">
      <c r="A49" s="24">
        <v>35</v>
      </c>
      <c r="B49" s="565" t="str">
        <f>IF('As-Filed Schedule 2F'!B49:D49=0,"",'As-Filed Schedule 2F'!B49:D49)</f>
        <v/>
      </c>
      <c r="C49" s="565"/>
      <c r="D49" s="565"/>
      <c r="F49" s="114">
        <f>'As-Filed Schedule 2F'!F49</f>
        <v>0</v>
      </c>
      <c r="G49" s="307">
        <f>SUMIFS(Adjustments!$G:$G,Adjustments!$H:$H,"2F",Adjustments!$I:$I,'Schedule 2F Adjustments'!$F$12,Adjustments!$J:$J,'Schedule 2F Adjustments'!$A49)</f>
        <v>0</v>
      </c>
      <c r="H49" s="303">
        <f t="shared" si="0"/>
        <v>0</v>
      </c>
      <c r="I49" s="68">
        <f>IFERROR(F49*'As-Filed Schedule 1'!$E$103,0)</f>
        <v>0</v>
      </c>
      <c r="J49" s="304">
        <f>IFERROR(H49*'Adjusted Schedule 1'!$E$104,0)</f>
        <v>0</v>
      </c>
      <c r="K49" s="68">
        <f t="shared" si="1"/>
        <v>0</v>
      </c>
      <c r="L49" s="304">
        <f t="shared" si="2"/>
        <v>0</v>
      </c>
      <c r="N49" s="114">
        <f>'As-Filed Schedule 2F'!J49</f>
        <v>0</v>
      </c>
      <c r="O49" s="307">
        <f>SUMIFS(Adjustments!$G:$G,Adjustments!$H:$H,"2F",Adjustments!$I:$I,'Schedule 2F Adjustments'!$N$12,Adjustments!$J:$J,'Schedule 2F Adjustments'!$A49)</f>
        <v>0</v>
      </c>
      <c r="P49" s="303">
        <f t="shared" si="3"/>
        <v>0</v>
      </c>
      <c r="Q49" s="68">
        <f>IFERROR(N49*'As-Filed Schedule 1'!$E$103,0)</f>
        <v>0</v>
      </c>
      <c r="R49" s="68">
        <f>IFERROR(P49*'Adjusted Schedule 1'!$E$104,0)</f>
        <v>0</v>
      </c>
      <c r="S49" s="68">
        <f t="shared" si="4"/>
        <v>0</v>
      </c>
      <c r="T49" s="304">
        <f t="shared" si="5"/>
        <v>0</v>
      </c>
      <c r="V49" s="117">
        <f>'As-Filed Schedule 2F'!N49</f>
        <v>0</v>
      </c>
      <c r="W49" s="307">
        <f>SUMIFS(Adjustments!$G:$G,Adjustments!$H:$H,"2F",Adjustments!$I:$I,'Schedule 2F Adjustments'!$V$12,Adjustments!$J:$J,'Schedule 2F Adjustments'!$A49)</f>
        <v>0</v>
      </c>
      <c r="X49" s="303">
        <f t="shared" si="6"/>
        <v>0</v>
      </c>
      <c r="Y49" s="117">
        <f>'As-Filed Schedule 2F'!O49</f>
        <v>0</v>
      </c>
      <c r="Z49" s="307">
        <f>SUMIFS(Adjustments!$G:$G,Adjustments!$H:$H,"2F",Adjustments!$I:$I,'Schedule 2F Adjustments'!$Y$12,Adjustments!$J:$J,'Schedule 2F Adjustments'!$A49)</f>
        <v>0</v>
      </c>
      <c r="AA49" s="303">
        <f t="shared" si="7"/>
        <v>0</v>
      </c>
    </row>
    <row r="50" spans="1:27" x14ac:dyDescent="0.35">
      <c r="A50" s="24">
        <v>36</v>
      </c>
      <c r="B50" s="565" t="str">
        <f>IF('As-Filed Schedule 2F'!B50:D50=0,"",'As-Filed Schedule 2F'!B50:D50)</f>
        <v/>
      </c>
      <c r="C50" s="565"/>
      <c r="D50" s="565"/>
      <c r="F50" s="114">
        <f>'As-Filed Schedule 2F'!F50</f>
        <v>0</v>
      </c>
      <c r="G50" s="307">
        <f>SUMIFS(Adjustments!$G:$G,Adjustments!$H:$H,"2F",Adjustments!$I:$I,'Schedule 2F Adjustments'!$F$12,Adjustments!$J:$J,'Schedule 2F Adjustments'!$A50)</f>
        <v>0</v>
      </c>
      <c r="H50" s="303">
        <f t="shared" si="0"/>
        <v>0</v>
      </c>
      <c r="I50" s="68">
        <f>IFERROR(F50*'As-Filed Schedule 1'!$E$103,0)</f>
        <v>0</v>
      </c>
      <c r="J50" s="304">
        <f>IFERROR(H50*'Adjusted Schedule 1'!$E$104,0)</f>
        <v>0</v>
      </c>
      <c r="K50" s="68">
        <f t="shared" si="1"/>
        <v>0</v>
      </c>
      <c r="L50" s="304">
        <f t="shared" si="2"/>
        <v>0</v>
      </c>
      <c r="N50" s="114">
        <f>'As-Filed Schedule 2F'!J50</f>
        <v>0</v>
      </c>
      <c r="O50" s="307">
        <f>SUMIFS(Adjustments!$G:$G,Adjustments!$H:$H,"2F",Adjustments!$I:$I,'Schedule 2F Adjustments'!$N$12,Adjustments!$J:$J,'Schedule 2F Adjustments'!$A50)</f>
        <v>0</v>
      </c>
      <c r="P50" s="303">
        <f t="shared" si="3"/>
        <v>0</v>
      </c>
      <c r="Q50" s="68">
        <f>IFERROR(N50*'As-Filed Schedule 1'!$E$103,0)</f>
        <v>0</v>
      </c>
      <c r="R50" s="68">
        <f>IFERROR(P50*'Adjusted Schedule 1'!$E$104,0)</f>
        <v>0</v>
      </c>
      <c r="S50" s="68">
        <f t="shared" si="4"/>
        <v>0</v>
      </c>
      <c r="T50" s="304">
        <f t="shared" si="5"/>
        <v>0</v>
      </c>
      <c r="V50" s="117">
        <f>'As-Filed Schedule 2F'!N50</f>
        <v>0</v>
      </c>
      <c r="W50" s="307">
        <f>SUMIFS(Adjustments!$G:$G,Adjustments!$H:$H,"2F",Adjustments!$I:$I,'Schedule 2F Adjustments'!$V$12,Adjustments!$J:$J,'Schedule 2F Adjustments'!$A50)</f>
        <v>0</v>
      </c>
      <c r="X50" s="303">
        <f t="shared" si="6"/>
        <v>0</v>
      </c>
      <c r="Y50" s="117">
        <f>'As-Filed Schedule 2F'!O50</f>
        <v>0</v>
      </c>
      <c r="Z50" s="307">
        <f>SUMIFS(Adjustments!$G:$G,Adjustments!$H:$H,"2F",Adjustments!$I:$I,'Schedule 2F Adjustments'!$Y$12,Adjustments!$J:$J,'Schedule 2F Adjustments'!$A50)</f>
        <v>0</v>
      </c>
      <c r="AA50" s="303">
        <f t="shared" si="7"/>
        <v>0</v>
      </c>
    </row>
    <row r="51" spans="1:27" x14ac:dyDescent="0.35">
      <c r="A51" s="24">
        <v>37</v>
      </c>
      <c r="B51" s="565" t="str">
        <f>IF('As-Filed Schedule 2F'!B51:D51=0,"",'As-Filed Schedule 2F'!B51:D51)</f>
        <v/>
      </c>
      <c r="C51" s="565"/>
      <c r="D51" s="565"/>
      <c r="F51" s="114">
        <f>'As-Filed Schedule 2F'!F51</f>
        <v>0</v>
      </c>
      <c r="G51" s="307">
        <f>SUMIFS(Adjustments!$G:$G,Adjustments!$H:$H,"2F",Adjustments!$I:$I,'Schedule 2F Adjustments'!$F$12,Adjustments!$J:$J,'Schedule 2F Adjustments'!$A51)</f>
        <v>0</v>
      </c>
      <c r="H51" s="303">
        <f t="shared" si="0"/>
        <v>0</v>
      </c>
      <c r="I51" s="68">
        <f>IFERROR(F51*'As-Filed Schedule 1'!$E$103,0)</f>
        <v>0</v>
      </c>
      <c r="J51" s="304">
        <f>IFERROR(H51*'Adjusted Schedule 1'!$E$104,0)</f>
        <v>0</v>
      </c>
      <c r="K51" s="68">
        <f t="shared" si="1"/>
        <v>0</v>
      </c>
      <c r="L51" s="304">
        <f t="shared" si="2"/>
        <v>0</v>
      </c>
      <c r="N51" s="114">
        <f>'As-Filed Schedule 2F'!J51</f>
        <v>0</v>
      </c>
      <c r="O51" s="307">
        <f>SUMIFS(Adjustments!$G:$G,Adjustments!$H:$H,"2F",Adjustments!$I:$I,'Schedule 2F Adjustments'!$N$12,Adjustments!$J:$J,'Schedule 2F Adjustments'!$A51)</f>
        <v>0</v>
      </c>
      <c r="P51" s="303">
        <f t="shared" si="3"/>
        <v>0</v>
      </c>
      <c r="Q51" s="68">
        <f>IFERROR(N51*'As-Filed Schedule 1'!$E$103,0)</f>
        <v>0</v>
      </c>
      <c r="R51" s="68">
        <f>IFERROR(P51*'Adjusted Schedule 1'!$E$104,0)</f>
        <v>0</v>
      </c>
      <c r="S51" s="68">
        <f t="shared" si="4"/>
        <v>0</v>
      </c>
      <c r="T51" s="304">
        <f t="shared" si="5"/>
        <v>0</v>
      </c>
      <c r="V51" s="117">
        <f>'As-Filed Schedule 2F'!N51</f>
        <v>0</v>
      </c>
      <c r="W51" s="307">
        <f>SUMIFS(Adjustments!$G:$G,Adjustments!$H:$H,"2F",Adjustments!$I:$I,'Schedule 2F Adjustments'!$V$12,Adjustments!$J:$J,'Schedule 2F Adjustments'!$A51)</f>
        <v>0</v>
      </c>
      <c r="X51" s="303">
        <f t="shared" si="6"/>
        <v>0</v>
      </c>
      <c r="Y51" s="117">
        <f>'As-Filed Schedule 2F'!O51</f>
        <v>0</v>
      </c>
      <c r="Z51" s="307">
        <f>SUMIFS(Adjustments!$G:$G,Adjustments!$H:$H,"2F",Adjustments!$I:$I,'Schedule 2F Adjustments'!$Y$12,Adjustments!$J:$J,'Schedule 2F Adjustments'!$A51)</f>
        <v>0</v>
      </c>
      <c r="AA51" s="303">
        <f t="shared" si="7"/>
        <v>0</v>
      </c>
    </row>
    <row r="52" spans="1:27" x14ac:dyDescent="0.35">
      <c r="A52" s="24">
        <v>38</v>
      </c>
      <c r="B52" s="565" t="str">
        <f>IF('As-Filed Schedule 2F'!B52:D52=0,"",'As-Filed Schedule 2F'!B52:D52)</f>
        <v/>
      </c>
      <c r="C52" s="565"/>
      <c r="D52" s="565"/>
      <c r="F52" s="114">
        <f>'As-Filed Schedule 2F'!F52</f>
        <v>0</v>
      </c>
      <c r="G52" s="307">
        <f>SUMIFS(Adjustments!$G:$G,Adjustments!$H:$H,"2F",Adjustments!$I:$I,'Schedule 2F Adjustments'!$F$12,Adjustments!$J:$J,'Schedule 2F Adjustments'!$A52)</f>
        <v>0</v>
      </c>
      <c r="H52" s="303">
        <f t="shared" si="0"/>
        <v>0</v>
      </c>
      <c r="I52" s="68">
        <f>IFERROR(F52*'As-Filed Schedule 1'!$E$103,0)</f>
        <v>0</v>
      </c>
      <c r="J52" s="304">
        <f>IFERROR(H52*'Adjusted Schedule 1'!$E$104,0)</f>
        <v>0</v>
      </c>
      <c r="K52" s="68">
        <f t="shared" si="1"/>
        <v>0</v>
      </c>
      <c r="L52" s="304">
        <f t="shared" si="2"/>
        <v>0</v>
      </c>
      <c r="N52" s="114">
        <f>'As-Filed Schedule 2F'!J52</f>
        <v>0</v>
      </c>
      <c r="O52" s="307">
        <f>SUMIFS(Adjustments!$G:$G,Adjustments!$H:$H,"2F",Adjustments!$I:$I,'Schedule 2F Adjustments'!$N$12,Adjustments!$J:$J,'Schedule 2F Adjustments'!$A52)</f>
        <v>0</v>
      </c>
      <c r="P52" s="303">
        <f t="shared" si="3"/>
        <v>0</v>
      </c>
      <c r="Q52" s="68">
        <f>IFERROR(N52*'As-Filed Schedule 1'!$E$103,0)</f>
        <v>0</v>
      </c>
      <c r="R52" s="68">
        <f>IFERROR(P52*'Adjusted Schedule 1'!$E$104,0)</f>
        <v>0</v>
      </c>
      <c r="S52" s="68">
        <f t="shared" si="4"/>
        <v>0</v>
      </c>
      <c r="T52" s="304">
        <f t="shared" si="5"/>
        <v>0</v>
      </c>
      <c r="V52" s="117">
        <f>'As-Filed Schedule 2F'!N52</f>
        <v>0</v>
      </c>
      <c r="W52" s="307">
        <f>SUMIFS(Adjustments!$G:$G,Adjustments!$H:$H,"2F",Adjustments!$I:$I,'Schedule 2F Adjustments'!$V$12,Adjustments!$J:$J,'Schedule 2F Adjustments'!$A52)</f>
        <v>0</v>
      </c>
      <c r="X52" s="303">
        <f t="shared" si="6"/>
        <v>0</v>
      </c>
      <c r="Y52" s="117">
        <f>'As-Filed Schedule 2F'!O52</f>
        <v>0</v>
      </c>
      <c r="Z52" s="307">
        <f>SUMIFS(Adjustments!$G:$G,Adjustments!$H:$H,"2F",Adjustments!$I:$I,'Schedule 2F Adjustments'!$Y$12,Adjustments!$J:$J,'Schedule 2F Adjustments'!$A52)</f>
        <v>0</v>
      </c>
      <c r="AA52" s="303">
        <f t="shared" si="7"/>
        <v>0</v>
      </c>
    </row>
    <row r="53" spans="1:27" x14ac:dyDescent="0.35">
      <c r="A53" s="24">
        <v>39</v>
      </c>
      <c r="B53" s="565" t="str">
        <f>IF('As-Filed Schedule 2F'!B53:D53=0,"",'As-Filed Schedule 2F'!B53:D53)</f>
        <v/>
      </c>
      <c r="C53" s="565"/>
      <c r="D53" s="565"/>
      <c r="F53" s="114">
        <f>'As-Filed Schedule 2F'!F53</f>
        <v>0</v>
      </c>
      <c r="G53" s="307">
        <f>SUMIFS(Adjustments!$G:$G,Adjustments!$H:$H,"2F",Adjustments!$I:$I,'Schedule 2F Adjustments'!$F$12,Adjustments!$J:$J,'Schedule 2F Adjustments'!$A53)</f>
        <v>0</v>
      </c>
      <c r="H53" s="303">
        <f t="shared" si="0"/>
        <v>0</v>
      </c>
      <c r="I53" s="68">
        <f>IFERROR(F53*'As-Filed Schedule 1'!$E$103,0)</f>
        <v>0</v>
      </c>
      <c r="J53" s="304">
        <f>IFERROR(H53*'Adjusted Schedule 1'!$E$104,0)</f>
        <v>0</v>
      </c>
      <c r="K53" s="68">
        <f t="shared" si="1"/>
        <v>0</v>
      </c>
      <c r="L53" s="304">
        <f t="shared" si="2"/>
        <v>0</v>
      </c>
      <c r="N53" s="114">
        <f>'As-Filed Schedule 2F'!J53</f>
        <v>0</v>
      </c>
      <c r="O53" s="307">
        <f>SUMIFS(Adjustments!$G:$G,Adjustments!$H:$H,"2F",Adjustments!$I:$I,'Schedule 2F Adjustments'!$N$12,Adjustments!$J:$J,'Schedule 2F Adjustments'!$A53)</f>
        <v>0</v>
      </c>
      <c r="P53" s="303">
        <f t="shared" si="3"/>
        <v>0</v>
      </c>
      <c r="Q53" s="68">
        <f>IFERROR(N53*'As-Filed Schedule 1'!$E$103,0)</f>
        <v>0</v>
      </c>
      <c r="R53" s="68">
        <f>IFERROR(P53*'Adjusted Schedule 1'!$E$104,0)</f>
        <v>0</v>
      </c>
      <c r="S53" s="68">
        <f t="shared" si="4"/>
        <v>0</v>
      </c>
      <c r="T53" s="304">
        <f t="shared" si="5"/>
        <v>0</v>
      </c>
      <c r="V53" s="117">
        <f>'As-Filed Schedule 2F'!N53</f>
        <v>0</v>
      </c>
      <c r="W53" s="307">
        <f>SUMIFS(Adjustments!$G:$G,Adjustments!$H:$H,"2F",Adjustments!$I:$I,'Schedule 2F Adjustments'!$V$12,Adjustments!$J:$J,'Schedule 2F Adjustments'!$A53)</f>
        <v>0</v>
      </c>
      <c r="X53" s="303">
        <f t="shared" si="6"/>
        <v>0</v>
      </c>
      <c r="Y53" s="117">
        <f>'As-Filed Schedule 2F'!O53</f>
        <v>0</v>
      </c>
      <c r="Z53" s="307">
        <f>SUMIFS(Adjustments!$G:$G,Adjustments!$H:$H,"2F",Adjustments!$I:$I,'Schedule 2F Adjustments'!$Y$12,Adjustments!$J:$J,'Schedule 2F Adjustments'!$A53)</f>
        <v>0</v>
      </c>
      <c r="AA53" s="303">
        <f t="shared" si="7"/>
        <v>0</v>
      </c>
    </row>
    <row r="54" spans="1:27" x14ac:dyDescent="0.35">
      <c r="A54" s="24">
        <v>40</v>
      </c>
      <c r="B54" s="565" t="str">
        <f>IF('As-Filed Schedule 2F'!B54:D54=0,"",'As-Filed Schedule 2F'!B54:D54)</f>
        <v/>
      </c>
      <c r="C54" s="565"/>
      <c r="D54" s="565"/>
      <c r="F54" s="114">
        <f>'As-Filed Schedule 2F'!F54</f>
        <v>0</v>
      </c>
      <c r="G54" s="307">
        <f>SUMIFS(Adjustments!$G:$G,Adjustments!$H:$H,"2F",Adjustments!$I:$I,'Schedule 2F Adjustments'!$F$12,Adjustments!$J:$J,'Schedule 2F Adjustments'!$A54)</f>
        <v>0</v>
      </c>
      <c r="H54" s="303">
        <f t="shared" si="0"/>
        <v>0</v>
      </c>
      <c r="I54" s="68">
        <f>IFERROR(F54*'As-Filed Schedule 1'!$E$103,0)</f>
        <v>0</v>
      </c>
      <c r="J54" s="304">
        <f>IFERROR(H54*'Adjusted Schedule 1'!$E$104,0)</f>
        <v>0</v>
      </c>
      <c r="K54" s="68">
        <f t="shared" si="1"/>
        <v>0</v>
      </c>
      <c r="L54" s="304">
        <f t="shared" si="2"/>
        <v>0</v>
      </c>
      <c r="N54" s="114">
        <f>'As-Filed Schedule 2F'!J54</f>
        <v>0</v>
      </c>
      <c r="O54" s="307">
        <f>SUMIFS(Adjustments!$G:$G,Adjustments!$H:$H,"2F",Adjustments!$I:$I,'Schedule 2F Adjustments'!$N$12,Adjustments!$J:$J,'Schedule 2F Adjustments'!$A54)</f>
        <v>0</v>
      </c>
      <c r="P54" s="303">
        <f t="shared" si="3"/>
        <v>0</v>
      </c>
      <c r="Q54" s="68">
        <f>IFERROR(N54*'As-Filed Schedule 1'!$E$103,0)</f>
        <v>0</v>
      </c>
      <c r="R54" s="68">
        <f>IFERROR(P54*'Adjusted Schedule 1'!$E$104,0)</f>
        <v>0</v>
      </c>
      <c r="S54" s="68">
        <f t="shared" si="4"/>
        <v>0</v>
      </c>
      <c r="T54" s="304">
        <f t="shared" si="5"/>
        <v>0</v>
      </c>
      <c r="V54" s="117">
        <f>'As-Filed Schedule 2F'!N54</f>
        <v>0</v>
      </c>
      <c r="W54" s="307">
        <f>SUMIFS(Adjustments!$G:$G,Adjustments!$H:$H,"2F",Adjustments!$I:$I,'Schedule 2F Adjustments'!$V$12,Adjustments!$J:$J,'Schedule 2F Adjustments'!$A54)</f>
        <v>0</v>
      </c>
      <c r="X54" s="303">
        <f t="shared" si="6"/>
        <v>0</v>
      </c>
      <c r="Y54" s="117">
        <f>'As-Filed Schedule 2F'!O54</f>
        <v>0</v>
      </c>
      <c r="Z54" s="307">
        <f>SUMIFS(Adjustments!$G:$G,Adjustments!$H:$H,"2F",Adjustments!$I:$I,'Schedule 2F Adjustments'!$Y$12,Adjustments!$J:$J,'Schedule 2F Adjustments'!$A54)</f>
        <v>0</v>
      </c>
      <c r="AA54" s="303">
        <f t="shared" si="7"/>
        <v>0</v>
      </c>
    </row>
    <row r="55" spans="1:27" x14ac:dyDescent="0.35">
      <c r="A55" s="24">
        <v>41</v>
      </c>
      <c r="B55" s="565" t="str">
        <f>IF('As-Filed Schedule 2F'!B55:D55=0,"",'As-Filed Schedule 2F'!B55:D55)</f>
        <v/>
      </c>
      <c r="C55" s="565"/>
      <c r="D55" s="565"/>
      <c r="F55" s="114">
        <f>'As-Filed Schedule 2F'!F55</f>
        <v>0</v>
      </c>
      <c r="G55" s="307">
        <f>SUMIFS(Adjustments!$G:$G,Adjustments!$H:$H,"2F",Adjustments!$I:$I,'Schedule 2F Adjustments'!$F$12,Adjustments!$J:$J,'Schedule 2F Adjustments'!$A55)</f>
        <v>0</v>
      </c>
      <c r="H55" s="303">
        <f t="shared" si="0"/>
        <v>0</v>
      </c>
      <c r="I55" s="68">
        <f>IFERROR(F55*'As-Filed Schedule 1'!$E$103,0)</f>
        <v>0</v>
      </c>
      <c r="J55" s="304">
        <f>IFERROR(H55*'Adjusted Schedule 1'!$E$104,0)</f>
        <v>0</v>
      </c>
      <c r="K55" s="68">
        <f t="shared" si="1"/>
        <v>0</v>
      </c>
      <c r="L55" s="304">
        <f t="shared" si="2"/>
        <v>0</v>
      </c>
      <c r="N55" s="114">
        <f>'As-Filed Schedule 2F'!J55</f>
        <v>0</v>
      </c>
      <c r="O55" s="307">
        <f>SUMIFS(Adjustments!$G:$G,Adjustments!$H:$H,"2F",Adjustments!$I:$I,'Schedule 2F Adjustments'!$N$12,Adjustments!$J:$J,'Schedule 2F Adjustments'!$A55)</f>
        <v>0</v>
      </c>
      <c r="P55" s="303">
        <f t="shared" si="3"/>
        <v>0</v>
      </c>
      <c r="Q55" s="68">
        <f>IFERROR(N55*'As-Filed Schedule 1'!$E$103,0)</f>
        <v>0</v>
      </c>
      <c r="R55" s="68">
        <f>IFERROR(P55*'Adjusted Schedule 1'!$E$104,0)</f>
        <v>0</v>
      </c>
      <c r="S55" s="68">
        <f t="shared" si="4"/>
        <v>0</v>
      </c>
      <c r="T55" s="304">
        <f t="shared" si="5"/>
        <v>0</v>
      </c>
      <c r="V55" s="117">
        <f>'As-Filed Schedule 2F'!N55</f>
        <v>0</v>
      </c>
      <c r="W55" s="307">
        <f>SUMIFS(Adjustments!$G:$G,Adjustments!$H:$H,"2F",Adjustments!$I:$I,'Schedule 2F Adjustments'!$V$12,Adjustments!$J:$J,'Schedule 2F Adjustments'!$A55)</f>
        <v>0</v>
      </c>
      <c r="X55" s="303">
        <f t="shared" si="6"/>
        <v>0</v>
      </c>
      <c r="Y55" s="117">
        <f>'As-Filed Schedule 2F'!O55</f>
        <v>0</v>
      </c>
      <c r="Z55" s="307">
        <f>SUMIFS(Adjustments!$G:$G,Adjustments!$H:$H,"2F",Adjustments!$I:$I,'Schedule 2F Adjustments'!$Y$12,Adjustments!$J:$J,'Schedule 2F Adjustments'!$A55)</f>
        <v>0</v>
      </c>
      <c r="AA55" s="303">
        <f t="shared" si="7"/>
        <v>0</v>
      </c>
    </row>
    <row r="56" spans="1:27" x14ac:dyDescent="0.35">
      <c r="A56" s="24">
        <v>42</v>
      </c>
      <c r="B56" s="565" t="str">
        <f>IF('As-Filed Schedule 2F'!B56:D56=0,"",'As-Filed Schedule 2F'!B56:D56)</f>
        <v/>
      </c>
      <c r="C56" s="565"/>
      <c r="D56" s="565"/>
      <c r="F56" s="114">
        <f>'As-Filed Schedule 2F'!F56</f>
        <v>0</v>
      </c>
      <c r="G56" s="307">
        <f>SUMIFS(Adjustments!$G:$G,Adjustments!$H:$H,"2F",Adjustments!$I:$I,'Schedule 2F Adjustments'!$F$12,Adjustments!$J:$J,'Schedule 2F Adjustments'!$A56)</f>
        <v>0</v>
      </c>
      <c r="H56" s="303">
        <f t="shared" si="0"/>
        <v>0</v>
      </c>
      <c r="I56" s="68">
        <f>IFERROR(F56*'As-Filed Schedule 1'!$E$103,0)</f>
        <v>0</v>
      </c>
      <c r="J56" s="304">
        <f>IFERROR(H56*'Adjusted Schedule 1'!$E$104,0)</f>
        <v>0</v>
      </c>
      <c r="K56" s="68">
        <f t="shared" si="1"/>
        <v>0</v>
      </c>
      <c r="L56" s="304">
        <f t="shared" si="2"/>
        <v>0</v>
      </c>
      <c r="N56" s="114">
        <f>'As-Filed Schedule 2F'!J56</f>
        <v>0</v>
      </c>
      <c r="O56" s="307">
        <f>SUMIFS(Adjustments!$G:$G,Adjustments!$H:$H,"2F",Adjustments!$I:$I,'Schedule 2F Adjustments'!$N$12,Adjustments!$J:$J,'Schedule 2F Adjustments'!$A56)</f>
        <v>0</v>
      </c>
      <c r="P56" s="303">
        <f t="shared" si="3"/>
        <v>0</v>
      </c>
      <c r="Q56" s="68">
        <f>IFERROR(N56*'As-Filed Schedule 1'!$E$103,0)</f>
        <v>0</v>
      </c>
      <c r="R56" s="68">
        <f>IFERROR(P56*'Adjusted Schedule 1'!$E$104,0)</f>
        <v>0</v>
      </c>
      <c r="S56" s="68">
        <f t="shared" si="4"/>
        <v>0</v>
      </c>
      <c r="T56" s="304">
        <f t="shared" si="5"/>
        <v>0</v>
      </c>
      <c r="V56" s="117">
        <f>'As-Filed Schedule 2F'!N56</f>
        <v>0</v>
      </c>
      <c r="W56" s="307">
        <f>SUMIFS(Adjustments!$G:$G,Adjustments!$H:$H,"2F",Adjustments!$I:$I,'Schedule 2F Adjustments'!$V$12,Adjustments!$J:$J,'Schedule 2F Adjustments'!$A56)</f>
        <v>0</v>
      </c>
      <c r="X56" s="303">
        <f t="shared" si="6"/>
        <v>0</v>
      </c>
      <c r="Y56" s="117">
        <f>'As-Filed Schedule 2F'!O56</f>
        <v>0</v>
      </c>
      <c r="Z56" s="307">
        <f>SUMIFS(Adjustments!$G:$G,Adjustments!$H:$H,"2F",Adjustments!$I:$I,'Schedule 2F Adjustments'!$Y$12,Adjustments!$J:$J,'Schedule 2F Adjustments'!$A56)</f>
        <v>0</v>
      </c>
      <c r="AA56" s="303">
        <f t="shared" si="7"/>
        <v>0</v>
      </c>
    </row>
    <row r="57" spans="1:27" x14ac:dyDescent="0.35">
      <c r="A57" s="24">
        <v>43</v>
      </c>
      <c r="B57" s="565" t="str">
        <f>IF('As-Filed Schedule 2F'!B57:D57=0,"",'As-Filed Schedule 2F'!B57:D57)</f>
        <v/>
      </c>
      <c r="C57" s="565"/>
      <c r="D57" s="565"/>
      <c r="F57" s="114">
        <f>'As-Filed Schedule 2F'!F57</f>
        <v>0</v>
      </c>
      <c r="G57" s="307">
        <f>SUMIFS(Adjustments!$G:$G,Adjustments!$H:$H,"2F",Adjustments!$I:$I,'Schedule 2F Adjustments'!$F$12,Adjustments!$J:$J,'Schedule 2F Adjustments'!$A57)</f>
        <v>0</v>
      </c>
      <c r="H57" s="303">
        <f t="shared" si="0"/>
        <v>0</v>
      </c>
      <c r="I57" s="68">
        <f>IFERROR(F57*'As-Filed Schedule 1'!$E$103,0)</f>
        <v>0</v>
      </c>
      <c r="J57" s="304">
        <f>IFERROR(H57*'Adjusted Schedule 1'!$E$104,0)</f>
        <v>0</v>
      </c>
      <c r="K57" s="68">
        <f t="shared" si="1"/>
        <v>0</v>
      </c>
      <c r="L57" s="304">
        <f t="shared" si="2"/>
        <v>0</v>
      </c>
      <c r="N57" s="114">
        <f>'As-Filed Schedule 2F'!J57</f>
        <v>0</v>
      </c>
      <c r="O57" s="307">
        <f>SUMIFS(Adjustments!$G:$G,Adjustments!$H:$H,"2F",Adjustments!$I:$I,'Schedule 2F Adjustments'!$N$12,Adjustments!$J:$J,'Schedule 2F Adjustments'!$A57)</f>
        <v>0</v>
      </c>
      <c r="P57" s="303">
        <f t="shared" si="3"/>
        <v>0</v>
      </c>
      <c r="Q57" s="68">
        <f>IFERROR(N57*'As-Filed Schedule 1'!$E$103,0)</f>
        <v>0</v>
      </c>
      <c r="R57" s="68">
        <f>IFERROR(P57*'Adjusted Schedule 1'!$E$104,0)</f>
        <v>0</v>
      </c>
      <c r="S57" s="68">
        <f t="shared" si="4"/>
        <v>0</v>
      </c>
      <c r="T57" s="304">
        <f t="shared" si="5"/>
        <v>0</v>
      </c>
      <c r="V57" s="117">
        <f>'As-Filed Schedule 2F'!N57</f>
        <v>0</v>
      </c>
      <c r="W57" s="307">
        <f>SUMIFS(Adjustments!$G:$G,Adjustments!$H:$H,"2F",Adjustments!$I:$I,'Schedule 2F Adjustments'!$V$12,Adjustments!$J:$J,'Schedule 2F Adjustments'!$A57)</f>
        <v>0</v>
      </c>
      <c r="X57" s="303">
        <f t="shared" si="6"/>
        <v>0</v>
      </c>
      <c r="Y57" s="117">
        <f>'As-Filed Schedule 2F'!O57</f>
        <v>0</v>
      </c>
      <c r="Z57" s="307">
        <f>SUMIFS(Adjustments!$G:$G,Adjustments!$H:$H,"2F",Adjustments!$I:$I,'Schedule 2F Adjustments'!$Y$12,Adjustments!$J:$J,'Schedule 2F Adjustments'!$A57)</f>
        <v>0</v>
      </c>
      <c r="AA57" s="303">
        <f t="shared" si="7"/>
        <v>0</v>
      </c>
    </row>
    <row r="58" spans="1:27" x14ac:dyDescent="0.35">
      <c r="A58" s="24">
        <v>44</v>
      </c>
      <c r="B58" s="565" t="str">
        <f>IF('As-Filed Schedule 2F'!B58:D58=0,"",'As-Filed Schedule 2F'!B58:D58)</f>
        <v/>
      </c>
      <c r="C58" s="565"/>
      <c r="D58" s="565"/>
      <c r="F58" s="114">
        <f>'As-Filed Schedule 2F'!F58</f>
        <v>0</v>
      </c>
      <c r="G58" s="307">
        <f>SUMIFS(Adjustments!$G:$G,Adjustments!$H:$H,"2F",Adjustments!$I:$I,'Schedule 2F Adjustments'!$F$12,Adjustments!$J:$J,'Schedule 2F Adjustments'!$A58)</f>
        <v>0</v>
      </c>
      <c r="H58" s="303">
        <f t="shared" si="0"/>
        <v>0</v>
      </c>
      <c r="I58" s="68">
        <f>IFERROR(F58*'As-Filed Schedule 1'!$E$103,0)</f>
        <v>0</v>
      </c>
      <c r="J58" s="304">
        <f>IFERROR(H58*'Adjusted Schedule 1'!$E$104,0)</f>
        <v>0</v>
      </c>
      <c r="K58" s="68">
        <f t="shared" si="1"/>
        <v>0</v>
      </c>
      <c r="L58" s="304">
        <f t="shared" si="2"/>
        <v>0</v>
      </c>
      <c r="N58" s="114">
        <f>'As-Filed Schedule 2F'!J58</f>
        <v>0</v>
      </c>
      <c r="O58" s="307">
        <f>SUMIFS(Adjustments!$G:$G,Adjustments!$H:$H,"2F",Adjustments!$I:$I,'Schedule 2F Adjustments'!$N$12,Adjustments!$J:$J,'Schedule 2F Adjustments'!$A58)</f>
        <v>0</v>
      </c>
      <c r="P58" s="303">
        <f t="shared" si="3"/>
        <v>0</v>
      </c>
      <c r="Q58" s="68">
        <f>IFERROR(N58*'As-Filed Schedule 1'!$E$103,0)</f>
        <v>0</v>
      </c>
      <c r="R58" s="68">
        <f>IFERROR(P58*'Adjusted Schedule 1'!$E$104,0)</f>
        <v>0</v>
      </c>
      <c r="S58" s="68">
        <f t="shared" si="4"/>
        <v>0</v>
      </c>
      <c r="T58" s="304">
        <f t="shared" si="5"/>
        <v>0</v>
      </c>
      <c r="V58" s="117">
        <f>'As-Filed Schedule 2F'!N58</f>
        <v>0</v>
      </c>
      <c r="W58" s="307">
        <f>SUMIFS(Adjustments!$G:$G,Adjustments!$H:$H,"2F",Adjustments!$I:$I,'Schedule 2F Adjustments'!$V$12,Adjustments!$J:$J,'Schedule 2F Adjustments'!$A58)</f>
        <v>0</v>
      </c>
      <c r="X58" s="303">
        <f t="shared" si="6"/>
        <v>0</v>
      </c>
      <c r="Y58" s="117">
        <f>'As-Filed Schedule 2F'!O58</f>
        <v>0</v>
      </c>
      <c r="Z58" s="307">
        <f>SUMIFS(Adjustments!$G:$G,Adjustments!$H:$H,"2F",Adjustments!$I:$I,'Schedule 2F Adjustments'!$Y$12,Adjustments!$J:$J,'Schedule 2F Adjustments'!$A58)</f>
        <v>0</v>
      </c>
      <c r="AA58" s="303">
        <f t="shared" si="7"/>
        <v>0</v>
      </c>
    </row>
    <row r="59" spans="1:27" x14ac:dyDescent="0.35">
      <c r="A59" s="24">
        <v>45</v>
      </c>
      <c r="B59" s="565" t="str">
        <f>IF('As-Filed Schedule 2F'!B59:D59=0,"",'As-Filed Schedule 2F'!B59:D59)</f>
        <v/>
      </c>
      <c r="C59" s="565"/>
      <c r="D59" s="565"/>
      <c r="F59" s="114">
        <f>'As-Filed Schedule 2F'!F59</f>
        <v>0</v>
      </c>
      <c r="G59" s="307">
        <f>SUMIFS(Adjustments!$G:$G,Adjustments!$H:$H,"2F",Adjustments!$I:$I,'Schedule 2F Adjustments'!$F$12,Adjustments!$J:$J,'Schedule 2F Adjustments'!$A59)</f>
        <v>0</v>
      </c>
      <c r="H59" s="303">
        <f t="shared" si="0"/>
        <v>0</v>
      </c>
      <c r="I59" s="68">
        <f>IFERROR(F59*'As-Filed Schedule 1'!$E$103,0)</f>
        <v>0</v>
      </c>
      <c r="J59" s="304">
        <f>IFERROR(H59*'Adjusted Schedule 1'!$E$104,0)</f>
        <v>0</v>
      </c>
      <c r="K59" s="68">
        <f t="shared" si="1"/>
        <v>0</v>
      </c>
      <c r="L59" s="304">
        <f t="shared" si="2"/>
        <v>0</v>
      </c>
      <c r="N59" s="114">
        <f>'As-Filed Schedule 2F'!J59</f>
        <v>0</v>
      </c>
      <c r="O59" s="307">
        <f>SUMIFS(Adjustments!$G:$G,Adjustments!$H:$H,"2F",Adjustments!$I:$I,'Schedule 2F Adjustments'!$N$12,Adjustments!$J:$J,'Schedule 2F Adjustments'!$A59)</f>
        <v>0</v>
      </c>
      <c r="P59" s="303">
        <f t="shared" si="3"/>
        <v>0</v>
      </c>
      <c r="Q59" s="68">
        <f>IFERROR(N59*'As-Filed Schedule 1'!$E$103,0)</f>
        <v>0</v>
      </c>
      <c r="R59" s="68">
        <f>IFERROR(P59*'Adjusted Schedule 1'!$E$104,0)</f>
        <v>0</v>
      </c>
      <c r="S59" s="68">
        <f t="shared" si="4"/>
        <v>0</v>
      </c>
      <c r="T59" s="304">
        <f t="shared" si="5"/>
        <v>0</v>
      </c>
      <c r="V59" s="117">
        <f>'As-Filed Schedule 2F'!N59</f>
        <v>0</v>
      </c>
      <c r="W59" s="307">
        <f>SUMIFS(Adjustments!$G:$G,Adjustments!$H:$H,"2F",Adjustments!$I:$I,'Schedule 2F Adjustments'!$V$12,Adjustments!$J:$J,'Schedule 2F Adjustments'!$A59)</f>
        <v>0</v>
      </c>
      <c r="X59" s="303">
        <f t="shared" si="6"/>
        <v>0</v>
      </c>
      <c r="Y59" s="117">
        <f>'As-Filed Schedule 2F'!O59</f>
        <v>0</v>
      </c>
      <c r="Z59" s="307">
        <f>SUMIFS(Adjustments!$G:$G,Adjustments!$H:$H,"2F",Adjustments!$I:$I,'Schedule 2F Adjustments'!$Y$12,Adjustments!$J:$J,'Schedule 2F Adjustments'!$A59)</f>
        <v>0</v>
      </c>
      <c r="AA59" s="303">
        <f t="shared" si="7"/>
        <v>0</v>
      </c>
    </row>
    <row r="60" spans="1:27" x14ac:dyDescent="0.35">
      <c r="A60" s="24">
        <v>46</v>
      </c>
      <c r="B60" s="565" t="str">
        <f>IF('As-Filed Schedule 2F'!B60:D60=0,"",'As-Filed Schedule 2F'!B60:D60)</f>
        <v/>
      </c>
      <c r="C60" s="565"/>
      <c r="D60" s="565"/>
      <c r="F60" s="114">
        <f>'As-Filed Schedule 2F'!F60</f>
        <v>0</v>
      </c>
      <c r="G60" s="307">
        <f>SUMIFS(Adjustments!$G:$G,Adjustments!$H:$H,"2F",Adjustments!$I:$I,'Schedule 2F Adjustments'!$F$12,Adjustments!$J:$J,'Schedule 2F Adjustments'!$A60)</f>
        <v>0</v>
      </c>
      <c r="H60" s="303">
        <f t="shared" si="0"/>
        <v>0</v>
      </c>
      <c r="I60" s="68">
        <f>IFERROR(F60*'As-Filed Schedule 1'!$E$103,0)</f>
        <v>0</v>
      </c>
      <c r="J60" s="304">
        <f>IFERROR(H60*'Adjusted Schedule 1'!$E$104,0)</f>
        <v>0</v>
      </c>
      <c r="K60" s="68">
        <f t="shared" si="1"/>
        <v>0</v>
      </c>
      <c r="L60" s="304">
        <f t="shared" si="2"/>
        <v>0</v>
      </c>
      <c r="N60" s="114">
        <f>'As-Filed Schedule 2F'!J60</f>
        <v>0</v>
      </c>
      <c r="O60" s="307">
        <f>SUMIFS(Adjustments!$G:$G,Adjustments!$H:$H,"2F",Adjustments!$I:$I,'Schedule 2F Adjustments'!$N$12,Adjustments!$J:$J,'Schedule 2F Adjustments'!$A60)</f>
        <v>0</v>
      </c>
      <c r="P60" s="303">
        <f t="shared" si="3"/>
        <v>0</v>
      </c>
      <c r="Q60" s="68">
        <f>IFERROR(N60*'As-Filed Schedule 1'!$E$103,0)</f>
        <v>0</v>
      </c>
      <c r="R60" s="68">
        <f>IFERROR(P60*'Adjusted Schedule 1'!$E$104,0)</f>
        <v>0</v>
      </c>
      <c r="S60" s="68">
        <f t="shared" si="4"/>
        <v>0</v>
      </c>
      <c r="T60" s="304">
        <f t="shared" si="5"/>
        <v>0</v>
      </c>
      <c r="V60" s="117">
        <f>'As-Filed Schedule 2F'!N60</f>
        <v>0</v>
      </c>
      <c r="W60" s="307">
        <f>SUMIFS(Adjustments!$G:$G,Adjustments!$H:$H,"2F",Adjustments!$I:$I,'Schedule 2F Adjustments'!$V$12,Adjustments!$J:$J,'Schedule 2F Adjustments'!$A60)</f>
        <v>0</v>
      </c>
      <c r="X60" s="303">
        <f t="shared" si="6"/>
        <v>0</v>
      </c>
      <c r="Y60" s="117">
        <f>'As-Filed Schedule 2F'!O60</f>
        <v>0</v>
      </c>
      <c r="Z60" s="307">
        <f>SUMIFS(Adjustments!$G:$G,Adjustments!$H:$H,"2F",Adjustments!$I:$I,'Schedule 2F Adjustments'!$Y$12,Adjustments!$J:$J,'Schedule 2F Adjustments'!$A60)</f>
        <v>0</v>
      </c>
      <c r="AA60" s="303">
        <f t="shared" si="7"/>
        <v>0</v>
      </c>
    </row>
    <row r="61" spans="1:27" x14ac:dyDescent="0.35">
      <c r="A61" s="24">
        <v>47</v>
      </c>
      <c r="B61" s="565" t="str">
        <f>IF('As-Filed Schedule 2F'!B61:D61=0,"",'As-Filed Schedule 2F'!B61:D61)</f>
        <v/>
      </c>
      <c r="C61" s="565"/>
      <c r="D61" s="565"/>
      <c r="F61" s="114">
        <f>'As-Filed Schedule 2F'!F61</f>
        <v>0</v>
      </c>
      <c r="G61" s="307">
        <f>SUMIFS(Adjustments!$G:$G,Adjustments!$H:$H,"2F",Adjustments!$I:$I,'Schedule 2F Adjustments'!$F$12,Adjustments!$J:$J,'Schedule 2F Adjustments'!$A61)</f>
        <v>0</v>
      </c>
      <c r="H61" s="303">
        <f t="shared" si="0"/>
        <v>0</v>
      </c>
      <c r="I61" s="68">
        <f>IFERROR(F61*'As-Filed Schedule 1'!$E$103,0)</f>
        <v>0</v>
      </c>
      <c r="J61" s="304">
        <f>IFERROR(H61*'Adjusted Schedule 1'!$E$104,0)</f>
        <v>0</v>
      </c>
      <c r="K61" s="68">
        <f t="shared" si="1"/>
        <v>0</v>
      </c>
      <c r="L61" s="304">
        <f t="shared" si="2"/>
        <v>0</v>
      </c>
      <c r="N61" s="114">
        <f>'As-Filed Schedule 2F'!J61</f>
        <v>0</v>
      </c>
      <c r="O61" s="307">
        <f>SUMIFS(Adjustments!$G:$G,Adjustments!$H:$H,"2F",Adjustments!$I:$I,'Schedule 2F Adjustments'!$N$12,Adjustments!$J:$J,'Schedule 2F Adjustments'!$A61)</f>
        <v>0</v>
      </c>
      <c r="P61" s="303">
        <f t="shared" si="3"/>
        <v>0</v>
      </c>
      <c r="Q61" s="68">
        <f>IFERROR(N61*'As-Filed Schedule 1'!$E$103,0)</f>
        <v>0</v>
      </c>
      <c r="R61" s="68">
        <f>IFERROR(P61*'Adjusted Schedule 1'!$E$104,0)</f>
        <v>0</v>
      </c>
      <c r="S61" s="68">
        <f t="shared" si="4"/>
        <v>0</v>
      </c>
      <c r="T61" s="304">
        <f t="shared" si="5"/>
        <v>0</v>
      </c>
      <c r="V61" s="117">
        <f>'As-Filed Schedule 2F'!N61</f>
        <v>0</v>
      </c>
      <c r="W61" s="307">
        <f>SUMIFS(Adjustments!$G:$G,Adjustments!$H:$H,"2F",Adjustments!$I:$I,'Schedule 2F Adjustments'!$V$12,Adjustments!$J:$J,'Schedule 2F Adjustments'!$A61)</f>
        <v>0</v>
      </c>
      <c r="X61" s="303">
        <f t="shared" si="6"/>
        <v>0</v>
      </c>
      <c r="Y61" s="117">
        <f>'As-Filed Schedule 2F'!O61</f>
        <v>0</v>
      </c>
      <c r="Z61" s="307">
        <f>SUMIFS(Adjustments!$G:$G,Adjustments!$H:$H,"2F",Adjustments!$I:$I,'Schedule 2F Adjustments'!$Y$12,Adjustments!$J:$J,'Schedule 2F Adjustments'!$A61)</f>
        <v>0</v>
      </c>
      <c r="AA61" s="303">
        <f t="shared" si="7"/>
        <v>0</v>
      </c>
    </row>
    <row r="62" spans="1:27" x14ac:dyDescent="0.35">
      <c r="A62" s="24">
        <v>48</v>
      </c>
      <c r="B62" s="565" t="str">
        <f>IF('As-Filed Schedule 2F'!B62:D62=0,"",'As-Filed Schedule 2F'!B62:D62)</f>
        <v/>
      </c>
      <c r="C62" s="565"/>
      <c r="D62" s="565"/>
      <c r="F62" s="114">
        <f>'As-Filed Schedule 2F'!F62</f>
        <v>0</v>
      </c>
      <c r="G62" s="307">
        <f>SUMIFS(Adjustments!$G:$G,Adjustments!$H:$H,"2F",Adjustments!$I:$I,'Schedule 2F Adjustments'!$F$12,Adjustments!$J:$J,'Schedule 2F Adjustments'!$A62)</f>
        <v>0</v>
      </c>
      <c r="H62" s="303">
        <f t="shared" si="0"/>
        <v>0</v>
      </c>
      <c r="I62" s="68">
        <f>IFERROR(F62*'As-Filed Schedule 1'!$E$103,0)</f>
        <v>0</v>
      </c>
      <c r="J62" s="304">
        <f>IFERROR(H62*'Adjusted Schedule 1'!$E$104,0)</f>
        <v>0</v>
      </c>
      <c r="K62" s="68">
        <f t="shared" si="1"/>
        <v>0</v>
      </c>
      <c r="L62" s="304">
        <f t="shared" si="2"/>
        <v>0</v>
      </c>
      <c r="N62" s="114">
        <f>'As-Filed Schedule 2F'!J62</f>
        <v>0</v>
      </c>
      <c r="O62" s="307">
        <f>SUMIFS(Adjustments!$G:$G,Adjustments!$H:$H,"2F",Adjustments!$I:$I,'Schedule 2F Adjustments'!$N$12,Adjustments!$J:$J,'Schedule 2F Adjustments'!$A62)</f>
        <v>0</v>
      </c>
      <c r="P62" s="303">
        <f t="shared" si="3"/>
        <v>0</v>
      </c>
      <c r="Q62" s="68">
        <f>IFERROR(N62*'As-Filed Schedule 1'!$E$103,0)</f>
        <v>0</v>
      </c>
      <c r="R62" s="68">
        <f>IFERROR(P62*'Adjusted Schedule 1'!$E$104,0)</f>
        <v>0</v>
      </c>
      <c r="S62" s="68">
        <f t="shared" si="4"/>
        <v>0</v>
      </c>
      <c r="T62" s="304">
        <f t="shared" si="5"/>
        <v>0</v>
      </c>
      <c r="V62" s="117">
        <f>'As-Filed Schedule 2F'!N62</f>
        <v>0</v>
      </c>
      <c r="W62" s="307">
        <f>SUMIFS(Adjustments!$G:$G,Adjustments!$H:$H,"2F",Adjustments!$I:$I,'Schedule 2F Adjustments'!$V$12,Adjustments!$J:$J,'Schedule 2F Adjustments'!$A62)</f>
        <v>0</v>
      </c>
      <c r="X62" s="303">
        <f t="shared" si="6"/>
        <v>0</v>
      </c>
      <c r="Y62" s="117">
        <f>'As-Filed Schedule 2F'!O62</f>
        <v>0</v>
      </c>
      <c r="Z62" s="307">
        <f>SUMIFS(Adjustments!$G:$G,Adjustments!$H:$H,"2F",Adjustments!$I:$I,'Schedule 2F Adjustments'!$Y$12,Adjustments!$J:$J,'Schedule 2F Adjustments'!$A62)</f>
        <v>0</v>
      </c>
      <c r="AA62" s="303">
        <f t="shared" si="7"/>
        <v>0</v>
      </c>
    </row>
    <row r="63" spans="1:27" x14ac:dyDescent="0.35">
      <c r="A63" s="24">
        <v>49</v>
      </c>
      <c r="B63" s="565" t="str">
        <f>IF('As-Filed Schedule 2F'!B63:D63=0,"",'As-Filed Schedule 2F'!B63:D63)</f>
        <v/>
      </c>
      <c r="C63" s="565"/>
      <c r="D63" s="565"/>
      <c r="F63" s="114">
        <f>'As-Filed Schedule 2F'!F63</f>
        <v>0</v>
      </c>
      <c r="G63" s="307">
        <f>SUMIFS(Adjustments!$G:$G,Adjustments!$H:$H,"2F",Adjustments!$I:$I,'Schedule 2F Adjustments'!$F$12,Adjustments!$J:$J,'Schedule 2F Adjustments'!$A63)</f>
        <v>0</v>
      </c>
      <c r="H63" s="303">
        <f t="shared" si="0"/>
        <v>0</v>
      </c>
      <c r="I63" s="68">
        <f>IFERROR(F63*'As-Filed Schedule 1'!$E$103,0)</f>
        <v>0</v>
      </c>
      <c r="J63" s="304">
        <f>IFERROR(H63*'Adjusted Schedule 1'!$E$104,0)</f>
        <v>0</v>
      </c>
      <c r="K63" s="68">
        <f t="shared" si="1"/>
        <v>0</v>
      </c>
      <c r="L63" s="304">
        <f t="shared" si="2"/>
        <v>0</v>
      </c>
      <c r="N63" s="114">
        <f>'As-Filed Schedule 2F'!J63</f>
        <v>0</v>
      </c>
      <c r="O63" s="307">
        <f>SUMIFS(Adjustments!$G:$G,Adjustments!$H:$H,"2F",Adjustments!$I:$I,'Schedule 2F Adjustments'!$N$12,Adjustments!$J:$J,'Schedule 2F Adjustments'!$A63)</f>
        <v>0</v>
      </c>
      <c r="P63" s="303">
        <f t="shared" si="3"/>
        <v>0</v>
      </c>
      <c r="Q63" s="68">
        <f>IFERROR(N63*'As-Filed Schedule 1'!$E$103,0)</f>
        <v>0</v>
      </c>
      <c r="R63" s="68">
        <f>IFERROR(P63*'Adjusted Schedule 1'!$E$104,0)</f>
        <v>0</v>
      </c>
      <c r="S63" s="68">
        <f t="shared" si="4"/>
        <v>0</v>
      </c>
      <c r="T63" s="304">
        <f t="shared" si="5"/>
        <v>0</v>
      </c>
      <c r="V63" s="117">
        <f>'As-Filed Schedule 2F'!N63</f>
        <v>0</v>
      </c>
      <c r="W63" s="307">
        <f>SUMIFS(Adjustments!$G:$G,Adjustments!$H:$H,"2F",Adjustments!$I:$I,'Schedule 2F Adjustments'!$V$12,Adjustments!$J:$J,'Schedule 2F Adjustments'!$A63)</f>
        <v>0</v>
      </c>
      <c r="X63" s="303">
        <f t="shared" si="6"/>
        <v>0</v>
      </c>
      <c r="Y63" s="117">
        <f>'As-Filed Schedule 2F'!O63</f>
        <v>0</v>
      </c>
      <c r="Z63" s="307">
        <f>SUMIFS(Adjustments!$G:$G,Adjustments!$H:$H,"2F",Adjustments!$I:$I,'Schedule 2F Adjustments'!$Y$12,Adjustments!$J:$J,'Schedule 2F Adjustments'!$A63)</f>
        <v>0</v>
      </c>
      <c r="AA63" s="303">
        <f t="shared" si="7"/>
        <v>0</v>
      </c>
    </row>
    <row r="64" spans="1:27" x14ac:dyDescent="0.35">
      <c r="A64" s="24">
        <v>50</v>
      </c>
      <c r="B64" s="565" t="str">
        <f>IF('As-Filed Schedule 2F'!B64:D64=0,"",'As-Filed Schedule 2F'!B64:D64)</f>
        <v/>
      </c>
      <c r="C64" s="565"/>
      <c r="D64" s="565"/>
      <c r="F64" s="114">
        <f>'As-Filed Schedule 2F'!F64</f>
        <v>0</v>
      </c>
      <c r="G64" s="307">
        <f>SUMIFS(Adjustments!$G:$G,Adjustments!$H:$H,"2F",Adjustments!$I:$I,'Schedule 2F Adjustments'!$F$12,Adjustments!$J:$J,'Schedule 2F Adjustments'!$A64)</f>
        <v>0</v>
      </c>
      <c r="H64" s="303">
        <f t="shared" si="0"/>
        <v>0</v>
      </c>
      <c r="I64" s="68">
        <f>IFERROR(F64*'As-Filed Schedule 1'!$E$103,0)</f>
        <v>0</v>
      </c>
      <c r="J64" s="304">
        <f>IFERROR(H64*'Adjusted Schedule 1'!$E$104,0)</f>
        <v>0</v>
      </c>
      <c r="K64" s="68">
        <f t="shared" si="1"/>
        <v>0</v>
      </c>
      <c r="L64" s="304">
        <f t="shared" si="2"/>
        <v>0</v>
      </c>
      <c r="N64" s="114">
        <f>'As-Filed Schedule 2F'!J64</f>
        <v>0</v>
      </c>
      <c r="O64" s="307">
        <f>SUMIFS(Adjustments!$G:$G,Adjustments!$H:$H,"2F",Adjustments!$I:$I,'Schedule 2F Adjustments'!$N$12,Adjustments!$J:$J,'Schedule 2F Adjustments'!$A64)</f>
        <v>0</v>
      </c>
      <c r="P64" s="303">
        <f t="shared" si="3"/>
        <v>0</v>
      </c>
      <c r="Q64" s="68">
        <f>IFERROR(N64*'As-Filed Schedule 1'!$E$103,0)</f>
        <v>0</v>
      </c>
      <c r="R64" s="68">
        <f>IFERROR(P64*'Adjusted Schedule 1'!$E$104,0)</f>
        <v>0</v>
      </c>
      <c r="S64" s="68">
        <f t="shared" si="4"/>
        <v>0</v>
      </c>
      <c r="T64" s="304">
        <f t="shared" si="5"/>
        <v>0</v>
      </c>
      <c r="V64" s="117">
        <f>'As-Filed Schedule 2F'!N64</f>
        <v>0</v>
      </c>
      <c r="W64" s="307">
        <f>SUMIFS(Adjustments!$G:$G,Adjustments!$H:$H,"2F",Adjustments!$I:$I,'Schedule 2F Adjustments'!$V$12,Adjustments!$J:$J,'Schedule 2F Adjustments'!$A64)</f>
        <v>0</v>
      </c>
      <c r="X64" s="303">
        <f t="shared" si="6"/>
        <v>0</v>
      </c>
      <c r="Y64" s="117">
        <f>'As-Filed Schedule 2F'!O64</f>
        <v>0</v>
      </c>
      <c r="Z64" s="307">
        <f>SUMIFS(Adjustments!$G:$G,Adjustments!$H:$H,"2F",Adjustments!$I:$I,'Schedule 2F Adjustments'!$Y$12,Adjustments!$J:$J,'Schedule 2F Adjustments'!$A64)</f>
        <v>0</v>
      </c>
      <c r="AA64" s="303">
        <f t="shared" si="7"/>
        <v>0</v>
      </c>
    </row>
    <row r="65" spans="1:27" x14ac:dyDescent="0.35">
      <c r="A65" s="24">
        <v>51</v>
      </c>
      <c r="B65" s="565" t="str">
        <f>IF('As-Filed Schedule 2F'!B65:D65=0,"",'As-Filed Schedule 2F'!B65:D65)</f>
        <v/>
      </c>
      <c r="C65" s="565"/>
      <c r="D65" s="565"/>
      <c r="F65" s="114">
        <f>'As-Filed Schedule 2F'!F65</f>
        <v>0</v>
      </c>
      <c r="G65" s="307">
        <f>SUMIFS(Adjustments!$G:$G,Adjustments!$H:$H,"2F",Adjustments!$I:$I,'Schedule 2F Adjustments'!$F$12,Adjustments!$J:$J,'Schedule 2F Adjustments'!$A65)</f>
        <v>0</v>
      </c>
      <c r="H65" s="303">
        <f t="shared" si="0"/>
        <v>0</v>
      </c>
      <c r="I65" s="68">
        <f>IFERROR(F65*'As-Filed Schedule 1'!$E$103,0)</f>
        <v>0</v>
      </c>
      <c r="J65" s="304">
        <f>IFERROR(H65*'Adjusted Schedule 1'!$E$104,0)</f>
        <v>0</v>
      </c>
      <c r="K65" s="68">
        <f t="shared" si="1"/>
        <v>0</v>
      </c>
      <c r="L65" s="304">
        <f t="shared" si="2"/>
        <v>0</v>
      </c>
      <c r="N65" s="114">
        <f>'As-Filed Schedule 2F'!J65</f>
        <v>0</v>
      </c>
      <c r="O65" s="307">
        <f>SUMIFS(Adjustments!$G:$G,Adjustments!$H:$H,"2F",Adjustments!$I:$I,'Schedule 2F Adjustments'!$N$12,Adjustments!$J:$J,'Schedule 2F Adjustments'!$A65)</f>
        <v>0</v>
      </c>
      <c r="P65" s="303">
        <f t="shared" si="3"/>
        <v>0</v>
      </c>
      <c r="Q65" s="68">
        <f>IFERROR(N65*'As-Filed Schedule 1'!$E$103,0)</f>
        <v>0</v>
      </c>
      <c r="R65" s="68">
        <f>IFERROR(P65*'Adjusted Schedule 1'!$E$104,0)</f>
        <v>0</v>
      </c>
      <c r="S65" s="68">
        <f t="shared" si="4"/>
        <v>0</v>
      </c>
      <c r="T65" s="304">
        <f t="shared" si="5"/>
        <v>0</v>
      </c>
      <c r="V65" s="117">
        <f>'As-Filed Schedule 2F'!N65</f>
        <v>0</v>
      </c>
      <c r="W65" s="307">
        <f>SUMIFS(Adjustments!$G:$G,Adjustments!$H:$H,"2F",Adjustments!$I:$I,'Schedule 2F Adjustments'!$V$12,Adjustments!$J:$J,'Schedule 2F Adjustments'!$A65)</f>
        <v>0</v>
      </c>
      <c r="X65" s="303">
        <f t="shared" si="6"/>
        <v>0</v>
      </c>
      <c r="Y65" s="117">
        <f>'As-Filed Schedule 2F'!O65</f>
        <v>0</v>
      </c>
      <c r="Z65" s="307">
        <f>SUMIFS(Adjustments!$G:$G,Adjustments!$H:$H,"2F",Adjustments!$I:$I,'Schedule 2F Adjustments'!$Y$12,Adjustments!$J:$J,'Schedule 2F Adjustments'!$A65)</f>
        <v>0</v>
      </c>
      <c r="AA65" s="303">
        <f t="shared" si="7"/>
        <v>0</v>
      </c>
    </row>
    <row r="66" spans="1:27" x14ac:dyDescent="0.35">
      <c r="A66" s="24">
        <v>52</v>
      </c>
      <c r="B66" s="565" t="str">
        <f>IF('As-Filed Schedule 2F'!B66:D66=0,"",'As-Filed Schedule 2F'!B66:D66)</f>
        <v/>
      </c>
      <c r="C66" s="565"/>
      <c r="D66" s="565"/>
      <c r="F66" s="114">
        <f>'As-Filed Schedule 2F'!F66</f>
        <v>0</v>
      </c>
      <c r="G66" s="307">
        <f>SUMIFS(Adjustments!$G:$G,Adjustments!$H:$H,"2F",Adjustments!$I:$I,'Schedule 2F Adjustments'!$F$12,Adjustments!$J:$J,'Schedule 2F Adjustments'!$A66)</f>
        <v>0</v>
      </c>
      <c r="H66" s="303">
        <f t="shared" si="0"/>
        <v>0</v>
      </c>
      <c r="I66" s="68">
        <f>IFERROR(F66*'As-Filed Schedule 1'!$E$103,0)</f>
        <v>0</v>
      </c>
      <c r="J66" s="304">
        <f>IFERROR(H66*'Adjusted Schedule 1'!$E$104,0)</f>
        <v>0</v>
      </c>
      <c r="K66" s="68">
        <f t="shared" si="1"/>
        <v>0</v>
      </c>
      <c r="L66" s="304">
        <f t="shared" si="2"/>
        <v>0</v>
      </c>
      <c r="N66" s="114">
        <f>'As-Filed Schedule 2F'!J66</f>
        <v>0</v>
      </c>
      <c r="O66" s="307">
        <f>SUMIFS(Adjustments!$G:$G,Adjustments!$H:$H,"2F",Adjustments!$I:$I,'Schedule 2F Adjustments'!$N$12,Adjustments!$J:$J,'Schedule 2F Adjustments'!$A66)</f>
        <v>0</v>
      </c>
      <c r="P66" s="303">
        <f t="shared" si="3"/>
        <v>0</v>
      </c>
      <c r="Q66" s="68">
        <f>IFERROR(N66*'As-Filed Schedule 1'!$E$103,0)</f>
        <v>0</v>
      </c>
      <c r="R66" s="68">
        <f>IFERROR(P66*'Adjusted Schedule 1'!$E$104,0)</f>
        <v>0</v>
      </c>
      <c r="S66" s="68">
        <f t="shared" si="4"/>
        <v>0</v>
      </c>
      <c r="T66" s="304">
        <f t="shared" si="5"/>
        <v>0</v>
      </c>
      <c r="V66" s="117">
        <f>'As-Filed Schedule 2F'!N66</f>
        <v>0</v>
      </c>
      <c r="W66" s="307">
        <f>SUMIFS(Adjustments!$G:$G,Adjustments!$H:$H,"2F",Adjustments!$I:$I,'Schedule 2F Adjustments'!$V$12,Adjustments!$J:$J,'Schedule 2F Adjustments'!$A66)</f>
        <v>0</v>
      </c>
      <c r="X66" s="303">
        <f t="shared" si="6"/>
        <v>0</v>
      </c>
      <c r="Y66" s="117">
        <f>'As-Filed Schedule 2F'!O66</f>
        <v>0</v>
      </c>
      <c r="Z66" s="307">
        <f>SUMIFS(Adjustments!$G:$G,Adjustments!$H:$H,"2F",Adjustments!$I:$I,'Schedule 2F Adjustments'!$Y$12,Adjustments!$J:$J,'Schedule 2F Adjustments'!$A66)</f>
        <v>0</v>
      </c>
      <c r="AA66" s="303">
        <f t="shared" si="7"/>
        <v>0</v>
      </c>
    </row>
    <row r="67" spans="1:27" x14ac:dyDescent="0.35">
      <c r="A67" s="24">
        <v>53</v>
      </c>
      <c r="B67" s="565" t="str">
        <f>IF('As-Filed Schedule 2F'!B67:D67=0,"",'As-Filed Schedule 2F'!B67:D67)</f>
        <v/>
      </c>
      <c r="C67" s="565"/>
      <c r="D67" s="565"/>
      <c r="F67" s="114">
        <f>'As-Filed Schedule 2F'!F67</f>
        <v>0</v>
      </c>
      <c r="G67" s="307">
        <f>SUMIFS(Adjustments!$G:$G,Adjustments!$H:$H,"2F",Adjustments!$I:$I,'Schedule 2F Adjustments'!$F$12,Adjustments!$J:$J,'Schedule 2F Adjustments'!$A67)</f>
        <v>0</v>
      </c>
      <c r="H67" s="303">
        <f t="shared" si="0"/>
        <v>0</v>
      </c>
      <c r="I67" s="68">
        <f>IFERROR(F67*'As-Filed Schedule 1'!$E$103,0)</f>
        <v>0</v>
      </c>
      <c r="J67" s="304">
        <f>IFERROR(H67*'Adjusted Schedule 1'!$E$104,0)</f>
        <v>0</v>
      </c>
      <c r="K67" s="68">
        <f t="shared" si="1"/>
        <v>0</v>
      </c>
      <c r="L67" s="304">
        <f t="shared" si="2"/>
        <v>0</v>
      </c>
      <c r="N67" s="114">
        <f>'As-Filed Schedule 2F'!J67</f>
        <v>0</v>
      </c>
      <c r="O67" s="307">
        <f>SUMIFS(Adjustments!$G:$G,Adjustments!$H:$H,"2F",Adjustments!$I:$I,'Schedule 2F Adjustments'!$N$12,Adjustments!$J:$J,'Schedule 2F Adjustments'!$A67)</f>
        <v>0</v>
      </c>
      <c r="P67" s="303">
        <f t="shared" si="3"/>
        <v>0</v>
      </c>
      <c r="Q67" s="68">
        <f>IFERROR(N67*'As-Filed Schedule 1'!$E$103,0)</f>
        <v>0</v>
      </c>
      <c r="R67" s="68">
        <f>IFERROR(P67*'Adjusted Schedule 1'!$E$104,0)</f>
        <v>0</v>
      </c>
      <c r="S67" s="68">
        <f t="shared" si="4"/>
        <v>0</v>
      </c>
      <c r="T67" s="304">
        <f t="shared" si="5"/>
        <v>0</v>
      </c>
      <c r="V67" s="117">
        <f>'As-Filed Schedule 2F'!N67</f>
        <v>0</v>
      </c>
      <c r="W67" s="307">
        <f>SUMIFS(Adjustments!$G:$G,Adjustments!$H:$H,"2F",Adjustments!$I:$I,'Schedule 2F Adjustments'!$V$12,Adjustments!$J:$J,'Schedule 2F Adjustments'!$A67)</f>
        <v>0</v>
      </c>
      <c r="X67" s="303">
        <f t="shared" si="6"/>
        <v>0</v>
      </c>
      <c r="Y67" s="117">
        <f>'As-Filed Schedule 2F'!O67</f>
        <v>0</v>
      </c>
      <c r="Z67" s="307">
        <f>SUMIFS(Adjustments!$G:$G,Adjustments!$H:$H,"2F",Adjustments!$I:$I,'Schedule 2F Adjustments'!$Y$12,Adjustments!$J:$J,'Schedule 2F Adjustments'!$A67)</f>
        <v>0</v>
      </c>
      <c r="AA67" s="303">
        <f t="shared" si="7"/>
        <v>0</v>
      </c>
    </row>
    <row r="68" spans="1:27" x14ac:dyDescent="0.35">
      <c r="A68" s="24">
        <v>54</v>
      </c>
      <c r="B68" s="565" t="str">
        <f>IF('As-Filed Schedule 2F'!B68:D68=0,"",'As-Filed Schedule 2F'!B68:D68)</f>
        <v/>
      </c>
      <c r="C68" s="565"/>
      <c r="D68" s="565"/>
      <c r="F68" s="114">
        <f>'As-Filed Schedule 2F'!F68</f>
        <v>0</v>
      </c>
      <c r="G68" s="307">
        <f>SUMIFS(Adjustments!$G:$G,Adjustments!$H:$H,"2F",Adjustments!$I:$I,'Schedule 2F Adjustments'!$F$12,Adjustments!$J:$J,'Schedule 2F Adjustments'!$A68)</f>
        <v>0</v>
      </c>
      <c r="H68" s="303">
        <f t="shared" si="0"/>
        <v>0</v>
      </c>
      <c r="I68" s="68">
        <f>IFERROR(F68*'As-Filed Schedule 1'!$E$103,0)</f>
        <v>0</v>
      </c>
      <c r="J68" s="304">
        <f>IFERROR(H68*'Adjusted Schedule 1'!$E$104,0)</f>
        <v>0</v>
      </c>
      <c r="K68" s="68">
        <f t="shared" si="1"/>
        <v>0</v>
      </c>
      <c r="L68" s="304">
        <f t="shared" si="2"/>
        <v>0</v>
      </c>
      <c r="N68" s="114">
        <f>'As-Filed Schedule 2F'!J68</f>
        <v>0</v>
      </c>
      <c r="O68" s="307">
        <f>SUMIFS(Adjustments!$G:$G,Adjustments!$H:$H,"2F",Adjustments!$I:$I,'Schedule 2F Adjustments'!$N$12,Adjustments!$J:$J,'Schedule 2F Adjustments'!$A68)</f>
        <v>0</v>
      </c>
      <c r="P68" s="303">
        <f t="shared" si="3"/>
        <v>0</v>
      </c>
      <c r="Q68" s="68">
        <f>IFERROR(N68*'As-Filed Schedule 1'!$E$103,0)</f>
        <v>0</v>
      </c>
      <c r="R68" s="68">
        <f>IFERROR(P68*'Adjusted Schedule 1'!$E$104,0)</f>
        <v>0</v>
      </c>
      <c r="S68" s="68">
        <f t="shared" si="4"/>
        <v>0</v>
      </c>
      <c r="T68" s="304">
        <f t="shared" si="5"/>
        <v>0</v>
      </c>
      <c r="V68" s="117">
        <f>'As-Filed Schedule 2F'!N68</f>
        <v>0</v>
      </c>
      <c r="W68" s="307">
        <f>SUMIFS(Adjustments!$G:$G,Adjustments!$H:$H,"2F",Adjustments!$I:$I,'Schedule 2F Adjustments'!$V$12,Adjustments!$J:$J,'Schedule 2F Adjustments'!$A68)</f>
        <v>0</v>
      </c>
      <c r="X68" s="303">
        <f t="shared" si="6"/>
        <v>0</v>
      </c>
      <c r="Y68" s="117">
        <f>'As-Filed Schedule 2F'!O68</f>
        <v>0</v>
      </c>
      <c r="Z68" s="307">
        <f>SUMIFS(Adjustments!$G:$G,Adjustments!$H:$H,"2F",Adjustments!$I:$I,'Schedule 2F Adjustments'!$Y$12,Adjustments!$J:$J,'Schedule 2F Adjustments'!$A68)</f>
        <v>0</v>
      </c>
      <c r="AA68" s="303">
        <f t="shared" si="7"/>
        <v>0</v>
      </c>
    </row>
    <row r="69" spans="1:27" x14ac:dyDescent="0.35">
      <c r="A69" s="24">
        <v>55</v>
      </c>
      <c r="B69" s="565" t="str">
        <f>IF('As-Filed Schedule 2F'!B69:D69=0,"",'As-Filed Schedule 2F'!B69:D69)</f>
        <v/>
      </c>
      <c r="C69" s="565"/>
      <c r="D69" s="565"/>
      <c r="F69" s="114">
        <f>'As-Filed Schedule 2F'!F69</f>
        <v>0</v>
      </c>
      <c r="G69" s="307">
        <f>SUMIFS(Adjustments!$G:$G,Adjustments!$H:$H,"2F",Adjustments!$I:$I,'Schedule 2F Adjustments'!$F$12,Adjustments!$J:$J,'Schedule 2F Adjustments'!$A69)</f>
        <v>0</v>
      </c>
      <c r="H69" s="303">
        <f t="shared" si="0"/>
        <v>0</v>
      </c>
      <c r="I69" s="68">
        <f>IFERROR(F69*'As-Filed Schedule 1'!$E$103,0)</f>
        <v>0</v>
      </c>
      <c r="J69" s="304">
        <f>IFERROR(H69*'Adjusted Schedule 1'!$E$104,0)</f>
        <v>0</v>
      </c>
      <c r="K69" s="68">
        <f t="shared" si="1"/>
        <v>0</v>
      </c>
      <c r="L69" s="304">
        <f t="shared" si="2"/>
        <v>0</v>
      </c>
      <c r="N69" s="114">
        <f>'As-Filed Schedule 2F'!J69</f>
        <v>0</v>
      </c>
      <c r="O69" s="307">
        <f>SUMIFS(Adjustments!$G:$G,Adjustments!$H:$H,"2F",Adjustments!$I:$I,'Schedule 2F Adjustments'!$N$12,Adjustments!$J:$J,'Schedule 2F Adjustments'!$A69)</f>
        <v>0</v>
      </c>
      <c r="P69" s="303">
        <f t="shared" si="3"/>
        <v>0</v>
      </c>
      <c r="Q69" s="68">
        <f>IFERROR(N69*'As-Filed Schedule 1'!$E$103,0)</f>
        <v>0</v>
      </c>
      <c r="R69" s="68">
        <f>IFERROR(P69*'Adjusted Schedule 1'!$E$104,0)</f>
        <v>0</v>
      </c>
      <c r="S69" s="68">
        <f t="shared" si="4"/>
        <v>0</v>
      </c>
      <c r="T69" s="304">
        <f t="shared" si="5"/>
        <v>0</v>
      </c>
      <c r="V69" s="117">
        <f>'As-Filed Schedule 2F'!N69</f>
        <v>0</v>
      </c>
      <c r="W69" s="307">
        <f>SUMIFS(Adjustments!$G:$G,Adjustments!$H:$H,"2F",Adjustments!$I:$I,'Schedule 2F Adjustments'!$V$12,Adjustments!$J:$J,'Schedule 2F Adjustments'!$A69)</f>
        <v>0</v>
      </c>
      <c r="X69" s="303">
        <f t="shared" si="6"/>
        <v>0</v>
      </c>
      <c r="Y69" s="117">
        <f>'As-Filed Schedule 2F'!O69</f>
        <v>0</v>
      </c>
      <c r="Z69" s="307">
        <f>SUMIFS(Adjustments!$G:$G,Adjustments!$H:$H,"2F",Adjustments!$I:$I,'Schedule 2F Adjustments'!$Y$12,Adjustments!$J:$J,'Schedule 2F Adjustments'!$A69)</f>
        <v>0</v>
      </c>
      <c r="AA69" s="303">
        <f t="shared" si="7"/>
        <v>0</v>
      </c>
    </row>
    <row r="70" spans="1:27" x14ac:dyDescent="0.35">
      <c r="A70" s="24">
        <v>56</v>
      </c>
      <c r="B70" s="565" t="str">
        <f>IF('As-Filed Schedule 2F'!B70:D70=0,"",'As-Filed Schedule 2F'!B70:D70)</f>
        <v/>
      </c>
      <c r="C70" s="565"/>
      <c r="D70" s="565"/>
      <c r="F70" s="114">
        <f>'As-Filed Schedule 2F'!F70</f>
        <v>0</v>
      </c>
      <c r="G70" s="307">
        <f>SUMIFS(Adjustments!$G:$G,Adjustments!$H:$H,"2F",Adjustments!$I:$I,'Schedule 2F Adjustments'!$F$12,Adjustments!$J:$J,'Schedule 2F Adjustments'!$A70)</f>
        <v>0</v>
      </c>
      <c r="H70" s="303">
        <f t="shared" si="0"/>
        <v>0</v>
      </c>
      <c r="I70" s="68">
        <f>IFERROR(F70*'As-Filed Schedule 1'!$E$103,0)</f>
        <v>0</v>
      </c>
      <c r="J70" s="304">
        <f>IFERROR(H70*'Adjusted Schedule 1'!$E$104,0)</f>
        <v>0</v>
      </c>
      <c r="K70" s="68">
        <f t="shared" si="1"/>
        <v>0</v>
      </c>
      <c r="L70" s="304">
        <f t="shared" si="2"/>
        <v>0</v>
      </c>
      <c r="N70" s="114">
        <f>'As-Filed Schedule 2F'!J70</f>
        <v>0</v>
      </c>
      <c r="O70" s="307">
        <f>SUMIFS(Adjustments!$G:$G,Adjustments!$H:$H,"2F",Adjustments!$I:$I,'Schedule 2F Adjustments'!$N$12,Adjustments!$J:$J,'Schedule 2F Adjustments'!$A70)</f>
        <v>0</v>
      </c>
      <c r="P70" s="303">
        <f t="shared" si="3"/>
        <v>0</v>
      </c>
      <c r="Q70" s="68">
        <f>IFERROR(N70*'As-Filed Schedule 1'!$E$103,0)</f>
        <v>0</v>
      </c>
      <c r="R70" s="68">
        <f>IFERROR(P70*'Adjusted Schedule 1'!$E$104,0)</f>
        <v>0</v>
      </c>
      <c r="S70" s="68">
        <f t="shared" si="4"/>
        <v>0</v>
      </c>
      <c r="T70" s="304">
        <f t="shared" si="5"/>
        <v>0</v>
      </c>
      <c r="V70" s="117">
        <f>'As-Filed Schedule 2F'!N70</f>
        <v>0</v>
      </c>
      <c r="W70" s="307">
        <f>SUMIFS(Adjustments!$G:$G,Adjustments!$H:$H,"2F",Adjustments!$I:$I,'Schedule 2F Adjustments'!$V$12,Adjustments!$J:$J,'Schedule 2F Adjustments'!$A70)</f>
        <v>0</v>
      </c>
      <c r="X70" s="303">
        <f t="shared" si="6"/>
        <v>0</v>
      </c>
      <c r="Y70" s="117">
        <f>'As-Filed Schedule 2F'!O70</f>
        <v>0</v>
      </c>
      <c r="Z70" s="307">
        <f>SUMIFS(Adjustments!$G:$G,Adjustments!$H:$H,"2F",Adjustments!$I:$I,'Schedule 2F Adjustments'!$Y$12,Adjustments!$J:$J,'Schedule 2F Adjustments'!$A70)</f>
        <v>0</v>
      </c>
      <c r="AA70" s="303">
        <f t="shared" si="7"/>
        <v>0</v>
      </c>
    </row>
    <row r="71" spans="1:27" x14ac:dyDescent="0.35">
      <c r="A71" s="24">
        <v>57</v>
      </c>
      <c r="B71" s="565" t="str">
        <f>IF('As-Filed Schedule 2F'!B71:D71=0,"",'As-Filed Schedule 2F'!B71:D71)</f>
        <v/>
      </c>
      <c r="C71" s="565"/>
      <c r="D71" s="565"/>
      <c r="F71" s="114">
        <f>'As-Filed Schedule 2F'!F71</f>
        <v>0</v>
      </c>
      <c r="G71" s="307">
        <f>SUMIFS(Adjustments!$G:$G,Adjustments!$H:$H,"2F",Adjustments!$I:$I,'Schedule 2F Adjustments'!$F$12,Adjustments!$J:$J,'Schedule 2F Adjustments'!$A71)</f>
        <v>0</v>
      </c>
      <c r="H71" s="303">
        <f t="shared" si="0"/>
        <v>0</v>
      </c>
      <c r="I71" s="68">
        <f>IFERROR(F71*'As-Filed Schedule 1'!$E$103,0)</f>
        <v>0</v>
      </c>
      <c r="J71" s="304">
        <f>IFERROR(H71*'Adjusted Schedule 1'!$E$104,0)</f>
        <v>0</v>
      </c>
      <c r="K71" s="68">
        <f t="shared" si="1"/>
        <v>0</v>
      </c>
      <c r="L71" s="304">
        <f t="shared" si="2"/>
        <v>0</v>
      </c>
      <c r="N71" s="114">
        <f>'As-Filed Schedule 2F'!J71</f>
        <v>0</v>
      </c>
      <c r="O71" s="307">
        <f>SUMIFS(Adjustments!$G:$G,Adjustments!$H:$H,"2F",Adjustments!$I:$I,'Schedule 2F Adjustments'!$N$12,Adjustments!$J:$J,'Schedule 2F Adjustments'!$A71)</f>
        <v>0</v>
      </c>
      <c r="P71" s="303">
        <f t="shared" si="3"/>
        <v>0</v>
      </c>
      <c r="Q71" s="68">
        <f>IFERROR(N71*'As-Filed Schedule 1'!$E$103,0)</f>
        <v>0</v>
      </c>
      <c r="R71" s="68">
        <f>IFERROR(P71*'Adjusted Schedule 1'!$E$104,0)</f>
        <v>0</v>
      </c>
      <c r="S71" s="68">
        <f t="shared" si="4"/>
        <v>0</v>
      </c>
      <c r="T71" s="304">
        <f t="shared" si="5"/>
        <v>0</v>
      </c>
      <c r="V71" s="117">
        <f>'As-Filed Schedule 2F'!N71</f>
        <v>0</v>
      </c>
      <c r="W71" s="307">
        <f>SUMIFS(Adjustments!$G:$G,Adjustments!$H:$H,"2F",Adjustments!$I:$I,'Schedule 2F Adjustments'!$V$12,Adjustments!$J:$J,'Schedule 2F Adjustments'!$A71)</f>
        <v>0</v>
      </c>
      <c r="X71" s="303">
        <f t="shared" si="6"/>
        <v>0</v>
      </c>
      <c r="Y71" s="117">
        <f>'As-Filed Schedule 2F'!O71</f>
        <v>0</v>
      </c>
      <c r="Z71" s="307">
        <f>SUMIFS(Adjustments!$G:$G,Adjustments!$H:$H,"2F",Adjustments!$I:$I,'Schedule 2F Adjustments'!$Y$12,Adjustments!$J:$J,'Schedule 2F Adjustments'!$A71)</f>
        <v>0</v>
      </c>
      <c r="AA71" s="303">
        <f t="shared" si="7"/>
        <v>0</v>
      </c>
    </row>
    <row r="72" spans="1:27" x14ac:dyDescent="0.35">
      <c r="A72" s="24">
        <v>58</v>
      </c>
      <c r="B72" s="565" t="str">
        <f>IF('As-Filed Schedule 2F'!B72:D72=0,"",'As-Filed Schedule 2F'!B72:D72)</f>
        <v/>
      </c>
      <c r="C72" s="565"/>
      <c r="D72" s="565"/>
      <c r="F72" s="114">
        <f>'As-Filed Schedule 2F'!F72</f>
        <v>0</v>
      </c>
      <c r="G72" s="307">
        <f>SUMIFS(Adjustments!$G:$G,Adjustments!$H:$H,"2F",Adjustments!$I:$I,'Schedule 2F Adjustments'!$F$12,Adjustments!$J:$J,'Schedule 2F Adjustments'!$A72)</f>
        <v>0</v>
      </c>
      <c r="H72" s="303">
        <f t="shared" si="0"/>
        <v>0</v>
      </c>
      <c r="I72" s="68">
        <f>IFERROR(F72*'As-Filed Schedule 1'!$E$103,0)</f>
        <v>0</v>
      </c>
      <c r="J72" s="304">
        <f>IFERROR(H72*'Adjusted Schedule 1'!$E$104,0)</f>
        <v>0</v>
      </c>
      <c r="K72" s="68">
        <f t="shared" si="1"/>
        <v>0</v>
      </c>
      <c r="L72" s="304">
        <f t="shared" si="2"/>
        <v>0</v>
      </c>
      <c r="N72" s="114">
        <f>'As-Filed Schedule 2F'!J72</f>
        <v>0</v>
      </c>
      <c r="O72" s="307">
        <f>SUMIFS(Adjustments!$G:$G,Adjustments!$H:$H,"2F",Adjustments!$I:$I,'Schedule 2F Adjustments'!$N$12,Adjustments!$J:$J,'Schedule 2F Adjustments'!$A72)</f>
        <v>0</v>
      </c>
      <c r="P72" s="303">
        <f t="shared" si="3"/>
        <v>0</v>
      </c>
      <c r="Q72" s="68">
        <f>IFERROR(N72*'As-Filed Schedule 1'!$E$103,0)</f>
        <v>0</v>
      </c>
      <c r="R72" s="68">
        <f>IFERROR(P72*'Adjusted Schedule 1'!$E$104,0)</f>
        <v>0</v>
      </c>
      <c r="S72" s="68">
        <f t="shared" si="4"/>
        <v>0</v>
      </c>
      <c r="T72" s="304">
        <f t="shared" si="5"/>
        <v>0</v>
      </c>
      <c r="V72" s="117">
        <f>'As-Filed Schedule 2F'!N72</f>
        <v>0</v>
      </c>
      <c r="W72" s="307">
        <f>SUMIFS(Adjustments!$G:$G,Adjustments!$H:$H,"2F",Adjustments!$I:$I,'Schedule 2F Adjustments'!$V$12,Adjustments!$J:$J,'Schedule 2F Adjustments'!$A72)</f>
        <v>0</v>
      </c>
      <c r="X72" s="303">
        <f t="shared" si="6"/>
        <v>0</v>
      </c>
      <c r="Y72" s="117">
        <f>'As-Filed Schedule 2F'!O72</f>
        <v>0</v>
      </c>
      <c r="Z72" s="307">
        <f>SUMIFS(Adjustments!$G:$G,Adjustments!$H:$H,"2F",Adjustments!$I:$I,'Schedule 2F Adjustments'!$Y$12,Adjustments!$J:$J,'Schedule 2F Adjustments'!$A72)</f>
        <v>0</v>
      </c>
      <c r="AA72" s="303">
        <f t="shared" si="7"/>
        <v>0</v>
      </c>
    </row>
    <row r="73" spans="1:27" x14ac:dyDescent="0.35">
      <c r="A73" s="24">
        <v>59</v>
      </c>
      <c r="F73" s="18">
        <f>SUM(F15:F72)</f>
        <v>0</v>
      </c>
      <c r="G73" s="18">
        <f>SUM(G15:G72)</f>
        <v>0</v>
      </c>
      <c r="H73" s="18">
        <f t="shared" ref="H73:K73" si="8">SUM(H15:H72)</f>
        <v>0</v>
      </c>
      <c r="I73" s="18">
        <f t="shared" si="8"/>
        <v>0</v>
      </c>
      <c r="J73" s="304">
        <f>IFERROR(H73*'Adjusted Schedule 1'!$E$104,0)</f>
        <v>0</v>
      </c>
      <c r="K73" s="18">
        <f t="shared" si="8"/>
        <v>0</v>
      </c>
      <c r="L73" s="305">
        <f t="shared" ref="L73" si="9">SUM(L15:L72)</f>
        <v>0</v>
      </c>
      <c r="N73" s="18">
        <f>SUM(N15:N72)</f>
        <v>0</v>
      </c>
      <c r="O73" s="18">
        <f t="shared" ref="O73:S73" si="10">SUM(O15:O72)</f>
        <v>0</v>
      </c>
      <c r="P73" s="18">
        <f t="shared" si="10"/>
        <v>0</v>
      </c>
      <c r="Q73" s="18">
        <f t="shared" si="10"/>
        <v>0</v>
      </c>
      <c r="R73" s="18">
        <f t="shared" si="10"/>
        <v>0</v>
      </c>
      <c r="S73" s="18">
        <f t="shared" si="10"/>
        <v>0</v>
      </c>
      <c r="T73" s="305">
        <f>SUM(T15:T72)</f>
        <v>0</v>
      </c>
      <c r="Y73" s="83" t="s">
        <v>313</v>
      </c>
      <c r="Z73" s="325"/>
      <c r="AA73" s="322"/>
    </row>
    <row r="74" spans="1:27" ht="15" thickBot="1" x14ac:dyDescent="0.4">
      <c r="K74" s="37" t="s">
        <v>257</v>
      </c>
      <c r="L74" s="318" t="s">
        <v>257</v>
      </c>
      <c r="S74" s="37" t="s">
        <v>258</v>
      </c>
      <c r="T74" s="318" t="s">
        <v>258</v>
      </c>
    </row>
    <row r="75" spans="1:27" s="72" customFormat="1" ht="16" thickBot="1" x14ac:dyDescent="0.4">
      <c r="A75" s="24">
        <v>60</v>
      </c>
      <c r="B75" s="73" t="s">
        <v>817</v>
      </c>
      <c r="F75" s="75">
        <f>K73+S73</f>
        <v>0</v>
      </c>
      <c r="G75"/>
      <c r="H75" s="75">
        <f>L73+T73</f>
        <v>0</v>
      </c>
      <c r="I75" s="74"/>
      <c r="J75" s="319"/>
      <c r="K75" s="74"/>
      <c r="L75" s="319"/>
      <c r="N75" s="74"/>
      <c r="O75" s="326"/>
      <c r="P75" s="319"/>
      <c r="Q75" s="74"/>
      <c r="R75" s="319"/>
      <c r="T75" s="321"/>
      <c r="W75" s="324"/>
      <c r="X75" s="321"/>
      <c r="Z75" s="324"/>
      <c r="AA75" s="321"/>
    </row>
  </sheetData>
  <sheetProtection sheet="1" objects="1" scenarios="1"/>
  <customSheetViews>
    <customSheetView guid="{17302493-42B1-4877-869E-E424A97AE78B}" state="hidden" topLeftCell="I1">
      <selection activeCell="F17" sqref="F17"/>
      <pageMargins left="0.7" right="0.7" top="0.75" bottom="0.75" header="0.3" footer="0.3"/>
    </customSheetView>
    <customSheetView guid="{5C0BA3A5-859C-46C2-B685-44D9A90065E4}" topLeftCell="I1">
      <selection activeCell="F8" sqref="F8"/>
      <pageMargins left="0.7" right="0.7" top="0.75" bottom="0.75" header="0.3" footer="0.3"/>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A1:AA75"/>
  <sheetViews>
    <sheetView topLeftCell="S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53"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53"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53" customWidth="1"/>
    <col min="24" max="24" width="13.26953125" style="48" customWidth="1"/>
    <col min="25" max="25" width="12" customWidth="1"/>
    <col min="26" max="26" width="16.1796875" style="253" customWidth="1"/>
    <col min="27" max="27" width="12" style="48" customWidth="1"/>
  </cols>
  <sheetData>
    <row r="1" spans="1:27" ht="26" x14ac:dyDescent="0.6">
      <c r="A1" s="3" t="s">
        <v>777</v>
      </c>
    </row>
    <row r="2" spans="1:27" ht="21" x14ac:dyDescent="0.5">
      <c r="A2" s="2" t="s">
        <v>775</v>
      </c>
    </row>
    <row r="3" spans="1:27" ht="25" customHeight="1" x14ac:dyDescent="0.5">
      <c r="A3" s="546" t="s">
        <v>844</v>
      </c>
      <c r="B3" s="546"/>
      <c r="C3" s="546"/>
      <c r="D3" s="546"/>
      <c r="E3" s="546"/>
      <c r="F3" s="546"/>
      <c r="G3" s="546"/>
      <c r="H3" s="546"/>
      <c r="I3" s="546"/>
      <c r="J3" s="546"/>
      <c r="K3" s="546"/>
      <c r="L3" s="315"/>
    </row>
    <row r="5" spans="1:27" x14ac:dyDescent="0.35">
      <c r="A5" s="1" t="s">
        <v>776</v>
      </c>
      <c r="C5" s="414" t="str">
        <f>Results!$C$6</f>
        <v>WellPower</v>
      </c>
    </row>
    <row r="6" spans="1:27" x14ac:dyDescent="0.35">
      <c r="A6" s="1" t="s">
        <v>0</v>
      </c>
      <c r="C6" s="35">
        <f>Results!$C$7</f>
        <v>45473</v>
      </c>
      <c r="F6" s="35"/>
      <c r="G6" s="313"/>
      <c r="H6" s="60"/>
    </row>
    <row r="8" spans="1:27" x14ac:dyDescent="0.35">
      <c r="A8" s="1" t="s">
        <v>253</v>
      </c>
      <c r="B8" s="1" t="s">
        <v>819</v>
      </c>
      <c r="C8" s="1"/>
      <c r="F8" s="116" t="str">
        <f>'As-Filed Schedule 2G'!F8</f>
        <v>Yes/No</v>
      </c>
      <c r="G8" s="41" t="s">
        <v>259</v>
      </c>
    </row>
    <row r="10" spans="1:27" x14ac:dyDescent="0.35">
      <c r="A10" s="1" t="s">
        <v>254</v>
      </c>
      <c r="B10" s="1" t="s">
        <v>256</v>
      </c>
      <c r="C10" s="1"/>
    </row>
    <row r="12" spans="1:27" x14ac:dyDescent="0.35">
      <c r="B12" s="560">
        <v>1</v>
      </c>
      <c r="C12" s="560"/>
      <c r="D12" s="560"/>
      <c r="F12" s="23">
        <v>2</v>
      </c>
      <c r="G12" s="248" t="s">
        <v>550</v>
      </c>
      <c r="H12" s="249" t="s">
        <v>551</v>
      </c>
      <c r="I12" s="23">
        <v>3</v>
      </c>
      <c r="J12" s="249" t="s">
        <v>555</v>
      </c>
      <c r="K12" s="23">
        <v>4</v>
      </c>
      <c r="L12" s="249" t="s">
        <v>559</v>
      </c>
      <c r="N12" s="23">
        <v>5</v>
      </c>
      <c r="O12" s="248" t="s">
        <v>560</v>
      </c>
      <c r="P12" s="249" t="s">
        <v>561</v>
      </c>
      <c r="Q12" s="23">
        <v>6</v>
      </c>
      <c r="R12" s="249" t="s">
        <v>565</v>
      </c>
      <c r="S12" s="23">
        <v>7</v>
      </c>
      <c r="T12" s="249" t="s">
        <v>569</v>
      </c>
      <c r="V12" s="23">
        <v>8</v>
      </c>
      <c r="W12" s="248" t="s">
        <v>610</v>
      </c>
      <c r="X12" s="249" t="s">
        <v>623</v>
      </c>
      <c r="Y12" s="23">
        <v>9</v>
      </c>
      <c r="Z12" s="248" t="s">
        <v>612</v>
      </c>
      <c r="AA12" s="249" t="s">
        <v>613</v>
      </c>
    </row>
    <row r="13" spans="1:27" ht="15" customHeight="1" x14ac:dyDescent="0.35">
      <c r="B13" s="561" t="s">
        <v>255</v>
      </c>
      <c r="C13" s="561"/>
      <c r="D13" s="561"/>
      <c r="F13" s="563" t="s">
        <v>261</v>
      </c>
      <c r="G13" s="568"/>
      <c r="H13" s="568"/>
      <c r="I13" s="568"/>
      <c r="J13" s="568"/>
      <c r="K13" s="568"/>
      <c r="L13" s="564"/>
      <c r="N13" s="563" t="s">
        <v>262</v>
      </c>
      <c r="O13" s="568"/>
      <c r="P13" s="568"/>
      <c r="Q13" s="568"/>
      <c r="R13" s="568"/>
      <c r="S13" s="568"/>
      <c r="T13" s="564"/>
      <c r="V13" s="562" t="s">
        <v>250</v>
      </c>
      <c r="W13" s="621" t="s">
        <v>614</v>
      </c>
      <c r="X13" s="622" t="s">
        <v>615</v>
      </c>
      <c r="Y13" s="562" t="s">
        <v>312</v>
      </c>
      <c r="Z13" s="621" t="s">
        <v>624</v>
      </c>
      <c r="AA13" s="622" t="s">
        <v>625</v>
      </c>
    </row>
    <row r="14" spans="1:27" ht="55.5" customHeight="1" x14ac:dyDescent="0.35">
      <c r="B14" s="561"/>
      <c r="C14" s="561"/>
      <c r="D14" s="561"/>
      <c r="E14" s="48"/>
      <c r="F14" s="10" t="s">
        <v>214</v>
      </c>
      <c r="G14" s="250" t="s">
        <v>603</v>
      </c>
      <c r="H14" s="251" t="s">
        <v>604</v>
      </c>
      <c r="I14" s="142" t="s">
        <v>493</v>
      </c>
      <c r="J14" s="251" t="s">
        <v>607</v>
      </c>
      <c r="K14" s="142" t="s">
        <v>215</v>
      </c>
      <c r="L14" s="251" t="s">
        <v>609</v>
      </c>
      <c r="M14" s="48"/>
      <c r="N14" s="142" t="s">
        <v>214</v>
      </c>
      <c r="O14" s="250" t="s">
        <v>603</v>
      </c>
      <c r="P14" s="251" t="s">
        <v>604</v>
      </c>
      <c r="Q14" s="142" t="s">
        <v>493</v>
      </c>
      <c r="R14" s="251" t="s">
        <v>607</v>
      </c>
      <c r="S14" s="10" t="s">
        <v>215</v>
      </c>
      <c r="T14" s="251" t="s">
        <v>609</v>
      </c>
      <c r="U14" s="48"/>
      <c r="V14" s="562"/>
      <c r="W14" s="621"/>
      <c r="X14" s="622"/>
      <c r="Y14" s="562"/>
      <c r="Z14" s="621"/>
      <c r="AA14" s="622"/>
    </row>
    <row r="15" spans="1:27" x14ac:dyDescent="0.35">
      <c r="A15" s="24">
        <v>1</v>
      </c>
      <c r="B15" s="565" t="str">
        <f>IF('As-Filed Schedule 2G'!B15:D15=0,"",'As-Filed Schedule 2G'!B15:D15)</f>
        <v/>
      </c>
      <c r="C15" s="565"/>
      <c r="D15" s="565"/>
      <c r="F15" s="114">
        <f>'As-Filed Schedule 2G'!F15</f>
        <v>0</v>
      </c>
      <c r="G15" s="307">
        <f>SUMIFS(Adjustments!$G:$G,Adjustments!$H:$H,"2G",Adjustments!$I:$I,'Schedule 2G Adjustments'!$F$12,Adjustments!$J:$J,'Schedule 2G Adjustments'!$A15)</f>
        <v>0</v>
      </c>
      <c r="H15" s="303">
        <f>SUM(F15:G15)</f>
        <v>0</v>
      </c>
      <c r="I15" s="68">
        <f>IFERROR(F15*'As-Filed Schedule 1'!$E$103,0)</f>
        <v>0</v>
      </c>
      <c r="J15" s="304">
        <f>IFERROR(H15*'Adjusted Schedule 1'!$E$104,0)</f>
        <v>0</v>
      </c>
      <c r="K15" s="68">
        <f>SUM(F15,I15)</f>
        <v>0</v>
      </c>
      <c r="L15" s="304">
        <f>SUM(H15,J15)</f>
        <v>0</v>
      </c>
      <c r="N15" s="114">
        <f>'As-Filed Schedule 2G'!J15</f>
        <v>0</v>
      </c>
      <c r="O15" s="307">
        <f>SUMIFS(Adjustments!$G:$G,Adjustments!$H:$H,"2G",Adjustments!$I:$I,'Schedule 2G Adjustments'!$N$12,Adjustments!$J:$J,'Schedule 2G Adjustments'!$A15)</f>
        <v>0</v>
      </c>
      <c r="P15" s="303">
        <f>SUM(N15:O15)</f>
        <v>0</v>
      </c>
      <c r="Q15" s="68">
        <f>IFERROR(N15*'As-Filed Schedule 1'!$E$103,0)</f>
        <v>0</v>
      </c>
      <c r="R15" s="68">
        <f>IFERROR(P15*'Adjusted Schedule 1'!$E$104,0)</f>
        <v>0</v>
      </c>
      <c r="S15" s="68">
        <f>SUM(N15,Q15)</f>
        <v>0</v>
      </c>
      <c r="T15" s="304">
        <f>SUM(P15,R15)</f>
        <v>0</v>
      </c>
      <c r="V15" s="117">
        <f>'As-Filed Schedule 2G'!N15</f>
        <v>0</v>
      </c>
      <c r="W15" s="307">
        <f>SUMIFS(Adjustments!$G:$G,Adjustments!$H:$H,"2G",Adjustments!$I:$I,'Schedule 2G Adjustments'!$V$12,Adjustments!$J:$J,'Schedule 2G Adjustments'!$A15)</f>
        <v>0</v>
      </c>
      <c r="X15" s="303">
        <f>SUM(V15:W15)</f>
        <v>0</v>
      </c>
      <c r="Y15" s="117">
        <f>'As-Filed Schedule 2G'!O15</f>
        <v>0</v>
      </c>
      <c r="Z15" s="307">
        <f>SUMIFS(Adjustments!$G:$G,Adjustments!$H:$H,"2G",Adjustments!$I:$I,'Schedule 2G Adjustments'!$Y$12,Adjustments!$J:$J,'Schedule 2G Adjustments'!$A15)</f>
        <v>0</v>
      </c>
      <c r="AA15" s="303">
        <f>SUM(Y15:Z15)</f>
        <v>0</v>
      </c>
    </row>
    <row r="16" spans="1:27" x14ac:dyDescent="0.35">
      <c r="A16" s="24">
        <v>2</v>
      </c>
      <c r="B16" s="565" t="str">
        <f>IF('As-Filed Schedule 2G'!B16:D16=0,"",'As-Filed Schedule 2G'!B16:D16)</f>
        <v/>
      </c>
      <c r="C16" s="565"/>
      <c r="D16" s="565"/>
      <c r="F16" s="114">
        <f>'As-Filed Schedule 2G'!F16</f>
        <v>0</v>
      </c>
      <c r="G16" s="307">
        <f>SUMIFS(Adjustments!$G:$G,Adjustments!$H:$H,"2G",Adjustments!$I:$I,'Schedule 2G Adjustments'!$F$12,Adjustments!$J:$J,'Schedule 2G Adjustments'!$A16)</f>
        <v>0</v>
      </c>
      <c r="H16" s="303">
        <f t="shared" ref="H16:H72" si="0">SUM(F16:G16)</f>
        <v>0</v>
      </c>
      <c r="I16" s="68">
        <f>IFERROR(F16*'As-Filed Schedule 1'!$E$103,0)</f>
        <v>0</v>
      </c>
      <c r="J16" s="304">
        <f>IFERROR(H16*'Adjusted Schedule 1'!$E$104,0)</f>
        <v>0</v>
      </c>
      <c r="K16" s="68">
        <f t="shared" ref="K16:K72" si="1">SUM(F16,I16)</f>
        <v>0</v>
      </c>
      <c r="L16" s="304">
        <f t="shared" ref="L16:L72" si="2">SUM(H16,J16)</f>
        <v>0</v>
      </c>
      <c r="N16" s="114">
        <f>'As-Filed Schedule 2G'!J16</f>
        <v>0</v>
      </c>
      <c r="O16" s="307">
        <f>SUMIFS(Adjustments!$G:$G,Adjustments!$H:$H,"2G",Adjustments!$I:$I,'Schedule 2G Adjustments'!$N$12,Adjustments!$J:$J,'Schedule 2G Adjustments'!$A16)</f>
        <v>0</v>
      </c>
      <c r="P16" s="303">
        <f t="shared" ref="P16:P72" si="3">SUM(N16:O16)</f>
        <v>0</v>
      </c>
      <c r="Q16" s="68">
        <f>IFERROR(N16*'As-Filed Schedule 1'!$E$103,0)</f>
        <v>0</v>
      </c>
      <c r="R16" s="68">
        <f>IFERROR(P16*'Adjusted Schedule 1'!$E$104,0)</f>
        <v>0</v>
      </c>
      <c r="S16" s="68">
        <f t="shared" ref="S16:S72" si="4">SUM(N16,Q16)</f>
        <v>0</v>
      </c>
      <c r="T16" s="304">
        <f t="shared" ref="T16:T72" si="5">SUM(P16,R16)</f>
        <v>0</v>
      </c>
      <c r="V16" s="117">
        <f>'As-Filed Schedule 2G'!N16</f>
        <v>0</v>
      </c>
      <c r="W16" s="307">
        <f>SUMIFS(Adjustments!$G:$G,Adjustments!$H:$H,"2G",Adjustments!$I:$I,'Schedule 2G Adjustments'!$V$12,Adjustments!$J:$J,'Schedule 2G Adjustments'!$A16)</f>
        <v>0</v>
      </c>
      <c r="X16" s="303">
        <f t="shared" ref="X16:X72" si="6">SUM(V16:W16)</f>
        <v>0</v>
      </c>
      <c r="Y16" s="117">
        <f>'As-Filed Schedule 2G'!O16</f>
        <v>0</v>
      </c>
      <c r="Z16" s="307">
        <f>SUMIFS(Adjustments!$G:$G,Adjustments!$H:$H,"2G",Adjustments!$I:$I,'Schedule 2G Adjustments'!$Y$12,Adjustments!$J:$J,'Schedule 2G Adjustments'!$A16)</f>
        <v>0</v>
      </c>
      <c r="AA16" s="303">
        <f t="shared" ref="AA16:AA72" si="7">SUM(Y16:Z16)</f>
        <v>0</v>
      </c>
    </row>
    <row r="17" spans="1:27" x14ac:dyDescent="0.35">
      <c r="A17" s="24">
        <v>3</v>
      </c>
      <c r="B17" s="565" t="str">
        <f>IF('As-Filed Schedule 2G'!B17:D17=0,"",'As-Filed Schedule 2G'!B17:D17)</f>
        <v/>
      </c>
      <c r="C17" s="565"/>
      <c r="D17" s="565"/>
      <c r="F17" s="114">
        <f>'As-Filed Schedule 2G'!F17</f>
        <v>0</v>
      </c>
      <c r="G17" s="307">
        <f>SUMIFS(Adjustments!$G:$G,Adjustments!$H:$H,"2G",Adjustments!$I:$I,'Schedule 2G Adjustments'!$F$12,Adjustments!$J:$J,'Schedule 2G Adjustments'!$A17)</f>
        <v>0</v>
      </c>
      <c r="H17" s="303">
        <f t="shared" si="0"/>
        <v>0</v>
      </c>
      <c r="I17" s="68">
        <f>IFERROR(F17*'As-Filed Schedule 1'!$E$103,0)</f>
        <v>0</v>
      </c>
      <c r="J17" s="304">
        <f>IFERROR(H17*'Adjusted Schedule 1'!$E$104,0)</f>
        <v>0</v>
      </c>
      <c r="K17" s="68">
        <f t="shared" si="1"/>
        <v>0</v>
      </c>
      <c r="L17" s="304">
        <f t="shared" si="2"/>
        <v>0</v>
      </c>
      <c r="N17" s="114">
        <f>'As-Filed Schedule 2G'!J17</f>
        <v>0</v>
      </c>
      <c r="O17" s="307">
        <f>SUMIFS(Adjustments!$G:$G,Adjustments!$H:$H,"2G",Adjustments!$I:$I,'Schedule 2G Adjustments'!$N$12,Adjustments!$J:$J,'Schedule 2G Adjustments'!$A17)</f>
        <v>0</v>
      </c>
      <c r="P17" s="303">
        <f t="shared" si="3"/>
        <v>0</v>
      </c>
      <c r="Q17" s="68">
        <f>IFERROR(N17*'As-Filed Schedule 1'!$E$103,0)</f>
        <v>0</v>
      </c>
      <c r="R17" s="68">
        <f>IFERROR(P17*'Adjusted Schedule 1'!$E$104,0)</f>
        <v>0</v>
      </c>
      <c r="S17" s="68">
        <f t="shared" si="4"/>
        <v>0</v>
      </c>
      <c r="T17" s="304">
        <f t="shared" si="5"/>
        <v>0</v>
      </c>
      <c r="V17" s="117">
        <f>'As-Filed Schedule 2G'!N17</f>
        <v>0</v>
      </c>
      <c r="W17" s="307">
        <f>SUMIFS(Adjustments!$G:$G,Adjustments!$H:$H,"2G",Adjustments!$I:$I,'Schedule 2G Adjustments'!$V$12,Adjustments!$J:$J,'Schedule 2G Adjustments'!$A17)</f>
        <v>0</v>
      </c>
      <c r="X17" s="303">
        <f t="shared" si="6"/>
        <v>0</v>
      </c>
      <c r="Y17" s="117">
        <f>'As-Filed Schedule 2G'!O17</f>
        <v>0</v>
      </c>
      <c r="Z17" s="307">
        <f>SUMIFS(Adjustments!$G:$G,Adjustments!$H:$H,"2G",Adjustments!$I:$I,'Schedule 2G Adjustments'!$Y$12,Adjustments!$J:$J,'Schedule 2G Adjustments'!$A17)</f>
        <v>0</v>
      </c>
      <c r="AA17" s="303">
        <f t="shared" si="7"/>
        <v>0</v>
      </c>
    </row>
    <row r="18" spans="1:27" x14ac:dyDescent="0.35">
      <c r="A18" s="24">
        <v>4</v>
      </c>
      <c r="B18" s="565" t="str">
        <f>IF('As-Filed Schedule 2G'!B18:D18=0,"",'As-Filed Schedule 2G'!B18:D18)</f>
        <v/>
      </c>
      <c r="C18" s="565"/>
      <c r="D18" s="565"/>
      <c r="F18" s="114">
        <f>'As-Filed Schedule 2G'!F18</f>
        <v>0</v>
      </c>
      <c r="G18" s="307">
        <f>SUMIFS(Adjustments!$G:$G,Adjustments!$H:$H,"2G",Adjustments!$I:$I,'Schedule 2G Adjustments'!$F$12,Adjustments!$J:$J,'Schedule 2G Adjustments'!$A18)</f>
        <v>0</v>
      </c>
      <c r="H18" s="303">
        <f t="shared" si="0"/>
        <v>0</v>
      </c>
      <c r="I18" s="68">
        <f>IFERROR(F18*'As-Filed Schedule 1'!$E$103,0)</f>
        <v>0</v>
      </c>
      <c r="J18" s="304">
        <f>IFERROR(H18*'Adjusted Schedule 1'!$E$104,0)</f>
        <v>0</v>
      </c>
      <c r="K18" s="68">
        <f>SUM(F18,I18)</f>
        <v>0</v>
      </c>
      <c r="L18" s="304">
        <f>SUM(H18,J18)</f>
        <v>0</v>
      </c>
      <c r="N18" s="114">
        <f>'As-Filed Schedule 2G'!J18</f>
        <v>0</v>
      </c>
      <c r="O18" s="307">
        <f>SUMIFS(Adjustments!$G:$G,Adjustments!$H:$H,"2G",Adjustments!$I:$I,'Schedule 2G Adjustments'!$N$12,Adjustments!$J:$J,'Schedule 2G Adjustments'!$A18)</f>
        <v>0</v>
      </c>
      <c r="P18" s="303">
        <f t="shared" si="3"/>
        <v>0</v>
      </c>
      <c r="Q18" s="68">
        <f>IFERROR(N18*'As-Filed Schedule 1'!$E$103,0)</f>
        <v>0</v>
      </c>
      <c r="R18" s="68">
        <f>IFERROR(P18*'Adjusted Schedule 1'!$E$104,0)</f>
        <v>0</v>
      </c>
      <c r="S18" s="68">
        <f t="shared" si="4"/>
        <v>0</v>
      </c>
      <c r="T18" s="304">
        <f t="shared" si="5"/>
        <v>0</v>
      </c>
      <c r="V18" s="117">
        <f>'As-Filed Schedule 2G'!N18</f>
        <v>0</v>
      </c>
      <c r="W18" s="307">
        <f>SUMIFS(Adjustments!$G:$G,Adjustments!$H:$H,"2G",Adjustments!$I:$I,'Schedule 2G Adjustments'!$V$12,Adjustments!$J:$J,'Schedule 2G Adjustments'!$A18)</f>
        <v>0</v>
      </c>
      <c r="X18" s="303">
        <f t="shared" si="6"/>
        <v>0</v>
      </c>
      <c r="Y18" s="117">
        <f>'As-Filed Schedule 2G'!O18</f>
        <v>0</v>
      </c>
      <c r="Z18" s="307">
        <f>SUMIFS(Adjustments!$G:$G,Adjustments!$H:$H,"2G",Adjustments!$I:$I,'Schedule 2G Adjustments'!$Y$12,Adjustments!$J:$J,'Schedule 2G Adjustments'!$A18)</f>
        <v>0</v>
      </c>
      <c r="AA18" s="303">
        <f t="shared" si="7"/>
        <v>0</v>
      </c>
    </row>
    <row r="19" spans="1:27" x14ac:dyDescent="0.35">
      <c r="A19" s="24">
        <v>5</v>
      </c>
      <c r="B19" s="565" t="str">
        <f>IF('As-Filed Schedule 2G'!B19:D19=0,"",'As-Filed Schedule 2G'!B19:D19)</f>
        <v/>
      </c>
      <c r="C19" s="565"/>
      <c r="D19" s="565"/>
      <c r="F19" s="114">
        <f>'As-Filed Schedule 2G'!F19</f>
        <v>0</v>
      </c>
      <c r="G19" s="307">
        <f>SUMIFS(Adjustments!$G:$G,Adjustments!$H:$H,"2G",Adjustments!$I:$I,'Schedule 2G Adjustments'!$F$12,Adjustments!$J:$J,'Schedule 2G Adjustments'!$A19)</f>
        <v>0</v>
      </c>
      <c r="H19" s="303">
        <f t="shared" si="0"/>
        <v>0</v>
      </c>
      <c r="I19" s="68">
        <f>IFERROR(F19*'As-Filed Schedule 1'!$E$103,0)</f>
        <v>0</v>
      </c>
      <c r="J19" s="304">
        <f>IFERROR(H19*'Adjusted Schedule 1'!$E$104,0)</f>
        <v>0</v>
      </c>
      <c r="K19" s="68">
        <f t="shared" si="1"/>
        <v>0</v>
      </c>
      <c r="L19" s="304">
        <f>SUM(H19,J19)</f>
        <v>0</v>
      </c>
      <c r="N19" s="114">
        <f>'As-Filed Schedule 2G'!J19</f>
        <v>0</v>
      </c>
      <c r="O19" s="307">
        <f>SUMIFS(Adjustments!$G:$G,Adjustments!$H:$H,"2G",Adjustments!$I:$I,'Schedule 2G Adjustments'!$N$12,Adjustments!$J:$J,'Schedule 2G Adjustments'!$A19)</f>
        <v>0</v>
      </c>
      <c r="P19" s="303">
        <f t="shared" si="3"/>
        <v>0</v>
      </c>
      <c r="Q19" s="68">
        <f>IFERROR(N19*'As-Filed Schedule 1'!$E$103,0)</f>
        <v>0</v>
      </c>
      <c r="R19" s="68">
        <f>IFERROR(P19*'Adjusted Schedule 1'!$E$104,0)</f>
        <v>0</v>
      </c>
      <c r="S19" s="68">
        <f t="shared" si="4"/>
        <v>0</v>
      </c>
      <c r="T19" s="304">
        <f t="shared" si="5"/>
        <v>0</v>
      </c>
      <c r="V19" s="117">
        <f>'As-Filed Schedule 2G'!N19</f>
        <v>0</v>
      </c>
      <c r="W19" s="307">
        <f>SUMIFS(Adjustments!$G:$G,Adjustments!$H:$H,"2G",Adjustments!$I:$I,'Schedule 2G Adjustments'!$V$12,Adjustments!$J:$J,'Schedule 2G Adjustments'!$A19)</f>
        <v>0</v>
      </c>
      <c r="X19" s="303">
        <f t="shared" si="6"/>
        <v>0</v>
      </c>
      <c r="Y19" s="117">
        <f>'As-Filed Schedule 2G'!O19</f>
        <v>0</v>
      </c>
      <c r="Z19" s="307">
        <f>SUMIFS(Adjustments!$G:$G,Adjustments!$H:$H,"2G",Adjustments!$I:$I,'Schedule 2G Adjustments'!$Y$12,Adjustments!$J:$J,'Schedule 2G Adjustments'!$A19)</f>
        <v>0</v>
      </c>
      <c r="AA19" s="303">
        <f t="shared" si="7"/>
        <v>0</v>
      </c>
    </row>
    <row r="20" spans="1:27" x14ac:dyDescent="0.35">
      <c r="A20" s="24">
        <v>6</v>
      </c>
      <c r="B20" s="565" t="str">
        <f>IF('As-Filed Schedule 2G'!B20:D20=0,"",'As-Filed Schedule 2G'!B20:D20)</f>
        <v/>
      </c>
      <c r="C20" s="565"/>
      <c r="D20" s="565"/>
      <c r="F20" s="114">
        <f>'As-Filed Schedule 2G'!F20</f>
        <v>0</v>
      </c>
      <c r="G20" s="307">
        <f>SUMIFS(Adjustments!$G:$G,Adjustments!$H:$H,"2G",Adjustments!$I:$I,'Schedule 2G Adjustments'!$F$12,Adjustments!$J:$J,'Schedule 2G Adjustments'!$A20)</f>
        <v>0</v>
      </c>
      <c r="H20" s="303">
        <f t="shared" si="0"/>
        <v>0</v>
      </c>
      <c r="I20" s="68">
        <f>IFERROR(F20*'As-Filed Schedule 1'!$E$103,0)</f>
        <v>0</v>
      </c>
      <c r="J20" s="304">
        <f>IFERROR(H20*'Adjusted Schedule 1'!$E$104,0)</f>
        <v>0</v>
      </c>
      <c r="K20" s="68">
        <f>SUM(F20,I20)</f>
        <v>0</v>
      </c>
      <c r="L20" s="304">
        <f t="shared" si="2"/>
        <v>0</v>
      </c>
      <c r="N20" s="114">
        <f>'As-Filed Schedule 2G'!J20</f>
        <v>0</v>
      </c>
      <c r="O20" s="307">
        <f>SUMIFS(Adjustments!$G:$G,Adjustments!$H:$H,"2G",Adjustments!$I:$I,'Schedule 2G Adjustments'!$N$12,Adjustments!$J:$J,'Schedule 2G Adjustments'!$A20)</f>
        <v>0</v>
      </c>
      <c r="P20" s="303">
        <f t="shared" si="3"/>
        <v>0</v>
      </c>
      <c r="Q20" s="68">
        <f>IFERROR(N20*'As-Filed Schedule 1'!$E$103,0)</f>
        <v>0</v>
      </c>
      <c r="R20" s="68">
        <f>IFERROR(P20*'Adjusted Schedule 1'!$E$104,0)</f>
        <v>0</v>
      </c>
      <c r="S20" s="68">
        <f t="shared" si="4"/>
        <v>0</v>
      </c>
      <c r="T20" s="304">
        <f t="shared" si="5"/>
        <v>0</v>
      </c>
      <c r="V20" s="117">
        <f>'As-Filed Schedule 2G'!N20</f>
        <v>0</v>
      </c>
      <c r="W20" s="307">
        <f>SUMIFS(Adjustments!$G:$G,Adjustments!$H:$H,"2G",Adjustments!$I:$I,'Schedule 2G Adjustments'!$V$12,Adjustments!$J:$J,'Schedule 2G Adjustments'!$A20)</f>
        <v>0</v>
      </c>
      <c r="X20" s="303">
        <f t="shared" si="6"/>
        <v>0</v>
      </c>
      <c r="Y20" s="117">
        <f>'As-Filed Schedule 2G'!O20</f>
        <v>0</v>
      </c>
      <c r="Z20" s="307">
        <f>SUMIFS(Adjustments!$G:$G,Adjustments!$H:$H,"2G",Adjustments!$I:$I,'Schedule 2G Adjustments'!$Y$12,Adjustments!$J:$J,'Schedule 2G Adjustments'!$A20)</f>
        <v>0</v>
      </c>
      <c r="AA20" s="303">
        <f t="shared" si="7"/>
        <v>0</v>
      </c>
    </row>
    <row r="21" spans="1:27" x14ac:dyDescent="0.35">
      <c r="A21" s="24">
        <v>7</v>
      </c>
      <c r="B21" s="565" t="str">
        <f>IF('As-Filed Schedule 2G'!B21:D21=0,"",'As-Filed Schedule 2G'!B21:D21)</f>
        <v/>
      </c>
      <c r="C21" s="565"/>
      <c r="D21" s="565"/>
      <c r="F21" s="114">
        <f>'As-Filed Schedule 2G'!F21</f>
        <v>0</v>
      </c>
      <c r="G21" s="307">
        <f>SUMIFS(Adjustments!$G:$G,Adjustments!$H:$H,"2G",Adjustments!$I:$I,'Schedule 2G Adjustments'!$F$12,Adjustments!$J:$J,'Schedule 2G Adjustments'!$A21)</f>
        <v>0</v>
      </c>
      <c r="H21" s="303">
        <f t="shared" si="0"/>
        <v>0</v>
      </c>
      <c r="I21" s="68">
        <f>IFERROR(F21*'As-Filed Schedule 1'!$E$103,0)</f>
        <v>0</v>
      </c>
      <c r="J21" s="304">
        <f>IFERROR(H21*'Adjusted Schedule 1'!$E$104,0)</f>
        <v>0</v>
      </c>
      <c r="K21" s="68">
        <f t="shared" si="1"/>
        <v>0</v>
      </c>
      <c r="L21" s="304">
        <f t="shared" si="2"/>
        <v>0</v>
      </c>
      <c r="N21" s="114">
        <f>'As-Filed Schedule 2G'!J21</f>
        <v>0</v>
      </c>
      <c r="O21" s="307">
        <f>SUMIFS(Adjustments!$G:$G,Adjustments!$H:$H,"2G",Adjustments!$I:$I,'Schedule 2G Adjustments'!$N$12,Adjustments!$J:$J,'Schedule 2G Adjustments'!$A21)</f>
        <v>0</v>
      </c>
      <c r="P21" s="303">
        <f t="shared" si="3"/>
        <v>0</v>
      </c>
      <c r="Q21" s="68">
        <f>IFERROR(N21*'As-Filed Schedule 1'!$E$103,0)</f>
        <v>0</v>
      </c>
      <c r="R21" s="68">
        <f>IFERROR(P21*'Adjusted Schedule 1'!$E$104,0)</f>
        <v>0</v>
      </c>
      <c r="S21" s="68">
        <f>SUM(N21,Q21)</f>
        <v>0</v>
      </c>
      <c r="T21" s="304">
        <f>SUM(P21,R21)</f>
        <v>0</v>
      </c>
      <c r="V21" s="117">
        <f>'As-Filed Schedule 2G'!N21</f>
        <v>0</v>
      </c>
      <c r="W21" s="307">
        <f>SUMIFS(Adjustments!$G:$G,Adjustments!$H:$H,"2G",Adjustments!$I:$I,'Schedule 2G Adjustments'!$V$12,Adjustments!$J:$J,'Schedule 2G Adjustments'!$A21)</f>
        <v>0</v>
      </c>
      <c r="X21" s="303">
        <f t="shared" si="6"/>
        <v>0</v>
      </c>
      <c r="Y21" s="117">
        <f>'As-Filed Schedule 2G'!O21</f>
        <v>0</v>
      </c>
      <c r="Z21" s="307">
        <f>SUMIFS(Adjustments!$G:$G,Adjustments!$H:$H,"2G",Adjustments!$I:$I,'Schedule 2G Adjustments'!$Y$12,Adjustments!$J:$J,'Schedule 2G Adjustments'!$A21)</f>
        <v>0</v>
      </c>
      <c r="AA21" s="303">
        <f t="shared" si="7"/>
        <v>0</v>
      </c>
    </row>
    <row r="22" spans="1:27" x14ac:dyDescent="0.35">
      <c r="A22" s="24">
        <v>8</v>
      </c>
      <c r="B22" s="565" t="str">
        <f>IF('As-Filed Schedule 2G'!B22:D22=0,"",'As-Filed Schedule 2G'!B22:D22)</f>
        <v/>
      </c>
      <c r="C22" s="565"/>
      <c r="D22" s="565"/>
      <c r="F22" s="114">
        <f>'As-Filed Schedule 2G'!F22</f>
        <v>0</v>
      </c>
      <c r="G22" s="307">
        <f>SUMIFS(Adjustments!$G:$G,Adjustments!$H:$H,"2G",Adjustments!$I:$I,'Schedule 2G Adjustments'!$F$12,Adjustments!$J:$J,'Schedule 2G Adjustments'!$A22)</f>
        <v>0</v>
      </c>
      <c r="H22" s="303">
        <f t="shared" si="0"/>
        <v>0</v>
      </c>
      <c r="I22" s="68">
        <f>IFERROR(F22*'As-Filed Schedule 1'!$E$103,0)</f>
        <v>0</v>
      </c>
      <c r="J22" s="304">
        <f>IFERROR(H22*'Adjusted Schedule 1'!$E$104,0)</f>
        <v>0</v>
      </c>
      <c r="K22" s="68">
        <f t="shared" si="1"/>
        <v>0</v>
      </c>
      <c r="L22" s="304">
        <f t="shared" si="2"/>
        <v>0</v>
      </c>
      <c r="N22" s="114">
        <f>'As-Filed Schedule 2G'!J22</f>
        <v>0</v>
      </c>
      <c r="O22" s="307">
        <f>SUMIFS(Adjustments!$G:$G,Adjustments!$H:$H,"2G",Adjustments!$I:$I,'Schedule 2G Adjustments'!$N$12,Adjustments!$J:$J,'Schedule 2G Adjustments'!$A22)</f>
        <v>0</v>
      </c>
      <c r="P22" s="303">
        <f t="shared" si="3"/>
        <v>0</v>
      </c>
      <c r="Q22" s="68">
        <f>IFERROR(N22*'As-Filed Schedule 1'!$E$103,0)</f>
        <v>0</v>
      </c>
      <c r="R22" s="68">
        <f>IFERROR(P22*'Adjusted Schedule 1'!$E$104,0)</f>
        <v>0</v>
      </c>
      <c r="S22" s="68">
        <f t="shared" si="4"/>
        <v>0</v>
      </c>
      <c r="T22" s="304">
        <f t="shared" si="5"/>
        <v>0</v>
      </c>
      <c r="V22" s="117">
        <f>'As-Filed Schedule 2G'!N22</f>
        <v>0</v>
      </c>
      <c r="W22" s="307">
        <f>SUMIFS(Adjustments!$G:$G,Adjustments!$H:$H,"2G",Adjustments!$I:$I,'Schedule 2G Adjustments'!$V$12,Adjustments!$J:$J,'Schedule 2G Adjustments'!$A22)</f>
        <v>0</v>
      </c>
      <c r="X22" s="303">
        <f t="shared" si="6"/>
        <v>0</v>
      </c>
      <c r="Y22" s="117">
        <f>'As-Filed Schedule 2G'!O22</f>
        <v>0</v>
      </c>
      <c r="Z22" s="307">
        <f>SUMIFS(Adjustments!$G:$G,Adjustments!$H:$H,"2G",Adjustments!$I:$I,'Schedule 2G Adjustments'!$Y$12,Adjustments!$J:$J,'Schedule 2G Adjustments'!$A22)</f>
        <v>0</v>
      </c>
      <c r="AA22" s="303">
        <f t="shared" si="7"/>
        <v>0</v>
      </c>
    </row>
    <row r="23" spans="1:27" x14ac:dyDescent="0.35">
      <c r="A23" s="24">
        <v>9</v>
      </c>
      <c r="B23" s="565" t="str">
        <f>IF('As-Filed Schedule 2G'!B23:D23=0,"",'As-Filed Schedule 2G'!B23:D23)</f>
        <v/>
      </c>
      <c r="C23" s="565"/>
      <c r="D23" s="565"/>
      <c r="F23" s="114">
        <f>'As-Filed Schedule 2G'!F23</f>
        <v>0</v>
      </c>
      <c r="G23" s="307">
        <f>SUMIFS(Adjustments!$G:$G,Adjustments!$H:$H,"2G",Adjustments!$I:$I,'Schedule 2G Adjustments'!$F$12,Adjustments!$J:$J,'Schedule 2G Adjustments'!$A23)</f>
        <v>0</v>
      </c>
      <c r="H23" s="303">
        <f t="shared" si="0"/>
        <v>0</v>
      </c>
      <c r="I23" s="68">
        <f>IFERROR(F23*'As-Filed Schedule 1'!$E$103,0)</f>
        <v>0</v>
      </c>
      <c r="J23" s="304">
        <f>IFERROR(H23*'Adjusted Schedule 1'!$E$104,0)</f>
        <v>0</v>
      </c>
      <c r="K23" s="68">
        <f t="shared" si="1"/>
        <v>0</v>
      </c>
      <c r="L23" s="304">
        <f t="shared" si="2"/>
        <v>0</v>
      </c>
      <c r="N23" s="114">
        <f>'As-Filed Schedule 2G'!J23</f>
        <v>0</v>
      </c>
      <c r="O23" s="307">
        <f>SUMIFS(Adjustments!$G:$G,Adjustments!$H:$H,"2G",Adjustments!$I:$I,'Schedule 2G Adjustments'!$N$12,Adjustments!$J:$J,'Schedule 2G Adjustments'!$A23)</f>
        <v>0</v>
      </c>
      <c r="P23" s="303">
        <f t="shared" si="3"/>
        <v>0</v>
      </c>
      <c r="Q23" s="68">
        <f>IFERROR(N23*'As-Filed Schedule 1'!$E$103,0)</f>
        <v>0</v>
      </c>
      <c r="R23" s="68">
        <f>IFERROR(P23*'Adjusted Schedule 1'!$E$104,0)</f>
        <v>0</v>
      </c>
      <c r="S23" s="68">
        <f t="shared" si="4"/>
        <v>0</v>
      </c>
      <c r="T23" s="304">
        <f t="shared" si="5"/>
        <v>0</v>
      </c>
      <c r="V23" s="117">
        <f>'As-Filed Schedule 2G'!N23</f>
        <v>0</v>
      </c>
      <c r="W23" s="307">
        <f>SUMIFS(Adjustments!$G:$G,Adjustments!$H:$H,"2G",Adjustments!$I:$I,'Schedule 2G Adjustments'!$V$12,Adjustments!$J:$J,'Schedule 2G Adjustments'!$A23)</f>
        <v>0</v>
      </c>
      <c r="X23" s="303">
        <f t="shared" si="6"/>
        <v>0</v>
      </c>
      <c r="Y23" s="117">
        <f>'As-Filed Schedule 2G'!O23</f>
        <v>0</v>
      </c>
      <c r="Z23" s="307">
        <f>SUMIFS(Adjustments!$G:$G,Adjustments!$H:$H,"2G",Adjustments!$I:$I,'Schedule 2G Adjustments'!$Y$12,Adjustments!$J:$J,'Schedule 2G Adjustments'!$A23)</f>
        <v>0</v>
      </c>
      <c r="AA23" s="303">
        <f t="shared" si="7"/>
        <v>0</v>
      </c>
    </row>
    <row r="24" spans="1:27" x14ac:dyDescent="0.35">
      <c r="A24" s="24">
        <v>10</v>
      </c>
      <c r="B24" s="565" t="str">
        <f>IF('As-Filed Schedule 2G'!B24:D24=0,"",'As-Filed Schedule 2G'!B24:D24)</f>
        <v/>
      </c>
      <c r="C24" s="565"/>
      <c r="D24" s="565"/>
      <c r="F24" s="114">
        <f>'As-Filed Schedule 2G'!F24</f>
        <v>0</v>
      </c>
      <c r="G24" s="307">
        <f>SUMIFS(Adjustments!$G:$G,Adjustments!$H:$H,"2G",Adjustments!$I:$I,'Schedule 2G Adjustments'!$F$12,Adjustments!$J:$J,'Schedule 2G Adjustments'!$A24)</f>
        <v>0</v>
      </c>
      <c r="H24" s="303">
        <f t="shared" si="0"/>
        <v>0</v>
      </c>
      <c r="I24" s="68">
        <f>IFERROR(F24*'As-Filed Schedule 1'!$E$103,0)</f>
        <v>0</v>
      </c>
      <c r="J24" s="304">
        <f>IFERROR(H24*'Adjusted Schedule 1'!$E$104,0)</f>
        <v>0</v>
      </c>
      <c r="K24" s="68">
        <f t="shared" si="1"/>
        <v>0</v>
      </c>
      <c r="L24" s="304">
        <f t="shared" si="2"/>
        <v>0</v>
      </c>
      <c r="N24" s="114">
        <f>'As-Filed Schedule 2G'!J24</f>
        <v>0</v>
      </c>
      <c r="O24" s="307">
        <f>SUMIFS(Adjustments!$G:$G,Adjustments!$H:$H,"2G",Adjustments!$I:$I,'Schedule 2G Adjustments'!$N$12,Adjustments!$J:$J,'Schedule 2G Adjustments'!$A24)</f>
        <v>0</v>
      </c>
      <c r="P24" s="303">
        <f t="shared" si="3"/>
        <v>0</v>
      </c>
      <c r="Q24" s="68">
        <f>IFERROR(N24*'As-Filed Schedule 1'!$E$103,0)</f>
        <v>0</v>
      </c>
      <c r="R24" s="68">
        <f>IFERROR(P24*'Adjusted Schedule 1'!$E$104,0)</f>
        <v>0</v>
      </c>
      <c r="S24" s="68">
        <f t="shared" si="4"/>
        <v>0</v>
      </c>
      <c r="T24" s="304">
        <f t="shared" si="5"/>
        <v>0</v>
      </c>
      <c r="V24" s="117">
        <f>'As-Filed Schedule 2G'!N24</f>
        <v>0</v>
      </c>
      <c r="W24" s="307">
        <f>SUMIFS(Adjustments!$G:$G,Adjustments!$H:$H,"2G",Adjustments!$I:$I,'Schedule 2G Adjustments'!$V$12,Adjustments!$J:$J,'Schedule 2G Adjustments'!$A24)</f>
        <v>0</v>
      </c>
      <c r="X24" s="303">
        <f t="shared" si="6"/>
        <v>0</v>
      </c>
      <c r="Y24" s="117">
        <f>'As-Filed Schedule 2G'!O24</f>
        <v>0</v>
      </c>
      <c r="Z24" s="307">
        <f>SUMIFS(Adjustments!$G:$G,Adjustments!$H:$H,"2G",Adjustments!$I:$I,'Schedule 2G Adjustments'!$Y$12,Adjustments!$J:$J,'Schedule 2G Adjustments'!$A24)</f>
        <v>0</v>
      </c>
      <c r="AA24" s="303">
        <f t="shared" si="7"/>
        <v>0</v>
      </c>
    </row>
    <row r="25" spans="1:27" x14ac:dyDescent="0.35">
      <c r="A25" s="24">
        <v>11</v>
      </c>
      <c r="B25" s="565" t="str">
        <f>IF('As-Filed Schedule 2G'!B25:D25=0,"",'As-Filed Schedule 2G'!B25:D25)</f>
        <v/>
      </c>
      <c r="C25" s="565"/>
      <c r="D25" s="565"/>
      <c r="F25" s="114">
        <f>'As-Filed Schedule 2G'!F25</f>
        <v>0</v>
      </c>
      <c r="G25" s="307">
        <f>SUMIFS(Adjustments!$G:$G,Adjustments!$H:$H,"2G",Adjustments!$I:$I,'Schedule 2G Adjustments'!$F$12,Adjustments!$J:$J,'Schedule 2G Adjustments'!$A25)</f>
        <v>0</v>
      </c>
      <c r="H25" s="303">
        <f t="shared" si="0"/>
        <v>0</v>
      </c>
      <c r="I25" s="68">
        <f>IFERROR(F25*'As-Filed Schedule 1'!$E$103,0)</f>
        <v>0</v>
      </c>
      <c r="J25" s="304">
        <f>IFERROR(H25*'Adjusted Schedule 1'!$E$104,0)</f>
        <v>0</v>
      </c>
      <c r="K25" s="68">
        <f t="shared" si="1"/>
        <v>0</v>
      </c>
      <c r="L25" s="304">
        <f t="shared" si="2"/>
        <v>0</v>
      </c>
      <c r="N25" s="114">
        <f>'As-Filed Schedule 2G'!J25</f>
        <v>0</v>
      </c>
      <c r="O25" s="307">
        <f>SUMIFS(Adjustments!$G:$G,Adjustments!$H:$H,"2G",Adjustments!$I:$I,'Schedule 2G Adjustments'!$N$12,Adjustments!$J:$J,'Schedule 2G Adjustments'!$A25)</f>
        <v>0</v>
      </c>
      <c r="P25" s="303">
        <f t="shared" si="3"/>
        <v>0</v>
      </c>
      <c r="Q25" s="68">
        <f>IFERROR(N25*'As-Filed Schedule 1'!$E$103,0)</f>
        <v>0</v>
      </c>
      <c r="R25" s="68">
        <f>IFERROR(P25*'Adjusted Schedule 1'!$E$104,0)</f>
        <v>0</v>
      </c>
      <c r="S25" s="68">
        <f t="shared" si="4"/>
        <v>0</v>
      </c>
      <c r="T25" s="304">
        <f t="shared" si="5"/>
        <v>0</v>
      </c>
      <c r="V25" s="117">
        <f>'As-Filed Schedule 2G'!N25</f>
        <v>0</v>
      </c>
      <c r="W25" s="307">
        <f>SUMIFS(Adjustments!$G:$G,Adjustments!$H:$H,"2G",Adjustments!$I:$I,'Schedule 2G Adjustments'!$V$12,Adjustments!$J:$J,'Schedule 2G Adjustments'!$A25)</f>
        <v>0</v>
      </c>
      <c r="X25" s="303">
        <f t="shared" si="6"/>
        <v>0</v>
      </c>
      <c r="Y25" s="117">
        <f>'As-Filed Schedule 2G'!O25</f>
        <v>0</v>
      </c>
      <c r="Z25" s="307">
        <f>SUMIFS(Adjustments!$G:$G,Adjustments!$H:$H,"2G",Adjustments!$I:$I,'Schedule 2G Adjustments'!$Y$12,Adjustments!$J:$J,'Schedule 2G Adjustments'!$A25)</f>
        <v>0</v>
      </c>
      <c r="AA25" s="303">
        <f t="shared" si="7"/>
        <v>0</v>
      </c>
    </row>
    <row r="26" spans="1:27" x14ac:dyDescent="0.35">
      <c r="A26" s="24">
        <v>12</v>
      </c>
      <c r="B26" s="565" t="str">
        <f>IF('As-Filed Schedule 2G'!B26:D26=0,"",'As-Filed Schedule 2G'!B26:D26)</f>
        <v/>
      </c>
      <c r="C26" s="565"/>
      <c r="D26" s="565"/>
      <c r="F26" s="114">
        <f>'As-Filed Schedule 2G'!F26</f>
        <v>0</v>
      </c>
      <c r="G26" s="307">
        <f>SUMIFS(Adjustments!$G:$G,Adjustments!$H:$H,"2G",Adjustments!$I:$I,'Schedule 2G Adjustments'!$F$12,Adjustments!$J:$J,'Schedule 2G Adjustments'!$A26)</f>
        <v>0</v>
      </c>
      <c r="H26" s="303">
        <f t="shared" si="0"/>
        <v>0</v>
      </c>
      <c r="I26" s="68">
        <f>IFERROR(F26*'As-Filed Schedule 1'!$E$103,0)</f>
        <v>0</v>
      </c>
      <c r="J26" s="304">
        <f>IFERROR(H26*'Adjusted Schedule 1'!$E$104,0)</f>
        <v>0</v>
      </c>
      <c r="K26" s="68">
        <f t="shared" si="1"/>
        <v>0</v>
      </c>
      <c r="L26" s="304">
        <f t="shared" si="2"/>
        <v>0</v>
      </c>
      <c r="N26" s="114">
        <f>'As-Filed Schedule 2G'!J26</f>
        <v>0</v>
      </c>
      <c r="O26" s="307">
        <f>SUMIFS(Adjustments!$G:$G,Adjustments!$H:$H,"2G",Adjustments!$I:$I,'Schedule 2G Adjustments'!$N$12,Adjustments!$J:$J,'Schedule 2G Adjustments'!$A26)</f>
        <v>0</v>
      </c>
      <c r="P26" s="303">
        <f t="shared" si="3"/>
        <v>0</v>
      </c>
      <c r="Q26" s="68">
        <f>IFERROR(N26*'As-Filed Schedule 1'!$E$103,0)</f>
        <v>0</v>
      </c>
      <c r="R26" s="68">
        <f>IFERROR(P26*'Adjusted Schedule 1'!$E$104,0)</f>
        <v>0</v>
      </c>
      <c r="S26" s="68">
        <f t="shared" si="4"/>
        <v>0</v>
      </c>
      <c r="T26" s="304">
        <f t="shared" si="5"/>
        <v>0</v>
      </c>
      <c r="V26" s="117">
        <f>'As-Filed Schedule 2G'!N26</f>
        <v>0</v>
      </c>
      <c r="W26" s="307">
        <f>SUMIFS(Adjustments!$G:$G,Adjustments!$H:$H,"2G",Adjustments!$I:$I,'Schedule 2G Adjustments'!$V$12,Adjustments!$J:$J,'Schedule 2G Adjustments'!$A26)</f>
        <v>0</v>
      </c>
      <c r="X26" s="303">
        <f t="shared" si="6"/>
        <v>0</v>
      </c>
      <c r="Y26" s="117">
        <f>'As-Filed Schedule 2G'!O26</f>
        <v>0</v>
      </c>
      <c r="Z26" s="307">
        <f>SUMIFS(Adjustments!$G:$G,Adjustments!$H:$H,"2G",Adjustments!$I:$I,'Schedule 2G Adjustments'!$Y$12,Adjustments!$J:$J,'Schedule 2G Adjustments'!$A26)</f>
        <v>0</v>
      </c>
      <c r="AA26" s="303">
        <f t="shared" si="7"/>
        <v>0</v>
      </c>
    </row>
    <row r="27" spans="1:27" x14ac:dyDescent="0.35">
      <c r="A27" s="24">
        <v>13</v>
      </c>
      <c r="B27" s="565" t="str">
        <f>IF('As-Filed Schedule 2G'!B27:D27=0,"",'As-Filed Schedule 2G'!B27:D27)</f>
        <v/>
      </c>
      <c r="C27" s="565"/>
      <c r="D27" s="565"/>
      <c r="F27" s="114">
        <f>'As-Filed Schedule 2G'!F27</f>
        <v>0</v>
      </c>
      <c r="G27" s="307">
        <f>SUMIFS(Adjustments!$G:$G,Adjustments!$H:$H,"2G",Adjustments!$I:$I,'Schedule 2G Adjustments'!$F$12,Adjustments!$J:$J,'Schedule 2G Adjustments'!$A27)</f>
        <v>0</v>
      </c>
      <c r="H27" s="303">
        <f t="shared" si="0"/>
        <v>0</v>
      </c>
      <c r="I27" s="68">
        <f>IFERROR(F27*'As-Filed Schedule 1'!$E$103,0)</f>
        <v>0</v>
      </c>
      <c r="J27" s="304">
        <f>IFERROR(H27*'Adjusted Schedule 1'!$E$104,0)</f>
        <v>0</v>
      </c>
      <c r="K27" s="68">
        <f t="shared" si="1"/>
        <v>0</v>
      </c>
      <c r="L27" s="304">
        <f t="shared" si="2"/>
        <v>0</v>
      </c>
      <c r="N27" s="114">
        <f>'As-Filed Schedule 2G'!J27</f>
        <v>0</v>
      </c>
      <c r="O27" s="307">
        <f>SUMIFS(Adjustments!$G:$G,Adjustments!$H:$H,"2G",Adjustments!$I:$I,'Schedule 2G Adjustments'!$N$12,Adjustments!$J:$J,'Schedule 2G Adjustments'!$A27)</f>
        <v>0</v>
      </c>
      <c r="P27" s="303">
        <f t="shared" si="3"/>
        <v>0</v>
      </c>
      <c r="Q27" s="68">
        <f>IFERROR(N27*'As-Filed Schedule 1'!$E$103,0)</f>
        <v>0</v>
      </c>
      <c r="R27" s="68">
        <f>IFERROR(P27*'Adjusted Schedule 1'!$E$104,0)</f>
        <v>0</v>
      </c>
      <c r="S27" s="68">
        <f t="shared" si="4"/>
        <v>0</v>
      </c>
      <c r="T27" s="304">
        <f t="shared" si="5"/>
        <v>0</v>
      </c>
      <c r="V27" s="117">
        <f>'As-Filed Schedule 2G'!N27</f>
        <v>0</v>
      </c>
      <c r="W27" s="307">
        <f>SUMIFS(Adjustments!$G:$G,Adjustments!$H:$H,"2G",Adjustments!$I:$I,'Schedule 2G Adjustments'!$V$12,Adjustments!$J:$J,'Schedule 2G Adjustments'!$A27)</f>
        <v>0</v>
      </c>
      <c r="X27" s="303">
        <f t="shared" si="6"/>
        <v>0</v>
      </c>
      <c r="Y27" s="117">
        <f>'As-Filed Schedule 2G'!O27</f>
        <v>0</v>
      </c>
      <c r="Z27" s="307">
        <f>SUMIFS(Adjustments!$G:$G,Adjustments!$H:$H,"2G",Adjustments!$I:$I,'Schedule 2G Adjustments'!$Y$12,Adjustments!$J:$J,'Schedule 2G Adjustments'!$A27)</f>
        <v>0</v>
      </c>
      <c r="AA27" s="303">
        <f t="shared" si="7"/>
        <v>0</v>
      </c>
    </row>
    <row r="28" spans="1:27" x14ac:dyDescent="0.35">
      <c r="A28" s="24">
        <v>14</v>
      </c>
      <c r="B28" s="565" t="str">
        <f>IF('As-Filed Schedule 2G'!B28:D28=0,"",'As-Filed Schedule 2G'!B28:D28)</f>
        <v/>
      </c>
      <c r="C28" s="565"/>
      <c r="D28" s="565"/>
      <c r="F28" s="114">
        <f>'As-Filed Schedule 2G'!F28</f>
        <v>0</v>
      </c>
      <c r="G28" s="307">
        <f>SUMIFS(Adjustments!$G:$G,Adjustments!$H:$H,"2G",Adjustments!$I:$I,'Schedule 2G Adjustments'!$F$12,Adjustments!$J:$J,'Schedule 2G Adjustments'!$A28)</f>
        <v>0</v>
      </c>
      <c r="H28" s="303">
        <f t="shared" si="0"/>
        <v>0</v>
      </c>
      <c r="I28" s="68">
        <f>IFERROR(F28*'As-Filed Schedule 1'!$E$103,0)</f>
        <v>0</v>
      </c>
      <c r="J28" s="304">
        <f>IFERROR(H28*'Adjusted Schedule 1'!$E$104,0)</f>
        <v>0</v>
      </c>
      <c r="K28" s="68">
        <f t="shared" si="1"/>
        <v>0</v>
      </c>
      <c r="L28" s="304">
        <f t="shared" si="2"/>
        <v>0</v>
      </c>
      <c r="N28" s="114">
        <f>'As-Filed Schedule 2G'!J28</f>
        <v>0</v>
      </c>
      <c r="O28" s="307">
        <f>SUMIFS(Adjustments!$G:$G,Adjustments!$H:$H,"2G",Adjustments!$I:$I,'Schedule 2G Adjustments'!$N$12,Adjustments!$J:$J,'Schedule 2G Adjustments'!$A28)</f>
        <v>0</v>
      </c>
      <c r="P28" s="303">
        <f t="shared" si="3"/>
        <v>0</v>
      </c>
      <c r="Q28" s="68">
        <f>IFERROR(N28*'As-Filed Schedule 1'!$E$103,0)</f>
        <v>0</v>
      </c>
      <c r="R28" s="68">
        <f>IFERROR(P28*'Adjusted Schedule 1'!$E$104,0)</f>
        <v>0</v>
      </c>
      <c r="S28" s="68">
        <f t="shared" si="4"/>
        <v>0</v>
      </c>
      <c r="T28" s="304">
        <f t="shared" si="5"/>
        <v>0</v>
      </c>
      <c r="V28" s="117">
        <f>'As-Filed Schedule 2G'!N28</f>
        <v>0</v>
      </c>
      <c r="W28" s="307">
        <f>SUMIFS(Adjustments!$G:$G,Adjustments!$H:$H,"2G",Adjustments!$I:$I,'Schedule 2G Adjustments'!$V$12,Adjustments!$J:$J,'Schedule 2G Adjustments'!$A28)</f>
        <v>0</v>
      </c>
      <c r="X28" s="303">
        <f t="shared" si="6"/>
        <v>0</v>
      </c>
      <c r="Y28" s="117">
        <f>'As-Filed Schedule 2G'!O28</f>
        <v>0</v>
      </c>
      <c r="Z28" s="307">
        <f>SUMIFS(Adjustments!$G:$G,Adjustments!$H:$H,"2G",Adjustments!$I:$I,'Schedule 2G Adjustments'!$Y$12,Adjustments!$J:$J,'Schedule 2G Adjustments'!$A28)</f>
        <v>0</v>
      </c>
      <c r="AA28" s="303">
        <f t="shared" si="7"/>
        <v>0</v>
      </c>
    </row>
    <row r="29" spans="1:27" x14ac:dyDescent="0.35">
      <c r="A29" s="24">
        <v>15</v>
      </c>
      <c r="B29" s="565" t="str">
        <f>IF('As-Filed Schedule 2G'!B29:D29=0,"",'As-Filed Schedule 2G'!B29:D29)</f>
        <v/>
      </c>
      <c r="C29" s="565"/>
      <c r="D29" s="565"/>
      <c r="F29" s="114">
        <f>'As-Filed Schedule 2G'!F29</f>
        <v>0</v>
      </c>
      <c r="G29" s="307">
        <f>SUMIFS(Adjustments!$G:$G,Adjustments!$H:$H,"2G",Adjustments!$I:$I,'Schedule 2G Adjustments'!$F$12,Adjustments!$J:$J,'Schedule 2G Adjustments'!$A29)</f>
        <v>0</v>
      </c>
      <c r="H29" s="303">
        <f t="shared" si="0"/>
        <v>0</v>
      </c>
      <c r="I29" s="68">
        <f>IFERROR(F29*'As-Filed Schedule 1'!$E$103,0)</f>
        <v>0</v>
      </c>
      <c r="J29" s="304">
        <f>IFERROR(H29*'Adjusted Schedule 1'!$E$104,0)</f>
        <v>0</v>
      </c>
      <c r="K29" s="68">
        <f t="shared" si="1"/>
        <v>0</v>
      </c>
      <c r="L29" s="304">
        <f t="shared" si="2"/>
        <v>0</v>
      </c>
      <c r="N29" s="114">
        <f>'As-Filed Schedule 2G'!J29</f>
        <v>0</v>
      </c>
      <c r="O29" s="307">
        <f>SUMIFS(Adjustments!$G:$G,Adjustments!$H:$H,"2G",Adjustments!$I:$I,'Schedule 2G Adjustments'!$N$12,Adjustments!$J:$J,'Schedule 2G Adjustments'!$A29)</f>
        <v>0</v>
      </c>
      <c r="P29" s="303">
        <f t="shared" si="3"/>
        <v>0</v>
      </c>
      <c r="Q29" s="68">
        <f>IFERROR(N29*'As-Filed Schedule 1'!$E$103,0)</f>
        <v>0</v>
      </c>
      <c r="R29" s="68">
        <f>IFERROR(P29*'Adjusted Schedule 1'!$E$104,0)</f>
        <v>0</v>
      </c>
      <c r="S29" s="68">
        <f t="shared" si="4"/>
        <v>0</v>
      </c>
      <c r="T29" s="304">
        <f t="shared" si="5"/>
        <v>0</v>
      </c>
      <c r="V29" s="117">
        <f>'As-Filed Schedule 2G'!N29</f>
        <v>0</v>
      </c>
      <c r="W29" s="307">
        <f>SUMIFS(Adjustments!$G:$G,Adjustments!$H:$H,"2G",Adjustments!$I:$I,'Schedule 2G Adjustments'!$V$12,Adjustments!$J:$J,'Schedule 2G Adjustments'!$A29)</f>
        <v>0</v>
      </c>
      <c r="X29" s="303">
        <f t="shared" si="6"/>
        <v>0</v>
      </c>
      <c r="Y29" s="117">
        <f>'As-Filed Schedule 2G'!O29</f>
        <v>0</v>
      </c>
      <c r="Z29" s="307">
        <f>SUMIFS(Adjustments!$G:$G,Adjustments!$H:$H,"2G",Adjustments!$I:$I,'Schedule 2G Adjustments'!$Y$12,Adjustments!$J:$J,'Schedule 2G Adjustments'!$A29)</f>
        <v>0</v>
      </c>
      <c r="AA29" s="303">
        <f t="shared" si="7"/>
        <v>0</v>
      </c>
    </row>
    <row r="30" spans="1:27" x14ac:dyDescent="0.35">
      <c r="A30" s="24">
        <v>16</v>
      </c>
      <c r="B30" s="565" t="str">
        <f>IF('As-Filed Schedule 2G'!B30:D30=0,"",'As-Filed Schedule 2G'!B30:D30)</f>
        <v/>
      </c>
      <c r="C30" s="565"/>
      <c r="D30" s="565"/>
      <c r="F30" s="114">
        <f>'As-Filed Schedule 2G'!F30</f>
        <v>0</v>
      </c>
      <c r="G30" s="307">
        <f>SUMIFS(Adjustments!$G:$G,Adjustments!$H:$H,"2G",Adjustments!$I:$I,'Schedule 2G Adjustments'!$F$12,Adjustments!$J:$J,'Schedule 2G Adjustments'!$A30)</f>
        <v>0</v>
      </c>
      <c r="H30" s="303">
        <f t="shared" si="0"/>
        <v>0</v>
      </c>
      <c r="I30" s="68">
        <f>IFERROR(F30*'As-Filed Schedule 1'!$E$103,0)</f>
        <v>0</v>
      </c>
      <c r="J30" s="304">
        <f>IFERROR(H30*'Adjusted Schedule 1'!$E$104,0)</f>
        <v>0</v>
      </c>
      <c r="K30" s="68">
        <f t="shared" si="1"/>
        <v>0</v>
      </c>
      <c r="L30" s="304">
        <f t="shared" si="2"/>
        <v>0</v>
      </c>
      <c r="N30" s="114">
        <f>'As-Filed Schedule 2G'!J30</f>
        <v>0</v>
      </c>
      <c r="O30" s="307">
        <f>SUMIFS(Adjustments!$G:$G,Adjustments!$H:$H,"2G",Adjustments!$I:$I,'Schedule 2G Adjustments'!$N$12,Adjustments!$J:$J,'Schedule 2G Adjustments'!$A30)</f>
        <v>0</v>
      </c>
      <c r="P30" s="303">
        <f t="shared" si="3"/>
        <v>0</v>
      </c>
      <c r="Q30" s="68">
        <f>IFERROR(N30*'As-Filed Schedule 1'!$E$103,0)</f>
        <v>0</v>
      </c>
      <c r="R30" s="68">
        <f>IFERROR(P30*'Adjusted Schedule 1'!$E$104,0)</f>
        <v>0</v>
      </c>
      <c r="S30" s="68">
        <f t="shared" si="4"/>
        <v>0</v>
      </c>
      <c r="T30" s="304">
        <f t="shared" si="5"/>
        <v>0</v>
      </c>
      <c r="V30" s="117">
        <f>'As-Filed Schedule 2G'!N30</f>
        <v>0</v>
      </c>
      <c r="W30" s="307">
        <f>SUMIFS(Adjustments!$G:$G,Adjustments!$H:$H,"2G",Adjustments!$I:$I,'Schedule 2G Adjustments'!$V$12,Adjustments!$J:$J,'Schedule 2G Adjustments'!$A30)</f>
        <v>0</v>
      </c>
      <c r="X30" s="303">
        <f t="shared" si="6"/>
        <v>0</v>
      </c>
      <c r="Y30" s="117">
        <f>'As-Filed Schedule 2G'!O30</f>
        <v>0</v>
      </c>
      <c r="Z30" s="307">
        <f>SUMIFS(Adjustments!$G:$G,Adjustments!$H:$H,"2G",Adjustments!$I:$I,'Schedule 2G Adjustments'!$Y$12,Adjustments!$J:$J,'Schedule 2G Adjustments'!$A30)</f>
        <v>0</v>
      </c>
      <c r="AA30" s="303">
        <f t="shared" si="7"/>
        <v>0</v>
      </c>
    </row>
    <row r="31" spans="1:27" x14ac:dyDescent="0.35">
      <c r="A31" s="24">
        <v>17</v>
      </c>
      <c r="B31" s="565" t="str">
        <f>IF('As-Filed Schedule 2G'!B31:D31=0,"",'As-Filed Schedule 2G'!B31:D31)</f>
        <v/>
      </c>
      <c r="C31" s="565"/>
      <c r="D31" s="565"/>
      <c r="F31" s="114">
        <f>'As-Filed Schedule 2G'!F31</f>
        <v>0</v>
      </c>
      <c r="G31" s="307">
        <f>SUMIFS(Adjustments!$G:$G,Adjustments!$H:$H,"2G",Adjustments!$I:$I,'Schedule 2G Adjustments'!$F$12,Adjustments!$J:$J,'Schedule 2G Adjustments'!$A31)</f>
        <v>0</v>
      </c>
      <c r="H31" s="303">
        <f t="shared" si="0"/>
        <v>0</v>
      </c>
      <c r="I31" s="68">
        <f>IFERROR(F31*'As-Filed Schedule 1'!$E$103,0)</f>
        <v>0</v>
      </c>
      <c r="J31" s="304">
        <f>IFERROR(H31*'Adjusted Schedule 1'!$E$104,0)</f>
        <v>0</v>
      </c>
      <c r="K31" s="68">
        <f t="shared" si="1"/>
        <v>0</v>
      </c>
      <c r="L31" s="304">
        <f t="shared" si="2"/>
        <v>0</v>
      </c>
      <c r="N31" s="114">
        <f>'As-Filed Schedule 2G'!J31</f>
        <v>0</v>
      </c>
      <c r="O31" s="307">
        <f>SUMIFS(Adjustments!$G:$G,Adjustments!$H:$H,"2G",Adjustments!$I:$I,'Schedule 2G Adjustments'!$N$12,Adjustments!$J:$J,'Schedule 2G Adjustments'!$A31)</f>
        <v>0</v>
      </c>
      <c r="P31" s="303">
        <f t="shared" si="3"/>
        <v>0</v>
      </c>
      <c r="Q31" s="68">
        <f>IFERROR(N31*'As-Filed Schedule 1'!$E$103,0)</f>
        <v>0</v>
      </c>
      <c r="R31" s="68">
        <f>IFERROR(P31*'Adjusted Schedule 1'!$E$104,0)</f>
        <v>0</v>
      </c>
      <c r="S31" s="68">
        <f t="shared" si="4"/>
        <v>0</v>
      </c>
      <c r="T31" s="304">
        <f t="shared" si="5"/>
        <v>0</v>
      </c>
      <c r="V31" s="117">
        <f>'As-Filed Schedule 2G'!N31</f>
        <v>0</v>
      </c>
      <c r="W31" s="307">
        <f>SUMIFS(Adjustments!$G:$G,Adjustments!$H:$H,"2G",Adjustments!$I:$I,'Schedule 2G Adjustments'!$V$12,Adjustments!$J:$J,'Schedule 2G Adjustments'!$A31)</f>
        <v>0</v>
      </c>
      <c r="X31" s="303">
        <f t="shared" si="6"/>
        <v>0</v>
      </c>
      <c r="Y31" s="117">
        <f>'As-Filed Schedule 2G'!O31</f>
        <v>0</v>
      </c>
      <c r="Z31" s="307">
        <f>SUMIFS(Adjustments!$G:$G,Adjustments!$H:$H,"2G",Adjustments!$I:$I,'Schedule 2G Adjustments'!$Y$12,Adjustments!$J:$J,'Schedule 2G Adjustments'!$A31)</f>
        <v>0</v>
      </c>
      <c r="AA31" s="303">
        <f t="shared" si="7"/>
        <v>0</v>
      </c>
    </row>
    <row r="32" spans="1:27" x14ac:dyDescent="0.35">
      <c r="A32" s="24">
        <v>18</v>
      </c>
      <c r="B32" s="565" t="str">
        <f>IF('As-Filed Schedule 2G'!B32:D32=0,"",'As-Filed Schedule 2G'!B32:D32)</f>
        <v/>
      </c>
      <c r="C32" s="565"/>
      <c r="D32" s="565"/>
      <c r="F32" s="114">
        <f>'As-Filed Schedule 2G'!F32</f>
        <v>0</v>
      </c>
      <c r="G32" s="307">
        <f>SUMIFS(Adjustments!$G:$G,Adjustments!$H:$H,"2G",Adjustments!$I:$I,'Schedule 2G Adjustments'!$F$12,Adjustments!$J:$J,'Schedule 2G Adjustments'!$A32)</f>
        <v>0</v>
      </c>
      <c r="H32" s="303">
        <f t="shared" si="0"/>
        <v>0</v>
      </c>
      <c r="I32" s="68">
        <f>IFERROR(F32*'As-Filed Schedule 1'!$E$103,0)</f>
        <v>0</v>
      </c>
      <c r="J32" s="304">
        <f>IFERROR(H32*'Adjusted Schedule 1'!$E$104,0)</f>
        <v>0</v>
      </c>
      <c r="K32" s="68">
        <f t="shared" si="1"/>
        <v>0</v>
      </c>
      <c r="L32" s="304">
        <f t="shared" si="2"/>
        <v>0</v>
      </c>
      <c r="N32" s="114">
        <f>'As-Filed Schedule 2G'!J32</f>
        <v>0</v>
      </c>
      <c r="O32" s="307">
        <f>SUMIFS(Adjustments!$G:$G,Adjustments!$H:$H,"2G",Adjustments!$I:$I,'Schedule 2G Adjustments'!$N$12,Adjustments!$J:$J,'Schedule 2G Adjustments'!$A32)</f>
        <v>0</v>
      </c>
      <c r="P32" s="303">
        <f t="shared" si="3"/>
        <v>0</v>
      </c>
      <c r="Q32" s="68">
        <f>IFERROR(N32*'As-Filed Schedule 1'!$E$103,0)</f>
        <v>0</v>
      </c>
      <c r="R32" s="68">
        <f>IFERROR(P32*'Adjusted Schedule 1'!$E$104,0)</f>
        <v>0</v>
      </c>
      <c r="S32" s="68">
        <f t="shared" si="4"/>
        <v>0</v>
      </c>
      <c r="T32" s="304">
        <f t="shared" si="5"/>
        <v>0</v>
      </c>
      <c r="V32" s="117">
        <f>'As-Filed Schedule 2G'!N32</f>
        <v>0</v>
      </c>
      <c r="W32" s="307">
        <f>SUMIFS(Adjustments!$G:$G,Adjustments!$H:$H,"2G",Adjustments!$I:$I,'Schedule 2G Adjustments'!$V$12,Adjustments!$J:$J,'Schedule 2G Adjustments'!$A32)</f>
        <v>0</v>
      </c>
      <c r="X32" s="303">
        <f t="shared" si="6"/>
        <v>0</v>
      </c>
      <c r="Y32" s="117">
        <f>'As-Filed Schedule 2G'!O32</f>
        <v>0</v>
      </c>
      <c r="Z32" s="307">
        <f>SUMIFS(Adjustments!$G:$G,Adjustments!$H:$H,"2G",Adjustments!$I:$I,'Schedule 2G Adjustments'!$Y$12,Adjustments!$J:$J,'Schedule 2G Adjustments'!$A32)</f>
        <v>0</v>
      </c>
      <c r="AA32" s="303">
        <f t="shared" si="7"/>
        <v>0</v>
      </c>
    </row>
    <row r="33" spans="1:27" x14ac:dyDescent="0.35">
      <c r="A33" s="24">
        <v>19</v>
      </c>
      <c r="B33" s="565" t="str">
        <f>IF('As-Filed Schedule 2G'!B33:D33=0,"",'As-Filed Schedule 2G'!B33:D33)</f>
        <v/>
      </c>
      <c r="C33" s="565"/>
      <c r="D33" s="565"/>
      <c r="F33" s="114">
        <f>'As-Filed Schedule 2G'!F33</f>
        <v>0</v>
      </c>
      <c r="G33" s="307">
        <f>SUMIFS(Adjustments!$G:$G,Adjustments!$H:$H,"2G",Adjustments!$I:$I,'Schedule 2G Adjustments'!$F$12,Adjustments!$J:$J,'Schedule 2G Adjustments'!$A33)</f>
        <v>0</v>
      </c>
      <c r="H33" s="303">
        <f t="shared" si="0"/>
        <v>0</v>
      </c>
      <c r="I33" s="68">
        <f>IFERROR(F33*'As-Filed Schedule 1'!$E$103,0)</f>
        <v>0</v>
      </c>
      <c r="J33" s="304">
        <f>IFERROR(H33*'Adjusted Schedule 1'!$E$104,0)</f>
        <v>0</v>
      </c>
      <c r="K33" s="68">
        <f t="shared" si="1"/>
        <v>0</v>
      </c>
      <c r="L33" s="304">
        <f t="shared" si="2"/>
        <v>0</v>
      </c>
      <c r="N33" s="114">
        <f>'As-Filed Schedule 2G'!J33</f>
        <v>0</v>
      </c>
      <c r="O33" s="307">
        <f>SUMIFS(Adjustments!$G:$G,Adjustments!$H:$H,"2G",Adjustments!$I:$I,'Schedule 2G Adjustments'!$N$12,Adjustments!$J:$J,'Schedule 2G Adjustments'!$A33)</f>
        <v>0</v>
      </c>
      <c r="P33" s="303">
        <f t="shared" si="3"/>
        <v>0</v>
      </c>
      <c r="Q33" s="68">
        <f>IFERROR(N33*'As-Filed Schedule 1'!$E$103,0)</f>
        <v>0</v>
      </c>
      <c r="R33" s="68">
        <f>IFERROR(P33*'Adjusted Schedule 1'!$E$104,0)</f>
        <v>0</v>
      </c>
      <c r="S33" s="68">
        <f t="shared" si="4"/>
        <v>0</v>
      </c>
      <c r="T33" s="304">
        <f t="shared" si="5"/>
        <v>0</v>
      </c>
      <c r="V33" s="117">
        <f>'As-Filed Schedule 2G'!N33</f>
        <v>0</v>
      </c>
      <c r="W33" s="307">
        <f>SUMIFS(Adjustments!$G:$G,Adjustments!$H:$H,"2G",Adjustments!$I:$I,'Schedule 2G Adjustments'!$V$12,Adjustments!$J:$J,'Schedule 2G Adjustments'!$A33)</f>
        <v>0</v>
      </c>
      <c r="X33" s="303">
        <f t="shared" si="6"/>
        <v>0</v>
      </c>
      <c r="Y33" s="117">
        <f>'As-Filed Schedule 2G'!O33</f>
        <v>0</v>
      </c>
      <c r="Z33" s="307">
        <f>SUMIFS(Adjustments!$G:$G,Adjustments!$H:$H,"2G",Adjustments!$I:$I,'Schedule 2G Adjustments'!$Y$12,Adjustments!$J:$J,'Schedule 2G Adjustments'!$A33)</f>
        <v>0</v>
      </c>
      <c r="AA33" s="303">
        <f t="shared" si="7"/>
        <v>0</v>
      </c>
    </row>
    <row r="34" spans="1:27" x14ac:dyDescent="0.35">
      <c r="A34" s="24">
        <v>20</v>
      </c>
      <c r="B34" s="565" t="str">
        <f>IF('As-Filed Schedule 2G'!B34:D34=0,"",'As-Filed Schedule 2G'!B34:D34)</f>
        <v/>
      </c>
      <c r="C34" s="565"/>
      <c r="D34" s="565"/>
      <c r="F34" s="114">
        <f>'As-Filed Schedule 2G'!F34</f>
        <v>0</v>
      </c>
      <c r="G34" s="307">
        <f>SUMIFS(Adjustments!$G:$G,Adjustments!$H:$H,"2G",Adjustments!$I:$I,'Schedule 2G Adjustments'!$F$12,Adjustments!$J:$J,'Schedule 2G Adjustments'!$A34)</f>
        <v>0</v>
      </c>
      <c r="H34" s="303">
        <f t="shared" si="0"/>
        <v>0</v>
      </c>
      <c r="I34" s="68">
        <f>IFERROR(F34*'As-Filed Schedule 1'!$E$103,0)</f>
        <v>0</v>
      </c>
      <c r="J34" s="304">
        <f>IFERROR(H34*'Adjusted Schedule 1'!$E$104,0)</f>
        <v>0</v>
      </c>
      <c r="K34" s="68">
        <f t="shared" si="1"/>
        <v>0</v>
      </c>
      <c r="L34" s="304">
        <f t="shared" si="2"/>
        <v>0</v>
      </c>
      <c r="N34" s="114">
        <f>'As-Filed Schedule 2G'!J34</f>
        <v>0</v>
      </c>
      <c r="O34" s="307">
        <f>SUMIFS(Adjustments!$G:$G,Adjustments!$H:$H,"2G",Adjustments!$I:$I,'Schedule 2G Adjustments'!$N$12,Adjustments!$J:$J,'Schedule 2G Adjustments'!$A34)</f>
        <v>0</v>
      </c>
      <c r="P34" s="303">
        <f t="shared" si="3"/>
        <v>0</v>
      </c>
      <c r="Q34" s="68">
        <f>IFERROR(N34*'As-Filed Schedule 1'!$E$103,0)</f>
        <v>0</v>
      </c>
      <c r="R34" s="68">
        <f>IFERROR(P34*'Adjusted Schedule 1'!$E$104,0)</f>
        <v>0</v>
      </c>
      <c r="S34" s="68">
        <f t="shared" si="4"/>
        <v>0</v>
      </c>
      <c r="T34" s="304">
        <f t="shared" si="5"/>
        <v>0</v>
      </c>
      <c r="V34" s="117">
        <f>'As-Filed Schedule 2G'!N34</f>
        <v>0</v>
      </c>
      <c r="W34" s="307">
        <f>SUMIFS(Adjustments!$G:$G,Adjustments!$H:$H,"2G",Adjustments!$I:$I,'Schedule 2G Adjustments'!$V$12,Adjustments!$J:$J,'Schedule 2G Adjustments'!$A34)</f>
        <v>0</v>
      </c>
      <c r="X34" s="303">
        <f t="shared" si="6"/>
        <v>0</v>
      </c>
      <c r="Y34" s="117">
        <f>'As-Filed Schedule 2G'!O34</f>
        <v>0</v>
      </c>
      <c r="Z34" s="307">
        <f>SUMIFS(Adjustments!$G:$G,Adjustments!$H:$H,"2G",Adjustments!$I:$I,'Schedule 2G Adjustments'!$Y$12,Adjustments!$J:$J,'Schedule 2G Adjustments'!$A34)</f>
        <v>0</v>
      </c>
      <c r="AA34" s="303">
        <f t="shared" si="7"/>
        <v>0</v>
      </c>
    </row>
    <row r="35" spans="1:27" x14ac:dyDescent="0.35">
      <c r="A35" s="24">
        <v>21</v>
      </c>
      <c r="B35" s="565" t="str">
        <f>IF('As-Filed Schedule 2G'!B35:D35=0,"",'As-Filed Schedule 2G'!B35:D35)</f>
        <v/>
      </c>
      <c r="C35" s="565"/>
      <c r="D35" s="565"/>
      <c r="F35" s="114">
        <f>'As-Filed Schedule 2G'!F35</f>
        <v>0</v>
      </c>
      <c r="G35" s="307">
        <f>SUMIFS(Adjustments!$G:$G,Adjustments!$H:$H,"2G",Adjustments!$I:$I,'Schedule 2G Adjustments'!$F$12,Adjustments!$J:$J,'Schedule 2G Adjustments'!$A35)</f>
        <v>0</v>
      </c>
      <c r="H35" s="303">
        <f t="shared" si="0"/>
        <v>0</v>
      </c>
      <c r="I35" s="68">
        <f>IFERROR(F35*'As-Filed Schedule 1'!$E$103,0)</f>
        <v>0</v>
      </c>
      <c r="J35" s="304">
        <f>IFERROR(H35*'Adjusted Schedule 1'!$E$104,0)</f>
        <v>0</v>
      </c>
      <c r="K35" s="68">
        <f t="shared" si="1"/>
        <v>0</v>
      </c>
      <c r="L35" s="304">
        <f t="shared" si="2"/>
        <v>0</v>
      </c>
      <c r="N35" s="114">
        <f>'As-Filed Schedule 2G'!J35</f>
        <v>0</v>
      </c>
      <c r="O35" s="307">
        <f>SUMIFS(Adjustments!$G:$G,Adjustments!$H:$H,"2G",Adjustments!$I:$I,'Schedule 2G Adjustments'!$N$12,Adjustments!$J:$J,'Schedule 2G Adjustments'!$A35)</f>
        <v>0</v>
      </c>
      <c r="P35" s="303">
        <f t="shared" si="3"/>
        <v>0</v>
      </c>
      <c r="Q35" s="68">
        <f>IFERROR(N35*'As-Filed Schedule 1'!$E$103,0)</f>
        <v>0</v>
      </c>
      <c r="R35" s="68">
        <f>IFERROR(P35*'Adjusted Schedule 1'!$E$104,0)</f>
        <v>0</v>
      </c>
      <c r="S35" s="68">
        <f t="shared" si="4"/>
        <v>0</v>
      </c>
      <c r="T35" s="304">
        <f t="shared" si="5"/>
        <v>0</v>
      </c>
      <c r="V35" s="117">
        <f>'As-Filed Schedule 2G'!N35</f>
        <v>0</v>
      </c>
      <c r="W35" s="307">
        <f>SUMIFS(Adjustments!$G:$G,Adjustments!$H:$H,"2G",Adjustments!$I:$I,'Schedule 2G Adjustments'!$V$12,Adjustments!$J:$J,'Schedule 2G Adjustments'!$A35)</f>
        <v>0</v>
      </c>
      <c r="X35" s="303">
        <f t="shared" si="6"/>
        <v>0</v>
      </c>
      <c r="Y35" s="117">
        <f>'As-Filed Schedule 2G'!O35</f>
        <v>0</v>
      </c>
      <c r="Z35" s="307">
        <f>SUMIFS(Adjustments!$G:$G,Adjustments!$H:$H,"2G",Adjustments!$I:$I,'Schedule 2G Adjustments'!$Y$12,Adjustments!$J:$J,'Schedule 2G Adjustments'!$A35)</f>
        <v>0</v>
      </c>
      <c r="AA35" s="303">
        <f t="shared" si="7"/>
        <v>0</v>
      </c>
    </row>
    <row r="36" spans="1:27" x14ac:dyDescent="0.35">
      <c r="A36" s="24">
        <v>22</v>
      </c>
      <c r="B36" s="565" t="str">
        <f>IF('As-Filed Schedule 2G'!B36:D36=0,"",'As-Filed Schedule 2G'!B36:D36)</f>
        <v/>
      </c>
      <c r="C36" s="565"/>
      <c r="D36" s="565"/>
      <c r="F36" s="114">
        <f>'As-Filed Schedule 2G'!F36</f>
        <v>0</v>
      </c>
      <c r="G36" s="307">
        <f>SUMIFS(Adjustments!$G:$G,Adjustments!$H:$H,"2G",Adjustments!$I:$I,'Schedule 2G Adjustments'!$F$12,Adjustments!$J:$J,'Schedule 2G Adjustments'!$A36)</f>
        <v>0</v>
      </c>
      <c r="H36" s="303">
        <f t="shared" si="0"/>
        <v>0</v>
      </c>
      <c r="I36" s="68">
        <f>IFERROR(F36*'As-Filed Schedule 1'!$E$103,0)</f>
        <v>0</v>
      </c>
      <c r="J36" s="304">
        <f>IFERROR(H36*'Adjusted Schedule 1'!$E$104,0)</f>
        <v>0</v>
      </c>
      <c r="K36" s="68">
        <f t="shared" si="1"/>
        <v>0</v>
      </c>
      <c r="L36" s="304">
        <f t="shared" si="2"/>
        <v>0</v>
      </c>
      <c r="N36" s="114">
        <f>'As-Filed Schedule 2G'!J36</f>
        <v>0</v>
      </c>
      <c r="O36" s="307">
        <f>SUMIFS(Adjustments!$G:$G,Adjustments!$H:$H,"2G",Adjustments!$I:$I,'Schedule 2G Adjustments'!$N$12,Adjustments!$J:$J,'Schedule 2G Adjustments'!$A36)</f>
        <v>0</v>
      </c>
      <c r="P36" s="303">
        <f t="shared" si="3"/>
        <v>0</v>
      </c>
      <c r="Q36" s="68">
        <f>IFERROR(N36*'As-Filed Schedule 1'!$E$103,0)</f>
        <v>0</v>
      </c>
      <c r="R36" s="68">
        <f>IFERROR(P36*'Adjusted Schedule 1'!$E$104,0)</f>
        <v>0</v>
      </c>
      <c r="S36" s="68">
        <f t="shared" si="4"/>
        <v>0</v>
      </c>
      <c r="T36" s="304">
        <f t="shared" si="5"/>
        <v>0</v>
      </c>
      <c r="V36" s="117">
        <f>'As-Filed Schedule 2G'!N36</f>
        <v>0</v>
      </c>
      <c r="W36" s="307">
        <f>SUMIFS(Adjustments!$G:$G,Adjustments!$H:$H,"2G",Adjustments!$I:$I,'Schedule 2G Adjustments'!$V$12,Adjustments!$J:$J,'Schedule 2G Adjustments'!$A36)</f>
        <v>0</v>
      </c>
      <c r="X36" s="303">
        <f t="shared" si="6"/>
        <v>0</v>
      </c>
      <c r="Y36" s="117">
        <f>'As-Filed Schedule 2G'!O36</f>
        <v>0</v>
      </c>
      <c r="Z36" s="307">
        <f>SUMIFS(Adjustments!$G:$G,Adjustments!$H:$H,"2G",Adjustments!$I:$I,'Schedule 2G Adjustments'!$Y$12,Adjustments!$J:$J,'Schedule 2G Adjustments'!$A36)</f>
        <v>0</v>
      </c>
      <c r="AA36" s="303">
        <f t="shared" si="7"/>
        <v>0</v>
      </c>
    </row>
    <row r="37" spans="1:27" x14ac:dyDescent="0.35">
      <c r="A37" s="24">
        <v>23</v>
      </c>
      <c r="B37" s="565" t="str">
        <f>IF('As-Filed Schedule 2G'!B37:D37=0,"",'As-Filed Schedule 2G'!B37:D37)</f>
        <v/>
      </c>
      <c r="C37" s="565"/>
      <c r="D37" s="565"/>
      <c r="F37" s="114">
        <f>'As-Filed Schedule 2G'!F37</f>
        <v>0</v>
      </c>
      <c r="G37" s="307">
        <f>SUMIFS(Adjustments!$G:$G,Adjustments!$H:$H,"2G",Adjustments!$I:$I,'Schedule 2G Adjustments'!$F$12,Adjustments!$J:$J,'Schedule 2G Adjustments'!$A37)</f>
        <v>0</v>
      </c>
      <c r="H37" s="303">
        <f t="shared" si="0"/>
        <v>0</v>
      </c>
      <c r="I37" s="68">
        <f>IFERROR(F37*'As-Filed Schedule 1'!$E$103,0)</f>
        <v>0</v>
      </c>
      <c r="J37" s="304">
        <f>IFERROR(H37*'Adjusted Schedule 1'!$E$104,0)</f>
        <v>0</v>
      </c>
      <c r="K37" s="68">
        <f t="shared" si="1"/>
        <v>0</v>
      </c>
      <c r="L37" s="304">
        <f t="shared" si="2"/>
        <v>0</v>
      </c>
      <c r="N37" s="114">
        <f>'As-Filed Schedule 2G'!J37</f>
        <v>0</v>
      </c>
      <c r="O37" s="307">
        <f>SUMIFS(Adjustments!$G:$G,Adjustments!$H:$H,"2G",Adjustments!$I:$I,'Schedule 2G Adjustments'!$N$12,Adjustments!$J:$J,'Schedule 2G Adjustments'!$A37)</f>
        <v>0</v>
      </c>
      <c r="P37" s="303">
        <f t="shared" si="3"/>
        <v>0</v>
      </c>
      <c r="Q37" s="68">
        <f>IFERROR(N37*'As-Filed Schedule 1'!$E$103,0)</f>
        <v>0</v>
      </c>
      <c r="R37" s="68">
        <f>IFERROR(P37*'Adjusted Schedule 1'!$E$104,0)</f>
        <v>0</v>
      </c>
      <c r="S37" s="68">
        <f t="shared" si="4"/>
        <v>0</v>
      </c>
      <c r="T37" s="304">
        <f t="shared" si="5"/>
        <v>0</v>
      </c>
      <c r="V37" s="117">
        <f>'As-Filed Schedule 2G'!N37</f>
        <v>0</v>
      </c>
      <c r="W37" s="307">
        <f>SUMIFS(Adjustments!$G:$G,Adjustments!$H:$H,"2G",Adjustments!$I:$I,'Schedule 2G Adjustments'!$V$12,Adjustments!$J:$J,'Schedule 2G Adjustments'!$A37)</f>
        <v>0</v>
      </c>
      <c r="X37" s="303">
        <f t="shared" si="6"/>
        <v>0</v>
      </c>
      <c r="Y37" s="117">
        <f>'As-Filed Schedule 2G'!O37</f>
        <v>0</v>
      </c>
      <c r="Z37" s="307">
        <f>SUMIFS(Adjustments!$G:$G,Adjustments!$H:$H,"2G",Adjustments!$I:$I,'Schedule 2G Adjustments'!$Y$12,Adjustments!$J:$J,'Schedule 2G Adjustments'!$A37)</f>
        <v>0</v>
      </c>
      <c r="AA37" s="303">
        <f t="shared" si="7"/>
        <v>0</v>
      </c>
    </row>
    <row r="38" spans="1:27" x14ac:dyDescent="0.35">
      <c r="A38" s="24">
        <v>24</v>
      </c>
      <c r="B38" s="565" t="str">
        <f>IF('As-Filed Schedule 2G'!B38:D38=0,"",'As-Filed Schedule 2G'!B38:D38)</f>
        <v/>
      </c>
      <c r="C38" s="565"/>
      <c r="D38" s="565"/>
      <c r="F38" s="114">
        <f>'As-Filed Schedule 2G'!F38</f>
        <v>0</v>
      </c>
      <c r="G38" s="307">
        <f>SUMIFS(Adjustments!$G:$G,Adjustments!$H:$H,"2G",Adjustments!$I:$I,'Schedule 2G Adjustments'!$F$12,Adjustments!$J:$J,'Schedule 2G Adjustments'!$A38)</f>
        <v>0</v>
      </c>
      <c r="H38" s="303">
        <f t="shared" si="0"/>
        <v>0</v>
      </c>
      <c r="I38" s="68">
        <f>IFERROR(F38*'As-Filed Schedule 1'!$E$103,0)</f>
        <v>0</v>
      </c>
      <c r="J38" s="304">
        <f>IFERROR(H38*'Adjusted Schedule 1'!$E$104,0)</f>
        <v>0</v>
      </c>
      <c r="K38" s="68">
        <f t="shared" si="1"/>
        <v>0</v>
      </c>
      <c r="L38" s="304">
        <f t="shared" si="2"/>
        <v>0</v>
      </c>
      <c r="N38" s="114">
        <f>'As-Filed Schedule 2G'!J38</f>
        <v>0</v>
      </c>
      <c r="O38" s="307">
        <f>SUMIFS(Adjustments!$G:$G,Adjustments!$H:$H,"2G",Adjustments!$I:$I,'Schedule 2G Adjustments'!$N$12,Adjustments!$J:$J,'Schedule 2G Adjustments'!$A38)</f>
        <v>0</v>
      </c>
      <c r="P38" s="303">
        <f t="shared" si="3"/>
        <v>0</v>
      </c>
      <c r="Q38" s="68">
        <f>IFERROR(N38*'As-Filed Schedule 1'!$E$103,0)</f>
        <v>0</v>
      </c>
      <c r="R38" s="68">
        <f>IFERROR(P38*'Adjusted Schedule 1'!$E$104,0)</f>
        <v>0</v>
      </c>
      <c r="S38" s="68">
        <f t="shared" si="4"/>
        <v>0</v>
      </c>
      <c r="T38" s="304">
        <f t="shared" si="5"/>
        <v>0</v>
      </c>
      <c r="V38" s="117">
        <f>'As-Filed Schedule 2G'!N38</f>
        <v>0</v>
      </c>
      <c r="W38" s="307">
        <f>SUMIFS(Adjustments!$G:$G,Adjustments!$H:$H,"2G",Adjustments!$I:$I,'Schedule 2G Adjustments'!$V$12,Adjustments!$J:$J,'Schedule 2G Adjustments'!$A38)</f>
        <v>0</v>
      </c>
      <c r="X38" s="303">
        <f t="shared" si="6"/>
        <v>0</v>
      </c>
      <c r="Y38" s="117">
        <f>'As-Filed Schedule 2G'!O38</f>
        <v>0</v>
      </c>
      <c r="Z38" s="307">
        <f>SUMIFS(Adjustments!$G:$G,Adjustments!$H:$H,"2G",Adjustments!$I:$I,'Schedule 2G Adjustments'!$Y$12,Adjustments!$J:$J,'Schedule 2G Adjustments'!$A38)</f>
        <v>0</v>
      </c>
      <c r="AA38" s="303">
        <f t="shared" si="7"/>
        <v>0</v>
      </c>
    </row>
    <row r="39" spans="1:27" x14ac:dyDescent="0.35">
      <c r="A39" s="24">
        <v>25</v>
      </c>
      <c r="B39" s="565" t="str">
        <f>IF('As-Filed Schedule 2G'!B39:D39=0,"",'As-Filed Schedule 2G'!B39:D39)</f>
        <v/>
      </c>
      <c r="C39" s="565"/>
      <c r="D39" s="565"/>
      <c r="F39" s="114">
        <f>'As-Filed Schedule 2G'!F39</f>
        <v>0</v>
      </c>
      <c r="G39" s="307">
        <f>SUMIFS(Adjustments!$G:$G,Adjustments!$H:$H,"2G",Adjustments!$I:$I,'Schedule 2G Adjustments'!$F$12,Adjustments!$J:$J,'Schedule 2G Adjustments'!$A39)</f>
        <v>0</v>
      </c>
      <c r="H39" s="303">
        <f t="shared" si="0"/>
        <v>0</v>
      </c>
      <c r="I39" s="68">
        <f>IFERROR(F39*'As-Filed Schedule 1'!$E$103,0)</f>
        <v>0</v>
      </c>
      <c r="J39" s="304">
        <f>IFERROR(H39*'Adjusted Schedule 1'!$E$104,0)</f>
        <v>0</v>
      </c>
      <c r="K39" s="68">
        <f t="shared" si="1"/>
        <v>0</v>
      </c>
      <c r="L39" s="304">
        <f t="shared" si="2"/>
        <v>0</v>
      </c>
      <c r="N39" s="114">
        <f>'As-Filed Schedule 2G'!J39</f>
        <v>0</v>
      </c>
      <c r="O39" s="307">
        <f>SUMIFS(Adjustments!$G:$G,Adjustments!$H:$H,"2G",Adjustments!$I:$I,'Schedule 2G Adjustments'!$N$12,Adjustments!$J:$J,'Schedule 2G Adjustments'!$A39)</f>
        <v>0</v>
      </c>
      <c r="P39" s="303">
        <f t="shared" si="3"/>
        <v>0</v>
      </c>
      <c r="Q39" s="68">
        <f>IFERROR(N39*'As-Filed Schedule 1'!$E$103,0)</f>
        <v>0</v>
      </c>
      <c r="R39" s="68">
        <f>IFERROR(P39*'Adjusted Schedule 1'!$E$104,0)</f>
        <v>0</v>
      </c>
      <c r="S39" s="68">
        <f t="shared" si="4"/>
        <v>0</v>
      </c>
      <c r="T39" s="304">
        <f t="shared" si="5"/>
        <v>0</v>
      </c>
      <c r="V39" s="117">
        <f>'As-Filed Schedule 2G'!N39</f>
        <v>0</v>
      </c>
      <c r="W39" s="307">
        <f>SUMIFS(Adjustments!$G:$G,Adjustments!$H:$H,"2G",Adjustments!$I:$I,'Schedule 2G Adjustments'!$V$12,Adjustments!$J:$J,'Schedule 2G Adjustments'!$A39)</f>
        <v>0</v>
      </c>
      <c r="X39" s="303">
        <f t="shared" si="6"/>
        <v>0</v>
      </c>
      <c r="Y39" s="117">
        <f>'As-Filed Schedule 2G'!O39</f>
        <v>0</v>
      </c>
      <c r="Z39" s="307">
        <f>SUMIFS(Adjustments!$G:$G,Adjustments!$H:$H,"2G",Adjustments!$I:$I,'Schedule 2G Adjustments'!$Y$12,Adjustments!$J:$J,'Schedule 2G Adjustments'!$A39)</f>
        <v>0</v>
      </c>
      <c r="AA39" s="303">
        <f t="shared" si="7"/>
        <v>0</v>
      </c>
    </row>
    <row r="40" spans="1:27" x14ac:dyDescent="0.35">
      <c r="A40" s="24">
        <v>26</v>
      </c>
      <c r="B40" s="565" t="str">
        <f>IF('As-Filed Schedule 2G'!B40:D40=0,"",'As-Filed Schedule 2G'!B40:D40)</f>
        <v/>
      </c>
      <c r="C40" s="565"/>
      <c r="D40" s="565"/>
      <c r="F40" s="114">
        <f>'As-Filed Schedule 2G'!F40</f>
        <v>0</v>
      </c>
      <c r="G40" s="307">
        <f>SUMIFS(Adjustments!$G:$G,Adjustments!$H:$H,"2G",Adjustments!$I:$I,'Schedule 2G Adjustments'!$F$12,Adjustments!$J:$J,'Schedule 2G Adjustments'!$A40)</f>
        <v>0</v>
      </c>
      <c r="H40" s="303">
        <f t="shared" si="0"/>
        <v>0</v>
      </c>
      <c r="I40" s="68">
        <f>IFERROR(F40*'As-Filed Schedule 1'!$E$103,0)</f>
        <v>0</v>
      </c>
      <c r="J40" s="304">
        <f>IFERROR(H40*'Adjusted Schedule 1'!$E$104,0)</f>
        <v>0</v>
      </c>
      <c r="K40" s="68">
        <f t="shared" si="1"/>
        <v>0</v>
      </c>
      <c r="L40" s="304">
        <f t="shared" si="2"/>
        <v>0</v>
      </c>
      <c r="N40" s="114">
        <f>'As-Filed Schedule 2G'!J40</f>
        <v>0</v>
      </c>
      <c r="O40" s="307">
        <f>SUMIFS(Adjustments!$G:$G,Adjustments!$H:$H,"2G",Adjustments!$I:$I,'Schedule 2G Adjustments'!$N$12,Adjustments!$J:$J,'Schedule 2G Adjustments'!$A40)</f>
        <v>0</v>
      </c>
      <c r="P40" s="303">
        <f t="shared" si="3"/>
        <v>0</v>
      </c>
      <c r="Q40" s="68">
        <f>IFERROR(N40*'As-Filed Schedule 1'!$E$103,0)</f>
        <v>0</v>
      </c>
      <c r="R40" s="68">
        <f>IFERROR(P40*'Adjusted Schedule 1'!$E$104,0)</f>
        <v>0</v>
      </c>
      <c r="S40" s="68">
        <f t="shared" si="4"/>
        <v>0</v>
      </c>
      <c r="T40" s="304">
        <f t="shared" si="5"/>
        <v>0</v>
      </c>
      <c r="V40" s="117">
        <f>'As-Filed Schedule 2G'!N40</f>
        <v>0</v>
      </c>
      <c r="W40" s="307">
        <f>SUMIFS(Adjustments!$G:$G,Adjustments!$H:$H,"2G",Adjustments!$I:$I,'Schedule 2G Adjustments'!$V$12,Adjustments!$J:$J,'Schedule 2G Adjustments'!$A40)</f>
        <v>0</v>
      </c>
      <c r="X40" s="303">
        <f t="shared" si="6"/>
        <v>0</v>
      </c>
      <c r="Y40" s="117">
        <f>'As-Filed Schedule 2G'!O40</f>
        <v>0</v>
      </c>
      <c r="Z40" s="307">
        <f>SUMIFS(Adjustments!$G:$G,Adjustments!$H:$H,"2G",Adjustments!$I:$I,'Schedule 2G Adjustments'!$Y$12,Adjustments!$J:$J,'Schedule 2G Adjustments'!$A40)</f>
        <v>0</v>
      </c>
      <c r="AA40" s="303">
        <f t="shared" si="7"/>
        <v>0</v>
      </c>
    </row>
    <row r="41" spans="1:27" x14ac:dyDescent="0.35">
      <c r="A41" s="24">
        <v>27</v>
      </c>
      <c r="B41" s="565" t="str">
        <f>IF('As-Filed Schedule 2G'!B41:D41=0,"",'As-Filed Schedule 2G'!B41:D41)</f>
        <v/>
      </c>
      <c r="C41" s="565"/>
      <c r="D41" s="565"/>
      <c r="F41" s="114">
        <f>'As-Filed Schedule 2G'!F41</f>
        <v>0</v>
      </c>
      <c r="G41" s="307">
        <f>SUMIFS(Adjustments!$G:$G,Adjustments!$H:$H,"2G",Adjustments!$I:$I,'Schedule 2G Adjustments'!$F$12,Adjustments!$J:$J,'Schedule 2G Adjustments'!$A41)</f>
        <v>0</v>
      </c>
      <c r="H41" s="303">
        <f t="shared" si="0"/>
        <v>0</v>
      </c>
      <c r="I41" s="68">
        <f>IFERROR(F41*'As-Filed Schedule 1'!$E$103,0)</f>
        <v>0</v>
      </c>
      <c r="J41" s="304">
        <f>IFERROR(H41*'Adjusted Schedule 1'!$E$104,0)</f>
        <v>0</v>
      </c>
      <c r="K41" s="68">
        <f t="shared" si="1"/>
        <v>0</v>
      </c>
      <c r="L41" s="304">
        <f t="shared" si="2"/>
        <v>0</v>
      </c>
      <c r="N41" s="114">
        <f>'As-Filed Schedule 2G'!J41</f>
        <v>0</v>
      </c>
      <c r="O41" s="307">
        <f>SUMIFS(Adjustments!$G:$G,Adjustments!$H:$H,"2G",Adjustments!$I:$I,'Schedule 2G Adjustments'!$N$12,Adjustments!$J:$J,'Schedule 2G Adjustments'!$A41)</f>
        <v>0</v>
      </c>
      <c r="P41" s="303">
        <f t="shared" si="3"/>
        <v>0</v>
      </c>
      <c r="Q41" s="68">
        <f>IFERROR(N41*'As-Filed Schedule 1'!$E$103,0)</f>
        <v>0</v>
      </c>
      <c r="R41" s="68">
        <f>IFERROR(P41*'Adjusted Schedule 1'!$E$104,0)</f>
        <v>0</v>
      </c>
      <c r="S41" s="68">
        <f t="shared" si="4"/>
        <v>0</v>
      </c>
      <c r="T41" s="304">
        <f t="shared" si="5"/>
        <v>0</v>
      </c>
      <c r="V41" s="117">
        <f>'As-Filed Schedule 2G'!N41</f>
        <v>0</v>
      </c>
      <c r="W41" s="307">
        <f>SUMIFS(Adjustments!$G:$G,Adjustments!$H:$H,"2G",Adjustments!$I:$I,'Schedule 2G Adjustments'!$V$12,Adjustments!$J:$J,'Schedule 2G Adjustments'!$A41)</f>
        <v>0</v>
      </c>
      <c r="X41" s="303">
        <f t="shared" si="6"/>
        <v>0</v>
      </c>
      <c r="Y41" s="117">
        <f>'As-Filed Schedule 2G'!O41</f>
        <v>0</v>
      </c>
      <c r="Z41" s="307">
        <f>SUMIFS(Adjustments!$G:$G,Adjustments!$H:$H,"2G",Adjustments!$I:$I,'Schedule 2G Adjustments'!$Y$12,Adjustments!$J:$J,'Schedule 2G Adjustments'!$A41)</f>
        <v>0</v>
      </c>
      <c r="AA41" s="303">
        <f t="shared" si="7"/>
        <v>0</v>
      </c>
    </row>
    <row r="42" spans="1:27" x14ac:dyDescent="0.35">
      <c r="A42" s="24">
        <v>28</v>
      </c>
      <c r="B42" s="565" t="str">
        <f>IF('As-Filed Schedule 2G'!B42:D42=0,"",'As-Filed Schedule 2G'!B42:D42)</f>
        <v/>
      </c>
      <c r="C42" s="565"/>
      <c r="D42" s="565"/>
      <c r="F42" s="114">
        <f>'As-Filed Schedule 2G'!F42</f>
        <v>0</v>
      </c>
      <c r="G42" s="307">
        <f>SUMIFS(Adjustments!$G:$G,Adjustments!$H:$H,"2G",Adjustments!$I:$I,'Schedule 2G Adjustments'!$F$12,Adjustments!$J:$J,'Schedule 2G Adjustments'!$A42)</f>
        <v>0</v>
      </c>
      <c r="H42" s="303">
        <f t="shared" si="0"/>
        <v>0</v>
      </c>
      <c r="I42" s="68">
        <f>IFERROR(F42*'As-Filed Schedule 1'!$E$103,0)</f>
        <v>0</v>
      </c>
      <c r="J42" s="304">
        <f>IFERROR(H42*'Adjusted Schedule 1'!$E$104,0)</f>
        <v>0</v>
      </c>
      <c r="K42" s="68">
        <f t="shared" si="1"/>
        <v>0</v>
      </c>
      <c r="L42" s="304">
        <f t="shared" si="2"/>
        <v>0</v>
      </c>
      <c r="N42" s="114">
        <f>'As-Filed Schedule 2G'!J42</f>
        <v>0</v>
      </c>
      <c r="O42" s="307">
        <f>SUMIFS(Adjustments!$G:$G,Adjustments!$H:$H,"2G",Adjustments!$I:$I,'Schedule 2G Adjustments'!$N$12,Adjustments!$J:$J,'Schedule 2G Adjustments'!$A42)</f>
        <v>0</v>
      </c>
      <c r="P42" s="303">
        <f t="shared" si="3"/>
        <v>0</v>
      </c>
      <c r="Q42" s="68">
        <f>IFERROR(N42*'As-Filed Schedule 1'!$E$103,0)</f>
        <v>0</v>
      </c>
      <c r="R42" s="68">
        <f>IFERROR(P42*'Adjusted Schedule 1'!$E$104,0)</f>
        <v>0</v>
      </c>
      <c r="S42" s="68">
        <f t="shared" si="4"/>
        <v>0</v>
      </c>
      <c r="T42" s="304">
        <f t="shared" si="5"/>
        <v>0</v>
      </c>
      <c r="V42" s="117">
        <f>'As-Filed Schedule 2G'!N42</f>
        <v>0</v>
      </c>
      <c r="W42" s="307">
        <f>SUMIFS(Adjustments!$G:$G,Adjustments!$H:$H,"2G",Adjustments!$I:$I,'Schedule 2G Adjustments'!$V$12,Adjustments!$J:$J,'Schedule 2G Adjustments'!$A42)</f>
        <v>0</v>
      </c>
      <c r="X42" s="303">
        <f t="shared" si="6"/>
        <v>0</v>
      </c>
      <c r="Y42" s="117">
        <f>'As-Filed Schedule 2G'!O42</f>
        <v>0</v>
      </c>
      <c r="Z42" s="307">
        <f>SUMIFS(Adjustments!$G:$G,Adjustments!$H:$H,"2G",Adjustments!$I:$I,'Schedule 2G Adjustments'!$Y$12,Adjustments!$J:$J,'Schedule 2G Adjustments'!$A42)</f>
        <v>0</v>
      </c>
      <c r="AA42" s="303">
        <f t="shared" si="7"/>
        <v>0</v>
      </c>
    </row>
    <row r="43" spans="1:27" x14ac:dyDescent="0.35">
      <c r="A43" s="24">
        <v>29</v>
      </c>
      <c r="B43" s="565" t="str">
        <f>IF('As-Filed Schedule 2G'!B43:D43=0,"",'As-Filed Schedule 2G'!B43:D43)</f>
        <v/>
      </c>
      <c r="C43" s="565"/>
      <c r="D43" s="565"/>
      <c r="F43" s="114">
        <f>'As-Filed Schedule 2G'!F43</f>
        <v>0</v>
      </c>
      <c r="G43" s="307">
        <f>SUMIFS(Adjustments!$G:$G,Adjustments!$H:$H,"2G",Adjustments!$I:$I,'Schedule 2G Adjustments'!$F$12,Adjustments!$J:$J,'Schedule 2G Adjustments'!$A43)</f>
        <v>0</v>
      </c>
      <c r="H43" s="303">
        <f t="shared" si="0"/>
        <v>0</v>
      </c>
      <c r="I43" s="68">
        <f>IFERROR(F43*'As-Filed Schedule 1'!$E$103,0)</f>
        <v>0</v>
      </c>
      <c r="J43" s="304">
        <f>IFERROR(H43*'Adjusted Schedule 1'!$E$104,0)</f>
        <v>0</v>
      </c>
      <c r="K43" s="68">
        <f t="shared" si="1"/>
        <v>0</v>
      </c>
      <c r="L43" s="304">
        <f t="shared" si="2"/>
        <v>0</v>
      </c>
      <c r="N43" s="114">
        <f>'As-Filed Schedule 2G'!J43</f>
        <v>0</v>
      </c>
      <c r="O43" s="307">
        <f>SUMIFS(Adjustments!$G:$G,Adjustments!$H:$H,"2G",Adjustments!$I:$I,'Schedule 2G Adjustments'!$N$12,Adjustments!$J:$J,'Schedule 2G Adjustments'!$A43)</f>
        <v>0</v>
      </c>
      <c r="P43" s="303">
        <f t="shared" si="3"/>
        <v>0</v>
      </c>
      <c r="Q43" s="68">
        <f>IFERROR(N43*'As-Filed Schedule 1'!$E$103,0)</f>
        <v>0</v>
      </c>
      <c r="R43" s="68">
        <f>IFERROR(P43*'Adjusted Schedule 1'!$E$104,0)</f>
        <v>0</v>
      </c>
      <c r="S43" s="68">
        <f t="shared" si="4"/>
        <v>0</v>
      </c>
      <c r="T43" s="304">
        <f t="shared" si="5"/>
        <v>0</v>
      </c>
      <c r="V43" s="117">
        <f>'As-Filed Schedule 2G'!N43</f>
        <v>0</v>
      </c>
      <c r="W43" s="307">
        <f>SUMIFS(Adjustments!$G:$G,Adjustments!$H:$H,"2G",Adjustments!$I:$I,'Schedule 2G Adjustments'!$V$12,Adjustments!$J:$J,'Schedule 2G Adjustments'!$A43)</f>
        <v>0</v>
      </c>
      <c r="X43" s="303">
        <f t="shared" si="6"/>
        <v>0</v>
      </c>
      <c r="Y43" s="117">
        <f>'As-Filed Schedule 2G'!O43</f>
        <v>0</v>
      </c>
      <c r="Z43" s="307">
        <f>SUMIFS(Adjustments!$G:$G,Adjustments!$H:$H,"2G",Adjustments!$I:$I,'Schedule 2G Adjustments'!$Y$12,Adjustments!$J:$J,'Schedule 2G Adjustments'!$A43)</f>
        <v>0</v>
      </c>
      <c r="AA43" s="303">
        <f t="shared" si="7"/>
        <v>0</v>
      </c>
    </row>
    <row r="44" spans="1:27" x14ac:dyDescent="0.35">
      <c r="A44" s="24">
        <v>30</v>
      </c>
      <c r="B44" s="565" t="str">
        <f>IF('As-Filed Schedule 2G'!B44:D44=0,"",'As-Filed Schedule 2G'!B44:D44)</f>
        <v/>
      </c>
      <c r="C44" s="565"/>
      <c r="D44" s="565"/>
      <c r="F44" s="114">
        <f>'As-Filed Schedule 2G'!F44</f>
        <v>0</v>
      </c>
      <c r="G44" s="307">
        <f>SUMIFS(Adjustments!$G:$G,Adjustments!$H:$H,"2G",Adjustments!$I:$I,'Schedule 2G Adjustments'!$F$12,Adjustments!$J:$J,'Schedule 2G Adjustments'!$A44)</f>
        <v>0</v>
      </c>
      <c r="H44" s="303">
        <f t="shared" si="0"/>
        <v>0</v>
      </c>
      <c r="I44" s="68">
        <f>IFERROR(F44*'As-Filed Schedule 1'!$E$103,0)</f>
        <v>0</v>
      </c>
      <c r="J44" s="304">
        <f>IFERROR(H44*'Adjusted Schedule 1'!$E$104,0)</f>
        <v>0</v>
      </c>
      <c r="K44" s="68">
        <f t="shared" si="1"/>
        <v>0</v>
      </c>
      <c r="L44" s="304">
        <f t="shared" si="2"/>
        <v>0</v>
      </c>
      <c r="N44" s="114">
        <f>'As-Filed Schedule 2G'!J44</f>
        <v>0</v>
      </c>
      <c r="O44" s="307">
        <f>SUMIFS(Adjustments!$G:$G,Adjustments!$H:$H,"2G",Adjustments!$I:$I,'Schedule 2G Adjustments'!$N$12,Adjustments!$J:$J,'Schedule 2G Adjustments'!$A44)</f>
        <v>0</v>
      </c>
      <c r="P44" s="303">
        <f t="shared" si="3"/>
        <v>0</v>
      </c>
      <c r="Q44" s="68">
        <f>IFERROR(N44*'As-Filed Schedule 1'!$E$103,0)</f>
        <v>0</v>
      </c>
      <c r="R44" s="68">
        <f>IFERROR(P44*'Adjusted Schedule 1'!$E$104,0)</f>
        <v>0</v>
      </c>
      <c r="S44" s="68">
        <f t="shared" si="4"/>
        <v>0</v>
      </c>
      <c r="T44" s="304">
        <f t="shared" si="5"/>
        <v>0</v>
      </c>
      <c r="V44" s="117">
        <f>'As-Filed Schedule 2G'!N44</f>
        <v>0</v>
      </c>
      <c r="W44" s="307">
        <f>SUMIFS(Adjustments!$G:$G,Adjustments!$H:$H,"2G",Adjustments!$I:$I,'Schedule 2G Adjustments'!$V$12,Adjustments!$J:$J,'Schedule 2G Adjustments'!$A44)</f>
        <v>0</v>
      </c>
      <c r="X44" s="303">
        <f t="shared" si="6"/>
        <v>0</v>
      </c>
      <c r="Y44" s="117">
        <f>'As-Filed Schedule 2G'!O44</f>
        <v>0</v>
      </c>
      <c r="Z44" s="307">
        <f>SUMIFS(Adjustments!$G:$G,Adjustments!$H:$H,"2G",Adjustments!$I:$I,'Schedule 2G Adjustments'!$Y$12,Adjustments!$J:$J,'Schedule 2G Adjustments'!$A44)</f>
        <v>0</v>
      </c>
      <c r="AA44" s="303">
        <f t="shared" si="7"/>
        <v>0</v>
      </c>
    </row>
    <row r="45" spans="1:27" x14ac:dyDescent="0.35">
      <c r="A45" s="24">
        <v>31</v>
      </c>
      <c r="B45" s="565" t="str">
        <f>IF('As-Filed Schedule 2G'!B45:D45=0,"",'As-Filed Schedule 2G'!B45:D45)</f>
        <v/>
      </c>
      <c r="C45" s="565"/>
      <c r="D45" s="565"/>
      <c r="F45" s="114">
        <f>'As-Filed Schedule 2G'!F45</f>
        <v>0</v>
      </c>
      <c r="G45" s="307">
        <f>SUMIFS(Adjustments!$G:$G,Adjustments!$H:$H,"2G",Adjustments!$I:$I,'Schedule 2G Adjustments'!$F$12,Adjustments!$J:$J,'Schedule 2G Adjustments'!$A45)</f>
        <v>0</v>
      </c>
      <c r="H45" s="303">
        <f t="shared" si="0"/>
        <v>0</v>
      </c>
      <c r="I45" s="68">
        <f>IFERROR(F45*'As-Filed Schedule 1'!$E$103,0)</f>
        <v>0</v>
      </c>
      <c r="J45" s="304">
        <f>IFERROR(H45*'Adjusted Schedule 1'!$E$104,0)</f>
        <v>0</v>
      </c>
      <c r="K45" s="68">
        <f t="shared" si="1"/>
        <v>0</v>
      </c>
      <c r="L45" s="304">
        <f t="shared" si="2"/>
        <v>0</v>
      </c>
      <c r="N45" s="114">
        <f>'As-Filed Schedule 2G'!J45</f>
        <v>0</v>
      </c>
      <c r="O45" s="307">
        <f>SUMIFS(Adjustments!$G:$G,Adjustments!$H:$H,"2G",Adjustments!$I:$I,'Schedule 2G Adjustments'!$N$12,Adjustments!$J:$J,'Schedule 2G Adjustments'!$A45)</f>
        <v>0</v>
      </c>
      <c r="P45" s="303">
        <f t="shared" si="3"/>
        <v>0</v>
      </c>
      <c r="Q45" s="68">
        <f>IFERROR(N45*'As-Filed Schedule 1'!$E$103,0)</f>
        <v>0</v>
      </c>
      <c r="R45" s="68">
        <f>IFERROR(P45*'Adjusted Schedule 1'!$E$104,0)</f>
        <v>0</v>
      </c>
      <c r="S45" s="68">
        <f t="shared" si="4"/>
        <v>0</v>
      </c>
      <c r="T45" s="304">
        <f t="shared" si="5"/>
        <v>0</v>
      </c>
      <c r="V45" s="117">
        <f>'As-Filed Schedule 2G'!N45</f>
        <v>0</v>
      </c>
      <c r="W45" s="307">
        <f>SUMIFS(Adjustments!$G:$G,Adjustments!$H:$H,"2G",Adjustments!$I:$I,'Schedule 2G Adjustments'!$V$12,Adjustments!$J:$J,'Schedule 2G Adjustments'!$A45)</f>
        <v>0</v>
      </c>
      <c r="X45" s="303">
        <f t="shared" si="6"/>
        <v>0</v>
      </c>
      <c r="Y45" s="117">
        <f>'As-Filed Schedule 2G'!O45</f>
        <v>0</v>
      </c>
      <c r="Z45" s="307">
        <f>SUMIFS(Adjustments!$G:$G,Adjustments!$H:$H,"2G",Adjustments!$I:$I,'Schedule 2G Adjustments'!$Y$12,Adjustments!$J:$J,'Schedule 2G Adjustments'!$A45)</f>
        <v>0</v>
      </c>
      <c r="AA45" s="303">
        <f t="shared" si="7"/>
        <v>0</v>
      </c>
    </row>
    <row r="46" spans="1:27" x14ac:dyDescent="0.35">
      <c r="A46" s="24">
        <v>32</v>
      </c>
      <c r="B46" s="565" t="str">
        <f>IF('As-Filed Schedule 2G'!B46:D46=0,"",'As-Filed Schedule 2G'!B46:D46)</f>
        <v/>
      </c>
      <c r="C46" s="565"/>
      <c r="D46" s="565"/>
      <c r="F46" s="114">
        <f>'As-Filed Schedule 2G'!F46</f>
        <v>0</v>
      </c>
      <c r="G46" s="307">
        <f>SUMIFS(Adjustments!$G:$G,Adjustments!$H:$H,"2G",Adjustments!$I:$I,'Schedule 2G Adjustments'!$F$12,Adjustments!$J:$J,'Schedule 2G Adjustments'!$A46)</f>
        <v>0</v>
      </c>
      <c r="H46" s="303">
        <f t="shared" si="0"/>
        <v>0</v>
      </c>
      <c r="I46" s="68">
        <f>IFERROR(F46*'As-Filed Schedule 1'!$E$103,0)</f>
        <v>0</v>
      </c>
      <c r="J46" s="304">
        <f>IFERROR(H46*'Adjusted Schedule 1'!$E$104,0)</f>
        <v>0</v>
      </c>
      <c r="K46" s="68">
        <f t="shared" si="1"/>
        <v>0</v>
      </c>
      <c r="L46" s="304">
        <f t="shared" si="2"/>
        <v>0</v>
      </c>
      <c r="N46" s="114">
        <f>'As-Filed Schedule 2G'!J46</f>
        <v>0</v>
      </c>
      <c r="O46" s="307">
        <f>SUMIFS(Adjustments!$G:$G,Adjustments!$H:$H,"2G",Adjustments!$I:$I,'Schedule 2G Adjustments'!$N$12,Adjustments!$J:$J,'Schedule 2G Adjustments'!$A46)</f>
        <v>0</v>
      </c>
      <c r="P46" s="303">
        <f t="shared" si="3"/>
        <v>0</v>
      </c>
      <c r="Q46" s="68">
        <f>IFERROR(N46*'As-Filed Schedule 1'!$E$103,0)</f>
        <v>0</v>
      </c>
      <c r="R46" s="68">
        <f>IFERROR(P46*'Adjusted Schedule 1'!$E$104,0)</f>
        <v>0</v>
      </c>
      <c r="S46" s="68">
        <f t="shared" si="4"/>
        <v>0</v>
      </c>
      <c r="T46" s="304">
        <f t="shared" si="5"/>
        <v>0</v>
      </c>
      <c r="V46" s="117">
        <f>'As-Filed Schedule 2G'!N46</f>
        <v>0</v>
      </c>
      <c r="W46" s="307">
        <f>SUMIFS(Adjustments!$G:$G,Adjustments!$H:$H,"2G",Adjustments!$I:$I,'Schedule 2G Adjustments'!$V$12,Adjustments!$J:$J,'Schedule 2G Adjustments'!$A46)</f>
        <v>0</v>
      </c>
      <c r="X46" s="303">
        <f t="shared" si="6"/>
        <v>0</v>
      </c>
      <c r="Y46" s="117">
        <f>'As-Filed Schedule 2G'!O46</f>
        <v>0</v>
      </c>
      <c r="Z46" s="307">
        <f>SUMIFS(Adjustments!$G:$G,Adjustments!$H:$H,"2G",Adjustments!$I:$I,'Schedule 2G Adjustments'!$Y$12,Adjustments!$J:$J,'Schedule 2G Adjustments'!$A46)</f>
        <v>0</v>
      </c>
      <c r="AA46" s="303">
        <f t="shared" si="7"/>
        <v>0</v>
      </c>
    </row>
    <row r="47" spans="1:27" x14ac:dyDescent="0.35">
      <c r="A47" s="24">
        <v>33</v>
      </c>
      <c r="B47" s="565" t="str">
        <f>IF('As-Filed Schedule 2G'!B47:D47=0,"",'As-Filed Schedule 2G'!B47:D47)</f>
        <v/>
      </c>
      <c r="C47" s="565"/>
      <c r="D47" s="565"/>
      <c r="F47" s="114">
        <f>'As-Filed Schedule 2G'!F47</f>
        <v>0</v>
      </c>
      <c r="G47" s="307">
        <f>SUMIFS(Adjustments!$G:$G,Adjustments!$H:$H,"2G",Adjustments!$I:$I,'Schedule 2G Adjustments'!$F$12,Adjustments!$J:$J,'Schedule 2G Adjustments'!$A47)</f>
        <v>0</v>
      </c>
      <c r="H47" s="303">
        <f t="shared" si="0"/>
        <v>0</v>
      </c>
      <c r="I47" s="68">
        <f>IFERROR(F47*'As-Filed Schedule 1'!$E$103,0)</f>
        <v>0</v>
      </c>
      <c r="J47" s="304">
        <f>IFERROR(H47*'Adjusted Schedule 1'!$E$104,0)</f>
        <v>0</v>
      </c>
      <c r="K47" s="68">
        <f t="shared" si="1"/>
        <v>0</v>
      </c>
      <c r="L47" s="304">
        <f t="shared" si="2"/>
        <v>0</v>
      </c>
      <c r="N47" s="114">
        <f>'As-Filed Schedule 2G'!J47</f>
        <v>0</v>
      </c>
      <c r="O47" s="307">
        <f>SUMIFS(Adjustments!$G:$G,Adjustments!$H:$H,"2G",Adjustments!$I:$I,'Schedule 2G Adjustments'!$N$12,Adjustments!$J:$J,'Schedule 2G Adjustments'!$A47)</f>
        <v>0</v>
      </c>
      <c r="P47" s="303">
        <f t="shared" si="3"/>
        <v>0</v>
      </c>
      <c r="Q47" s="68">
        <f>IFERROR(N47*'As-Filed Schedule 1'!$E$103,0)</f>
        <v>0</v>
      </c>
      <c r="R47" s="68">
        <f>IFERROR(P47*'Adjusted Schedule 1'!$E$104,0)</f>
        <v>0</v>
      </c>
      <c r="S47" s="68">
        <f t="shared" si="4"/>
        <v>0</v>
      </c>
      <c r="T47" s="304">
        <f t="shared" si="5"/>
        <v>0</v>
      </c>
      <c r="V47" s="117">
        <f>'As-Filed Schedule 2G'!N47</f>
        <v>0</v>
      </c>
      <c r="W47" s="307">
        <f>SUMIFS(Adjustments!$G:$G,Adjustments!$H:$H,"2G",Adjustments!$I:$I,'Schedule 2G Adjustments'!$V$12,Adjustments!$J:$J,'Schedule 2G Adjustments'!$A47)</f>
        <v>0</v>
      </c>
      <c r="X47" s="303">
        <f t="shared" si="6"/>
        <v>0</v>
      </c>
      <c r="Y47" s="117">
        <f>'As-Filed Schedule 2G'!O47</f>
        <v>0</v>
      </c>
      <c r="Z47" s="307">
        <f>SUMIFS(Adjustments!$G:$G,Adjustments!$H:$H,"2G",Adjustments!$I:$I,'Schedule 2G Adjustments'!$Y$12,Adjustments!$J:$J,'Schedule 2G Adjustments'!$A47)</f>
        <v>0</v>
      </c>
      <c r="AA47" s="303">
        <f t="shared" si="7"/>
        <v>0</v>
      </c>
    </row>
    <row r="48" spans="1:27" x14ac:dyDescent="0.35">
      <c r="A48" s="24">
        <v>34</v>
      </c>
      <c r="B48" s="565" t="str">
        <f>IF('As-Filed Schedule 2G'!B48:D48=0,"",'As-Filed Schedule 2G'!B48:D48)</f>
        <v/>
      </c>
      <c r="C48" s="565"/>
      <c r="D48" s="565"/>
      <c r="F48" s="114">
        <f>'As-Filed Schedule 2G'!F48</f>
        <v>0</v>
      </c>
      <c r="G48" s="307">
        <f>SUMIFS(Adjustments!$G:$G,Adjustments!$H:$H,"2G",Adjustments!$I:$I,'Schedule 2G Adjustments'!$F$12,Adjustments!$J:$J,'Schedule 2G Adjustments'!$A48)</f>
        <v>0</v>
      </c>
      <c r="H48" s="303">
        <f t="shared" si="0"/>
        <v>0</v>
      </c>
      <c r="I48" s="68">
        <f>IFERROR(F48*'As-Filed Schedule 1'!$E$103,0)</f>
        <v>0</v>
      </c>
      <c r="J48" s="304">
        <f>IFERROR(H48*'Adjusted Schedule 1'!$E$104,0)</f>
        <v>0</v>
      </c>
      <c r="K48" s="68">
        <f t="shared" si="1"/>
        <v>0</v>
      </c>
      <c r="L48" s="304">
        <f t="shared" si="2"/>
        <v>0</v>
      </c>
      <c r="N48" s="114">
        <f>'As-Filed Schedule 2G'!J48</f>
        <v>0</v>
      </c>
      <c r="O48" s="307">
        <f>SUMIFS(Adjustments!$G:$G,Adjustments!$H:$H,"2G",Adjustments!$I:$I,'Schedule 2G Adjustments'!$N$12,Adjustments!$J:$J,'Schedule 2G Adjustments'!$A48)</f>
        <v>0</v>
      </c>
      <c r="P48" s="303">
        <f t="shared" si="3"/>
        <v>0</v>
      </c>
      <c r="Q48" s="68">
        <f>IFERROR(N48*'As-Filed Schedule 1'!$E$103,0)</f>
        <v>0</v>
      </c>
      <c r="R48" s="68">
        <f>IFERROR(P48*'Adjusted Schedule 1'!$E$104,0)</f>
        <v>0</v>
      </c>
      <c r="S48" s="68">
        <f t="shared" si="4"/>
        <v>0</v>
      </c>
      <c r="T48" s="304">
        <f t="shared" si="5"/>
        <v>0</v>
      </c>
      <c r="V48" s="117">
        <f>'As-Filed Schedule 2G'!N48</f>
        <v>0</v>
      </c>
      <c r="W48" s="307">
        <f>SUMIFS(Adjustments!$G:$G,Adjustments!$H:$H,"2G",Adjustments!$I:$I,'Schedule 2G Adjustments'!$V$12,Adjustments!$J:$J,'Schedule 2G Adjustments'!$A48)</f>
        <v>0</v>
      </c>
      <c r="X48" s="303">
        <f t="shared" si="6"/>
        <v>0</v>
      </c>
      <c r="Y48" s="117">
        <f>'As-Filed Schedule 2G'!O48</f>
        <v>0</v>
      </c>
      <c r="Z48" s="307">
        <f>SUMIFS(Adjustments!$G:$G,Adjustments!$H:$H,"2G",Adjustments!$I:$I,'Schedule 2G Adjustments'!$Y$12,Adjustments!$J:$J,'Schedule 2G Adjustments'!$A48)</f>
        <v>0</v>
      </c>
      <c r="AA48" s="303">
        <f t="shared" si="7"/>
        <v>0</v>
      </c>
    </row>
    <row r="49" spans="1:27" x14ac:dyDescent="0.35">
      <c r="A49" s="24">
        <v>35</v>
      </c>
      <c r="B49" s="565" t="str">
        <f>IF('As-Filed Schedule 2G'!B49:D49=0,"",'As-Filed Schedule 2G'!B49:D49)</f>
        <v/>
      </c>
      <c r="C49" s="565"/>
      <c r="D49" s="565"/>
      <c r="F49" s="114">
        <f>'As-Filed Schedule 2G'!F49</f>
        <v>0</v>
      </c>
      <c r="G49" s="307">
        <f>SUMIFS(Adjustments!$G:$G,Adjustments!$H:$H,"2G",Adjustments!$I:$I,'Schedule 2G Adjustments'!$F$12,Adjustments!$J:$J,'Schedule 2G Adjustments'!$A49)</f>
        <v>0</v>
      </c>
      <c r="H49" s="303">
        <f t="shared" si="0"/>
        <v>0</v>
      </c>
      <c r="I49" s="68">
        <f>IFERROR(F49*'As-Filed Schedule 1'!$E$103,0)</f>
        <v>0</v>
      </c>
      <c r="J49" s="304">
        <f>IFERROR(H49*'Adjusted Schedule 1'!$E$104,0)</f>
        <v>0</v>
      </c>
      <c r="K49" s="68">
        <f t="shared" si="1"/>
        <v>0</v>
      </c>
      <c r="L49" s="304">
        <f t="shared" si="2"/>
        <v>0</v>
      </c>
      <c r="N49" s="114">
        <f>'As-Filed Schedule 2G'!J49</f>
        <v>0</v>
      </c>
      <c r="O49" s="307">
        <f>SUMIFS(Adjustments!$G:$G,Adjustments!$H:$H,"2G",Adjustments!$I:$I,'Schedule 2G Adjustments'!$N$12,Adjustments!$J:$J,'Schedule 2G Adjustments'!$A49)</f>
        <v>0</v>
      </c>
      <c r="P49" s="303">
        <f t="shared" si="3"/>
        <v>0</v>
      </c>
      <c r="Q49" s="68">
        <f>IFERROR(N49*'As-Filed Schedule 1'!$E$103,0)</f>
        <v>0</v>
      </c>
      <c r="R49" s="68">
        <f>IFERROR(P49*'Adjusted Schedule 1'!$E$104,0)</f>
        <v>0</v>
      </c>
      <c r="S49" s="68">
        <f t="shared" si="4"/>
        <v>0</v>
      </c>
      <c r="T49" s="304">
        <f t="shared" si="5"/>
        <v>0</v>
      </c>
      <c r="V49" s="117">
        <f>'As-Filed Schedule 2G'!N49</f>
        <v>0</v>
      </c>
      <c r="W49" s="307">
        <f>SUMIFS(Adjustments!$G:$G,Adjustments!$H:$H,"2G",Adjustments!$I:$I,'Schedule 2G Adjustments'!$V$12,Adjustments!$J:$J,'Schedule 2G Adjustments'!$A49)</f>
        <v>0</v>
      </c>
      <c r="X49" s="303">
        <f t="shared" si="6"/>
        <v>0</v>
      </c>
      <c r="Y49" s="117">
        <f>'As-Filed Schedule 2G'!O49</f>
        <v>0</v>
      </c>
      <c r="Z49" s="307">
        <f>SUMIFS(Adjustments!$G:$G,Adjustments!$H:$H,"2G",Adjustments!$I:$I,'Schedule 2G Adjustments'!$Y$12,Adjustments!$J:$J,'Schedule 2G Adjustments'!$A49)</f>
        <v>0</v>
      </c>
      <c r="AA49" s="303">
        <f t="shared" si="7"/>
        <v>0</v>
      </c>
    </row>
    <row r="50" spans="1:27" x14ac:dyDescent="0.35">
      <c r="A50" s="24">
        <v>36</v>
      </c>
      <c r="B50" s="565" t="str">
        <f>IF('As-Filed Schedule 2G'!B50:D50=0,"",'As-Filed Schedule 2G'!B50:D50)</f>
        <v/>
      </c>
      <c r="C50" s="565"/>
      <c r="D50" s="565"/>
      <c r="F50" s="114">
        <f>'As-Filed Schedule 2G'!F50</f>
        <v>0</v>
      </c>
      <c r="G50" s="307">
        <f>SUMIFS(Adjustments!$G:$G,Adjustments!$H:$H,"2G",Adjustments!$I:$I,'Schedule 2G Adjustments'!$F$12,Adjustments!$J:$J,'Schedule 2G Adjustments'!$A50)</f>
        <v>0</v>
      </c>
      <c r="H50" s="303">
        <f t="shared" si="0"/>
        <v>0</v>
      </c>
      <c r="I50" s="68">
        <f>IFERROR(F50*'As-Filed Schedule 1'!$E$103,0)</f>
        <v>0</v>
      </c>
      <c r="J50" s="304">
        <f>IFERROR(H50*'Adjusted Schedule 1'!$E$104,0)</f>
        <v>0</v>
      </c>
      <c r="K50" s="68">
        <f t="shared" si="1"/>
        <v>0</v>
      </c>
      <c r="L50" s="304">
        <f t="shared" si="2"/>
        <v>0</v>
      </c>
      <c r="N50" s="114">
        <f>'As-Filed Schedule 2G'!J50</f>
        <v>0</v>
      </c>
      <c r="O50" s="307">
        <f>SUMIFS(Adjustments!$G:$G,Adjustments!$H:$H,"2G",Adjustments!$I:$I,'Schedule 2G Adjustments'!$N$12,Adjustments!$J:$J,'Schedule 2G Adjustments'!$A50)</f>
        <v>0</v>
      </c>
      <c r="P50" s="303">
        <f t="shared" si="3"/>
        <v>0</v>
      </c>
      <c r="Q50" s="68">
        <f>IFERROR(N50*'As-Filed Schedule 1'!$E$103,0)</f>
        <v>0</v>
      </c>
      <c r="R50" s="68">
        <f>IFERROR(P50*'Adjusted Schedule 1'!$E$104,0)</f>
        <v>0</v>
      </c>
      <c r="S50" s="68">
        <f t="shared" si="4"/>
        <v>0</v>
      </c>
      <c r="T50" s="304">
        <f t="shared" si="5"/>
        <v>0</v>
      </c>
      <c r="V50" s="117">
        <f>'As-Filed Schedule 2G'!N50</f>
        <v>0</v>
      </c>
      <c r="W50" s="307">
        <f>SUMIFS(Adjustments!$G:$G,Adjustments!$H:$H,"2G",Adjustments!$I:$I,'Schedule 2G Adjustments'!$V$12,Adjustments!$J:$J,'Schedule 2G Adjustments'!$A50)</f>
        <v>0</v>
      </c>
      <c r="X50" s="303">
        <f t="shared" si="6"/>
        <v>0</v>
      </c>
      <c r="Y50" s="117">
        <f>'As-Filed Schedule 2G'!O50</f>
        <v>0</v>
      </c>
      <c r="Z50" s="307">
        <f>SUMIFS(Adjustments!$G:$G,Adjustments!$H:$H,"2G",Adjustments!$I:$I,'Schedule 2G Adjustments'!$Y$12,Adjustments!$J:$J,'Schedule 2G Adjustments'!$A50)</f>
        <v>0</v>
      </c>
      <c r="AA50" s="303">
        <f t="shared" si="7"/>
        <v>0</v>
      </c>
    </row>
    <row r="51" spans="1:27" x14ac:dyDescent="0.35">
      <c r="A51" s="24">
        <v>37</v>
      </c>
      <c r="B51" s="565" t="str">
        <f>IF('As-Filed Schedule 2G'!B51:D51=0,"",'As-Filed Schedule 2G'!B51:D51)</f>
        <v/>
      </c>
      <c r="C51" s="565"/>
      <c r="D51" s="565"/>
      <c r="F51" s="114">
        <f>'As-Filed Schedule 2G'!F51</f>
        <v>0</v>
      </c>
      <c r="G51" s="307">
        <f>SUMIFS(Adjustments!$G:$G,Adjustments!$H:$H,"2G",Adjustments!$I:$I,'Schedule 2G Adjustments'!$F$12,Adjustments!$J:$J,'Schedule 2G Adjustments'!$A51)</f>
        <v>0</v>
      </c>
      <c r="H51" s="303">
        <f t="shared" si="0"/>
        <v>0</v>
      </c>
      <c r="I51" s="68">
        <f>IFERROR(F51*'As-Filed Schedule 1'!$E$103,0)</f>
        <v>0</v>
      </c>
      <c r="J51" s="304">
        <f>IFERROR(H51*'Adjusted Schedule 1'!$E$104,0)</f>
        <v>0</v>
      </c>
      <c r="K51" s="68">
        <f t="shared" si="1"/>
        <v>0</v>
      </c>
      <c r="L51" s="304">
        <f t="shared" si="2"/>
        <v>0</v>
      </c>
      <c r="N51" s="114">
        <f>'As-Filed Schedule 2G'!J51</f>
        <v>0</v>
      </c>
      <c r="O51" s="307">
        <f>SUMIFS(Adjustments!$G:$G,Adjustments!$H:$H,"2G",Adjustments!$I:$I,'Schedule 2G Adjustments'!$N$12,Adjustments!$J:$J,'Schedule 2G Adjustments'!$A51)</f>
        <v>0</v>
      </c>
      <c r="P51" s="303">
        <f t="shared" si="3"/>
        <v>0</v>
      </c>
      <c r="Q51" s="68">
        <f>IFERROR(N51*'As-Filed Schedule 1'!$E$103,0)</f>
        <v>0</v>
      </c>
      <c r="R51" s="68">
        <f>IFERROR(P51*'Adjusted Schedule 1'!$E$104,0)</f>
        <v>0</v>
      </c>
      <c r="S51" s="68">
        <f t="shared" si="4"/>
        <v>0</v>
      </c>
      <c r="T51" s="304">
        <f t="shared" si="5"/>
        <v>0</v>
      </c>
      <c r="V51" s="117">
        <f>'As-Filed Schedule 2G'!N51</f>
        <v>0</v>
      </c>
      <c r="W51" s="307">
        <f>SUMIFS(Adjustments!$G:$G,Adjustments!$H:$H,"2G",Adjustments!$I:$I,'Schedule 2G Adjustments'!$V$12,Adjustments!$J:$J,'Schedule 2G Adjustments'!$A51)</f>
        <v>0</v>
      </c>
      <c r="X51" s="303">
        <f t="shared" si="6"/>
        <v>0</v>
      </c>
      <c r="Y51" s="117">
        <f>'As-Filed Schedule 2G'!O51</f>
        <v>0</v>
      </c>
      <c r="Z51" s="307">
        <f>SUMIFS(Adjustments!$G:$G,Adjustments!$H:$H,"2G",Adjustments!$I:$I,'Schedule 2G Adjustments'!$Y$12,Adjustments!$J:$J,'Schedule 2G Adjustments'!$A51)</f>
        <v>0</v>
      </c>
      <c r="AA51" s="303">
        <f t="shared" si="7"/>
        <v>0</v>
      </c>
    </row>
    <row r="52" spans="1:27" x14ac:dyDescent="0.35">
      <c r="A52" s="24">
        <v>38</v>
      </c>
      <c r="B52" s="565" t="str">
        <f>IF('As-Filed Schedule 2G'!B52:D52=0,"",'As-Filed Schedule 2G'!B52:D52)</f>
        <v/>
      </c>
      <c r="C52" s="565"/>
      <c r="D52" s="565"/>
      <c r="F52" s="114">
        <f>'As-Filed Schedule 2G'!F52</f>
        <v>0</v>
      </c>
      <c r="G52" s="307">
        <f>SUMIFS(Adjustments!$G:$G,Adjustments!$H:$H,"2G",Adjustments!$I:$I,'Schedule 2G Adjustments'!$F$12,Adjustments!$J:$J,'Schedule 2G Adjustments'!$A52)</f>
        <v>0</v>
      </c>
      <c r="H52" s="303">
        <f t="shared" si="0"/>
        <v>0</v>
      </c>
      <c r="I52" s="68">
        <f>IFERROR(F52*'As-Filed Schedule 1'!$E$103,0)</f>
        <v>0</v>
      </c>
      <c r="J52" s="304">
        <f>IFERROR(H52*'Adjusted Schedule 1'!$E$104,0)</f>
        <v>0</v>
      </c>
      <c r="K52" s="68">
        <f t="shared" si="1"/>
        <v>0</v>
      </c>
      <c r="L52" s="304">
        <f t="shared" si="2"/>
        <v>0</v>
      </c>
      <c r="N52" s="114">
        <f>'As-Filed Schedule 2G'!J52</f>
        <v>0</v>
      </c>
      <c r="O52" s="307">
        <f>SUMIFS(Adjustments!$G:$G,Adjustments!$H:$H,"2G",Adjustments!$I:$I,'Schedule 2G Adjustments'!$N$12,Adjustments!$J:$J,'Schedule 2G Adjustments'!$A52)</f>
        <v>0</v>
      </c>
      <c r="P52" s="303">
        <f t="shared" si="3"/>
        <v>0</v>
      </c>
      <c r="Q52" s="68">
        <f>IFERROR(N52*'As-Filed Schedule 1'!$E$103,0)</f>
        <v>0</v>
      </c>
      <c r="R52" s="68">
        <f>IFERROR(P52*'Adjusted Schedule 1'!$E$104,0)</f>
        <v>0</v>
      </c>
      <c r="S52" s="68">
        <f t="shared" si="4"/>
        <v>0</v>
      </c>
      <c r="T52" s="304">
        <f t="shared" si="5"/>
        <v>0</v>
      </c>
      <c r="V52" s="117">
        <f>'As-Filed Schedule 2G'!N52</f>
        <v>0</v>
      </c>
      <c r="W52" s="307">
        <f>SUMIFS(Adjustments!$G:$G,Adjustments!$H:$H,"2G",Adjustments!$I:$I,'Schedule 2G Adjustments'!$V$12,Adjustments!$J:$J,'Schedule 2G Adjustments'!$A52)</f>
        <v>0</v>
      </c>
      <c r="X52" s="303">
        <f t="shared" si="6"/>
        <v>0</v>
      </c>
      <c r="Y52" s="117">
        <f>'As-Filed Schedule 2G'!O52</f>
        <v>0</v>
      </c>
      <c r="Z52" s="307">
        <f>SUMIFS(Adjustments!$G:$G,Adjustments!$H:$H,"2G",Adjustments!$I:$I,'Schedule 2G Adjustments'!$Y$12,Adjustments!$J:$J,'Schedule 2G Adjustments'!$A52)</f>
        <v>0</v>
      </c>
      <c r="AA52" s="303">
        <f t="shared" si="7"/>
        <v>0</v>
      </c>
    </row>
    <row r="53" spans="1:27" x14ac:dyDescent="0.35">
      <c r="A53" s="24">
        <v>39</v>
      </c>
      <c r="B53" s="565" t="str">
        <f>IF('As-Filed Schedule 2G'!B53:D53=0,"",'As-Filed Schedule 2G'!B53:D53)</f>
        <v/>
      </c>
      <c r="C53" s="565"/>
      <c r="D53" s="565"/>
      <c r="F53" s="114">
        <f>'As-Filed Schedule 2G'!F53</f>
        <v>0</v>
      </c>
      <c r="G53" s="307">
        <f>SUMIFS(Adjustments!$G:$G,Adjustments!$H:$H,"2G",Adjustments!$I:$I,'Schedule 2G Adjustments'!$F$12,Adjustments!$J:$J,'Schedule 2G Adjustments'!$A53)</f>
        <v>0</v>
      </c>
      <c r="H53" s="303">
        <f t="shared" si="0"/>
        <v>0</v>
      </c>
      <c r="I53" s="68">
        <f>IFERROR(F53*'As-Filed Schedule 1'!$E$103,0)</f>
        <v>0</v>
      </c>
      <c r="J53" s="304">
        <f>IFERROR(H53*'Adjusted Schedule 1'!$E$104,0)</f>
        <v>0</v>
      </c>
      <c r="K53" s="68">
        <f t="shared" si="1"/>
        <v>0</v>
      </c>
      <c r="L53" s="304">
        <f t="shared" si="2"/>
        <v>0</v>
      </c>
      <c r="N53" s="114">
        <f>'As-Filed Schedule 2G'!J53</f>
        <v>0</v>
      </c>
      <c r="O53" s="307">
        <f>SUMIFS(Adjustments!$G:$G,Adjustments!$H:$H,"2G",Adjustments!$I:$I,'Schedule 2G Adjustments'!$N$12,Adjustments!$J:$J,'Schedule 2G Adjustments'!$A53)</f>
        <v>0</v>
      </c>
      <c r="P53" s="303">
        <f t="shared" si="3"/>
        <v>0</v>
      </c>
      <c r="Q53" s="68">
        <f>IFERROR(N53*'As-Filed Schedule 1'!$E$103,0)</f>
        <v>0</v>
      </c>
      <c r="R53" s="68">
        <f>IFERROR(P53*'Adjusted Schedule 1'!$E$104,0)</f>
        <v>0</v>
      </c>
      <c r="S53" s="68">
        <f t="shared" si="4"/>
        <v>0</v>
      </c>
      <c r="T53" s="304">
        <f t="shared" si="5"/>
        <v>0</v>
      </c>
      <c r="V53" s="117">
        <f>'As-Filed Schedule 2G'!N53</f>
        <v>0</v>
      </c>
      <c r="W53" s="307">
        <f>SUMIFS(Adjustments!$G:$G,Adjustments!$H:$H,"2G",Adjustments!$I:$I,'Schedule 2G Adjustments'!$V$12,Adjustments!$J:$J,'Schedule 2G Adjustments'!$A53)</f>
        <v>0</v>
      </c>
      <c r="X53" s="303">
        <f t="shared" si="6"/>
        <v>0</v>
      </c>
      <c r="Y53" s="117">
        <f>'As-Filed Schedule 2G'!O53</f>
        <v>0</v>
      </c>
      <c r="Z53" s="307">
        <f>SUMIFS(Adjustments!$G:$G,Adjustments!$H:$H,"2G",Adjustments!$I:$I,'Schedule 2G Adjustments'!$Y$12,Adjustments!$J:$J,'Schedule 2G Adjustments'!$A53)</f>
        <v>0</v>
      </c>
      <c r="AA53" s="303">
        <f t="shared" si="7"/>
        <v>0</v>
      </c>
    </row>
    <row r="54" spans="1:27" x14ac:dyDescent="0.35">
      <c r="A54" s="24">
        <v>40</v>
      </c>
      <c r="B54" s="565" t="str">
        <f>IF('As-Filed Schedule 2G'!B54:D54=0,"",'As-Filed Schedule 2G'!B54:D54)</f>
        <v/>
      </c>
      <c r="C54" s="565"/>
      <c r="D54" s="565"/>
      <c r="F54" s="114">
        <f>'As-Filed Schedule 2G'!F54</f>
        <v>0</v>
      </c>
      <c r="G54" s="307">
        <f>SUMIFS(Adjustments!$G:$G,Adjustments!$H:$H,"2G",Adjustments!$I:$I,'Schedule 2G Adjustments'!$F$12,Adjustments!$J:$J,'Schedule 2G Adjustments'!$A54)</f>
        <v>0</v>
      </c>
      <c r="H54" s="303">
        <f t="shared" si="0"/>
        <v>0</v>
      </c>
      <c r="I54" s="68">
        <f>IFERROR(F54*'As-Filed Schedule 1'!$E$103,0)</f>
        <v>0</v>
      </c>
      <c r="J54" s="304">
        <f>IFERROR(H54*'Adjusted Schedule 1'!$E$104,0)</f>
        <v>0</v>
      </c>
      <c r="K54" s="68">
        <f t="shared" si="1"/>
        <v>0</v>
      </c>
      <c r="L54" s="304">
        <f t="shared" si="2"/>
        <v>0</v>
      </c>
      <c r="N54" s="114">
        <f>'As-Filed Schedule 2G'!J54</f>
        <v>0</v>
      </c>
      <c r="O54" s="307">
        <f>SUMIFS(Adjustments!$G:$G,Adjustments!$H:$H,"2G",Adjustments!$I:$I,'Schedule 2G Adjustments'!$N$12,Adjustments!$J:$J,'Schedule 2G Adjustments'!$A54)</f>
        <v>0</v>
      </c>
      <c r="P54" s="303">
        <f t="shared" si="3"/>
        <v>0</v>
      </c>
      <c r="Q54" s="68">
        <f>IFERROR(N54*'As-Filed Schedule 1'!$E$103,0)</f>
        <v>0</v>
      </c>
      <c r="R54" s="68">
        <f>IFERROR(P54*'Adjusted Schedule 1'!$E$104,0)</f>
        <v>0</v>
      </c>
      <c r="S54" s="68">
        <f t="shared" si="4"/>
        <v>0</v>
      </c>
      <c r="T54" s="304">
        <f t="shared" si="5"/>
        <v>0</v>
      </c>
      <c r="V54" s="117">
        <f>'As-Filed Schedule 2G'!N54</f>
        <v>0</v>
      </c>
      <c r="W54" s="307">
        <f>SUMIFS(Adjustments!$G:$G,Adjustments!$H:$H,"2G",Adjustments!$I:$I,'Schedule 2G Adjustments'!$V$12,Adjustments!$J:$J,'Schedule 2G Adjustments'!$A54)</f>
        <v>0</v>
      </c>
      <c r="X54" s="303">
        <f t="shared" si="6"/>
        <v>0</v>
      </c>
      <c r="Y54" s="117">
        <f>'As-Filed Schedule 2G'!O54</f>
        <v>0</v>
      </c>
      <c r="Z54" s="307">
        <f>SUMIFS(Adjustments!$G:$G,Adjustments!$H:$H,"2G",Adjustments!$I:$I,'Schedule 2G Adjustments'!$Y$12,Adjustments!$J:$J,'Schedule 2G Adjustments'!$A54)</f>
        <v>0</v>
      </c>
      <c r="AA54" s="303">
        <f t="shared" si="7"/>
        <v>0</v>
      </c>
    </row>
    <row r="55" spans="1:27" x14ac:dyDescent="0.35">
      <c r="A55" s="24">
        <v>41</v>
      </c>
      <c r="B55" s="565" t="str">
        <f>IF('As-Filed Schedule 2G'!B55:D55=0,"",'As-Filed Schedule 2G'!B55:D55)</f>
        <v/>
      </c>
      <c r="C55" s="565"/>
      <c r="D55" s="565"/>
      <c r="F55" s="114">
        <f>'As-Filed Schedule 2G'!F55</f>
        <v>0</v>
      </c>
      <c r="G55" s="307">
        <f>SUMIFS(Adjustments!$G:$G,Adjustments!$H:$H,"2G",Adjustments!$I:$I,'Schedule 2G Adjustments'!$F$12,Adjustments!$J:$J,'Schedule 2G Adjustments'!$A55)</f>
        <v>0</v>
      </c>
      <c r="H55" s="303">
        <f t="shared" si="0"/>
        <v>0</v>
      </c>
      <c r="I55" s="68">
        <f>IFERROR(F55*'As-Filed Schedule 1'!$E$103,0)</f>
        <v>0</v>
      </c>
      <c r="J55" s="304">
        <f>IFERROR(H55*'Adjusted Schedule 1'!$E$104,0)</f>
        <v>0</v>
      </c>
      <c r="K55" s="68">
        <f t="shared" si="1"/>
        <v>0</v>
      </c>
      <c r="L55" s="304">
        <f t="shared" si="2"/>
        <v>0</v>
      </c>
      <c r="N55" s="114">
        <f>'As-Filed Schedule 2G'!J55</f>
        <v>0</v>
      </c>
      <c r="O55" s="307">
        <f>SUMIFS(Adjustments!$G:$G,Adjustments!$H:$H,"2G",Adjustments!$I:$I,'Schedule 2G Adjustments'!$N$12,Adjustments!$J:$J,'Schedule 2G Adjustments'!$A55)</f>
        <v>0</v>
      </c>
      <c r="P55" s="303">
        <f t="shared" si="3"/>
        <v>0</v>
      </c>
      <c r="Q55" s="68">
        <f>IFERROR(N55*'As-Filed Schedule 1'!$E$103,0)</f>
        <v>0</v>
      </c>
      <c r="R55" s="68">
        <f>IFERROR(P55*'Adjusted Schedule 1'!$E$104,0)</f>
        <v>0</v>
      </c>
      <c r="S55" s="68">
        <f t="shared" si="4"/>
        <v>0</v>
      </c>
      <c r="T55" s="304">
        <f t="shared" si="5"/>
        <v>0</v>
      </c>
      <c r="V55" s="117">
        <f>'As-Filed Schedule 2G'!N55</f>
        <v>0</v>
      </c>
      <c r="W55" s="307">
        <f>SUMIFS(Adjustments!$G:$G,Adjustments!$H:$H,"2G",Adjustments!$I:$I,'Schedule 2G Adjustments'!$V$12,Adjustments!$J:$J,'Schedule 2G Adjustments'!$A55)</f>
        <v>0</v>
      </c>
      <c r="X55" s="303">
        <f t="shared" si="6"/>
        <v>0</v>
      </c>
      <c r="Y55" s="117">
        <f>'As-Filed Schedule 2G'!O55</f>
        <v>0</v>
      </c>
      <c r="Z55" s="307">
        <f>SUMIFS(Adjustments!$G:$G,Adjustments!$H:$H,"2G",Adjustments!$I:$I,'Schedule 2G Adjustments'!$Y$12,Adjustments!$J:$J,'Schedule 2G Adjustments'!$A55)</f>
        <v>0</v>
      </c>
      <c r="AA55" s="303">
        <f t="shared" si="7"/>
        <v>0</v>
      </c>
    </row>
    <row r="56" spans="1:27" x14ac:dyDescent="0.35">
      <c r="A56" s="24">
        <v>42</v>
      </c>
      <c r="B56" s="565" t="str">
        <f>IF('As-Filed Schedule 2G'!B56:D56=0,"",'As-Filed Schedule 2G'!B56:D56)</f>
        <v/>
      </c>
      <c r="C56" s="565"/>
      <c r="D56" s="565"/>
      <c r="F56" s="114">
        <f>'As-Filed Schedule 2G'!F56</f>
        <v>0</v>
      </c>
      <c r="G56" s="307">
        <f>SUMIFS(Adjustments!$G:$G,Adjustments!$H:$H,"2G",Adjustments!$I:$I,'Schedule 2G Adjustments'!$F$12,Adjustments!$J:$J,'Schedule 2G Adjustments'!$A56)</f>
        <v>0</v>
      </c>
      <c r="H56" s="303">
        <f t="shared" si="0"/>
        <v>0</v>
      </c>
      <c r="I56" s="68">
        <f>IFERROR(F56*'As-Filed Schedule 1'!$E$103,0)</f>
        <v>0</v>
      </c>
      <c r="J56" s="304">
        <f>IFERROR(H56*'Adjusted Schedule 1'!$E$104,0)</f>
        <v>0</v>
      </c>
      <c r="K56" s="68">
        <f t="shared" si="1"/>
        <v>0</v>
      </c>
      <c r="L56" s="304">
        <f t="shared" si="2"/>
        <v>0</v>
      </c>
      <c r="N56" s="114">
        <f>'As-Filed Schedule 2G'!J56</f>
        <v>0</v>
      </c>
      <c r="O56" s="307">
        <f>SUMIFS(Adjustments!$G:$G,Adjustments!$H:$H,"2G",Adjustments!$I:$I,'Schedule 2G Adjustments'!$N$12,Adjustments!$J:$J,'Schedule 2G Adjustments'!$A56)</f>
        <v>0</v>
      </c>
      <c r="P56" s="303">
        <f t="shared" si="3"/>
        <v>0</v>
      </c>
      <c r="Q56" s="68">
        <f>IFERROR(N56*'As-Filed Schedule 1'!$E$103,0)</f>
        <v>0</v>
      </c>
      <c r="R56" s="68">
        <f>IFERROR(P56*'Adjusted Schedule 1'!$E$104,0)</f>
        <v>0</v>
      </c>
      <c r="S56" s="68">
        <f t="shared" si="4"/>
        <v>0</v>
      </c>
      <c r="T56" s="304">
        <f t="shared" si="5"/>
        <v>0</v>
      </c>
      <c r="V56" s="117">
        <f>'As-Filed Schedule 2G'!N56</f>
        <v>0</v>
      </c>
      <c r="W56" s="307">
        <f>SUMIFS(Adjustments!$G:$G,Adjustments!$H:$H,"2G",Adjustments!$I:$I,'Schedule 2G Adjustments'!$V$12,Adjustments!$J:$J,'Schedule 2G Adjustments'!$A56)</f>
        <v>0</v>
      </c>
      <c r="X56" s="303">
        <f t="shared" si="6"/>
        <v>0</v>
      </c>
      <c r="Y56" s="117">
        <f>'As-Filed Schedule 2G'!O56</f>
        <v>0</v>
      </c>
      <c r="Z56" s="307">
        <f>SUMIFS(Adjustments!$G:$G,Adjustments!$H:$H,"2G",Adjustments!$I:$I,'Schedule 2G Adjustments'!$Y$12,Adjustments!$J:$J,'Schedule 2G Adjustments'!$A56)</f>
        <v>0</v>
      </c>
      <c r="AA56" s="303">
        <f t="shared" si="7"/>
        <v>0</v>
      </c>
    </row>
    <row r="57" spans="1:27" x14ac:dyDescent="0.35">
      <c r="A57" s="24">
        <v>43</v>
      </c>
      <c r="B57" s="565" t="str">
        <f>IF('As-Filed Schedule 2G'!B57:D57=0,"",'As-Filed Schedule 2G'!B57:D57)</f>
        <v/>
      </c>
      <c r="C57" s="565"/>
      <c r="D57" s="565"/>
      <c r="F57" s="114">
        <f>'As-Filed Schedule 2G'!F57</f>
        <v>0</v>
      </c>
      <c r="G57" s="307">
        <f>SUMIFS(Adjustments!$G:$G,Adjustments!$H:$H,"2G",Adjustments!$I:$I,'Schedule 2G Adjustments'!$F$12,Adjustments!$J:$J,'Schedule 2G Adjustments'!$A57)</f>
        <v>0</v>
      </c>
      <c r="H57" s="303">
        <f t="shared" si="0"/>
        <v>0</v>
      </c>
      <c r="I57" s="68">
        <f>IFERROR(F57*'As-Filed Schedule 1'!$E$103,0)</f>
        <v>0</v>
      </c>
      <c r="J57" s="304">
        <f>IFERROR(H57*'Adjusted Schedule 1'!$E$104,0)</f>
        <v>0</v>
      </c>
      <c r="K57" s="68">
        <f t="shared" si="1"/>
        <v>0</v>
      </c>
      <c r="L57" s="304">
        <f t="shared" si="2"/>
        <v>0</v>
      </c>
      <c r="N57" s="114">
        <f>'As-Filed Schedule 2G'!J57</f>
        <v>0</v>
      </c>
      <c r="O57" s="307">
        <f>SUMIFS(Adjustments!$G:$G,Adjustments!$H:$H,"2G",Adjustments!$I:$I,'Schedule 2G Adjustments'!$N$12,Adjustments!$J:$J,'Schedule 2G Adjustments'!$A57)</f>
        <v>0</v>
      </c>
      <c r="P57" s="303">
        <f t="shared" si="3"/>
        <v>0</v>
      </c>
      <c r="Q57" s="68">
        <f>IFERROR(N57*'As-Filed Schedule 1'!$E$103,0)</f>
        <v>0</v>
      </c>
      <c r="R57" s="68">
        <f>IFERROR(P57*'Adjusted Schedule 1'!$E$104,0)</f>
        <v>0</v>
      </c>
      <c r="S57" s="68">
        <f t="shared" si="4"/>
        <v>0</v>
      </c>
      <c r="T57" s="304">
        <f t="shared" si="5"/>
        <v>0</v>
      </c>
      <c r="V57" s="117">
        <f>'As-Filed Schedule 2G'!N57</f>
        <v>0</v>
      </c>
      <c r="W57" s="307">
        <f>SUMIFS(Adjustments!$G:$G,Adjustments!$H:$H,"2G",Adjustments!$I:$I,'Schedule 2G Adjustments'!$V$12,Adjustments!$J:$J,'Schedule 2G Adjustments'!$A57)</f>
        <v>0</v>
      </c>
      <c r="X57" s="303">
        <f t="shared" si="6"/>
        <v>0</v>
      </c>
      <c r="Y57" s="117">
        <f>'As-Filed Schedule 2G'!O57</f>
        <v>0</v>
      </c>
      <c r="Z57" s="307">
        <f>SUMIFS(Adjustments!$G:$G,Adjustments!$H:$H,"2G",Adjustments!$I:$I,'Schedule 2G Adjustments'!$Y$12,Adjustments!$J:$J,'Schedule 2G Adjustments'!$A57)</f>
        <v>0</v>
      </c>
      <c r="AA57" s="303">
        <f t="shared" si="7"/>
        <v>0</v>
      </c>
    </row>
    <row r="58" spans="1:27" x14ac:dyDescent="0.35">
      <c r="A58" s="24">
        <v>44</v>
      </c>
      <c r="B58" s="565" t="str">
        <f>IF('As-Filed Schedule 2G'!B58:D58=0,"",'As-Filed Schedule 2G'!B58:D58)</f>
        <v/>
      </c>
      <c r="C58" s="565"/>
      <c r="D58" s="565"/>
      <c r="F58" s="114">
        <f>'As-Filed Schedule 2G'!F58</f>
        <v>0</v>
      </c>
      <c r="G58" s="307">
        <f>SUMIFS(Adjustments!$G:$G,Adjustments!$H:$H,"2G",Adjustments!$I:$I,'Schedule 2G Adjustments'!$F$12,Adjustments!$J:$J,'Schedule 2G Adjustments'!$A58)</f>
        <v>0</v>
      </c>
      <c r="H58" s="303">
        <f t="shared" si="0"/>
        <v>0</v>
      </c>
      <c r="I58" s="68">
        <f>IFERROR(F58*'As-Filed Schedule 1'!$E$103,0)</f>
        <v>0</v>
      </c>
      <c r="J58" s="304">
        <f>IFERROR(H58*'Adjusted Schedule 1'!$E$104,0)</f>
        <v>0</v>
      </c>
      <c r="K58" s="68">
        <f t="shared" si="1"/>
        <v>0</v>
      </c>
      <c r="L58" s="304">
        <f t="shared" si="2"/>
        <v>0</v>
      </c>
      <c r="N58" s="114">
        <f>'As-Filed Schedule 2G'!J58</f>
        <v>0</v>
      </c>
      <c r="O58" s="307">
        <f>SUMIFS(Adjustments!$G:$G,Adjustments!$H:$H,"2G",Adjustments!$I:$I,'Schedule 2G Adjustments'!$N$12,Adjustments!$J:$J,'Schedule 2G Adjustments'!$A58)</f>
        <v>0</v>
      </c>
      <c r="P58" s="303">
        <f t="shared" si="3"/>
        <v>0</v>
      </c>
      <c r="Q58" s="68">
        <f>IFERROR(N58*'As-Filed Schedule 1'!$E$103,0)</f>
        <v>0</v>
      </c>
      <c r="R58" s="68">
        <f>IFERROR(P58*'Adjusted Schedule 1'!$E$104,0)</f>
        <v>0</v>
      </c>
      <c r="S58" s="68">
        <f t="shared" si="4"/>
        <v>0</v>
      </c>
      <c r="T58" s="304">
        <f t="shared" si="5"/>
        <v>0</v>
      </c>
      <c r="V58" s="117">
        <f>'As-Filed Schedule 2G'!N58</f>
        <v>0</v>
      </c>
      <c r="W58" s="307">
        <f>SUMIFS(Adjustments!$G:$G,Adjustments!$H:$H,"2G",Adjustments!$I:$I,'Schedule 2G Adjustments'!$V$12,Adjustments!$J:$J,'Schedule 2G Adjustments'!$A58)</f>
        <v>0</v>
      </c>
      <c r="X58" s="303">
        <f t="shared" si="6"/>
        <v>0</v>
      </c>
      <c r="Y58" s="117">
        <f>'As-Filed Schedule 2G'!O58</f>
        <v>0</v>
      </c>
      <c r="Z58" s="307">
        <f>SUMIFS(Adjustments!$G:$G,Adjustments!$H:$H,"2G",Adjustments!$I:$I,'Schedule 2G Adjustments'!$Y$12,Adjustments!$J:$J,'Schedule 2G Adjustments'!$A58)</f>
        <v>0</v>
      </c>
      <c r="AA58" s="303">
        <f t="shared" si="7"/>
        <v>0</v>
      </c>
    </row>
    <row r="59" spans="1:27" x14ac:dyDescent="0.35">
      <c r="A59" s="24">
        <v>45</v>
      </c>
      <c r="B59" s="565" t="str">
        <f>IF('As-Filed Schedule 2G'!B59:D59=0,"",'As-Filed Schedule 2G'!B59:D59)</f>
        <v/>
      </c>
      <c r="C59" s="565"/>
      <c r="D59" s="565"/>
      <c r="F59" s="114">
        <f>'As-Filed Schedule 2G'!F59</f>
        <v>0</v>
      </c>
      <c r="G59" s="307">
        <f>SUMIFS(Adjustments!$G:$G,Adjustments!$H:$H,"2G",Adjustments!$I:$I,'Schedule 2G Adjustments'!$F$12,Adjustments!$J:$J,'Schedule 2G Adjustments'!$A59)</f>
        <v>0</v>
      </c>
      <c r="H59" s="303">
        <f t="shared" si="0"/>
        <v>0</v>
      </c>
      <c r="I59" s="68">
        <f>IFERROR(F59*'As-Filed Schedule 1'!$E$103,0)</f>
        <v>0</v>
      </c>
      <c r="J59" s="304">
        <f>IFERROR(H59*'Adjusted Schedule 1'!$E$104,0)</f>
        <v>0</v>
      </c>
      <c r="K59" s="68">
        <f t="shared" si="1"/>
        <v>0</v>
      </c>
      <c r="L59" s="304">
        <f t="shared" si="2"/>
        <v>0</v>
      </c>
      <c r="N59" s="114">
        <f>'As-Filed Schedule 2G'!J59</f>
        <v>0</v>
      </c>
      <c r="O59" s="307">
        <f>SUMIFS(Adjustments!$G:$G,Adjustments!$H:$H,"2G",Adjustments!$I:$I,'Schedule 2G Adjustments'!$N$12,Adjustments!$J:$J,'Schedule 2G Adjustments'!$A59)</f>
        <v>0</v>
      </c>
      <c r="P59" s="303">
        <f t="shared" si="3"/>
        <v>0</v>
      </c>
      <c r="Q59" s="68">
        <f>IFERROR(N59*'As-Filed Schedule 1'!$E$103,0)</f>
        <v>0</v>
      </c>
      <c r="R59" s="68">
        <f>IFERROR(P59*'Adjusted Schedule 1'!$E$104,0)</f>
        <v>0</v>
      </c>
      <c r="S59" s="68">
        <f t="shared" si="4"/>
        <v>0</v>
      </c>
      <c r="T59" s="304">
        <f t="shared" si="5"/>
        <v>0</v>
      </c>
      <c r="V59" s="117">
        <f>'As-Filed Schedule 2G'!N59</f>
        <v>0</v>
      </c>
      <c r="W59" s="307">
        <f>SUMIFS(Adjustments!$G:$G,Adjustments!$H:$H,"2G",Adjustments!$I:$I,'Schedule 2G Adjustments'!$V$12,Adjustments!$J:$J,'Schedule 2G Adjustments'!$A59)</f>
        <v>0</v>
      </c>
      <c r="X59" s="303">
        <f t="shared" si="6"/>
        <v>0</v>
      </c>
      <c r="Y59" s="117">
        <f>'As-Filed Schedule 2G'!O59</f>
        <v>0</v>
      </c>
      <c r="Z59" s="307">
        <f>SUMIFS(Adjustments!$G:$G,Adjustments!$H:$H,"2G",Adjustments!$I:$I,'Schedule 2G Adjustments'!$Y$12,Adjustments!$J:$J,'Schedule 2G Adjustments'!$A59)</f>
        <v>0</v>
      </c>
      <c r="AA59" s="303">
        <f t="shared" si="7"/>
        <v>0</v>
      </c>
    </row>
    <row r="60" spans="1:27" x14ac:dyDescent="0.35">
      <c r="A60" s="24">
        <v>46</v>
      </c>
      <c r="B60" s="565" t="str">
        <f>IF('As-Filed Schedule 2G'!B60:D60=0,"",'As-Filed Schedule 2G'!B60:D60)</f>
        <v/>
      </c>
      <c r="C60" s="565"/>
      <c r="D60" s="565"/>
      <c r="F60" s="114">
        <f>'As-Filed Schedule 2G'!F60</f>
        <v>0</v>
      </c>
      <c r="G60" s="307">
        <f>SUMIFS(Adjustments!$G:$G,Adjustments!$H:$H,"2G",Adjustments!$I:$I,'Schedule 2G Adjustments'!$F$12,Adjustments!$J:$J,'Schedule 2G Adjustments'!$A60)</f>
        <v>0</v>
      </c>
      <c r="H60" s="303">
        <f t="shared" si="0"/>
        <v>0</v>
      </c>
      <c r="I60" s="68">
        <f>IFERROR(F60*'As-Filed Schedule 1'!$E$103,0)</f>
        <v>0</v>
      </c>
      <c r="J60" s="304">
        <f>IFERROR(H60*'Adjusted Schedule 1'!$E$104,0)</f>
        <v>0</v>
      </c>
      <c r="K60" s="68">
        <f t="shared" si="1"/>
        <v>0</v>
      </c>
      <c r="L60" s="304">
        <f t="shared" si="2"/>
        <v>0</v>
      </c>
      <c r="N60" s="114">
        <f>'As-Filed Schedule 2G'!J60</f>
        <v>0</v>
      </c>
      <c r="O60" s="307">
        <f>SUMIFS(Adjustments!$G:$G,Adjustments!$H:$H,"2G",Adjustments!$I:$I,'Schedule 2G Adjustments'!$N$12,Adjustments!$J:$J,'Schedule 2G Adjustments'!$A60)</f>
        <v>0</v>
      </c>
      <c r="P60" s="303">
        <f t="shared" si="3"/>
        <v>0</v>
      </c>
      <c r="Q60" s="68">
        <f>IFERROR(N60*'As-Filed Schedule 1'!$E$103,0)</f>
        <v>0</v>
      </c>
      <c r="R60" s="68">
        <f>IFERROR(P60*'Adjusted Schedule 1'!$E$104,0)</f>
        <v>0</v>
      </c>
      <c r="S60" s="68">
        <f t="shared" si="4"/>
        <v>0</v>
      </c>
      <c r="T60" s="304">
        <f t="shared" si="5"/>
        <v>0</v>
      </c>
      <c r="V60" s="117">
        <f>'As-Filed Schedule 2G'!N60</f>
        <v>0</v>
      </c>
      <c r="W60" s="307">
        <f>SUMIFS(Adjustments!$G:$G,Adjustments!$H:$H,"2G",Adjustments!$I:$I,'Schedule 2G Adjustments'!$V$12,Adjustments!$J:$J,'Schedule 2G Adjustments'!$A60)</f>
        <v>0</v>
      </c>
      <c r="X60" s="303">
        <f t="shared" si="6"/>
        <v>0</v>
      </c>
      <c r="Y60" s="117">
        <f>'As-Filed Schedule 2G'!O60</f>
        <v>0</v>
      </c>
      <c r="Z60" s="307">
        <f>SUMIFS(Adjustments!$G:$G,Adjustments!$H:$H,"2G",Adjustments!$I:$I,'Schedule 2G Adjustments'!$Y$12,Adjustments!$J:$J,'Schedule 2G Adjustments'!$A60)</f>
        <v>0</v>
      </c>
      <c r="AA60" s="303">
        <f t="shared" si="7"/>
        <v>0</v>
      </c>
    </row>
    <row r="61" spans="1:27" x14ac:dyDescent="0.35">
      <c r="A61" s="24">
        <v>47</v>
      </c>
      <c r="B61" s="565" t="str">
        <f>IF('As-Filed Schedule 2G'!B61:D61=0,"",'As-Filed Schedule 2G'!B61:D61)</f>
        <v/>
      </c>
      <c r="C61" s="565"/>
      <c r="D61" s="565"/>
      <c r="F61" s="114">
        <f>'As-Filed Schedule 2G'!F61</f>
        <v>0</v>
      </c>
      <c r="G61" s="307">
        <f>SUMIFS(Adjustments!$G:$G,Adjustments!$H:$H,"2G",Adjustments!$I:$I,'Schedule 2G Adjustments'!$F$12,Adjustments!$J:$J,'Schedule 2G Adjustments'!$A61)</f>
        <v>0</v>
      </c>
      <c r="H61" s="303">
        <f t="shared" si="0"/>
        <v>0</v>
      </c>
      <c r="I61" s="68">
        <f>IFERROR(F61*'As-Filed Schedule 1'!$E$103,0)</f>
        <v>0</v>
      </c>
      <c r="J61" s="304">
        <f>IFERROR(H61*'Adjusted Schedule 1'!$E$104,0)</f>
        <v>0</v>
      </c>
      <c r="K61" s="68">
        <f t="shared" si="1"/>
        <v>0</v>
      </c>
      <c r="L61" s="304">
        <f t="shared" si="2"/>
        <v>0</v>
      </c>
      <c r="N61" s="114">
        <f>'As-Filed Schedule 2G'!J61</f>
        <v>0</v>
      </c>
      <c r="O61" s="307">
        <f>SUMIFS(Adjustments!$G:$G,Adjustments!$H:$H,"2G",Adjustments!$I:$I,'Schedule 2G Adjustments'!$N$12,Adjustments!$J:$J,'Schedule 2G Adjustments'!$A61)</f>
        <v>0</v>
      </c>
      <c r="P61" s="303">
        <f t="shared" si="3"/>
        <v>0</v>
      </c>
      <c r="Q61" s="68">
        <f>IFERROR(N61*'As-Filed Schedule 1'!$E$103,0)</f>
        <v>0</v>
      </c>
      <c r="R61" s="68">
        <f>IFERROR(P61*'Adjusted Schedule 1'!$E$104,0)</f>
        <v>0</v>
      </c>
      <c r="S61" s="68">
        <f t="shared" si="4"/>
        <v>0</v>
      </c>
      <c r="T61" s="304">
        <f t="shared" si="5"/>
        <v>0</v>
      </c>
      <c r="V61" s="117">
        <f>'As-Filed Schedule 2G'!N61</f>
        <v>0</v>
      </c>
      <c r="W61" s="307">
        <f>SUMIFS(Adjustments!$G:$G,Adjustments!$H:$H,"2G",Adjustments!$I:$I,'Schedule 2G Adjustments'!$V$12,Adjustments!$J:$J,'Schedule 2G Adjustments'!$A61)</f>
        <v>0</v>
      </c>
      <c r="X61" s="303">
        <f t="shared" si="6"/>
        <v>0</v>
      </c>
      <c r="Y61" s="117">
        <f>'As-Filed Schedule 2G'!O61</f>
        <v>0</v>
      </c>
      <c r="Z61" s="307">
        <f>SUMIFS(Adjustments!$G:$G,Adjustments!$H:$H,"2G",Adjustments!$I:$I,'Schedule 2G Adjustments'!$Y$12,Adjustments!$J:$J,'Schedule 2G Adjustments'!$A61)</f>
        <v>0</v>
      </c>
      <c r="AA61" s="303">
        <f t="shared" si="7"/>
        <v>0</v>
      </c>
    </row>
    <row r="62" spans="1:27" x14ac:dyDescent="0.35">
      <c r="A62" s="24">
        <v>48</v>
      </c>
      <c r="B62" s="565" t="str">
        <f>IF('As-Filed Schedule 2G'!B62:D62=0,"",'As-Filed Schedule 2G'!B62:D62)</f>
        <v/>
      </c>
      <c r="C62" s="565"/>
      <c r="D62" s="565"/>
      <c r="F62" s="114">
        <f>'As-Filed Schedule 2G'!F62</f>
        <v>0</v>
      </c>
      <c r="G62" s="307">
        <f>SUMIFS(Adjustments!$G:$G,Adjustments!$H:$H,"2G",Adjustments!$I:$I,'Schedule 2G Adjustments'!$F$12,Adjustments!$J:$J,'Schedule 2G Adjustments'!$A62)</f>
        <v>0</v>
      </c>
      <c r="H62" s="303">
        <f t="shared" si="0"/>
        <v>0</v>
      </c>
      <c r="I62" s="68">
        <f>IFERROR(F62*'As-Filed Schedule 1'!$E$103,0)</f>
        <v>0</v>
      </c>
      <c r="J62" s="304">
        <f>IFERROR(H62*'Adjusted Schedule 1'!$E$104,0)</f>
        <v>0</v>
      </c>
      <c r="K62" s="68">
        <f t="shared" si="1"/>
        <v>0</v>
      </c>
      <c r="L62" s="304">
        <f t="shared" si="2"/>
        <v>0</v>
      </c>
      <c r="N62" s="114">
        <f>'As-Filed Schedule 2G'!J62</f>
        <v>0</v>
      </c>
      <c r="O62" s="307">
        <f>SUMIFS(Adjustments!$G:$G,Adjustments!$H:$H,"2G",Adjustments!$I:$I,'Schedule 2G Adjustments'!$N$12,Adjustments!$J:$J,'Schedule 2G Adjustments'!$A62)</f>
        <v>0</v>
      </c>
      <c r="P62" s="303">
        <f t="shared" si="3"/>
        <v>0</v>
      </c>
      <c r="Q62" s="68">
        <f>IFERROR(N62*'As-Filed Schedule 1'!$E$103,0)</f>
        <v>0</v>
      </c>
      <c r="R62" s="68">
        <f>IFERROR(P62*'Adjusted Schedule 1'!$E$104,0)</f>
        <v>0</v>
      </c>
      <c r="S62" s="68">
        <f t="shared" si="4"/>
        <v>0</v>
      </c>
      <c r="T62" s="304">
        <f t="shared" si="5"/>
        <v>0</v>
      </c>
      <c r="V62" s="117">
        <f>'As-Filed Schedule 2G'!N62</f>
        <v>0</v>
      </c>
      <c r="W62" s="307">
        <f>SUMIFS(Adjustments!$G:$G,Adjustments!$H:$H,"2G",Adjustments!$I:$I,'Schedule 2G Adjustments'!$V$12,Adjustments!$J:$J,'Schedule 2G Adjustments'!$A62)</f>
        <v>0</v>
      </c>
      <c r="X62" s="303">
        <f t="shared" si="6"/>
        <v>0</v>
      </c>
      <c r="Y62" s="117">
        <f>'As-Filed Schedule 2G'!O62</f>
        <v>0</v>
      </c>
      <c r="Z62" s="307">
        <f>SUMIFS(Adjustments!$G:$G,Adjustments!$H:$H,"2G",Adjustments!$I:$I,'Schedule 2G Adjustments'!$Y$12,Adjustments!$J:$J,'Schedule 2G Adjustments'!$A62)</f>
        <v>0</v>
      </c>
      <c r="AA62" s="303">
        <f t="shared" si="7"/>
        <v>0</v>
      </c>
    </row>
    <row r="63" spans="1:27" x14ac:dyDescent="0.35">
      <c r="A63" s="24">
        <v>49</v>
      </c>
      <c r="B63" s="565" t="str">
        <f>IF('As-Filed Schedule 2G'!B63:D63=0,"",'As-Filed Schedule 2G'!B63:D63)</f>
        <v/>
      </c>
      <c r="C63" s="565"/>
      <c r="D63" s="565"/>
      <c r="F63" s="114">
        <f>'As-Filed Schedule 2G'!F63</f>
        <v>0</v>
      </c>
      <c r="G63" s="307">
        <f>SUMIFS(Adjustments!$G:$G,Adjustments!$H:$H,"2G",Adjustments!$I:$I,'Schedule 2G Adjustments'!$F$12,Adjustments!$J:$J,'Schedule 2G Adjustments'!$A63)</f>
        <v>0</v>
      </c>
      <c r="H63" s="303">
        <f t="shared" si="0"/>
        <v>0</v>
      </c>
      <c r="I63" s="68">
        <f>IFERROR(F63*'As-Filed Schedule 1'!$E$103,0)</f>
        <v>0</v>
      </c>
      <c r="J63" s="304">
        <f>IFERROR(H63*'Adjusted Schedule 1'!$E$104,0)</f>
        <v>0</v>
      </c>
      <c r="K63" s="68">
        <f t="shared" si="1"/>
        <v>0</v>
      </c>
      <c r="L63" s="304">
        <f t="shared" si="2"/>
        <v>0</v>
      </c>
      <c r="N63" s="114">
        <f>'As-Filed Schedule 2G'!J63</f>
        <v>0</v>
      </c>
      <c r="O63" s="307">
        <f>SUMIFS(Adjustments!$G:$G,Adjustments!$H:$H,"2G",Adjustments!$I:$I,'Schedule 2G Adjustments'!$N$12,Adjustments!$J:$J,'Schedule 2G Adjustments'!$A63)</f>
        <v>0</v>
      </c>
      <c r="P63" s="303">
        <f t="shared" si="3"/>
        <v>0</v>
      </c>
      <c r="Q63" s="68">
        <f>IFERROR(N63*'As-Filed Schedule 1'!$E$103,0)</f>
        <v>0</v>
      </c>
      <c r="R63" s="68">
        <f>IFERROR(P63*'Adjusted Schedule 1'!$E$104,0)</f>
        <v>0</v>
      </c>
      <c r="S63" s="68">
        <f t="shared" si="4"/>
        <v>0</v>
      </c>
      <c r="T63" s="304">
        <f t="shared" si="5"/>
        <v>0</v>
      </c>
      <c r="V63" s="117">
        <f>'As-Filed Schedule 2G'!N63</f>
        <v>0</v>
      </c>
      <c r="W63" s="307">
        <f>SUMIFS(Adjustments!$G:$G,Adjustments!$H:$H,"2G",Adjustments!$I:$I,'Schedule 2G Adjustments'!$V$12,Adjustments!$J:$J,'Schedule 2G Adjustments'!$A63)</f>
        <v>0</v>
      </c>
      <c r="X63" s="303">
        <f t="shared" si="6"/>
        <v>0</v>
      </c>
      <c r="Y63" s="117">
        <f>'As-Filed Schedule 2G'!O63</f>
        <v>0</v>
      </c>
      <c r="Z63" s="307">
        <f>SUMIFS(Adjustments!$G:$G,Adjustments!$H:$H,"2G",Adjustments!$I:$I,'Schedule 2G Adjustments'!$Y$12,Adjustments!$J:$J,'Schedule 2G Adjustments'!$A63)</f>
        <v>0</v>
      </c>
      <c r="AA63" s="303">
        <f t="shared" si="7"/>
        <v>0</v>
      </c>
    </row>
    <row r="64" spans="1:27" x14ac:dyDescent="0.35">
      <c r="A64" s="24">
        <v>50</v>
      </c>
      <c r="B64" s="565" t="str">
        <f>IF('As-Filed Schedule 2G'!B64:D64=0,"",'As-Filed Schedule 2G'!B64:D64)</f>
        <v/>
      </c>
      <c r="C64" s="565"/>
      <c r="D64" s="565"/>
      <c r="F64" s="114">
        <f>'As-Filed Schedule 2G'!F64</f>
        <v>0</v>
      </c>
      <c r="G64" s="307">
        <f>SUMIFS(Adjustments!$G:$G,Adjustments!$H:$H,"2G",Adjustments!$I:$I,'Schedule 2G Adjustments'!$F$12,Adjustments!$J:$J,'Schedule 2G Adjustments'!$A64)</f>
        <v>0</v>
      </c>
      <c r="H64" s="303">
        <f t="shared" si="0"/>
        <v>0</v>
      </c>
      <c r="I64" s="68">
        <f>IFERROR(F64*'As-Filed Schedule 1'!$E$103,0)</f>
        <v>0</v>
      </c>
      <c r="J64" s="304">
        <f>IFERROR(H64*'Adjusted Schedule 1'!$E$104,0)</f>
        <v>0</v>
      </c>
      <c r="K64" s="68">
        <f t="shared" si="1"/>
        <v>0</v>
      </c>
      <c r="L64" s="304">
        <f t="shared" si="2"/>
        <v>0</v>
      </c>
      <c r="N64" s="114">
        <f>'As-Filed Schedule 2G'!J64</f>
        <v>0</v>
      </c>
      <c r="O64" s="307">
        <f>SUMIFS(Adjustments!$G:$G,Adjustments!$H:$H,"2G",Adjustments!$I:$I,'Schedule 2G Adjustments'!$N$12,Adjustments!$J:$J,'Schedule 2G Adjustments'!$A64)</f>
        <v>0</v>
      </c>
      <c r="P64" s="303">
        <f t="shared" si="3"/>
        <v>0</v>
      </c>
      <c r="Q64" s="68">
        <f>IFERROR(N64*'As-Filed Schedule 1'!$E$103,0)</f>
        <v>0</v>
      </c>
      <c r="R64" s="68">
        <f>IFERROR(P64*'Adjusted Schedule 1'!$E$104,0)</f>
        <v>0</v>
      </c>
      <c r="S64" s="68">
        <f t="shared" si="4"/>
        <v>0</v>
      </c>
      <c r="T64" s="304">
        <f t="shared" si="5"/>
        <v>0</v>
      </c>
      <c r="V64" s="117">
        <f>'As-Filed Schedule 2G'!N64</f>
        <v>0</v>
      </c>
      <c r="W64" s="307">
        <f>SUMIFS(Adjustments!$G:$G,Adjustments!$H:$H,"2G",Adjustments!$I:$I,'Schedule 2G Adjustments'!$V$12,Adjustments!$J:$J,'Schedule 2G Adjustments'!$A64)</f>
        <v>0</v>
      </c>
      <c r="X64" s="303">
        <f t="shared" si="6"/>
        <v>0</v>
      </c>
      <c r="Y64" s="117">
        <f>'As-Filed Schedule 2G'!O64</f>
        <v>0</v>
      </c>
      <c r="Z64" s="307">
        <f>SUMIFS(Adjustments!$G:$G,Adjustments!$H:$H,"2G",Adjustments!$I:$I,'Schedule 2G Adjustments'!$Y$12,Adjustments!$J:$J,'Schedule 2G Adjustments'!$A64)</f>
        <v>0</v>
      </c>
      <c r="AA64" s="303">
        <f t="shared" si="7"/>
        <v>0</v>
      </c>
    </row>
    <row r="65" spans="1:27" x14ac:dyDescent="0.35">
      <c r="A65" s="24">
        <v>51</v>
      </c>
      <c r="B65" s="565" t="str">
        <f>IF('As-Filed Schedule 2G'!B65:D65=0,"",'As-Filed Schedule 2G'!B65:D65)</f>
        <v/>
      </c>
      <c r="C65" s="565"/>
      <c r="D65" s="565"/>
      <c r="F65" s="114">
        <f>'As-Filed Schedule 2G'!F65</f>
        <v>0</v>
      </c>
      <c r="G65" s="307">
        <f>SUMIFS(Adjustments!$G:$G,Adjustments!$H:$H,"2G",Adjustments!$I:$I,'Schedule 2G Adjustments'!$F$12,Adjustments!$J:$J,'Schedule 2G Adjustments'!$A65)</f>
        <v>0</v>
      </c>
      <c r="H65" s="303">
        <f t="shared" si="0"/>
        <v>0</v>
      </c>
      <c r="I65" s="68">
        <f>IFERROR(F65*'As-Filed Schedule 1'!$E$103,0)</f>
        <v>0</v>
      </c>
      <c r="J65" s="304">
        <f>IFERROR(H65*'Adjusted Schedule 1'!$E$104,0)</f>
        <v>0</v>
      </c>
      <c r="K65" s="68">
        <f t="shared" si="1"/>
        <v>0</v>
      </c>
      <c r="L65" s="304">
        <f t="shared" si="2"/>
        <v>0</v>
      </c>
      <c r="N65" s="114">
        <f>'As-Filed Schedule 2G'!J65</f>
        <v>0</v>
      </c>
      <c r="O65" s="307">
        <f>SUMIFS(Adjustments!$G:$G,Adjustments!$H:$H,"2G",Adjustments!$I:$I,'Schedule 2G Adjustments'!$N$12,Adjustments!$J:$J,'Schedule 2G Adjustments'!$A65)</f>
        <v>0</v>
      </c>
      <c r="P65" s="303">
        <f t="shared" si="3"/>
        <v>0</v>
      </c>
      <c r="Q65" s="68">
        <f>IFERROR(N65*'As-Filed Schedule 1'!$E$103,0)</f>
        <v>0</v>
      </c>
      <c r="R65" s="68">
        <f>IFERROR(P65*'Adjusted Schedule 1'!$E$104,0)</f>
        <v>0</v>
      </c>
      <c r="S65" s="68">
        <f t="shared" si="4"/>
        <v>0</v>
      </c>
      <c r="T65" s="304">
        <f t="shared" si="5"/>
        <v>0</v>
      </c>
      <c r="V65" s="117">
        <f>'As-Filed Schedule 2G'!N65</f>
        <v>0</v>
      </c>
      <c r="W65" s="307">
        <f>SUMIFS(Adjustments!$G:$G,Adjustments!$H:$H,"2G",Adjustments!$I:$I,'Schedule 2G Adjustments'!$V$12,Adjustments!$J:$J,'Schedule 2G Adjustments'!$A65)</f>
        <v>0</v>
      </c>
      <c r="X65" s="303">
        <f t="shared" si="6"/>
        <v>0</v>
      </c>
      <c r="Y65" s="117">
        <f>'As-Filed Schedule 2G'!O65</f>
        <v>0</v>
      </c>
      <c r="Z65" s="307">
        <f>SUMIFS(Adjustments!$G:$G,Adjustments!$H:$H,"2G",Adjustments!$I:$I,'Schedule 2G Adjustments'!$Y$12,Adjustments!$J:$J,'Schedule 2G Adjustments'!$A65)</f>
        <v>0</v>
      </c>
      <c r="AA65" s="303">
        <f t="shared" si="7"/>
        <v>0</v>
      </c>
    </row>
    <row r="66" spans="1:27" x14ac:dyDescent="0.35">
      <c r="A66" s="24">
        <v>52</v>
      </c>
      <c r="B66" s="565" t="str">
        <f>IF('As-Filed Schedule 2G'!B66:D66=0,"",'As-Filed Schedule 2G'!B66:D66)</f>
        <v/>
      </c>
      <c r="C66" s="565"/>
      <c r="D66" s="565"/>
      <c r="F66" s="114">
        <f>'As-Filed Schedule 2G'!F66</f>
        <v>0</v>
      </c>
      <c r="G66" s="307">
        <f>SUMIFS(Adjustments!$G:$G,Adjustments!$H:$H,"2G",Adjustments!$I:$I,'Schedule 2G Adjustments'!$F$12,Adjustments!$J:$J,'Schedule 2G Adjustments'!$A66)</f>
        <v>0</v>
      </c>
      <c r="H66" s="303">
        <f t="shared" si="0"/>
        <v>0</v>
      </c>
      <c r="I66" s="68">
        <f>IFERROR(F66*'As-Filed Schedule 1'!$E$103,0)</f>
        <v>0</v>
      </c>
      <c r="J66" s="304">
        <f>IFERROR(H66*'Adjusted Schedule 1'!$E$104,0)</f>
        <v>0</v>
      </c>
      <c r="K66" s="68">
        <f t="shared" si="1"/>
        <v>0</v>
      </c>
      <c r="L66" s="304">
        <f t="shared" si="2"/>
        <v>0</v>
      </c>
      <c r="N66" s="114">
        <f>'As-Filed Schedule 2G'!J66</f>
        <v>0</v>
      </c>
      <c r="O66" s="307">
        <f>SUMIFS(Adjustments!$G:$G,Adjustments!$H:$H,"2G",Adjustments!$I:$I,'Schedule 2G Adjustments'!$N$12,Adjustments!$J:$J,'Schedule 2G Adjustments'!$A66)</f>
        <v>0</v>
      </c>
      <c r="P66" s="303">
        <f t="shared" si="3"/>
        <v>0</v>
      </c>
      <c r="Q66" s="68">
        <f>IFERROR(N66*'As-Filed Schedule 1'!$E$103,0)</f>
        <v>0</v>
      </c>
      <c r="R66" s="68">
        <f>IFERROR(P66*'Adjusted Schedule 1'!$E$104,0)</f>
        <v>0</v>
      </c>
      <c r="S66" s="68">
        <f t="shared" si="4"/>
        <v>0</v>
      </c>
      <c r="T66" s="304">
        <f t="shared" si="5"/>
        <v>0</v>
      </c>
      <c r="V66" s="117">
        <f>'As-Filed Schedule 2G'!N66</f>
        <v>0</v>
      </c>
      <c r="W66" s="307">
        <f>SUMIFS(Adjustments!$G:$G,Adjustments!$H:$H,"2G",Adjustments!$I:$I,'Schedule 2G Adjustments'!$V$12,Adjustments!$J:$J,'Schedule 2G Adjustments'!$A66)</f>
        <v>0</v>
      </c>
      <c r="X66" s="303">
        <f t="shared" si="6"/>
        <v>0</v>
      </c>
      <c r="Y66" s="117">
        <f>'As-Filed Schedule 2G'!O66</f>
        <v>0</v>
      </c>
      <c r="Z66" s="307">
        <f>SUMIFS(Adjustments!$G:$G,Adjustments!$H:$H,"2G",Adjustments!$I:$I,'Schedule 2G Adjustments'!$Y$12,Adjustments!$J:$J,'Schedule 2G Adjustments'!$A66)</f>
        <v>0</v>
      </c>
      <c r="AA66" s="303">
        <f t="shared" si="7"/>
        <v>0</v>
      </c>
    </row>
    <row r="67" spans="1:27" x14ac:dyDescent="0.35">
      <c r="A67" s="24">
        <v>53</v>
      </c>
      <c r="B67" s="565" t="str">
        <f>IF('As-Filed Schedule 2G'!B67:D67=0,"",'As-Filed Schedule 2G'!B67:D67)</f>
        <v/>
      </c>
      <c r="C67" s="565"/>
      <c r="D67" s="565"/>
      <c r="F67" s="114">
        <f>'As-Filed Schedule 2G'!F67</f>
        <v>0</v>
      </c>
      <c r="G67" s="307">
        <f>SUMIFS(Adjustments!$G:$G,Adjustments!$H:$H,"2G",Adjustments!$I:$I,'Schedule 2G Adjustments'!$F$12,Adjustments!$J:$J,'Schedule 2G Adjustments'!$A67)</f>
        <v>0</v>
      </c>
      <c r="H67" s="303">
        <f t="shared" si="0"/>
        <v>0</v>
      </c>
      <c r="I67" s="68">
        <f>IFERROR(F67*'As-Filed Schedule 1'!$E$103,0)</f>
        <v>0</v>
      </c>
      <c r="J67" s="304">
        <f>IFERROR(H67*'Adjusted Schedule 1'!$E$104,0)</f>
        <v>0</v>
      </c>
      <c r="K67" s="68">
        <f t="shared" si="1"/>
        <v>0</v>
      </c>
      <c r="L67" s="304">
        <f t="shared" si="2"/>
        <v>0</v>
      </c>
      <c r="N67" s="114">
        <f>'As-Filed Schedule 2G'!J67</f>
        <v>0</v>
      </c>
      <c r="O67" s="307">
        <f>SUMIFS(Adjustments!$G:$G,Adjustments!$H:$H,"2G",Adjustments!$I:$I,'Schedule 2G Adjustments'!$N$12,Adjustments!$J:$J,'Schedule 2G Adjustments'!$A67)</f>
        <v>0</v>
      </c>
      <c r="P67" s="303">
        <f t="shared" si="3"/>
        <v>0</v>
      </c>
      <c r="Q67" s="68">
        <f>IFERROR(N67*'As-Filed Schedule 1'!$E$103,0)</f>
        <v>0</v>
      </c>
      <c r="R67" s="68">
        <f>IFERROR(P67*'Adjusted Schedule 1'!$E$104,0)</f>
        <v>0</v>
      </c>
      <c r="S67" s="68">
        <f t="shared" si="4"/>
        <v>0</v>
      </c>
      <c r="T67" s="304">
        <f t="shared" si="5"/>
        <v>0</v>
      </c>
      <c r="V67" s="117">
        <f>'As-Filed Schedule 2G'!N67</f>
        <v>0</v>
      </c>
      <c r="W67" s="307">
        <f>SUMIFS(Adjustments!$G:$G,Adjustments!$H:$H,"2G",Adjustments!$I:$I,'Schedule 2G Adjustments'!$V$12,Adjustments!$J:$J,'Schedule 2G Adjustments'!$A67)</f>
        <v>0</v>
      </c>
      <c r="X67" s="303">
        <f t="shared" si="6"/>
        <v>0</v>
      </c>
      <c r="Y67" s="117">
        <f>'As-Filed Schedule 2G'!O67</f>
        <v>0</v>
      </c>
      <c r="Z67" s="307">
        <f>SUMIFS(Adjustments!$G:$G,Adjustments!$H:$H,"2G",Adjustments!$I:$I,'Schedule 2G Adjustments'!$Y$12,Adjustments!$J:$J,'Schedule 2G Adjustments'!$A67)</f>
        <v>0</v>
      </c>
      <c r="AA67" s="303">
        <f t="shared" si="7"/>
        <v>0</v>
      </c>
    </row>
    <row r="68" spans="1:27" x14ac:dyDescent="0.35">
      <c r="A68" s="24">
        <v>54</v>
      </c>
      <c r="B68" s="565" t="str">
        <f>IF('As-Filed Schedule 2G'!B68:D68=0,"",'As-Filed Schedule 2G'!B68:D68)</f>
        <v/>
      </c>
      <c r="C68" s="565"/>
      <c r="D68" s="565"/>
      <c r="F68" s="114">
        <f>'As-Filed Schedule 2G'!F68</f>
        <v>0</v>
      </c>
      <c r="G68" s="307">
        <f>SUMIFS(Adjustments!$G:$G,Adjustments!$H:$H,"2G",Adjustments!$I:$I,'Schedule 2G Adjustments'!$F$12,Adjustments!$J:$J,'Schedule 2G Adjustments'!$A68)</f>
        <v>0</v>
      </c>
      <c r="H68" s="303">
        <f t="shared" si="0"/>
        <v>0</v>
      </c>
      <c r="I68" s="68">
        <f>IFERROR(F68*'As-Filed Schedule 1'!$E$103,0)</f>
        <v>0</v>
      </c>
      <c r="J68" s="304">
        <f>IFERROR(H68*'Adjusted Schedule 1'!$E$104,0)</f>
        <v>0</v>
      </c>
      <c r="K68" s="68">
        <f t="shared" si="1"/>
        <v>0</v>
      </c>
      <c r="L68" s="304">
        <f t="shared" si="2"/>
        <v>0</v>
      </c>
      <c r="N68" s="114">
        <f>'As-Filed Schedule 2G'!J68</f>
        <v>0</v>
      </c>
      <c r="O68" s="307">
        <f>SUMIFS(Adjustments!$G:$G,Adjustments!$H:$H,"2G",Adjustments!$I:$I,'Schedule 2G Adjustments'!$N$12,Adjustments!$J:$J,'Schedule 2G Adjustments'!$A68)</f>
        <v>0</v>
      </c>
      <c r="P68" s="303">
        <f t="shared" si="3"/>
        <v>0</v>
      </c>
      <c r="Q68" s="68">
        <f>IFERROR(N68*'As-Filed Schedule 1'!$E$103,0)</f>
        <v>0</v>
      </c>
      <c r="R68" s="68">
        <f>IFERROR(P68*'Adjusted Schedule 1'!$E$104,0)</f>
        <v>0</v>
      </c>
      <c r="S68" s="68">
        <f t="shared" si="4"/>
        <v>0</v>
      </c>
      <c r="T68" s="304">
        <f t="shared" si="5"/>
        <v>0</v>
      </c>
      <c r="V68" s="117">
        <f>'As-Filed Schedule 2G'!N68</f>
        <v>0</v>
      </c>
      <c r="W68" s="307">
        <f>SUMIFS(Adjustments!$G:$G,Adjustments!$H:$H,"2G",Adjustments!$I:$I,'Schedule 2G Adjustments'!$V$12,Adjustments!$J:$J,'Schedule 2G Adjustments'!$A68)</f>
        <v>0</v>
      </c>
      <c r="X68" s="303">
        <f t="shared" si="6"/>
        <v>0</v>
      </c>
      <c r="Y68" s="117">
        <f>'As-Filed Schedule 2G'!O68</f>
        <v>0</v>
      </c>
      <c r="Z68" s="307">
        <f>SUMIFS(Adjustments!$G:$G,Adjustments!$H:$H,"2G",Adjustments!$I:$I,'Schedule 2G Adjustments'!$Y$12,Adjustments!$J:$J,'Schedule 2G Adjustments'!$A68)</f>
        <v>0</v>
      </c>
      <c r="AA68" s="303">
        <f t="shared" si="7"/>
        <v>0</v>
      </c>
    </row>
    <row r="69" spans="1:27" x14ac:dyDescent="0.35">
      <c r="A69" s="24">
        <v>55</v>
      </c>
      <c r="B69" s="565" t="str">
        <f>IF('As-Filed Schedule 2G'!B69:D69=0,"",'As-Filed Schedule 2G'!B69:D69)</f>
        <v/>
      </c>
      <c r="C69" s="565"/>
      <c r="D69" s="565"/>
      <c r="F69" s="114">
        <f>'As-Filed Schedule 2G'!F69</f>
        <v>0</v>
      </c>
      <c r="G69" s="307">
        <f>SUMIFS(Adjustments!$G:$G,Adjustments!$H:$H,"2G",Adjustments!$I:$I,'Schedule 2G Adjustments'!$F$12,Adjustments!$J:$J,'Schedule 2G Adjustments'!$A69)</f>
        <v>0</v>
      </c>
      <c r="H69" s="303">
        <f t="shared" si="0"/>
        <v>0</v>
      </c>
      <c r="I69" s="68">
        <f>IFERROR(F69*'As-Filed Schedule 1'!$E$103,0)</f>
        <v>0</v>
      </c>
      <c r="J69" s="304">
        <f>IFERROR(H69*'Adjusted Schedule 1'!$E$104,0)</f>
        <v>0</v>
      </c>
      <c r="K69" s="68">
        <f t="shared" si="1"/>
        <v>0</v>
      </c>
      <c r="L69" s="304">
        <f t="shared" si="2"/>
        <v>0</v>
      </c>
      <c r="N69" s="114">
        <f>'As-Filed Schedule 2G'!J69</f>
        <v>0</v>
      </c>
      <c r="O69" s="307">
        <f>SUMIFS(Adjustments!$G:$G,Adjustments!$H:$H,"2G",Adjustments!$I:$I,'Schedule 2G Adjustments'!$N$12,Adjustments!$J:$J,'Schedule 2G Adjustments'!$A69)</f>
        <v>0</v>
      </c>
      <c r="P69" s="303">
        <f t="shared" si="3"/>
        <v>0</v>
      </c>
      <c r="Q69" s="68">
        <f>IFERROR(N69*'As-Filed Schedule 1'!$E$103,0)</f>
        <v>0</v>
      </c>
      <c r="R69" s="68">
        <f>IFERROR(P69*'Adjusted Schedule 1'!$E$104,0)</f>
        <v>0</v>
      </c>
      <c r="S69" s="68">
        <f t="shared" si="4"/>
        <v>0</v>
      </c>
      <c r="T69" s="304">
        <f t="shared" si="5"/>
        <v>0</v>
      </c>
      <c r="V69" s="117">
        <f>'As-Filed Schedule 2G'!N69</f>
        <v>0</v>
      </c>
      <c r="W69" s="307">
        <f>SUMIFS(Adjustments!$G:$G,Adjustments!$H:$H,"2G",Adjustments!$I:$I,'Schedule 2G Adjustments'!$V$12,Adjustments!$J:$J,'Schedule 2G Adjustments'!$A69)</f>
        <v>0</v>
      </c>
      <c r="X69" s="303">
        <f t="shared" si="6"/>
        <v>0</v>
      </c>
      <c r="Y69" s="117">
        <f>'As-Filed Schedule 2G'!O69</f>
        <v>0</v>
      </c>
      <c r="Z69" s="307">
        <f>SUMIFS(Adjustments!$G:$G,Adjustments!$H:$H,"2G",Adjustments!$I:$I,'Schedule 2G Adjustments'!$Y$12,Adjustments!$J:$J,'Schedule 2G Adjustments'!$A69)</f>
        <v>0</v>
      </c>
      <c r="AA69" s="303">
        <f t="shared" si="7"/>
        <v>0</v>
      </c>
    </row>
    <row r="70" spans="1:27" x14ac:dyDescent="0.35">
      <c r="A70" s="24">
        <v>56</v>
      </c>
      <c r="B70" s="565" t="str">
        <f>IF('As-Filed Schedule 2G'!B70:D70=0,"",'As-Filed Schedule 2G'!B70:D70)</f>
        <v/>
      </c>
      <c r="C70" s="565"/>
      <c r="D70" s="565"/>
      <c r="F70" s="114">
        <f>'As-Filed Schedule 2G'!F70</f>
        <v>0</v>
      </c>
      <c r="G70" s="307">
        <f>SUMIFS(Adjustments!$G:$G,Adjustments!$H:$H,"2G",Adjustments!$I:$I,'Schedule 2G Adjustments'!$F$12,Adjustments!$J:$J,'Schedule 2G Adjustments'!$A70)</f>
        <v>0</v>
      </c>
      <c r="H70" s="303">
        <f t="shared" si="0"/>
        <v>0</v>
      </c>
      <c r="I70" s="68">
        <f>IFERROR(F70*'As-Filed Schedule 1'!$E$103,0)</f>
        <v>0</v>
      </c>
      <c r="J70" s="304">
        <f>IFERROR(H70*'Adjusted Schedule 1'!$E$104,0)</f>
        <v>0</v>
      </c>
      <c r="K70" s="68">
        <f t="shared" si="1"/>
        <v>0</v>
      </c>
      <c r="L70" s="304">
        <f t="shared" si="2"/>
        <v>0</v>
      </c>
      <c r="N70" s="114">
        <f>'As-Filed Schedule 2G'!J70</f>
        <v>0</v>
      </c>
      <c r="O70" s="307">
        <f>SUMIFS(Adjustments!$G:$G,Adjustments!$H:$H,"2G",Adjustments!$I:$I,'Schedule 2G Adjustments'!$N$12,Adjustments!$J:$J,'Schedule 2G Adjustments'!$A70)</f>
        <v>0</v>
      </c>
      <c r="P70" s="303">
        <f t="shared" si="3"/>
        <v>0</v>
      </c>
      <c r="Q70" s="68">
        <f>IFERROR(N70*'As-Filed Schedule 1'!$E$103,0)</f>
        <v>0</v>
      </c>
      <c r="R70" s="68">
        <f>IFERROR(P70*'Adjusted Schedule 1'!$E$104,0)</f>
        <v>0</v>
      </c>
      <c r="S70" s="68">
        <f t="shared" si="4"/>
        <v>0</v>
      </c>
      <c r="T70" s="304">
        <f t="shared" si="5"/>
        <v>0</v>
      </c>
      <c r="V70" s="117">
        <f>'As-Filed Schedule 2G'!N70</f>
        <v>0</v>
      </c>
      <c r="W70" s="307">
        <f>SUMIFS(Adjustments!$G:$G,Adjustments!$H:$H,"2G",Adjustments!$I:$I,'Schedule 2G Adjustments'!$V$12,Adjustments!$J:$J,'Schedule 2G Adjustments'!$A70)</f>
        <v>0</v>
      </c>
      <c r="X70" s="303">
        <f t="shared" si="6"/>
        <v>0</v>
      </c>
      <c r="Y70" s="117">
        <f>'As-Filed Schedule 2G'!O70</f>
        <v>0</v>
      </c>
      <c r="Z70" s="307">
        <f>SUMIFS(Adjustments!$G:$G,Adjustments!$H:$H,"2G",Adjustments!$I:$I,'Schedule 2G Adjustments'!$Y$12,Adjustments!$J:$J,'Schedule 2G Adjustments'!$A70)</f>
        <v>0</v>
      </c>
      <c r="AA70" s="303">
        <f t="shared" si="7"/>
        <v>0</v>
      </c>
    </row>
    <row r="71" spans="1:27" x14ac:dyDescent="0.35">
      <c r="A71" s="24">
        <v>57</v>
      </c>
      <c r="B71" s="565" t="str">
        <f>IF('As-Filed Schedule 2G'!B71:D71=0,"",'As-Filed Schedule 2G'!B71:D71)</f>
        <v/>
      </c>
      <c r="C71" s="565"/>
      <c r="D71" s="565"/>
      <c r="F71" s="114">
        <f>'As-Filed Schedule 2G'!F71</f>
        <v>0</v>
      </c>
      <c r="G71" s="307">
        <f>SUMIFS(Adjustments!$G:$G,Adjustments!$H:$H,"2G",Adjustments!$I:$I,'Schedule 2G Adjustments'!$F$12,Adjustments!$J:$J,'Schedule 2G Adjustments'!$A71)</f>
        <v>0</v>
      </c>
      <c r="H71" s="303">
        <f t="shared" si="0"/>
        <v>0</v>
      </c>
      <c r="I71" s="68">
        <f>IFERROR(F71*'As-Filed Schedule 1'!$E$103,0)</f>
        <v>0</v>
      </c>
      <c r="J71" s="304">
        <f>IFERROR(H71*'Adjusted Schedule 1'!$E$104,0)</f>
        <v>0</v>
      </c>
      <c r="K71" s="68">
        <f t="shared" si="1"/>
        <v>0</v>
      </c>
      <c r="L71" s="304">
        <f t="shared" si="2"/>
        <v>0</v>
      </c>
      <c r="N71" s="114">
        <f>'As-Filed Schedule 2G'!J71</f>
        <v>0</v>
      </c>
      <c r="O71" s="307">
        <f>SUMIFS(Adjustments!$G:$G,Adjustments!$H:$H,"2G",Adjustments!$I:$I,'Schedule 2G Adjustments'!$N$12,Adjustments!$J:$J,'Schedule 2G Adjustments'!$A71)</f>
        <v>0</v>
      </c>
      <c r="P71" s="303">
        <f t="shared" si="3"/>
        <v>0</v>
      </c>
      <c r="Q71" s="68">
        <f>IFERROR(N71*'As-Filed Schedule 1'!$E$103,0)</f>
        <v>0</v>
      </c>
      <c r="R71" s="68">
        <f>IFERROR(P71*'Adjusted Schedule 1'!$E$104,0)</f>
        <v>0</v>
      </c>
      <c r="S71" s="68">
        <f t="shared" si="4"/>
        <v>0</v>
      </c>
      <c r="T71" s="304">
        <f t="shared" si="5"/>
        <v>0</v>
      </c>
      <c r="V71" s="117">
        <f>'As-Filed Schedule 2G'!N71</f>
        <v>0</v>
      </c>
      <c r="W71" s="307">
        <f>SUMIFS(Adjustments!$G:$G,Adjustments!$H:$H,"2G",Adjustments!$I:$I,'Schedule 2G Adjustments'!$V$12,Adjustments!$J:$J,'Schedule 2G Adjustments'!$A71)</f>
        <v>0</v>
      </c>
      <c r="X71" s="303">
        <f t="shared" si="6"/>
        <v>0</v>
      </c>
      <c r="Y71" s="117">
        <f>'As-Filed Schedule 2G'!O71</f>
        <v>0</v>
      </c>
      <c r="Z71" s="307">
        <f>SUMIFS(Adjustments!$G:$G,Adjustments!$H:$H,"2G",Adjustments!$I:$I,'Schedule 2G Adjustments'!$Y$12,Adjustments!$J:$J,'Schedule 2G Adjustments'!$A71)</f>
        <v>0</v>
      </c>
      <c r="AA71" s="303">
        <f t="shared" si="7"/>
        <v>0</v>
      </c>
    </row>
    <row r="72" spans="1:27" x14ac:dyDescent="0.35">
      <c r="A72" s="24">
        <v>58</v>
      </c>
      <c r="B72" s="565" t="str">
        <f>IF('As-Filed Schedule 2G'!B72:D72=0,"",'As-Filed Schedule 2G'!B72:D72)</f>
        <v/>
      </c>
      <c r="C72" s="565"/>
      <c r="D72" s="565"/>
      <c r="F72" s="114">
        <f>'As-Filed Schedule 2G'!F72</f>
        <v>0</v>
      </c>
      <c r="G72" s="307">
        <f>SUMIFS(Adjustments!$G:$G,Adjustments!$H:$H,"2G",Adjustments!$I:$I,'Schedule 2G Adjustments'!$F$12,Adjustments!$J:$J,'Schedule 2G Adjustments'!$A72)</f>
        <v>0</v>
      </c>
      <c r="H72" s="303">
        <f t="shared" si="0"/>
        <v>0</v>
      </c>
      <c r="I72" s="68">
        <f>IFERROR(F72*'As-Filed Schedule 1'!$E$103,0)</f>
        <v>0</v>
      </c>
      <c r="J72" s="304">
        <f>IFERROR(H72*'Adjusted Schedule 1'!$E$104,0)</f>
        <v>0</v>
      </c>
      <c r="K72" s="68">
        <f t="shared" si="1"/>
        <v>0</v>
      </c>
      <c r="L72" s="304">
        <f t="shared" si="2"/>
        <v>0</v>
      </c>
      <c r="N72" s="114">
        <f>'As-Filed Schedule 2G'!J72</f>
        <v>0</v>
      </c>
      <c r="O72" s="307">
        <f>SUMIFS(Adjustments!$G:$G,Adjustments!$H:$H,"2G",Adjustments!$I:$I,'Schedule 2G Adjustments'!$N$12,Adjustments!$J:$J,'Schedule 2G Adjustments'!$A72)</f>
        <v>0</v>
      </c>
      <c r="P72" s="303">
        <f t="shared" si="3"/>
        <v>0</v>
      </c>
      <c r="Q72" s="68">
        <f>IFERROR(N72*'As-Filed Schedule 1'!$E$103,0)</f>
        <v>0</v>
      </c>
      <c r="R72" s="68">
        <f>IFERROR(P72*'Adjusted Schedule 1'!$E$104,0)</f>
        <v>0</v>
      </c>
      <c r="S72" s="68">
        <f t="shared" si="4"/>
        <v>0</v>
      </c>
      <c r="T72" s="304">
        <f t="shared" si="5"/>
        <v>0</v>
      </c>
      <c r="V72" s="117">
        <f>'As-Filed Schedule 2G'!N72</f>
        <v>0</v>
      </c>
      <c r="W72" s="307">
        <f>SUMIFS(Adjustments!$G:$G,Adjustments!$H:$H,"2G",Adjustments!$I:$I,'Schedule 2G Adjustments'!$V$12,Adjustments!$J:$J,'Schedule 2G Adjustments'!$A72)</f>
        <v>0</v>
      </c>
      <c r="X72" s="303">
        <f t="shared" si="6"/>
        <v>0</v>
      </c>
      <c r="Y72" s="117">
        <f>'As-Filed Schedule 2G'!O72</f>
        <v>0</v>
      </c>
      <c r="Z72" s="307">
        <f>SUMIFS(Adjustments!$G:$G,Adjustments!$H:$H,"2G",Adjustments!$I:$I,'Schedule 2G Adjustments'!$Y$12,Adjustments!$J:$J,'Schedule 2G Adjustments'!$A72)</f>
        <v>0</v>
      </c>
      <c r="AA72" s="303">
        <f t="shared" si="7"/>
        <v>0</v>
      </c>
    </row>
    <row r="73" spans="1:27" x14ac:dyDescent="0.35">
      <c r="A73" s="24">
        <v>59</v>
      </c>
      <c r="F73" s="18">
        <f>SUM(F15:F72)</f>
        <v>0</v>
      </c>
      <c r="G73" s="18">
        <f>SUM(G15:G72)</f>
        <v>0</v>
      </c>
      <c r="H73" s="18">
        <f t="shared" ref="H73:K73" si="8">SUM(H15:H72)</f>
        <v>0</v>
      </c>
      <c r="I73" s="18">
        <f t="shared" si="8"/>
        <v>0</v>
      </c>
      <c r="J73" s="304">
        <f>IFERROR(H73*'Adjusted Schedule 1'!$E$104,0)</f>
        <v>0</v>
      </c>
      <c r="K73" s="18">
        <f t="shared" si="8"/>
        <v>0</v>
      </c>
      <c r="L73" s="305">
        <f t="shared" ref="L73" si="9">SUM(L15:L72)</f>
        <v>0</v>
      </c>
      <c r="N73" s="18">
        <f>SUM(N15:N72)</f>
        <v>0</v>
      </c>
      <c r="O73" s="18">
        <f t="shared" ref="O73:S73" si="10">SUM(O15:O72)</f>
        <v>0</v>
      </c>
      <c r="P73" s="18">
        <f t="shared" si="10"/>
        <v>0</v>
      </c>
      <c r="Q73" s="18">
        <f t="shared" si="10"/>
        <v>0</v>
      </c>
      <c r="R73" s="18">
        <f t="shared" si="10"/>
        <v>0</v>
      </c>
      <c r="S73" s="18">
        <f t="shared" si="10"/>
        <v>0</v>
      </c>
      <c r="T73" s="305">
        <f>SUM(T15:T72)</f>
        <v>0</v>
      </c>
      <c r="Y73" s="83" t="s">
        <v>313</v>
      </c>
      <c r="Z73" s="325"/>
      <c r="AA73" s="322"/>
    </row>
    <row r="74" spans="1:27" ht="15" thickBot="1" x14ac:dyDescent="0.4">
      <c r="K74" s="37" t="s">
        <v>257</v>
      </c>
      <c r="L74" s="318" t="s">
        <v>257</v>
      </c>
      <c r="S74" s="37" t="s">
        <v>258</v>
      </c>
      <c r="T74" s="318" t="s">
        <v>258</v>
      </c>
    </row>
    <row r="75" spans="1:27" s="72" customFormat="1" ht="16" thickBot="1" x14ac:dyDescent="0.4">
      <c r="A75" s="24">
        <v>60</v>
      </c>
      <c r="B75" s="73" t="s">
        <v>817</v>
      </c>
      <c r="F75" s="75">
        <f>K73+S73</f>
        <v>0</v>
      </c>
      <c r="G75"/>
      <c r="H75" s="75">
        <f>L73+T73</f>
        <v>0</v>
      </c>
      <c r="I75" s="74"/>
      <c r="J75" s="319"/>
      <c r="K75" s="74"/>
      <c r="L75" s="319"/>
      <c r="N75" s="74"/>
      <c r="O75" s="326"/>
      <c r="P75" s="319"/>
      <c r="Q75" s="74"/>
      <c r="R75" s="319"/>
      <c r="T75" s="321"/>
      <c r="W75" s="324"/>
      <c r="X75" s="321"/>
      <c r="Z75" s="324"/>
      <c r="AA75" s="321"/>
    </row>
  </sheetData>
  <sheetProtection sheet="1" objects="1" scenarios="1"/>
  <customSheetViews>
    <customSheetView guid="{17302493-42B1-4877-869E-E424A97AE78B}" state="hidden" topLeftCell="S1">
      <selection activeCell="F17" sqref="F17"/>
      <pageMargins left="0.7" right="0.7" top="0.75" bottom="0.75" header="0.3" footer="0.3"/>
    </customSheetView>
    <customSheetView guid="{5C0BA3A5-859C-46C2-B685-44D9A90065E4}" topLeftCell="S1">
      <selection activeCell="H16" sqref="H16"/>
      <pageMargins left="0.7" right="0.7" top="0.75" bottom="0.75" header="0.3" footer="0.3"/>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AA75"/>
  <sheetViews>
    <sheetView topLeftCell="S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53"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53"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53" customWidth="1"/>
    <col min="24" max="24" width="13.26953125" style="48" customWidth="1"/>
    <col min="25" max="25" width="12" customWidth="1"/>
    <col min="26" max="26" width="16.1796875" style="253" customWidth="1"/>
    <col min="27" max="27" width="12" style="48" customWidth="1"/>
  </cols>
  <sheetData>
    <row r="1" spans="1:27" ht="26" x14ac:dyDescent="0.6">
      <c r="A1" s="3" t="s">
        <v>777</v>
      </c>
    </row>
    <row r="2" spans="1:27" ht="21" x14ac:dyDescent="0.5">
      <c r="A2" s="2" t="s">
        <v>775</v>
      </c>
    </row>
    <row r="3" spans="1:27" ht="25" customHeight="1" x14ac:dyDescent="0.5">
      <c r="A3" s="546" t="s">
        <v>845</v>
      </c>
      <c r="B3" s="546"/>
      <c r="C3" s="546"/>
      <c r="D3" s="546"/>
      <c r="E3" s="546"/>
      <c r="F3" s="546"/>
      <c r="G3" s="546"/>
      <c r="H3" s="546"/>
      <c r="I3" s="546"/>
      <c r="J3" s="546"/>
      <c r="K3" s="546"/>
      <c r="L3" s="315"/>
    </row>
    <row r="5" spans="1:27" x14ac:dyDescent="0.35">
      <c r="A5" s="1" t="s">
        <v>776</v>
      </c>
      <c r="C5" s="414" t="str">
        <f>Results!$C$6</f>
        <v>WellPower</v>
      </c>
    </row>
    <row r="6" spans="1:27" x14ac:dyDescent="0.35">
      <c r="A6" s="1" t="s">
        <v>0</v>
      </c>
      <c r="C6" s="35">
        <f>Results!$C$7</f>
        <v>45473</v>
      </c>
      <c r="F6" s="35"/>
      <c r="G6" s="313"/>
      <c r="H6" s="60"/>
    </row>
    <row r="8" spans="1:27" x14ac:dyDescent="0.35">
      <c r="A8" s="1" t="s">
        <v>253</v>
      </c>
      <c r="B8" s="1" t="s">
        <v>822</v>
      </c>
      <c r="C8" s="1"/>
      <c r="F8" s="116" t="str">
        <f>'As-Filed Schedule 2H'!F8</f>
        <v>Yes/No</v>
      </c>
      <c r="G8" s="41" t="s">
        <v>259</v>
      </c>
    </row>
    <row r="10" spans="1:27" x14ac:dyDescent="0.35">
      <c r="A10" s="1" t="s">
        <v>254</v>
      </c>
      <c r="B10" s="1" t="s">
        <v>256</v>
      </c>
      <c r="C10" s="1"/>
    </row>
    <row r="12" spans="1:27" x14ac:dyDescent="0.35">
      <c r="B12" s="560">
        <v>1</v>
      </c>
      <c r="C12" s="560"/>
      <c r="D12" s="560"/>
      <c r="F12" s="23">
        <v>2</v>
      </c>
      <c r="G12" s="248" t="s">
        <v>550</v>
      </c>
      <c r="H12" s="249" t="s">
        <v>551</v>
      </c>
      <c r="I12" s="23">
        <v>3</v>
      </c>
      <c r="J12" s="249" t="s">
        <v>555</v>
      </c>
      <c r="K12" s="23">
        <v>4</v>
      </c>
      <c r="L12" s="249" t="s">
        <v>559</v>
      </c>
      <c r="N12" s="23">
        <v>5</v>
      </c>
      <c r="O12" s="248" t="s">
        <v>560</v>
      </c>
      <c r="P12" s="249" t="s">
        <v>561</v>
      </c>
      <c r="Q12" s="23">
        <v>6</v>
      </c>
      <c r="R12" s="249" t="s">
        <v>565</v>
      </c>
      <c r="S12" s="23">
        <v>7</v>
      </c>
      <c r="T12" s="249" t="s">
        <v>569</v>
      </c>
      <c r="V12" s="23">
        <v>8</v>
      </c>
      <c r="W12" s="248" t="s">
        <v>610</v>
      </c>
      <c r="X12" s="249" t="s">
        <v>623</v>
      </c>
      <c r="Y12" s="23">
        <v>9</v>
      </c>
      <c r="Z12" s="248" t="s">
        <v>612</v>
      </c>
      <c r="AA12" s="249" t="s">
        <v>613</v>
      </c>
    </row>
    <row r="13" spans="1:27" ht="15" customHeight="1" x14ac:dyDescent="0.35">
      <c r="B13" s="561" t="s">
        <v>255</v>
      </c>
      <c r="C13" s="561"/>
      <c r="D13" s="561"/>
      <c r="F13" s="563" t="s">
        <v>261</v>
      </c>
      <c r="G13" s="568"/>
      <c r="H13" s="568"/>
      <c r="I13" s="568"/>
      <c r="J13" s="568"/>
      <c r="K13" s="568"/>
      <c r="L13" s="564"/>
      <c r="N13" s="563" t="s">
        <v>262</v>
      </c>
      <c r="O13" s="568"/>
      <c r="P13" s="568"/>
      <c r="Q13" s="568"/>
      <c r="R13" s="568"/>
      <c r="S13" s="568"/>
      <c r="T13" s="564"/>
      <c r="V13" s="562" t="s">
        <v>250</v>
      </c>
      <c r="W13" s="621" t="s">
        <v>614</v>
      </c>
      <c r="X13" s="622" t="s">
        <v>615</v>
      </c>
      <c r="Y13" s="562" t="s">
        <v>312</v>
      </c>
      <c r="Z13" s="621" t="s">
        <v>624</v>
      </c>
      <c r="AA13" s="622" t="s">
        <v>625</v>
      </c>
    </row>
    <row r="14" spans="1:27" ht="55.5" customHeight="1" x14ac:dyDescent="0.35">
      <c r="B14" s="561"/>
      <c r="C14" s="561"/>
      <c r="D14" s="561"/>
      <c r="E14" s="48"/>
      <c r="F14" s="10" t="s">
        <v>214</v>
      </c>
      <c r="G14" s="250" t="s">
        <v>603</v>
      </c>
      <c r="H14" s="251" t="s">
        <v>604</v>
      </c>
      <c r="I14" s="142" t="s">
        <v>493</v>
      </c>
      <c r="J14" s="251" t="s">
        <v>607</v>
      </c>
      <c r="K14" s="142" t="s">
        <v>215</v>
      </c>
      <c r="L14" s="251" t="s">
        <v>609</v>
      </c>
      <c r="M14" s="48"/>
      <c r="N14" s="142" t="s">
        <v>214</v>
      </c>
      <c r="O14" s="250" t="s">
        <v>603</v>
      </c>
      <c r="P14" s="251" t="s">
        <v>604</v>
      </c>
      <c r="Q14" s="142" t="s">
        <v>493</v>
      </c>
      <c r="R14" s="251" t="s">
        <v>607</v>
      </c>
      <c r="S14" s="10" t="s">
        <v>215</v>
      </c>
      <c r="T14" s="251" t="s">
        <v>609</v>
      </c>
      <c r="U14" s="48"/>
      <c r="V14" s="562"/>
      <c r="W14" s="621"/>
      <c r="X14" s="622"/>
      <c r="Y14" s="562"/>
      <c r="Z14" s="621"/>
      <c r="AA14" s="622"/>
    </row>
    <row r="15" spans="1:27" x14ac:dyDescent="0.35">
      <c r="A15" s="24">
        <v>1</v>
      </c>
      <c r="B15" s="565" t="str">
        <f>IF('As-Filed Schedule 2H'!B15:D15=0,"",'As-Filed Schedule 2H'!B15:D15)</f>
        <v/>
      </c>
      <c r="C15" s="565"/>
      <c r="D15" s="565"/>
      <c r="F15" s="114">
        <f>'As-Filed Schedule 2H'!F15</f>
        <v>0</v>
      </c>
      <c r="G15" s="307">
        <f>SUMIFS(Adjustments!$G:$G,Adjustments!$H:$H,"2H",Adjustments!$I:$I,'Schedule 2H Adjustments'!$F$12,Adjustments!$J:$J,'Schedule 2H Adjustments'!$A15)</f>
        <v>0</v>
      </c>
      <c r="H15" s="303">
        <f>SUM(F15:G15)</f>
        <v>0</v>
      </c>
      <c r="I15" s="68">
        <f>IFERROR(F15*'As-Filed Schedule 1'!$E$103,0)</f>
        <v>0</v>
      </c>
      <c r="J15" s="304">
        <f>IFERROR(H15*'Adjusted Schedule 1'!$E$104,0)</f>
        <v>0</v>
      </c>
      <c r="K15" s="68">
        <f>SUM(F15,I15)</f>
        <v>0</v>
      </c>
      <c r="L15" s="304">
        <f>SUM(H15,J15)</f>
        <v>0</v>
      </c>
      <c r="N15" s="114">
        <f>'As-Filed Schedule 2H'!J15</f>
        <v>0</v>
      </c>
      <c r="O15" s="307">
        <f>SUMIFS(Adjustments!$G:$G,Adjustments!$H:$H,"2H",Adjustments!$I:$I,'Schedule 2H Adjustments'!$N$12,Adjustments!$J:$J,'Schedule 2H Adjustments'!$A15)</f>
        <v>0</v>
      </c>
      <c r="P15" s="303">
        <f>SUM(N15:O15)</f>
        <v>0</v>
      </c>
      <c r="Q15" s="68">
        <f>IFERROR(N15*'As-Filed Schedule 1'!$E$103,0)</f>
        <v>0</v>
      </c>
      <c r="R15" s="68">
        <f>IFERROR(P15*'Adjusted Schedule 1'!$E$104,0)</f>
        <v>0</v>
      </c>
      <c r="S15" s="68">
        <f>SUM(N15,Q15)</f>
        <v>0</v>
      </c>
      <c r="T15" s="304">
        <f>SUM(P15,R15)</f>
        <v>0</v>
      </c>
      <c r="V15" s="117">
        <f>'As-Filed Schedule 2H'!N15</f>
        <v>0</v>
      </c>
      <c r="W15" s="307">
        <f>SUMIFS(Adjustments!$G:$G,Adjustments!$H:$H,"2H",Adjustments!$I:$I,'Schedule 2H Adjustments'!$V$12,Adjustments!$J:$J,'Schedule 2H Adjustments'!$A15)</f>
        <v>0</v>
      </c>
      <c r="X15" s="303">
        <f>SUM(V15:W15)</f>
        <v>0</v>
      </c>
      <c r="Y15" s="117">
        <f>'As-Filed Schedule 2H'!O15</f>
        <v>0</v>
      </c>
      <c r="Z15" s="307">
        <f>SUMIFS(Adjustments!$G:$G,Adjustments!$H:$H,"2H",Adjustments!$I:$I,'Schedule 2H Adjustments'!$Y$12,Adjustments!$J:$J,'Schedule 2H Adjustments'!$A15)</f>
        <v>0</v>
      </c>
      <c r="AA15" s="303">
        <f>SUM(Y15:Z15)</f>
        <v>0</v>
      </c>
    </row>
    <row r="16" spans="1:27" x14ac:dyDescent="0.35">
      <c r="A16" s="24">
        <v>2</v>
      </c>
      <c r="B16" s="565" t="str">
        <f>IF('As-Filed Schedule 2H'!B16:D16=0,"",'As-Filed Schedule 2H'!B16:D16)</f>
        <v/>
      </c>
      <c r="C16" s="565"/>
      <c r="D16" s="565"/>
      <c r="F16" s="114">
        <f>'As-Filed Schedule 2H'!F16</f>
        <v>0</v>
      </c>
      <c r="G16" s="307">
        <f>SUMIFS(Adjustments!$G:$G,Adjustments!$H:$H,"2H",Adjustments!$I:$I,'Schedule 2H Adjustments'!$F$12,Adjustments!$J:$J,'Schedule 2H Adjustments'!$A16)</f>
        <v>0</v>
      </c>
      <c r="H16" s="303">
        <f t="shared" ref="H16:H72" si="0">SUM(F16:G16)</f>
        <v>0</v>
      </c>
      <c r="I16" s="68">
        <f>IFERROR(F16*'As-Filed Schedule 1'!$E$103,0)</f>
        <v>0</v>
      </c>
      <c r="J16" s="304">
        <f>IFERROR(H16*'Adjusted Schedule 1'!$E$104,0)</f>
        <v>0</v>
      </c>
      <c r="K16" s="68">
        <f t="shared" ref="K16:K72" si="1">SUM(F16,I16)</f>
        <v>0</v>
      </c>
      <c r="L16" s="304">
        <f t="shared" ref="L16:L72" si="2">SUM(H16,J16)</f>
        <v>0</v>
      </c>
      <c r="N16" s="114">
        <f>'As-Filed Schedule 2H'!J16</f>
        <v>0</v>
      </c>
      <c r="O16" s="307">
        <f>SUMIFS(Adjustments!$G:$G,Adjustments!$H:$H,"2H",Adjustments!$I:$I,'Schedule 2H Adjustments'!$N$12,Adjustments!$J:$J,'Schedule 2H Adjustments'!$A16)</f>
        <v>0</v>
      </c>
      <c r="P16" s="303">
        <f t="shared" ref="P16:P72" si="3">SUM(N16:O16)</f>
        <v>0</v>
      </c>
      <c r="Q16" s="68">
        <f>IFERROR(N16*'As-Filed Schedule 1'!$E$103,0)</f>
        <v>0</v>
      </c>
      <c r="R16" s="68">
        <f>IFERROR(P16*'Adjusted Schedule 1'!$E$104,0)</f>
        <v>0</v>
      </c>
      <c r="S16" s="68">
        <f t="shared" ref="S16:S72" si="4">SUM(N16,Q16)</f>
        <v>0</v>
      </c>
      <c r="T16" s="304">
        <f t="shared" ref="T16:T72" si="5">SUM(P16,R16)</f>
        <v>0</v>
      </c>
      <c r="V16" s="117">
        <f>'As-Filed Schedule 2H'!N16</f>
        <v>0</v>
      </c>
      <c r="W16" s="307">
        <f>SUMIFS(Adjustments!$G:$G,Adjustments!$H:$H,"2H",Adjustments!$I:$I,'Schedule 2H Adjustments'!$V$12,Adjustments!$J:$J,'Schedule 2H Adjustments'!$A16)</f>
        <v>0</v>
      </c>
      <c r="X16" s="303">
        <f t="shared" ref="X16:X72" si="6">SUM(V16:W16)</f>
        <v>0</v>
      </c>
      <c r="Y16" s="117">
        <f>'As-Filed Schedule 2H'!O16</f>
        <v>0</v>
      </c>
      <c r="Z16" s="307">
        <f>SUMIFS(Adjustments!$G:$G,Adjustments!$H:$H,"2H",Adjustments!$I:$I,'Schedule 2H Adjustments'!$Y$12,Adjustments!$J:$J,'Schedule 2H Adjustments'!$A16)</f>
        <v>0</v>
      </c>
      <c r="AA16" s="303">
        <f t="shared" ref="AA16:AA72" si="7">SUM(Y16:Z16)</f>
        <v>0</v>
      </c>
    </row>
    <row r="17" spans="1:27" x14ac:dyDescent="0.35">
      <c r="A17" s="24">
        <v>3</v>
      </c>
      <c r="B17" s="565" t="str">
        <f>IF('As-Filed Schedule 2H'!B17:D17=0,"",'As-Filed Schedule 2H'!B17:D17)</f>
        <v/>
      </c>
      <c r="C17" s="565"/>
      <c r="D17" s="565"/>
      <c r="F17" s="114">
        <f>'As-Filed Schedule 2H'!F17</f>
        <v>0</v>
      </c>
      <c r="G17" s="307">
        <f>SUMIFS(Adjustments!$G:$G,Adjustments!$H:$H,"2H",Adjustments!$I:$I,'Schedule 2H Adjustments'!$F$12,Adjustments!$J:$J,'Schedule 2H Adjustments'!$A17)</f>
        <v>0</v>
      </c>
      <c r="H17" s="303">
        <f t="shared" si="0"/>
        <v>0</v>
      </c>
      <c r="I17" s="68">
        <f>IFERROR(F17*'As-Filed Schedule 1'!$E$103,0)</f>
        <v>0</v>
      </c>
      <c r="J17" s="304">
        <f>IFERROR(H17*'Adjusted Schedule 1'!$E$104,0)</f>
        <v>0</v>
      </c>
      <c r="K17" s="68">
        <f t="shared" si="1"/>
        <v>0</v>
      </c>
      <c r="L17" s="304">
        <f t="shared" si="2"/>
        <v>0</v>
      </c>
      <c r="N17" s="114">
        <f>'As-Filed Schedule 2H'!J17</f>
        <v>0</v>
      </c>
      <c r="O17" s="307">
        <f>SUMIFS(Adjustments!$G:$G,Adjustments!$H:$H,"2H",Adjustments!$I:$I,'Schedule 2H Adjustments'!$N$12,Adjustments!$J:$J,'Schedule 2H Adjustments'!$A17)</f>
        <v>0</v>
      </c>
      <c r="P17" s="303">
        <f t="shared" si="3"/>
        <v>0</v>
      </c>
      <c r="Q17" s="68">
        <f>IFERROR(N17*'As-Filed Schedule 1'!$E$103,0)</f>
        <v>0</v>
      </c>
      <c r="R17" s="68">
        <f>IFERROR(P17*'Adjusted Schedule 1'!$E$104,0)</f>
        <v>0</v>
      </c>
      <c r="S17" s="68">
        <f t="shared" si="4"/>
        <v>0</v>
      </c>
      <c r="T17" s="304">
        <f t="shared" si="5"/>
        <v>0</v>
      </c>
      <c r="V17" s="117">
        <f>'As-Filed Schedule 2H'!N17</f>
        <v>0</v>
      </c>
      <c r="W17" s="307">
        <f>SUMIFS(Adjustments!$G:$G,Adjustments!$H:$H,"2H",Adjustments!$I:$I,'Schedule 2H Adjustments'!$V$12,Adjustments!$J:$J,'Schedule 2H Adjustments'!$A17)</f>
        <v>0</v>
      </c>
      <c r="X17" s="303">
        <f t="shared" si="6"/>
        <v>0</v>
      </c>
      <c r="Y17" s="117">
        <f>'As-Filed Schedule 2H'!O17</f>
        <v>0</v>
      </c>
      <c r="Z17" s="307">
        <f>SUMIFS(Adjustments!$G:$G,Adjustments!$H:$H,"2H",Adjustments!$I:$I,'Schedule 2H Adjustments'!$Y$12,Adjustments!$J:$J,'Schedule 2H Adjustments'!$A17)</f>
        <v>0</v>
      </c>
      <c r="AA17" s="303">
        <f t="shared" si="7"/>
        <v>0</v>
      </c>
    </row>
    <row r="18" spans="1:27" x14ac:dyDescent="0.35">
      <c r="A18" s="24">
        <v>4</v>
      </c>
      <c r="B18" s="565" t="str">
        <f>IF('As-Filed Schedule 2H'!B18:D18=0,"",'As-Filed Schedule 2H'!B18:D18)</f>
        <v/>
      </c>
      <c r="C18" s="565"/>
      <c r="D18" s="565"/>
      <c r="F18" s="114">
        <f>'As-Filed Schedule 2H'!F18</f>
        <v>0</v>
      </c>
      <c r="G18" s="307">
        <f>SUMIFS(Adjustments!$G:$G,Adjustments!$H:$H,"2H",Adjustments!$I:$I,'Schedule 2H Adjustments'!$F$12,Adjustments!$J:$J,'Schedule 2H Adjustments'!$A18)</f>
        <v>0</v>
      </c>
      <c r="H18" s="303">
        <f t="shared" si="0"/>
        <v>0</v>
      </c>
      <c r="I18" s="68">
        <f>IFERROR(F18*'As-Filed Schedule 1'!$E$103,0)</f>
        <v>0</v>
      </c>
      <c r="J18" s="304">
        <f>IFERROR(H18*'Adjusted Schedule 1'!$E$104,0)</f>
        <v>0</v>
      </c>
      <c r="K18" s="68">
        <f>SUM(F18,I18)</f>
        <v>0</v>
      </c>
      <c r="L18" s="304">
        <f>SUM(H18,J18)</f>
        <v>0</v>
      </c>
      <c r="N18" s="114">
        <f>'As-Filed Schedule 2H'!J18</f>
        <v>0</v>
      </c>
      <c r="O18" s="307">
        <f>SUMIFS(Adjustments!$G:$G,Adjustments!$H:$H,"2H",Adjustments!$I:$I,'Schedule 2H Adjustments'!$N$12,Adjustments!$J:$J,'Schedule 2H Adjustments'!$A18)</f>
        <v>0</v>
      </c>
      <c r="P18" s="303">
        <f t="shared" si="3"/>
        <v>0</v>
      </c>
      <c r="Q18" s="68">
        <f>IFERROR(N18*'As-Filed Schedule 1'!$E$103,0)</f>
        <v>0</v>
      </c>
      <c r="R18" s="68">
        <f>IFERROR(P18*'Adjusted Schedule 1'!$E$104,0)</f>
        <v>0</v>
      </c>
      <c r="S18" s="68">
        <f t="shared" si="4"/>
        <v>0</v>
      </c>
      <c r="T18" s="304">
        <f t="shared" si="5"/>
        <v>0</v>
      </c>
      <c r="V18" s="117">
        <f>'As-Filed Schedule 2H'!N18</f>
        <v>0</v>
      </c>
      <c r="W18" s="307">
        <f>SUMIFS(Adjustments!$G:$G,Adjustments!$H:$H,"2H",Adjustments!$I:$I,'Schedule 2H Adjustments'!$V$12,Adjustments!$J:$J,'Schedule 2H Adjustments'!$A18)</f>
        <v>0</v>
      </c>
      <c r="X18" s="303">
        <f t="shared" si="6"/>
        <v>0</v>
      </c>
      <c r="Y18" s="117">
        <f>'As-Filed Schedule 2H'!O18</f>
        <v>0</v>
      </c>
      <c r="Z18" s="307">
        <f>SUMIFS(Adjustments!$G:$G,Adjustments!$H:$H,"2H",Adjustments!$I:$I,'Schedule 2H Adjustments'!$Y$12,Adjustments!$J:$J,'Schedule 2H Adjustments'!$A18)</f>
        <v>0</v>
      </c>
      <c r="AA18" s="303">
        <f t="shared" si="7"/>
        <v>0</v>
      </c>
    </row>
    <row r="19" spans="1:27" x14ac:dyDescent="0.35">
      <c r="A19" s="24">
        <v>5</v>
      </c>
      <c r="B19" s="565" t="str">
        <f>IF('As-Filed Schedule 2H'!B19:D19=0,"",'As-Filed Schedule 2H'!B19:D19)</f>
        <v/>
      </c>
      <c r="C19" s="565"/>
      <c r="D19" s="565"/>
      <c r="F19" s="114">
        <f>'As-Filed Schedule 2H'!F19</f>
        <v>0</v>
      </c>
      <c r="G19" s="307">
        <f>SUMIFS(Adjustments!$G:$G,Adjustments!$H:$H,"2H",Adjustments!$I:$I,'Schedule 2H Adjustments'!$F$12,Adjustments!$J:$J,'Schedule 2H Adjustments'!$A19)</f>
        <v>0</v>
      </c>
      <c r="H19" s="303">
        <f t="shared" si="0"/>
        <v>0</v>
      </c>
      <c r="I19" s="68">
        <f>IFERROR(F19*'As-Filed Schedule 1'!$E$103,0)</f>
        <v>0</v>
      </c>
      <c r="J19" s="304">
        <f>IFERROR(H19*'Adjusted Schedule 1'!$E$104,0)</f>
        <v>0</v>
      </c>
      <c r="K19" s="68">
        <f t="shared" si="1"/>
        <v>0</v>
      </c>
      <c r="L19" s="304">
        <f>SUM(H19,J19)</f>
        <v>0</v>
      </c>
      <c r="N19" s="114">
        <f>'As-Filed Schedule 2H'!J19</f>
        <v>0</v>
      </c>
      <c r="O19" s="307">
        <f>SUMIFS(Adjustments!$G:$G,Adjustments!$H:$H,"2H",Adjustments!$I:$I,'Schedule 2H Adjustments'!$N$12,Adjustments!$J:$J,'Schedule 2H Adjustments'!$A19)</f>
        <v>0</v>
      </c>
      <c r="P19" s="303">
        <f t="shared" si="3"/>
        <v>0</v>
      </c>
      <c r="Q19" s="68">
        <f>IFERROR(N19*'As-Filed Schedule 1'!$E$103,0)</f>
        <v>0</v>
      </c>
      <c r="R19" s="68">
        <f>IFERROR(P19*'Adjusted Schedule 1'!$E$104,0)</f>
        <v>0</v>
      </c>
      <c r="S19" s="68">
        <f t="shared" si="4"/>
        <v>0</v>
      </c>
      <c r="T19" s="304">
        <f t="shared" si="5"/>
        <v>0</v>
      </c>
      <c r="V19" s="117">
        <f>'As-Filed Schedule 2H'!N19</f>
        <v>0</v>
      </c>
      <c r="W19" s="307">
        <f>SUMIFS(Adjustments!$G:$G,Adjustments!$H:$H,"2H",Adjustments!$I:$I,'Schedule 2H Adjustments'!$V$12,Adjustments!$J:$J,'Schedule 2H Adjustments'!$A19)</f>
        <v>0</v>
      </c>
      <c r="X19" s="303">
        <f t="shared" si="6"/>
        <v>0</v>
      </c>
      <c r="Y19" s="117">
        <f>'As-Filed Schedule 2H'!O19</f>
        <v>0</v>
      </c>
      <c r="Z19" s="307">
        <f>SUMIFS(Adjustments!$G:$G,Adjustments!$H:$H,"2H",Adjustments!$I:$I,'Schedule 2H Adjustments'!$Y$12,Adjustments!$J:$J,'Schedule 2H Adjustments'!$A19)</f>
        <v>0</v>
      </c>
      <c r="AA19" s="303">
        <f t="shared" si="7"/>
        <v>0</v>
      </c>
    </row>
    <row r="20" spans="1:27" x14ac:dyDescent="0.35">
      <c r="A20" s="24">
        <v>6</v>
      </c>
      <c r="B20" s="565" t="str">
        <f>IF('As-Filed Schedule 2H'!B20:D20=0,"",'As-Filed Schedule 2H'!B20:D20)</f>
        <v/>
      </c>
      <c r="C20" s="565"/>
      <c r="D20" s="565"/>
      <c r="F20" s="114">
        <f>'As-Filed Schedule 2H'!F20</f>
        <v>0</v>
      </c>
      <c r="G20" s="307">
        <f>SUMIFS(Adjustments!$G:$G,Adjustments!$H:$H,"2H",Adjustments!$I:$I,'Schedule 2H Adjustments'!$F$12,Adjustments!$J:$J,'Schedule 2H Adjustments'!$A20)</f>
        <v>0</v>
      </c>
      <c r="H20" s="303">
        <f t="shared" si="0"/>
        <v>0</v>
      </c>
      <c r="I20" s="68">
        <f>IFERROR(F20*'As-Filed Schedule 1'!$E$103,0)</f>
        <v>0</v>
      </c>
      <c r="J20" s="304">
        <f>IFERROR(H20*'Adjusted Schedule 1'!$E$104,0)</f>
        <v>0</v>
      </c>
      <c r="K20" s="68">
        <f>SUM(F20,I20)</f>
        <v>0</v>
      </c>
      <c r="L20" s="304">
        <f t="shared" si="2"/>
        <v>0</v>
      </c>
      <c r="N20" s="114">
        <f>'As-Filed Schedule 2H'!J20</f>
        <v>0</v>
      </c>
      <c r="O20" s="307">
        <f>SUMIFS(Adjustments!$G:$G,Adjustments!$H:$H,"2H",Adjustments!$I:$I,'Schedule 2H Adjustments'!$N$12,Adjustments!$J:$J,'Schedule 2H Adjustments'!$A20)</f>
        <v>0</v>
      </c>
      <c r="P20" s="303">
        <f t="shared" si="3"/>
        <v>0</v>
      </c>
      <c r="Q20" s="68">
        <f>IFERROR(N20*'As-Filed Schedule 1'!$E$103,0)</f>
        <v>0</v>
      </c>
      <c r="R20" s="68">
        <f>IFERROR(P20*'Adjusted Schedule 1'!$E$104,0)</f>
        <v>0</v>
      </c>
      <c r="S20" s="68">
        <f t="shared" si="4"/>
        <v>0</v>
      </c>
      <c r="T20" s="304">
        <f t="shared" si="5"/>
        <v>0</v>
      </c>
      <c r="V20" s="117">
        <f>'As-Filed Schedule 2H'!N20</f>
        <v>0</v>
      </c>
      <c r="W20" s="307">
        <f>SUMIFS(Adjustments!$G:$G,Adjustments!$H:$H,"2H",Adjustments!$I:$I,'Schedule 2H Adjustments'!$V$12,Adjustments!$J:$J,'Schedule 2H Adjustments'!$A20)</f>
        <v>0</v>
      </c>
      <c r="X20" s="303">
        <f t="shared" si="6"/>
        <v>0</v>
      </c>
      <c r="Y20" s="117">
        <f>'As-Filed Schedule 2H'!O20</f>
        <v>0</v>
      </c>
      <c r="Z20" s="307">
        <f>SUMIFS(Adjustments!$G:$G,Adjustments!$H:$H,"2H",Adjustments!$I:$I,'Schedule 2H Adjustments'!$Y$12,Adjustments!$J:$J,'Schedule 2H Adjustments'!$A20)</f>
        <v>0</v>
      </c>
      <c r="AA20" s="303">
        <f t="shared" si="7"/>
        <v>0</v>
      </c>
    </row>
    <row r="21" spans="1:27" x14ac:dyDescent="0.35">
      <c r="A21" s="24">
        <v>7</v>
      </c>
      <c r="B21" s="565" t="str">
        <f>IF('As-Filed Schedule 2H'!B21:D21=0,"",'As-Filed Schedule 2H'!B21:D21)</f>
        <v/>
      </c>
      <c r="C21" s="565"/>
      <c r="D21" s="565"/>
      <c r="F21" s="114">
        <f>'As-Filed Schedule 2H'!F21</f>
        <v>0</v>
      </c>
      <c r="G21" s="307">
        <f>SUMIFS(Adjustments!$G:$G,Adjustments!$H:$H,"2H",Adjustments!$I:$I,'Schedule 2H Adjustments'!$F$12,Adjustments!$J:$J,'Schedule 2H Adjustments'!$A21)</f>
        <v>0</v>
      </c>
      <c r="H21" s="303">
        <f t="shared" si="0"/>
        <v>0</v>
      </c>
      <c r="I21" s="68">
        <f>IFERROR(F21*'As-Filed Schedule 1'!$E$103,0)</f>
        <v>0</v>
      </c>
      <c r="J21" s="304">
        <f>IFERROR(H21*'Adjusted Schedule 1'!$E$104,0)</f>
        <v>0</v>
      </c>
      <c r="K21" s="68">
        <f t="shared" si="1"/>
        <v>0</v>
      </c>
      <c r="L21" s="304">
        <f t="shared" si="2"/>
        <v>0</v>
      </c>
      <c r="N21" s="114">
        <f>'As-Filed Schedule 2H'!J21</f>
        <v>0</v>
      </c>
      <c r="O21" s="307">
        <f>SUMIFS(Adjustments!$G:$G,Adjustments!$H:$H,"2H",Adjustments!$I:$I,'Schedule 2H Adjustments'!$N$12,Adjustments!$J:$J,'Schedule 2H Adjustments'!$A21)</f>
        <v>0</v>
      </c>
      <c r="P21" s="303">
        <f t="shared" si="3"/>
        <v>0</v>
      </c>
      <c r="Q21" s="68">
        <f>IFERROR(N21*'As-Filed Schedule 1'!$E$103,0)</f>
        <v>0</v>
      </c>
      <c r="R21" s="68">
        <f>IFERROR(P21*'Adjusted Schedule 1'!$E$104,0)</f>
        <v>0</v>
      </c>
      <c r="S21" s="68">
        <f>SUM(N21,Q21)</f>
        <v>0</v>
      </c>
      <c r="T21" s="304">
        <f>SUM(P21,R21)</f>
        <v>0</v>
      </c>
      <c r="V21" s="117">
        <f>'As-Filed Schedule 2H'!N21</f>
        <v>0</v>
      </c>
      <c r="W21" s="307">
        <f>SUMIFS(Adjustments!$G:$G,Adjustments!$H:$H,"2H",Adjustments!$I:$I,'Schedule 2H Adjustments'!$V$12,Adjustments!$J:$J,'Schedule 2H Adjustments'!$A21)</f>
        <v>0</v>
      </c>
      <c r="X21" s="303">
        <f t="shared" si="6"/>
        <v>0</v>
      </c>
      <c r="Y21" s="117">
        <f>'As-Filed Schedule 2H'!O21</f>
        <v>0</v>
      </c>
      <c r="Z21" s="307">
        <f>SUMIFS(Adjustments!$G:$G,Adjustments!$H:$H,"2H",Adjustments!$I:$I,'Schedule 2H Adjustments'!$Y$12,Adjustments!$J:$J,'Schedule 2H Adjustments'!$A21)</f>
        <v>0</v>
      </c>
      <c r="AA21" s="303">
        <f t="shared" si="7"/>
        <v>0</v>
      </c>
    </row>
    <row r="22" spans="1:27" x14ac:dyDescent="0.35">
      <c r="A22" s="24">
        <v>8</v>
      </c>
      <c r="B22" s="565" t="str">
        <f>IF('As-Filed Schedule 2H'!B22:D22=0,"",'As-Filed Schedule 2H'!B22:D22)</f>
        <v/>
      </c>
      <c r="C22" s="565"/>
      <c r="D22" s="565"/>
      <c r="F22" s="114">
        <f>'As-Filed Schedule 2H'!F22</f>
        <v>0</v>
      </c>
      <c r="G22" s="307">
        <f>SUMIFS(Adjustments!$G:$G,Adjustments!$H:$H,"2H",Adjustments!$I:$I,'Schedule 2H Adjustments'!$F$12,Adjustments!$J:$J,'Schedule 2H Adjustments'!$A22)</f>
        <v>0</v>
      </c>
      <c r="H22" s="303">
        <f t="shared" si="0"/>
        <v>0</v>
      </c>
      <c r="I22" s="68">
        <f>IFERROR(F22*'As-Filed Schedule 1'!$E$103,0)</f>
        <v>0</v>
      </c>
      <c r="J22" s="304">
        <f>IFERROR(H22*'Adjusted Schedule 1'!$E$104,0)</f>
        <v>0</v>
      </c>
      <c r="K22" s="68">
        <f t="shared" si="1"/>
        <v>0</v>
      </c>
      <c r="L22" s="304">
        <f t="shared" si="2"/>
        <v>0</v>
      </c>
      <c r="N22" s="114">
        <f>'As-Filed Schedule 2H'!J22</f>
        <v>0</v>
      </c>
      <c r="O22" s="307">
        <f>SUMIFS(Adjustments!$G:$G,Adjustments!$H:$H,"2H",Adjustments!$I:$I,'Schedule 2H Adjustments'!$N$12,Adjustments!$J:$J,'Schedule 2H Adjustments'!$A22)</f>
        <v>0</v>
      </c>
      <c r="P22" s="303">
        <f t="shared" si="3"/>
        <v>0</v>
      </c>
      <c r="Q22" s="68">
        <f>IFERROR(N22*'As-Filed Schedule 1'!$E$103,0)</f>
        <v>0</v>
      </c>
      <c r="R22" s="68">
        <f>IFERROR(P22*'Adjusted Schedule 1'!$E$104,0)</f>
        <v>0</v>
      </c>
      <c r="S22" s="68">
        <f t="shared" si="4"/>
        <v>0</v>
      </c>
      <c r="T22" s="304">
        <f t="shared" si="5"/>
        <v>0</v>
      </c>
      <c r="V22" s="117">
        <f>'As-Filed Schedule 2H'!N22</f>
        <v>0</v>
      </c>
      <c r="W22" s="307">
        <f>SUMIFS(Adjustments!$G:$G,Adjustments!$H:$H,"2H",Adjustments!$I:$I,'Schedule 2H Adjustments'!$V$12,Adjustments!$J:$J,'Schedule 2H Adjustments'!$A22)</f>
        <v>0</v>
      </c>
      <c r="X22" s="303">
        <f t="shared" si="6"/>
        <v>0</v>
      </c>
      <c r="Y22" s="117">
        <f>'As-Filed Schedule 2H'!O22</f>
        <v>0</v>
      </c>
      <c r="Z22" s="307">
        <f>SUMIFS(Adjustments!$G:$G,Adjustments!$H:$H,"2H",Adjustments!$I:$I,'Schedule 2H Adjustments'!$Y$12,Adjustments!$J:$J,'Schedule 2H Adjustments'!$A22)</f>
        <v>0</v>
      </c>
      <c r="AA22" s="303">
        <f t="shared" si="7"/>
        <v>0</v>
      </c>
    </row>
    <row r="23" spans="1:27" x14ac:dyDescent="0.35">
      <c r="A23" s="24">
        <v>9</v>
      </c>
      <c r="B23" s="565" t="str">
        <f>IF('As-Filed Schedule 2H'!B23:D23=0,"",'As-Filed Schedule 2H'!B23:D23)</f>
        <v/>
      </c>
      <c r="C23" s="565"/>
      <c r="D23" s="565"/>
      <c r="F23" s="114">
        <f>'As-Filed Schedule 2H'!F23</f>
        <v>0</v>
      </c>
      <c r="G23" s="307">
        <f>SUMIFS(Adjustments!$G:$G,Adjustments!$H:$H,"2H",Adjustments!$I:$I,'Schedule 2H Adjustments'!$F$12,Adjustments!$J:$J,'Schedule 2H Adjustments'!$A23)</f>
        <v>0</v>
      </c>
      <c r="H23" s="303">
        <f t="shared" si="0"/>
        <v>0</v>
      </c>
      <c r="I23" s="68">
        <f>IFERROR(F23*'As-Filed Schedule 1'!$E$103,0)</f>
        <v>0</v>
      </c>
      <c r="J23" s="304">
        <f>IFERROR(H23*'Adjusted Schedule 1'!$E$104,0)</f>
        <v>0</v>
      </c>
      <c r="K23" s="68">
        <f t="shared" si="1"/>
        <v>0</v>
      </c>
      <c r="L23" s="304">
        <f t="shared" si="2"/>
        <v>0</v>
      </c>
      <c r="N23" s="114">
        <f>'As-Filed Schedule 2H'!J23</f>
        <v>0</v>
      </c>
      <c r="O23" s="307">
        <f>SUMIFS(Adjustments!$G:$G,Adjustments!$H:$H,"2H",Adjustments!$I:$I,'Schedule 2H Adjustments'!$N$12,Adjustments!$J:$J,'Schedule 2H Adjustments'!$A23)</f>
        <v>0</v>
      </c>
      <c r="P23" s="303">
        <f t="shared" si="3"/>
        <v>0</v>
      </c>
      <c r="Q23" s="68">
        <f>IFERROR(N23*'As-Filed Schedule 1'!$E$103,0)</f>
        <v>0</v>
      </c>
      <c r="R23" s="68">
        <f>IFERROR(P23*'Adjusted Schedule 1'!$E$104,0)</f>
        <v>0</v>
      </c>
      <c r="S23" s="68">
        <f t="shared" si="4"/>
        <v>0</v>
      </c>
      <c r="T23" s="304">
        <f t="shared" si="5"/>
        <v>0</v>
      </c>
      <c r="V23" s="117">
        <f>'As-Filed Schedule 2H'!N23</f>
        <v>0</v>
      </c>
      <c r="W23" s="307">
        <f>SUMIFS(Adjustments!$G:$G,Adjustments!$H:$H,"2H",Adjustments!$I:$I,'Schedule 2H Adjustments'!$V$12,Adjustments!$J:$J,'Schedule 2H Adjustments'!$A23)</f>
        <v>0</v>
      </c>
      <c r="X23" s="303">
        <f t="shared" si="6"/>
        <v>0</v>
      </c>
      <c r="Y23" s="117">
        <f>'As-Filed Schedule 2H'!O23</f>
        <v>0</v>
      </c>
      <c r="Z23" s="307">
        <f>SUMIFS(Adjustments!$G:$G,Adjustments!$H:$H,"2H",Adjustments!$I:$I,'Schedule 2H Adjustments'!$Y$12,Adjustments!$J:$J,'Schedule 2H Adjustments'!$A23)</f>
        <v>0</v>
      </c>
      <c r="AA23" s="303">
        <f t="shared" si="7"/>
        <v>0</v>
      </c>
    </row>
    <row r="24" spans="1:27" x14ac:dyDescent="0.35">
      <c r="A24" s="24">
        <v>10</v>
      </c>
      <c r="B24" s="565" t="str">
        <f>IF('As-Filed Schedule 2H'!B24:D24=0,"",'As-Filed Schedule 2H'!B24:D24)</f>
        <v/>
      </c>
      <c r="C24" s="565"/>
      <c r="D24" s="565"/>
      <c r="F24" s="114">
        <f>'As-Filed Schedule 2H'!F24</f>
        <v>0</v>
      </c>
      <c r="G24" s="307">
        <f>SUMIFS(Adjustments!$G:$G,Adjustments!$H:$H,"2H",Adjustments!$I:$I,'Schedule 2H Adjustments'!$F$12,Adjustments!$J:$J,'Schedule 2H Adjustments'!$A24)</f>
        <v>0</v>
      </c>
      <c r="H24" s="303">
        <f t="shared" si="0"/>
        <v>0</v>
      </c>
      <c r="I24" s="68">
        <f>IFERROR(F24*'As-Filed Schedule 1'!$E$103,0)</f>
        <v>0</v>
      </c>
      <c r="J24" s="304">
        <f>IFERROR(H24*'Adjusted Schedule 1'!$E$104,0)</f>
        <v>0</v>
      </c>
      <c r="K24" s="68">
        <f t="shared" si="1"/>
        <v>0</v>
      </c>
      <c r="L24" s="304">
        <f t="shared" si="2"/>
        <v>0</v>
      </c>
      <c r="N24" s="114">
        <f>'As-Filed Schedule 2H'!J24</f>
        <v>0</v>
      </c>
      <c r="O24" s="307">
        <f>SUMIFS(Adjustments!$G:$G,Adjustments!$H:$H,"2H",Adjustments!$I:$I,'Schedule 2H Adjustments'!$N$12,Adjustments!$J:$J,'Schedule 2H Adjustments'!$A24)</f>
        <v>0</v>
      </c>
      <c r="P24" s="303">
        <f t="shared" si="3"/>
        <v>0</v>
      </c>
      <c r="Q24" s="68">
        <f>IFERROR(N24*'As-Filed Schedule 1'!$E$103,0)</f>
        <v>0</v>
      </c>
      <c r="R24" s="68">
        <f>IFERROR(P24*'Adjusted Schedule 1'!$E$104,0)</f>
        <v>0</v>
      </c>
      <c r="S24" s="68">
        <f t="shared" si="4"/>
        <v>0</v>
      </c>
      <c r="T24" s="304">
        <f t="shared" si="5"/>
        <v>0</v>
      </c>
      <c r="V24" s="117">
        <f>'As-Filed Schedule 2H'!N24</f>
        <v>0</v>
      </c>
      <c r="W24" s="307">
        <f>SUMIFS(Adjustments!$G:$G,Adjustments!$H:$H,"2H",Adjustments!$I:$I,'Schedule 2H Adjustments'!$V$12,Adjustments!$J:$J,'Schedule 2H Adjustments'!$A24)</f>
        <v>0</v>
      </c>
      <c r="X24" s="303">
        <f t="shared" si="6"/>
        <v>0</v>
      </c>
      <c r="Y24" s="117">
        <f>'As-Filed Schedule 2H'!O24</f>
        <v>0</v>
      </c>
      <c r="Z24" s="307">
        <f>SUMIFS(Adjustments!$G:$G,Adjustments!$H:$H,"2H",Adjustments!$I:$I,'Schedule 2H Adjustments'!$Y$12,Adjustments!$J:$J,'Schedule 2H Adjustments'!$A24)</f>
        <v>0</v>
      </c>
      <c r="AA24" s="303">
        <f t="shared" si="7"/>
        <v>0</v>
      </c>
    </row>
    <row r="25" spans="1:27" x14ac:dyDescent="0.35">
      <c r="A25" s="24">
        <v>11</v>
      </c>
      <c r="B25" s="565" t="str">
        <f>IF('As-Filed Schedule 2H'!B25:D25=0,"",'As-Filed Schedule 2H'!B25:D25)</f>
        <v/>
      </c>
      <c r="C25" s="565"/>
      <c r="D25" s="565"/>
      <c r="F25" s="114">
        <f>'As-Filed Schedule 2H'!F25</f>
        <v>0</v>
      </c>
      <c r="G25" s="307">
        <f>SUMIFS(Adjustments!$G:$G,Adjustments!$H:$H,"2H",Adjustments!$I:$I,'Schedule 2H Adjustments'!$F$12,Adjustments!$J:$J,'Schedule 2H Adjustments'!$A25)</f>
        <v>0</v>
      </c>
      <c r="H25" s="303">
        <f t="shared" si="0"/>
        <v>0</v>
      </c>
      <c r="I25" s="68">
        <f>IFERROR(F25*'As-Filed Schedule 1'!$E$103,0)</f>
        <v>0</v>
      </c>
      <c r="J25" s="304">
        <f>IFERROR(H25*'Adjusted Schedule 1'!$E$104,0)</f>
        <v>0</v>
      </c>
      <c r="K25" s="68">
        <f t="shared" si="1"/>
        <v>0</v>
      </c>
      <c r="L25" s="304">
        <f t="shared" si="2"/>
        <v>0</v>
      </c>
      <c r="N25" s="114">
        <f>'As-Filed Schedule 2H'!J25</f>
        <v>0</v>
      </c>
      <c r="O25" s="307">
        <f>SUMIFS(Adjustments!$G:$G,Adjustments!$H:$H,"2H",Adjustments!$I:$I,'Schedule 2H Adjustments'!$N$12,Adjustments!$J:$J,'Schedule 2H Adjustments'!$A25)</f>
        <v>0</v>
      </c>
      <c r="P25" s="303">
        <f t="shared" si="3"/>
        <v>0</v>
      </c>
      <c r="Q25" s="68">
        <f>IFERROR(N25*'As-Filed Schedule 1'!$E$103,0)</f>
        <v>0</v>
      </c>
      <c r="R25" s="68">
        <f>IFERROR(P25*'Adjusted Schedule 1'!$E$104,0)</f>
        <v>0</v>
      </c>
      <c r="S25" s="68">
        <f t="shared" si="4"/>
        <v>0</v>
      </c>
      <c r="T25" s="304">
        <f t="shared" si="5"/>
        <v>0</v>
      </c>
      <c r="V25" s="117">
        <f>'As-Filed Schedule 2H'!N25</f>
        <v>0</v>
      </c>
      <c r="W25" s="307">
        <f>SUMIFS(Adjustments!$G:$G,Adjustments!$H:$H,"2H",Adjustments!$I:$I,'Schedule 2H Adjustments'!$V$12,Adjustments!$J:$J,'Schedule 2H Adjustments'!$A25)</f>
        <v>0</v>
      </c>
      <c r="X25" s="303">
        <f t="shared" si="6"/>
        <v>0</v>
      </c>
      <c r="Y25" s="117">
        <f>'As-Filed Schedule 2H'!O25</f>
        <v>0</v>
      </c>
      <c r="Z25" s="307">
        <f>SUMIFS(Adjustments!$G:$G,Adjustments!$H:$H,"2H",Adjustments!$I:$I,'Schedule 2H Adjustments'!$Y$12,Adjustments!$J:$J,'Schedule 2H Adjustments'!$A25)</f>
        <v>0</v>
      </c>
      <c r="AA25" s="303">
        <f t="shared" si="7"/>
        <v>0</v>
      </c>
    </row>
    <row r="26" spans="1:27" x14ac:dyDescent="0.35">
      <c r="A26" s="24">
        <v>12</v>
      </c>
      <c r="B26" s="565" t="str">
        <f>IF('As-Filed Schedule 2H'!B26:D26=0,"",'As-Filed Schedule 2H'!B26:D26)</f>
        <v/>
      </c>
      <c r="C26" s="565"/>
      <c r="D26" s="565"/>
      <c r="F26" s="114">
        <f>'As-Filed Schedule 2H'!F26</f>
        <v>0</v>
      </c>
      <c r="G26" s="307">
        <f>SUMIFS(Adjustments!$G:$G,Adjustments!$H:$H,"2H",Adjustments!$I:$I,'Schedule 2H Adjustments'!$F$12,Adjustments!$J:$J,'Schedule 2H Adjustments'!$A26)</f>
        <v>0</v>
      </c>
      <c r="H26" s="303">
        <f t="shared" si="0"/>
        <v>0</v>
      </c>
      <c r="I26" s="68">
        <f>IFERROR(F26*'As-Filed Schedule 1'!$E$103,0)</f>
        <v>0</v>
      </c>
      <c r="J26" s="304">
        <f>IFERROR(H26*'Adjusted Schedule 1'!$E$104,0)</f>
        <v>0</v>
      </c>
      <c r="K26" s="68">
        <f t="shared" si="1"/>
        <v>0</v>
      </c>
      <c r="L26" s="304">
        <f t="shared" si="2"/>
        <v>0</v>
      </c>
      <c r="N26" s="114">
        <f>'As-Filed Schedule 2H'!J26</f>
        <v>0</v>
      </c>
      <c r="O26" s="307">
        <f>SUMIFS(Adjustments!$G:$G,Adjustments!$H:$H,"2H",Adjustments!$I:$I,'Schedule 2H Adjustments'!$N$12,Adjustments!$J:$J,'Schedule 2H Adjustments'!$A26)</f>
        <v>0</v>
      </c>
      <c r="P26" s="303">
        <f t="shared" si="3"/>
        <v>0</v>
      </c>
      <c r="Q26" s="68">
        <f>IFERROR(N26*'As-Filed Schedule 1'!$E$103,0)</f>
        <v>0</v>
      </c>
      <c r="R26" s="68">
        <f>IFERROR(P26*'Adjusted Schedule 1'!$E$104,0)</f>
        <v>0</v>
      </c>
      <c r="S26" s="68">
        <f t="shared" si="4"/>
        <v>0</v>
      </c>
      <c r="T26" s="304">
        <f t="shared" si="5"/>
        <v>0</v>
      </c>
      <c r="V26" s="117">
        <f>'As-Filed Schedule 2H'!N26</f>
        <v>0</v>
      </c>
      <c r="W26" s="307">
        <f>SUMIFS(Adjustments!$G:$G,Adjustments!$H:$H,"2H",Adjustments!$I:$I,'Schedule 2H Adjustments'!$V$12,Adjustments!$J:$J,'Schedule 2H Adjustments'!$A26)</f>
        <v>0</v>
      </c>
      <c r="X26" s="303">
        <f t="shared" si="6"/>
        <v>0</v>
      </c>
      <c r="Y26" s="117">
        <f>'As-Filed Schedule 2H'!O26</f>
        <v>0</v>
      </c>
      <c r="Z26" s="307">
        <f>SUMIFS(Adjustments!$G:$G,Adjustments!$H:$H,"2H",Adjustments!$I:$I,'Schedule 2H Adjustments'!$Y$12,Adjustments!$J:$J,'Schedule 2H Adjustments'!$A26)</f>
        <v>0</v>
      </c>
      <c r="AA26" s="303">
        <f t="shared" si="7"/>
        <v>0</v>
      </c>
    </row>
    <row r="27" spans="1:27" x14ac:dyDescent="0.35">
      <c r="A27" s="24">
        <v>13</v>
      </c>
      <c r="B27" s="565" t="str">
        <f>IF('As-Filed Schedule 2H'!B27:D27=0,"",'As-Filed Schedule 2H'!B27:D27)</f>
        <v/>
      </c>
      <c r="C27" s="565"/>
      <c r="D27" s="565"/>
      <c r="F27" s="114">
        <f>'As-Filed Schedule 2H'!F27</f>
        <v>0</v>
      </c>
      <c r="G27" s="307">
        <f>SUMIFS(Adjustments!$G:$G,Adjustments!$H:$H,"2H",Adjustments!$I:$I,'Schedule 2H Adjustments'!$F$12,Adjustments!$J:$J,'Schedule 2H Adjustments'!$A27)</f>
        <v>0</v>
      </c>
      <c r="H27" s="303">
        <f t="shared" si="0"/>
        <v>0</v>
      </c>
      <c r="I27" s="68">
        <f>IFERROR(F27*'As-Filed Schedule 1'!$E$103,0)</f>
        <v>0</v>
      </c>
      <c r="J27" s="304">
        <f>IFERROR(H27*'Adjusted Schedule 1'!$E$104,0)</f>
        <v>0</v>
      </c>
      <c r="K27" s="68">
        <f t="shared" si="1"/>
        <v>0</v>
      </c>
      <c r="L27" s="304">
        <f t="shared" si="2"/>
        <v>0</v>
      </c>
      <c r="N27" s="114">
        <f>'As-Filed Schedule 2H'!J27</f>
        <v>0</v>
      </c>
      <c r="O27" s="307">
        <f>SUMIFS(Adjustments!$G:$G,Adjustments!$H:$H,"2H",Adjustments!$I:$I,'Schedule 2H Adjustments'!$N$12,Adjustments!$J:$J,'Schedule 2H Adjustments'!$A27)</f>
        <v>0</v>
      </c>
      <c r="P27" s="303">
        <f t="shared" si="3"/>
        <v>0</v>
      </c>
      <c r="Q27" s="68">
        <f>IFERROR(N27*'As-Filed Schedule 1'!$E$103,0)</f>
        <v>0</v>
      </c>
      <c r="R27" s="68">
        <f>IFERROR(P27*'Adjusted Schedule 1'!$E$104,0)</f>
        <v>0</v>
      </c>
      <c r="S27" s="68">
        <f t="shared" si="4"/>
        <v>0</v>
      </c>
      <c r="T27" s="304">
        <f t="shared" si="5"/>
        <v>0</v>
      </c>
      <c r="V27" s="117">
        <f>'As-Filed Schedule 2H'!N27</f>
        <v>0</v>
      </c>
      <c r="W27" s="307">
        <f>SUMIFS(Adjustments!$G:$G,Adjustments!$H:$H,"2H",Adjustments!$I:$I,'Schedule 2H Adjustments'!$V$12,Adjustments!$J:$J,'Schedule 2H Adjustments'!$A27)</f>
        <v>0</v>
      </c>
      <c r="X27" s="303">
        <f t="shared" si="6"/>
        <v>0</v>
      </c>
      <c r="Y27" s="117">
        <f>'As-Filed Schedule 2H'!O27</f>
        <v>0</v>
      </c>
      <c r="Z27" s="307">
        <f>SUMIFS(Adjustments!$G:$G,Adjustments!$H:$H,"2H",Adjustments!$I:$I,'Schedule 2H Adjustments'!$Y$12,Adjustments!$J:$J,'Schedule 2H Adjustments'!$A27)</f>
        <v>0</v>
      </c>
      <c r="AA27" s="303">
        <f t="shared" si="7"/>
        <v>0</v>
      </c>
    </row>
    <row r="28" spans="1:27" x14ac:dyDescent="0.35">
      <c r="A28" s="24">
        <v>14</v>
      </c>
      <c r="B28" s="565" t="str">
        <f>IF('As-Filed Schedule 2H'!B28:D28=0,"",'As-Filed Schedule 2H'!B28:D28)</f>
        <v/>
      </c>
      <c r="C28" s="565"/>
      <c r="D28" s="565"/>
      <c r="F28" s="114">
        <f>'As-Filed Schedule 2H'!F28</f>
        <v>0</v>
      </c>
      <c r="G28" s="307">
        <f>SUMIFS(Adjustments!$G:$G,Adjustments!$H:$H,"2H",Adjustments!$I:$I,'Schedule 2H Adjustments'!$F$12,Adjustments!$J:$J,'Schedule 2H Adjustments'!$A28)</f>
        <v>0</v>
      </c>
      <c r="H28" s="303">
        <f t="shared" si="0"/>
        <v>0</v>
      </c>
      <c r="I28" s="68">
        <f>IFERROR(F28*'As-Filed Schedule 1'!$E$103,0)</f>
        <v>0</v>
      </c>
      <c r="J28" s="304">
        <f>IFERROR(H28*'Adjusted Schedule 1'!$E$104,0)</f>
        <v>0</v>
      </c>
      <c r="K28" s="68">
        <f t="shared" si="1"/>
        <v>0</v>
      </c>
      <c r="L28" s="304">
        <f t="shared" si="2"/>
        <v>0</v>
      </c>
      <c r="N28" s="114">
        <f>'As-Filed Schedule 2H'!J28</f>
        <v>0</v>
      </c>
      <c r="O28" s="307">
        <f>SUMIFS(Adjustments!$G:$G,Adjustments!$H:$H,"2H",Adjustments!$I:$I,'Schedule 2H Adjustments'!$N$12,Adjustments!$J:$J,'Schedule 2H Adjustments'!$A28)</f>
        <v>0</v>
      </c>
      <c r="P28" s="303">
        <f t="shared" si="3"/>
        <v>0</v>
      </c>
      <c r="Q28" s="68">
        <f>IFERROR(N28*'As-Filed Schedule 1'!$E$103,0)</f>
        <v>0</v>
      </c>
      <c r="R28" s="68">
        <f>IFERROR(P28*'Adjusted Schedule 1'!$E$104,0)</f>
        <v>0</v>
      </c>
      <c r="S28" s="68">
        <f t="shared" si="4"/>
        <v>0</v>
      </c>
      <c r="T28" s="304">
        <f t="shared" si="5"/>
        <v>0</v>
      </c>
      <c r="V28" s="117">
        <f>'As-Filed Schedule 2H'!N28</f>
        <v>0</v>
      </c>
      <c r="W28" s="307">
        <f>SUMIFS(Adjustments!$G:$G,Adjustments!$H:$H,"2H",Adjustments!$I:$I,'Schedule 2H Adjustments'!$V$12,Adjustments!$J:$J,'Schedule 2H Adjustments'!$A28)</f>
        <v>0</v>
      </c>
      <c r="X28" s="303">
        <f t="shared" si="6"/>
        <v>0</v>
      </c>
      <c r="Y28" s="117">
        <f>'As-Filed Schedule 2H'!O28</f>
        <v>0</v>
      </c>
      <c r="Z28" s="307">
        <f>SUMIFS(Adjustments!$G:$G,Adjustments!$H:$H,"2H",Adjustments!$I:$I,'Schedule 2H Adjustments'!$Y$12,Adjustments!$J:$J,'Schedule 2H Adjustments'!$A28)</f>
        <v>0</v>
      </c>
      <c r="AA28" s="303">
        <f t="shared" si="7"/>
        <v>0</v>
      </c>
    </row>
    <row r="29" spans="1:27" x14ac:dyDescent="0.35">
      <c r="A29" s="24">
        <v>15</v>
      </c>
      <c r="B29" s="565" t="str">
        <f>IF('As-Filed Schedule 2H'!B29:D29=0,"",'As-Filed Schedule 2H'!B29:D29)</f>
        <v/>
      </c>
      <c r="C29" s="565"/>
      <c r="D29" s="565"/>
      <c r="F29" s="114">
        <f>'As-Filed Schedule 2H'!F29</f>
        <v>0</v>
      </c>
      <c r="G29" s="307">
        <f>SUMIFS(Adjustments!$G:$G,Adjustments!$H:$H,"2H",Adjustments!$I:$I,'Schedule 2H Adjustments'!$F$12,Adjustments!$J:$J,'Schedule 2H Adjustments'!$A29)</f>
        <v>0</v>
      </c>
      <c r="H29" s="303">
        <f t="shared" si="0"/>
        <v>0</v>
      </c>
      <c r="I29" s="68">
        <f>IFERROR(F29*'As-Filed Schedule 1'!$E$103,0)</f>
        <v>0</v>
      </c>
      <c r="J29" s="304">
        <f>IFERROR(H29*'Adjusted Schedule 1'!$E$104,0)</f>
        <v>0</v>
      </c>
      <c r="K29" s="68">
        <f t="shared" si="1"/>
        <v>0</v>
      </c>
      <c r="L29" s="304">
        <f t="shared" si="2"/>
        <v>0</v>
      </c>
      <c r="N29" s="114">
        <f>'As-Filed Schedule 2H'!J29</f>
        <v>0</v>
      </c>
      <c r="O29" s="307">
        <f>SUMIFS(Adjustments!$G:$G,Adjustments!$H:$H,"2H",Adjustments!$I:$I,'Schedule 2H Adjustments'!$N$12,Adjustments!$J:$J,'Schedule 2H Adjustments'!$A29)</f>
        <v>0</v>
      </c>
      <c r="P29" s="303">
        <f t="shared" si="3"/>
        <v>0</v>
      </c>
      <c r="Q29" s="68">
        <f>IFERROR(N29*'As-Filed Schedule 1'!$E$103,0)</f>
        <v>0</v>
      </c>
      <c r="R29" s="68">
        <f>IFERROR(P29*'Adjusted Schedule 1'!$E$104,0)</f>
        <v>0</v>
      </c>
      <c r="S29" s="68">
        <f t="shared" si="4"/>
        <v>0</v>
      </c>
      <c r="T29" s="304">
        <f t="shared" si="5"/>
        <v>0</v>
      </c>
      <c r="V29" s="117">
        <f>'As-Filed Schedule 2H'!N29</f>
        <v>0</v>
      </c>
      <c r="W29" s="307">
        <f>SUMIFS(Adjustments!$G:$G,Adjustments!$H:$H,"2H",Adjustments!$I:$I,'Schedule 2H Adjustments'!$V$12,Adjustments!$J:$J,'Schedule 2H Adjustments'!$A29)</f>
        <v>0</v>
      </c>
      <c r="X29" s="303">
        <f t="shared" si="6"/>
        <v>0</v>
      </c>
      <c r="Y29" s="117">
        <f>'As-Filed Schedule 2H'!O29</f>
        <v>0</v>
      </c>
      <c r="Z29" s="307">
        <f>SUMIFS(Adjustments!$G:$G,Adjustments!$H:$H,"2H",Adjustments!$I:$I,'Schedule 2H Adjustments'!$Y$12,Adjustments!$J:$J,'Schedule 2H Adjustments'!$A29)</f>
        <v>0</v>
      </c>
      <c r="AA29" s="303">
        <f t="shared" si="7"/>
        <v>0</v>
      </c>
    </row>
    <row r="30" spans="1:27" x14ac:dyDescent="0.35">
      <c r="A30" s="24">
        <v>16</v>
      </c>
      <c r="B30" s="565" t="str">
        <f>IF('As-Filed Schedule 2H'!B30:D30=0,"",'As-Filed Schedule 2H'!B30:D30)</f>
        <v/>
      </c>
      <c r="C30" s="565"/>
      <c r="D30" s="565"/>
      <c r="F30" s="114">
        <f>'As-Filed Schedule 2H'!F30</f>
        <v>0</v>
      </c>
      <c r="G30" s="307">
        <f>SUMIFS(Adjustments!$G:$G,Adjustments!$H:$H,"2H",Adjustments!$I:$I,'Schedule 2H Adjustments'!$F$12,Adjustments!$J:$J,'Schedule 2H Adjustments'!$A30)</f>
        <v>0</v>
      </c>
      <c r="H30" s="303">
        <f t="shared" si="0"/>
        <v>0</v>
      </c>
      <c r="I30" s="68">
        <f>IFERROR(F30*'As-Filed Schedule 1'!$E$103,0)</f>
        <v>0</v>
      </c>
      <c r="J30" s="304">
        <f>IFERROR(H30*'Adjusted Schedule 1'!$E$104,0)</f>
        <v>0</v>
      </c>
      <c r="K30" s="68">
        <f t="shared" si="1"/>
        <v>0</v>
      </c>
      <c r="L30" s="304">
        <f t="shared" si="2"/>
        <v>0</v>
      </c>
      <c r="N30" s="114">
        <f>'As-Filed Schedule 2H'!J30</f>
        <v>0</v>
      </c>
      <c r="O30" s="307">
        <f>SUMIFS(Adjustments!$G:$G,Adjustments!$H:$H,"2H",Adjustments!$I:$I,'Schedule 2H Adjustments'!$N$12,Adjustments!$J:$J,'Schedule 2H Adjustments'!$A30)</f>
        <v>0</v>
      </c>
      <c r="P30" s="303">
        <f t="shared" si="3"/>
        <v>0</v>
      </c>
      <c r="Q30" s="68">
        <f>IFERROR(N30*'As-Filed Schedule 1'!$E$103,0)</f>
        <v>0</v>
      </c>
      <c r="R30" s="68">
        <f>IFERROR(P30*'Adjusted Schedule 1'!$E$104,0)</f>
        <v>0</v>
      </c>
      <c r="S30" s="68">
        <f t="shared" si="4"/>
        <v>0</v>
      </c>
      <c r="T30" s="304">
        <f t="shared" si="5"/>
        <v>0</v>
      </c>
      <c r="V30" s="117">
        <f>'As-Filed Schedule 2H'!N30</f>
        <v>0</v>
      </c>
      <c r="W30" s="307">
        <f>SUMIFS(Adjustments!$G:$G,Adjustments!$H:$H,"2H",Adjustments!$I:$I,'Schedule 2H Adjustments'!$V$12,Adjustments!$J:$J,'Schedule 2H Adjustments'!$A30)</f>
        <v>0</v>
      </c>
      <c r="X30" s="303">
        <f t="shared" si="6"/>
        <v>0</v>
      </c>
      <c r="Y30" s="117">
        <f>'As-Filed Schedule 2H'!O30</f>
        <v>0</v>
      </c>
      <c r="Z30" s="307">
        <f>SUMIFS(Adjustments!$G:$G,Adjustments!$H:$H,"2H",Adjustments!$I:$I,'Schedule 2H Adjustments'!$Y$12,Adjustments!$J:$J,'Schedule 2H Adjustments'!$A30)</f>
        <v>0</v>
      </c>
      <c r="AA30" s="303">
        <f t="shared" si="7"/>
        <v>0</v>
      </c>
    </row>
    <row r="31" spans="1:27" x14ac:dyDescent="0.35">
      <c r="A31" s="24">
        <v>17</v>
      </c>
      <c r="B31" s="565" t="str">
        <f>IF('As-Filed Schedule 2H'!B31:D31=0,"",'As-Filed Schedule 2H'!B31:D31)</f>
        <v/>
      </c>
      <c r="C31" s="565"/>
      <c r="D31" s="565"/>
      <c r="F31" s="114">
        <f>'As-Filed Schedule 2H'!F31</f>
        <v>0</v>
      </c>
      <c r="G31" s="307">
        <f>SUMIFS(Adjustments!$G:$G,Adjustments!$H:$H,"2H",Adjustments!$I:$I,'Schedule 2H Adjustments'!$F$12,Adjustments!$J:$J,'Schedule 2H Adjustments'!$A31)</f>
        <v>0</v>
      </c>
      <c r="H31" s="303">
        <f t="shared" si="0"/>
        <v>0</v>
      </c>
      <c r="I31" s="68">
        <f>IFERROR(F31*'As-Filed Schedule 1'!$E$103,0)</f>
        <v>0</v>
      </c>
      <c r="J31" s="304">
        <f>IFERROR(H31*'Adjusted Schedule 1'!$E$104,0)</f>
        <v>0</v>
      </c>
      <c r="K31" s="68">
        <f t="shared" si="1"/>
        <v>0</v>
      </c>
      <c r="L31" s="304">
        <f t="shared" si="2"/>
        <v>0</v>
      </c>
      <c r="N31" s="114">
        <f>'As-Filed Schedule 2H'!J31</f>
        <v>0</v>
      </c>
      <c r="O31" s="307">
        <f>SUMIFS(Adjustments!$G:$G,Adjustments!$H:$H,"2H",Adjustments!$I:$I,'Schedule 2H Adjustments'!$N$12,Adjustments!$J:$J,'Schedule 2H Adjustments'!$A31)</f>
        <v>0</v>
      </c>
      <c r="P31" s="303">
        <f t="shared" si="3"/>
        <v>0</v>
      </c>
      <c r="Q31" s="68">
        <f>IFERROR(N31*'As-Filed Schedule 1'!$E$103,0)</f>
        <v>0</v>
      </c>
      <c r="R31" s="68">
        <f>IFERROR(P31*'Adjusted Schedule 1'!$E$104,0)</f>
        <v>0</v>
      </c>
      <c r="S31" s="68">
        <f t="shared" si="4"/>
        <v>0</v>
      </c>
      <c r="T31" s="304">
        <f t="shared" si="5"/>
        <v>0</v>
      </c>
      <c r="V31" s="117">
        <f>'As-Filed Schedule 2H'!N31</f>
        <v>0</v>
      </c>
      <c r="W31" s="307">
        <f>SUMIFS(Adjustments!$G:$G,Adjustments!$H:$H,"2H",Adjustments!$I:$I,'Schedule 2H Adjustments'!$V$12,Adjustments!$J:$J,'Schedule 2H Adjustments'!$A31)</f>
        <v>0</v>
      </c>
      <c r="X31" s="303">
        <f t="shared" si="6"/>
        <v>0</v>
      </c>
      <c r="Y31" s="117">
        <f>'As-Filed Schedule 2H'!O31</f>
        <v>0</v>
      </c>
      <c r="Z31" s="307">
        <f>SUMIFS(Adjustments!$G:$G,Adjustments!$H:$H,"2H",Adjustments!$I:$I,'Schedule 2H Adjustments'!$Y$12,Adjustments!$J:$J,'Schedule 2H Adjustments'!$A31)</f>
        <v>0</v>
      </c>
      <c r="AA31" s="303">
        <f t="shared" si="7"/>
        <v>0</v>
      </c>
    </row>
    <row r="32" spans="1:27" x14ac:dyDescent="0.35">
      <c r="A32" s="24">
        <v>18</v>
      </c>
      <c r="B32" s="565" t="str">
        <f>IF('As-Filed Schedule 2H'!B32:D32=0,"",'As-Filed Schedule 2H'!B32:D32)</f>
        <v/>
      </c>
      <c r="C32" s="565"/>
      <c r="D32" s="565"/>
      <c r="F32" s="114">
        <f>'As-Filed Schedule 2H'!F32</f>
        <v>0</v>
      </c>
      <c r="G32" s="307">
        <f>SUMIFS(Adjustments!$G:$G,Adjustments!$H:$H,"2H",Adjustments!$I:$I,'Schedule 2H Adjustments'!$F$12,Adjustments!$J:$J,'Schedule 2H Adjustments'!$A32)</f>
        <v>0</v>
      </c>
      <c r="H32" s="303">
        <f t="shared" si="0"/>
        <v>0</v>
      </c>
      <c r="I32" s="68">
        <f>IFERROR(F32*'As-Filed Schedule 1'!$E$103,0)</f>
        <v>0</v>
      </c>
      <c r="J32" s="304">
        <f>IFERROR(H32*'Adjusted Schedule 1'!$E$104,0)</f>
        <v>0</v>
      </c>
      <c r="K32" s="68">
        <f t="shared" si="1"/>
        <v>0</v>
      </c>
      <c r="L32" s="304">
        <f t="shared" si="2"/>
        <v>0</v>
      </c>
      <c r="N32" s="114">
        <f>'As-Filed Schedule 2H'!J32</f>
        <v>0</v>
      </c>
      <c r="O32" s="307">
        <f>SUMIFS(Adjustments!$G:$G,Adjustments!$H:$H,"2H",Adjustments!$I:$I,'Schedule 2H Adjustments'!$N$12,Adjustments!$J:$J,'Schedule 2H Adjustments'!$A32)</f>
        <v>0</v>
      </c>
      <c r="P32" s="303">
        <f t="shared" si="3"/>
        <v>0</v>
      </c>
      <c r="Q32" s="68">
        <f>IFERROR(N32*'As-Filed Schedule 1'!$E$103,0)</f>
        <v>0</v>
      </c>
      <c r="R32" s="68">
        <f>IFERROR(P32*'Adjusted Schedule 1'!$E$104,0)</f>
        <v>0</v>
      </c>
      <c r="S32" s="68">
        <f t="shared" si="4"/>
        <v>0</v>
      </c>
      <c r="T32" s="304">
        <f t="shared" si="5"/>
        <v>0</v>
      </c>
      <c r="V32" s="117">
        <f>'As-Filed Schedule 2H'!N32</f>
        <v>0</v>
      </c>
      <c r="W32" s="307">
        <f>SUMIFS(Adjustments!$G:$G,Adjustments!$H:$H,"2H",Adjustments!$I:$I,'Schedule 2H Adjustments'!$V$12,Adjustments!$J:$J,'Schedule 2H Adjustments'!$A32)</f>
        <v>0</v>
      </c>
      <c r="X32" s="303">
        <f t="shared" si="6"/>
        <v>0</v>
      </c>
      <c r="Y32" s="117">
        <f>'As-Filed Schedule 2H'!O32</f>
        <v>0</v>
      </c>
      <c r="Z32" s="307">
        <f>SUMIFS(Adjustments!$G:$G,Adjustments!$H:$H,"2H",Adjustments!$I:$I,'Schedule 2H Adjustments'!$Y$12,Adjustments!$J:$J,'Schedule 2H Adjustments'!$A32)</f>
        <v>0</v>
      </c>
      <c r="AA32" s="303">
        <f t="shared" si="7"/>
        <v>0</v>
      </c>
    </row>
    <row r="33" spans="1:27" x14ac:dyDescent="0.35">
      <c r="A33" s="24">
        <v>19</v>
      </c>
      <c r="B33" s="565" t="str">
        <f>IF('As-Filed Schedule 2H'!B33:D33=0,"",'As-Filed Schedule 2H'!B33:D33)</f>
        <v/>
      </c>
      <c r="C33" s="565"/>
      <c r="D33" s="565"/>
      <c r="F33" s="114">
        <f>'As-Filed Schedule 2H'!F33</f>
        <v>0</v>
      </c>
      <c r="G33" s="307">
        <f>SUMIFS(Adjustments!$G:$G,Adjustments!$H:$H,"2H",Adjustments!$I:$I,'Schedule 2H Adjustments'!$F$12,Adjustments!$J:$J,'Schedule 2H Adjustments'!$A33)</f>
        <v>0</v>
      </c>
      <c r="H33" s="303">
        <f t="shared" si="0"/>
        <v>0</v>
      </c>
      <c r="I33" s="68">
        <f>IFERROR(F33*'As-Filed Schedule 1'!$E$103,0)</f>
        <v>0</v>
      </c>
      <c r="J33" s="304">
        <f>IFERROR(H33*'Adjusted Schedule 1'!$E$104,0)</f>
        <v>0</v>
      </c>
      <c r="K33" s="68">
        <f t="shared" si="1"/>
        <v>0</v>
      </c>
      <c r="L33" s="304">
        <f t="shared" si="2"/>
        <v>0</v>
      </c>
      <c r="N33" s="114">
        <f>'As-Filed Schedule 2H'!J33</f>
        <v>0</v>
      </c>
      <c r="O33" s="307">
        <f>SUMIFS(Adjustments!$G:$G,Adjustments!$H:$H,"2H",Adjustments!$I:$I,'Schedule 2H Adjustments'!$N$12,Adjustments!$J:$J,'Schedule 2H Adjustments'!$A33)</f>
        <v>0</v>
      </c>
      <c r="P33" s="303">
        <f t="shared" si="3"/>
        <v>0</v>
      </c>
      <c r="Q33" s="68">
        <f>IFERROR(N33*'As-Filed Schedule 1'!$E$103,0)</f>
        <v>0</v>
      </c>
      <c r="R33" s="68">
        <f>IFERROR(P33*'Adjusted Schedule 1'!$E$104,0)</f>
        <v>0</v>
      </c>
      <c r="S33" s="68">
        <f t="shared" si="4"/>
        <v>0</v>
      </c>
      <c r="T33" s="304">
        <f t="shared" si="5"/>
        <v>0</v>
      </c>
      <c r="V33" s="117">
        <f>'As-Filed Schedule 2H'!N33</f>
        <v>0</v>
      </c>
      <c r="W33" s="307">
        <f>SUMIFS(Adjustments!$G:$G,Adjustments!$H:$H,"2H",Adjustments!$I:$I,'Schedule 2H Adjustments'!$V$12,Adjustments!$J:$J,'Schedule 2H Adjustments'!$A33)</f>
        <v>0</v>
      </c>
      <c r="X33" s="303">
        <f t="shared" si="6"/>
        <v>0</v>
      </c>
      <c r="Y33" s="117">
        <f>'As-Filed Schedule 2H'!O33</f>
        <v>0</v>
      </c>
      <c r="Z33" s="307">
        <f>SUMIFS(Adjustments!$G:$G,Adjustments!$H:$H,"2H",Adjustments!$I:$I,'Schedule 2H Adjustments'!$Y$12,Adjustments!$J:$J,'Schedule 2H Adjustments'!$A33)</f>
        <v>0</v>
      </c>
      <c r="AA33" s="303">
        <f t="shared" si="7"/>
        <v>0</v>
      </c>
    </row>
    <row r="34" spans="1:27" x14ac:dyDescent="0.35">
      <c r="A34" s="24">
        <v>20</v>
      </c>
      <c r="B34" s="565" t="str">
        <f>IF('As-Filed Schedule 2H'!B34:D34=0,"",'As-Filed Schedule 2H'!B34:D34)</f>
        <v/>
      </c>
      <c r="C34" s="565"/>
      <c r="D34" s="565"/>
      <c r="F34" s="114">
        <f>'As-Filed Schedule 2H'!F34</f>
        <v>0</v>
      </c>
      <c r="G34" s="307">
        <f>SUMIFS(Adjustments!$G:$G,Adjustments!$H:$H,"2H",Adjustments!$I:$I,'Schedule 2H Adjustments'!$F$12,Adjustments!$J:$J,'Schedule 2H Adjustments'!$A34)</f>
        <v>0</v>
      </c>
      <c r="H34" s="303">
        <f t="shared" si="0"/>
        <v>0</v>
      </c>
      <c r="I34" s="68">
        <f>IFERROR(F34*'As-Filed Schedule 1'!$E$103,0)</f>
        <v>0</v>
      </c>
      <c r="J34" s="304">
        <f>IFERROR(H34*'Adjusted Schedule 1'!$E$104,0)</f>
        <v>0</v>
      </c>
      <c r="K34" s="68">
        <f t="shared" si="1"/>
        <v>0</v>
      </c>
      <c r="L34" s="304">
        <f t="shared" si="2"/>
        <v>0</v>
      </c>
      <c r="N34" s="114">
        <f>'As-Filed Schedule 2H'!J34</f>
        <v>0</v>
      </c>
      <c r="O34" s="307">
        <f>SUMIFS(Adjustments!$G:$G,Adjustments!$H:$H,"2H",Adjustments!$I:$I,'Schedule 2H Adjustments'!$N$12,Adjustments!$J:$J,'Schedule 2H Adjustments'!$A34)</f>
        <v>0</v>
      </c>
      <c r="P34" s="303">
        <f t="shared" si="3"/>
        <v>0</v>
      </c>
      <c r="Q34" s="68">
        <f>IFERROR(N34*'As-Filed Schedule 1'!$E$103,0)</f>
        <v>0</v>
      </c>
      <c r="R34" s="68">
        <f>IFERROR(P34*'Adjusted Schedule 1'!$E$104,0)</f>
        <v>0</v>
      </c>
      <c r="S34" s="68">
        <f t="shared" si="4"/>
        <v>0</v>
      </c>
      <c r="T34" s="304">
        <f t="shared" si="5"/>
        <v>0</v>
      </c>
      <c r="V34" s="117">
        <f>'As-Filed Schedule 2H'!N34</f>
        <v>0</v>
      </c>
      <c r="W34" s="307">
        <f>SUMIFS(Adjustments!$G:$G,Adjustments!$H:$H,"2H",Adjustments!$I:$I,'Schedule 2H Adjustments'!$V$12,Adjustments!$J:$J,'Schedule 2H Adjustments'!$A34)</f>
        <v>0</v>
      </c>
      <c r="X34" s="303">
        <f t="shared" si="6"/>
        <v>0</v>
      </c>
      <c r="Y34" s="117">
        <f>'As-Filed Schedule 2H'!O34</f>
        <v>0</v>
      </c>
      <c r="Z34" s="307">
        <f>SUMIFS(Adjustments!$G:$G,Adjustments!$H:$H,"2H",Adjustments!$I:$I,'Schedule 2H Adjustments'!$Y$12,Adjustments!$J:$J,'Schedule 2H Adjustments'!$A34)</f>
        <v>0</v>
      </c>
      <c r="AA34" s="303">
        <f t="shared" si="7"/>
        <v>0</v>
      </c>
    </row>
    <row r="35" spans="1:27" x14ac:dyDescent="0.35">
      <c r="A35" s="24">
        <v>21</v>
      </c>
      <c r="B35" s="565" t="str">
        <f>IF('As-Filed Schedule 2H'!B35:D35=0,"",'As-Filed Schedule 2H'!B35:D35)</f>
        <v/>
      </c>
      <c r="C35" s="565"/>
      <c r="D35" s="565"/>
      <c r="F35" s="114">
        <f>'As-Filed Schedule 2H'!F35</f>
        <v>0</v>
      </c>
      <c r="G35" s="307">
        <f>SUMIFS(Adjustments!$G:$G,Adjustments!$H:$H,"2H",Adjustments!$I:$I,'Schedule 2H Adjustments'!$F$12,Adjustments!$J:$J,'Schedule 2H Adjustments'!$A35)</f>
        <v>0</v>
      </c>
      <c r="H35" s="303">
        <f t="shared" si="0"/>
        <v>0</v>
      </c>
      <c r="I35" s="68">
        <f>IFERROR(F35*'As-Filed Schedule 1'!$E$103,0)</f>
        <v>0</v>
      </c>
      <c r="J35" s="304">
        <f>IFERROR(H35*'Adjusted Schedule 1'!$E$104,0)</f>
        <v>0</v>
      </c>
      <c r="K35" s="68">
        <f t="shared" si="1"/>
        <v>0</v>
      </c>
      <c r="L35" s="304">
        <f t="shared" si="2"/>
        <v>0</v>
      </c>
      <c r="N35" s="114">
        <f>'As-Filed Schedule 2H'!J35</f>
        <v>0</v>
      </c>
      <c r="O35" s="307">
        <f>SUMIFS(Adjustments!$G:$G,Adjustments!$H:$H,"2H",Adjustments!$I:$I,'Schedule 2H Adjustments'!$N$12,Adjustments!$J:$J,'Schedule 2H Adjustments'!$A35)</f>
        <v>0</v>
      </c>
      <c r="P35" s="303">
        <f t="shared" si="3"/>
        <v>0</v>
      </c>
      <c r="Q35" s="68">
        <f>IFERROR(N35*'As-Filed Schedule 1'!$E$103,0)</f>
        <v>0</v>
      </c>
      <c r="R35" s="68">
        <f>IFERROR(P35*'Adjusted Schedule 1'!$E$104,0)</f>
        <v>0</v>
      </c>
      <c r="S35" s="68">
        <f t="shared" si="4"/>
        <v>0</v>
      </c>
      <c r="T35" s="304">
        <f t="shared" si="5"/>
        <v>0</v>
      </c>
      <c r="V35" s="117">
        <f>'As-Filed Schedule 2H'!N35</f>
        <v>0</v>
      </c>
      <c r="W35" s="307">
        <f>SUMIFS(Adjustments!$G:$G,Adjustments!$H:$H,"2H",Adjustments!$I:$I,'Schedule 2H Adjustments'!$V$12,Adjustments!$J:$J,'Schedule 2H Adjustments'!$A35)</f>
        <v>0</v>
      </c>
      <c r="X35" s="303">
        <f t="shared" si="6"/>
        <v>0</v>
      </c>
      <c r="Y35" s="117">
        <f>'As-Filed Schedule 2H'!O35</f>
        <v>0</v>
      </c>
      <c r="Z35" s="307">
        <f>SUMIFS(Adjustments!$G:$G,Adjustments!$H:$H,"2H",Adjustments!$I:$I,'Schedule 2H Adjustments'!$Y$12,Adjustments!$J:$J,'Schedule 2H Adjustments'!$A35)</f>
        <v>0</v>
      </c>
      <c r="AA35" s="303">
        <f t="shared" si="7"/>
        <v>0</v>
      </c>
    </row>
    <row r="36" spans="1:27" x14ac:dyDescent="0.35">
      <c r="A36" s="24">
        <v>22</v>
      </c>
      <c r="B36" s="565" t="str">
        <f>IF('As-Filed Schedule 2H'!B36:D36=0,"",'As-Filed Schedule 2H'!B36:D36)</f>
        <v/>
      </c>
      <c r="C36" s="565"/>
      <c r="D36" s="565"/>
      <c r="F36" s="114">
        <f>'As-Filed Schedule 2H'!F36</f>
        <v>0</v>
      </c>
      <c r="G36" s="307">
        <f>SUMIFS(Adjustments!$G:$G,Adjustments!$H:$H,"2H",Adjustments!$I:$I,'Schedule 2H Adjustments'!$F$12,Adjustments!$J:$J,'Schedule 2H Adjustments'!$A36)</f>
        <v>0</v>
      </c>
      <c r="H36" s="303">
        <f t="shared" si="0"/>
        <v>0</v>
      </c>
      <c r="I36" s="68">
        <f>IFERROR(F36*'As-Filed Schedule 1'!$E$103,0)</f>
        <v>0</v>
      </c>
      <c r="J36" s="304">
        <f>IFERROR(H36*'Adjusted Schedule 1'!$E$104,0)</f>
        <v>0</v>
      </c>
      <c r="K36" s="68">
        <f t="shared" si="1"/>
        <v>0</v>
      </c>
      <c r="L36" s="304">
        <f t="shared" si="2"/>
        <v>0</v>
      </c>
      <c r="N36" s="114">
        <f>'As-Filed Schedule 2H'!J36</f>
        <v>0</v>
      </c>
      <c r="O36" s="307">
        <f>SUMIFS(Adjustments!$G:$G,Adjustments!$H:$H,"2H",Adjustments!$I:$I,'Schedule 2H Adjustments'!$N$12,Adjustments!$J:$J,'Schedule 2H Adjustments'!$A36)</f>
        <v>0</v>
      </c>
      <c r="P36" s="303">
        <f t="shared" si="3"/>
        <v>0</v>
      </c>
      <c r="Q36" s="68">
        <f>IFERROR(N36*'As-Filed Schedule 1'!$E$103,0)</f>
        <v>0</v>
      </c>
      <c r="R36" s="68">
        <f>IFERROR(P36*'Adjusted Schedule 1'!$E$104,0)</f>
        <v>0</v>
      </c>
      <c r="S36" s="68">
        <f t="shared" si="4"/>
        <v>0</v>
      </c>
      <c r="T36" s="304">
        <f t="shared" si="5"/>
        <v>0</v>
      </c>
      <c r="V36" s="117">
        <f>'As-Filed Schedule 2H'!N36</f>
        <v>0</v>
      </c>
      <c r="W36" s="307">
        <f>SUMIFS(Adjustments!$G:$G,Adjustments!$H:$H,"2H",Adjustments!$I:$I,'Schedule 2H Adjustments'!$V$12,Adjustments!$J:$J,'Schedule 2H Adjustments'!$A36)</f>
        <v>0</v>
      </c>
      <c r="X36" s="303">
        <f t="shared" si="6"/>
        <v>0</v>
      </c>
      <c r="Y36" s="117">
        <f>'As-Filed Schedule 2H'!O36</f>
        <v>0</v>
      </c>
      <c r="Z36" s="307">
        <f>SUMIFS(Adjustments!$G:$G,Adjustments!$H:$H,"2H",Adjustments!$I:$I,'Schedule 2H Adjustments'!$Y$12,Adjustments!$J:$J,'Schedule 2H Adjustments'!$A36)</f>
        <v>0</v>
      </c>
      <c r="AA36" s="303">
        <f t="shared" si="7"/>
        <v>0</v>
      </c>
    </row>
    <row r="37" spans="1:27" x14ac:dyDescent="0.35">
      <c r="A37" s="24">
        <v>23</v>
      </c>
      <c r="B37" s="565" t="str">
        <f>IF('As-Filed Schedule 2H'!B37:D37=0,"",'As-Filed Schedule 2H'!B37:D37)</f>
        <v/>
      </c>
      <c r="C37" s="565"/>
      <c r="D37" s="565"/>
      <c r="F37" s="114">
        <f>'As-Filed Schedule 2H'!F37</f>
        <v>0</v>
      </c>
      <c r="G37" s="307">
        <f>SUMIFS(Adjustments!$G:$G,Adjustments!$H:$H,"2H",Adjustments!$I:$I,'Schedule 2H Adjustments'!$F$12,Adjustments!$J:$J,'Schedule 2H Adjustments'!$A37)</f>
        <v>0</v>
      </c>
      <c r="H37" s="303">
        <f t="shared" si="0"/>
        <v>0</v>
      </c>
      <c r="I37" s="68">
        <f>IFERROR(F37*'As-Filed Schedule 1'!$E$103,0)</f>
        <v>0</v>
      </c>
      <c r="J37" s="304">
        <f>IFERROR(H37*'Adjusted Schedule 1'!$E$104,0)</f>
        <v>0</v>
      </c>
      <c r="K37" s="68">
        <f t="shared" si="1"/>
        <v>0</v>
      </c>
      <c r="L37" s="304">
        <f t="shared" si="2"/>
        <v>0</v>
      </c>
      <c r="N37" s="114">
        <f>'As-Filed Schedule 2H'!J37</f>
        <v>0</v>
      </c>
      <c r="O37" s="307">
        <f>SUMIFS(Adjustments!$G:$G,Adjustments!$H:$H,"2H",Adjustments!$I:$I,'Schedule 2H Adjustments'!$N$12,Adjustments!$J:$J,'Schedule 2H Adjustments'!$A37)</f>
        <v>0</v>
      </c>
      <c r="P37" s="303">
        <f t="shared" si="3"/>
        <v>0</v>
      </c>
      <c r="Q37" s="68">
        <f>IFERROR(N37*'As-Filed Schedule 1'!$E$103,0)</f>
        <v>0</v>
      </c>
      <c r="R37" s="68">
        <f>IFERROR(P37*'Adjusted Schedule 1'!$E$104,0)</f>
        <v>0</v>
      </c>
      <c r="S37" s="68">
        <f t="shared" si="4"/>
        <v>0</v>
      </c>
      <c r="T37" s="304">
        <f t="shared" si="5"/>
        <v>0</v>
      </c>
      <c r="V37" s="117">
        <f>'As-Filed Schedule 2H'!N37</f>
        <v>0</v>
      </c>
      <c r="W37" s="307">
        <f>SUMIFS(Adjustments!$G:$G,Adjustments!$H:$H,"2H",Adjustments!$I:$I,'Schedule 2H Adjustments'!$V$12,Adjustments!$J:$J,'Schedule 2H Adjustments'!$A37)</f>
        <v>0</v>
      </c>
      <c r="X37" s="303">
        <f t="shared" si="6"/>
        <v>0</v>
      </c>
      <c r="Y37" s="117">
        <f>'As-Filed Schedule 2H'!O37</f>
        <v>0</v>
      </c>
      <c r="Z37" s="307">
        <f>SUMIFS(Adjustments!$G:$G,Adjustments!$H:$H,"2H",Adjustments!$I:$I,'Schedule 2H Adjustments'!$Y$12,Adjustments!$J:$J,'Schedule 2H Adjustments'!$A37)</f>
        <v>0</v>
      </c>
      <c r="AA37" s="303">
        <f t="shared" si="7"/>
        <v>0</v>
      </c>
    </row>
    <row r="38" spans="1:27" x14ac:dyDescent="0.35">
      <c r="A38" s="24">
        <v>24</v>
      </c>
      <c r="B38" s="565" t="str">
        <f>IF('As-Filed Schedule 2H'!B38:D38=0,"",'As-Filed Schedule 2H'!B38:D38)</f>
        <v/>
      </c>
      <c r="C38" s="565"/>
      <c r="D38" s="565"/>
      <c r="F38" s="114">
        <f>'As-Filed Schedule 2H'!F38</f>
        <v>0</v>
      </c>
      <c r="G38" s="307">
        <f>SUMIFS(Adjustments!$G:$G,Adjustments!$H:$H,"2H",Adjustments!$I:$I,'Schedule 2H Adjustments'!$F$12,Adjustments!$J:$J,'Schedule 2H Adjustments'!$A38)</f>
        <v>0</v>
      </c>
      <c r="H38" s="303">
        <f t="shared" si="0"/>
        <v>0</v>
      </c>
      <c r="I38" s="68">
        <f>IFERROR(F38*'As-Filed Schedule 1'!$E$103,0)</f>
        <v>0</v>
      </c>
      <c r="J38" s="304">
        <f>IFERROR(H38*'Adjusted Schedule 1'!$E$104,0)</f>
        <v>0</v>
      </c>
      <c r="K38" s="68">
        <f t="shared" si="1"/>
        <v>0</v>
      </c>
      <c r="L38" s="304">
        <f t="shared" si="2"/>
        <v>0</v>
      </c>
      <c r="N38" s="114">
        <f>'As-Filed Schedule 2H'!J38</f>
        <v>0</v>
      </c>
      <c r="O38" s="307">
        <f>SUMIFS(Adjustments!$G:$G,Adjustments!$H:$H,"2H",Adjustments!$I:$I,'Schedule 2H Adjustments'!$N$12,Adjustments!$J:$J,'Schedule 2H Adjustments'!$A38)</f>
        <v>0</v>
      </c>
      <c r="P38" s="303">
        <f t="shared" si="3"/>
        <v>0</v>
      </c>
      <c r="Q38" s="68">
        <f>IFERROR(N38*'As-Filed Schedule 1'!$E$103,0)</f>
        <v>0</v>
      </c>
      <c r="R38" s="68">
        <f>IFERROR(P38*'Adjusted Schedule 1'!$E$104,0)</f>
        <v>0</v>
      </c>
      <c r="S38" s="68">
        <f t="shared" si="4"/>
        <v>0</v>
      </c>
      <c r="T38" s="304">
        <f t="shared" si="5"/>
        <v>0</v>
      </c>
      <c r="V38" s="117">
        <f>'As-Filed Schedule 2H'!N38</f>
        <v>0</v>
      </c>
      <c r="W38" s="307">
        <f>SUMIFS(Adjustments!$G:$G,Adjustments!$H:$H,"2H",Adjustments!$I:$I,'Schedule 2H Adjustments'!$V$12,Adjustments!$J:$J,'Schedule 2H Adjustments'!$A38)</f>
        <v>0</v>
      </c>
      <c r="X38" s="303">
        <f t="shared" si="6"/>
        <v>0</v>
      </c>
      <c r="Y38" s="117">
        <f>'As-Filed Schedule 2H'!O38</f>
        <v>0</v>
      </c>
      <c r="Z38" s="307">
        <f>SUMIFS(Adjustments!$G:$G,Adjustments!$H:$H,"2H",Adjustments!$I:$I,'Schedule 2H Adjustments'!$Y$12,Adjustments!$J:$J,'Schedule 2H Adjustments'!$A38)</f>
        <v>0</v>
      </c>
      <c r="AA38" s="303">
        <f t="shared" si="7"/>
        <v>0</v>
      </c>
    </row>
    <row r="39" spans="1:27" x14ac:dyDescent="0.35">
      <c r="A39" s="24">
        <v>25</v>
      </c>
      <c r="B39" s="565" t="str">
        <f>IF('As-Filed Schedule 2H'!B39:D39=0,"",'As-Filed Schedule 2H'!B39:D39)</f>
        <v/>
      </c>
      <c r="C39" s="565"/>
      <c r="D39" s="565"/>
      <c r="F39" s="114">
        <f>'As-Filed Schedule 2H'!F39</f>
        <v>0</v>
      </c>
      <c r="G39" s="307">
        <f>SUMIFS(Adjustments!$G:$G,Adjustments!$H:$H,"2H",Adjustments!$I:$I,'Schedule 2H Adjustments'!$F$12,Adjustments!$J:$J,'Schedule 2H Adjustments'!$A39)</f>
        <v>0</v>
      </c>
      <c r="H39" s="303">
        <f t="shared" si="0"/>
        <v>0</v>
      </c>
      <c r="I39" s="68">
        <f>IFERROR(F39*'As-Filed Schedule 1'!$E$103,0)</f>
        <v>0</v>
      </c>
      <c r="J39" s="304">
        <f>IFERROR(H39*'Adjusted Schedule 1'!$E$104,0)</f>
        <v>0</v>
      </c>
      <c r="K39" s="68">
        <f t="shared" si="1"/>
        <v>0</v>
      </c>
      <c r="L39" s="304">
        <f t="shared" si="2"/>
        <v>0</v>
      </c>
      <c r="N39" s="114">
        <f>'As-Filed Schedule 2H'!J39</f>
        <v>0</v>
      </c>
      <c r="O39" s="307">
        <f>SUMIFS(Adjustments!$G:$G,Adjustments!$H:$H,"2H",Adjustments!$I:$I,'Schedule 2H Adjustments'!$N$12,Adjustments!$J:$J,'Schedule 2H Adjustments'!$A39)</f>
        <v>0</v>
      </c>
      <c r="P39" s="303">
        <f t="shared" si="3"/>
        <v>0</v>
      </c>
      <c r="Q39" s="68">
        <f>IFERROR(N39*'As-Filed Schedule 1'!$E$103,0)</f>
        <v>0</v>
      </c>
      <c r="R39" s="68">
        <f>IFERROR(P39*'Adjusted Schedule 1'!$E$104,0)</f>
        <v>0</v>
      </c>
      <c r="S39" s="68">
        <f t="shared" si="4"/>
        <v>0</v>
      </c>
      <c r="T39" s="304">
        <f t="shared" si="5"/>
        <v>0</v>
      </c>
      <c r="V39" s="117">
        <f>'As-Filed Schedule 2H'!N39</f>
        <v>0</v>
      </c>
      <c r="W39" s="307">
        <f>SUMIFS(Adjustments!$G:$G,Adjustments!$H:$H,"2H",Adjustments!$I:$I,'Schedule 2H Adjustments'!$V$12,Adjustments!$J:$J,'Schedule 2H Adjustments'!$A39)</f>
        <v>0</v>
      </c>
      <c r="X39" s="303">
        <f t="shared" si="6"/>
        <v>0</v>
      </c>
      <c r="Y39" s="117">
        <f>'As-Filed Schedule 2H'!O39</f>
        <v>0</v>
      </c>
      <c r="Z39" s="307">
        <f>SUMIFS(Adjustments!$G:$G,Adjustments!$H:$H,"2H",Adjustments!$I:$I,'Schedule 2H Adjustments'!$Y$12,Adjustments!$J:$J,'Schedule 2H Adjustments'!$A39)</f>
        <v>0</v>
      </c>
      <c r="AA39" s="303">
        <f t="shared" si="7"/>
        <v>0</v>
      </c>
    </row>
    <row r="40" spans="1:27" x14ac:dyDescent="0.35">
      <c r="A40" s="24">
        <v>26</v>
      </c>
      <c r="B40" s="565" t="str">
        <f>IF('As-Filed Schedule 2H'!B40:D40=0,"",'As-Filed Schedule 2H'!B40:D40)</f>
        <v/>
      </c>
      <c r="C40" s="565"/>
      <c r="D40" s="565"/>
      <c r="F40" s="114">
        <f>'As-Filed Schedule 2H'!F40</f>
        <v>0</v>
      </c>
      <c r="G40" s="307">
        <f>SUMIFS(Adjustments!$G:$G,Adjustments!$H:$H,"2H",Adjustments!$I:$I,'Schedule 2H Adjustments'!$F$12,Adjustments!$J:$J,'Schedule 2H Adjustments'!$A40)</f>
        <v>0</v>
      </c>
      <c r="H40" s="303">
        <f t="shared" si="0"/>
        <v>0</v>
      </c>
      <c r="I40" s="68">
        <f>IFERROR(F40*'As-Filed Schedule 1'!$E$103,0)</f>
        <v>0</v>
      </c>
      <c r="J40" s="304">
        <f>IFERROR(H40*'Adjusted Schedule 1'!$E$104,0)</f>
        <v>0</v>
      </c>
      <c r="K40" s="68">
        <f t="shared" si="1"/>
        <v>0</v>
      </c>
      <c r="L40" s="304">
        <f t="shared" si="2"/>
        <v>0</v>
      </c>
      <c r="N40" s="114">
        <f>'As-Filed Schedule 2H'!J40</f>
        <v>0</v>
      </c>
      <c r="O40" s="307">
        <f>SUMIFS(Adjustments!$G:$G,Adjustments!$H:$H,"2H",Adjustments!$I:$I,'Schedule 2H Adjustments'!$N$12,Adjustments!$J:$J,'Schedule 2H Adjustments'!$A40)</f>
        <v>0</v>
      </c>
      <c r="P40" s="303">
        <f t="shared" si="3"/>
        <v>0</v>
      </c>
      <c r="Q40" s="68">
        <f>IFERROR(N40*'As-Filed Schedule 1'!$E$103,0)</f>
        <v>0</v>
      </c>
      <c r="R40" s="68">
        <f>IFERROR(P40*'Adjusted Schedule 1'!$E$104,0)</f>
        <v>0</v>
      </c>
      <c r="S40" s="68">
        <f t="shared" si="4"/>
        <v>0</v>
      </c>
      <c r="T40" s="304">
        <f t="shared" si="5"/>
        <v>0</v>
      </c>
      <c r="V40" s="117">
        <f>'As-Filed Schedule 2H'!N40</f>
        <v>0</v>
      </c>
      <c r="W40" s="307">
        <f>SUMIFS(Adjustments!$G:$G,Adjustments!$H:$H,"2H",Adjustments!$I:$I,'Schedule 2H Adjustments'!$V$12,Adjustments!$J:$J,'Schedule 2H Adjustments'!$A40)</f>
        <v>0</v>
      </c>
      <c r="X40" s="303">
        <f t="shared" si="6"/>
        <v>0</v>
      </c>
      <c r="Y40" s="117">
        <f>'As-Filed Schedule 2H'!O40</f>
        <v>0</v>
      </c>
      <c r="Z40" s="307">
        <f>SUMIFS(Adjustments!$G:$G,Adjustments!$H:$H,"2H",Adjustments!$I:$I,'Schedule 2H Adjustments'!$Y$12,Adjustments!$J:$J,'Schedule 2H Adjustments'!$A40)</f>
        <v>0</v>
      </c>
      <c r="AA40" s="303">
        <f t="shared" si="7"/>
        <v>0</v>
      </c>
    </row>
    <row r="41" spans="1:27" x14ac:dyDescent="0.35">
      <c r="A41" s="24">
        <v>27</v>
      </c>
      <c r="B41" s="565" t="str">
        <f>IF('As-Filed Schedule 2H'!B41:D41=0,"",'As-Filed Schedule 2H'!B41:D41)</f>
        <v/>
      </c>
      <c r="C41" s="565"/>
      <c r="D41" s="565"/>
      <c r="F41" s="114">
        <f>'As-Filed Schedule 2H'!F41</f>
        <v>0</v>
      </c>
      <c r="G41" s="307">
        <f>SUMIFS(Adjustments!$G:$G,Adjustments!$H:$H,"2H",Adjustments!$I:$I,'Schedule 2H Adjustments'!$F$12,Adjustments!$J:$J,'Schedule 2H Adjustments'!$A41)</f>
        <v>0</v>
      </c>
      <c r="H41" s="303">
        <f t="shared" si="0"/>
        <v>0</v>
      </c>
      <c r="I41" s="68">
        <f>IFERROR(F41*'As-Filed Schedule 1'!$E$103,0)</f>
        <v>0</v>
      </c>
      <c r="J41" s="304">
        <f>IFERROR(H41*'Adjusted Schedule 1'!$E$104,0)</f>
        <v>0</v>
      </c>
      <c r="K41" s="68">
        <f t="shared" si="1"/>
        <v>0</v>
      </c>
      <c r="L41" s="304">
        <f t="shared" si="2"/>
        <v>0</v>
      </c>
      <c r="N41" s="114">
        <f>'As-Filed Schedule 2H'!J41</f>
        <v>0</v>
      </c>
      <c r="O41" s="307">
        <f>SUMIFS(Adjustments!$G:$G,Adjustments!$H:$H,"2H",Adjustments!$I:$I,'Schedule 2H Adjustments'!$N$12,Adjustments!$J:$J,'Schedule 2H Adjustments'!$A41)</f>
        <v>0</v>
      </c>
      <c r="P41" s="303">
        <f t="shared" si="3"/>
        <v>0</v>
      </c>
      <c r="Q41" s="68">
        <f>IFERROR(N41*'As-Filed Schedule 1'!$E$103,0)</f>
        <v>0</v>
      </c>
      <c r="R41" s="68">
        <f>IFERROR(P41*'Adjusted Schedule 1'!$E$104,0)</f>
        <v>0</v>
      </c>
      <c r="S41" s="68">
        <f t="shared" si="4"/>
        <v>0</v>
      </c>
      <c r="T41" s="304">
        <f t="shared" si="5"/>
        <v>0</v>
      </c>
      <c r="V41" s="117">
        <f>'As-Filed Schedule 2H'!N41</f>
        <v>0</v>
      </c>
      <c r="W41" s="307">
        <f>SUMIFS(Adjustments!$G:$G,Adjustments!$H:$H,"2H",Adjustments!$I:$I,'Schedule 2H Adjustments'!$V$12,Adjustments!$J:$J,'Schedule 2H Adjustments'!$A41)</f>
        <v>0</v>
      </c>
      <c r="X41" s="303">
        <f t="shared" si="6"/>
        <v>0</v>
      </c>
      <c r="Y41" s="117">
        <f>'As-Filed Schedule 2H'!O41</f>
        <v>0</v>
      </c>
      <c r="Z41" s="307">
        <f>SUMIFS(Adjustments!$G:$G,Adjustments!$H:$H,"2H",Adjustments!$I:$I,'Schedule 2H Adjustments'!$Y$12,Adjustments!$J:$J,'Schedule 2H Adjustments'!$A41)</f>
        <v>0</v>
      </c>
      <c r="AA41" s="303">
        <f t="shared" si="7"/>
        <v>0</v>
      </c>
    </row>
    <row r="42" spans="1:27" x14ac:dyDescent="0.35">
      <c r="A42" s="24">
        <v>28</v>
      </c>
      <c r="B42" s="565" t="str">
        <f>IF('As-Filed Schedule 2H'!B42:D42=0,"",'As-Filed Schedule 2H'!B42:D42)</f>
        <v/>
      </c>
      <c r="C42" s="565"/>
      <c r="D42" s="565"/>
      <c r="F42" s="114">
        <f>'As-Filed Schedule 2H'!F42</f>
        <v>0</v>
      </c>
      <c r="G42" s="307">
        <f>SUMIFS(Adjustments!$G:$G,Adjustments!$H:$H,"2H",Adjustments!$I:$I,'Schedule 2H Adjustments'!$F$12,Adjustments!$J:$J,'Schedule 2H Adjustments'!$A42)</f>
        <v>0</v>
      </c>
      <c r="H42" s="303">
        <f t="shared" si="0"/>
        <v>0</v>
      </c>
      <c r="I42" s="68">
        <f>IFERROR(F42*'As-Filed Schedule 1'!$E$103,0)</f>
        <v>0</v>
      </c>
      <c r="J42" s="304">
        <f>IFERROR(H42*'Adjusted Schedule 1'!$E$104,0)</f>
        <v>0</v>
      </c>
      <c r="K42" s="68">
        <f t="shared" si="1"/>
        <v>0</v>
      </c>
      <c r="L42" s="304">
        <f t="shared" si="2"/>
        <v>0</v>
      </c>
      <c r="N42" s="114">
        <f>'As-Filed Schedule 2H'!J42</f>
        <v>0</v>
      </c>
      <c r="O42" s="307">
        <f>SUMIFS(Adjustments!$G:$G,Adjustments!$H:$H,"2H",Adjustments!$I:$I,'Schedule 2H Adjustments'!$N$12,Adjustments!$J:$J,'Schedule 2H Adjustments'!$A42)</f>
        <v>0</v>
      </c>
      <c r="P42" s="303">
        <f t="shared" si="3"/>
        <v>0</v>
      </c>
      <c r="Q42" s="68">
        <f>IFERROR(N42*'As-Filed Schedule 1'!$E$103,0)</f>
        <v>0</v>
      </c>
      <c r="R42" s="68">
        <f>IFERROR(P42*'Adjusted Schedule 1'!$E$104,0)</f>
        <v>0</v>
      </c>
      <c r="S42" s="68">
        <f t="shared" si="4"/>
        <v>0</v>
      </c>
      <c r="T42" s="304">
        <f t="shared" si="5"/>
        <v>0</v>
      </c>
      <c r="V42" s="117">
        <f>'As-Filed Schedule 2H'!N42</f>
        <v>0</v>
      </c>
      <c r="W42" s="307">
        <f>SUMIFS(Adjustments!$G:$G,Adjustments!$H:$H,"2H",Adjustments!$I:$I,'Schedule 2H Adjustments'!$V$12,Adjustments!$J:$J,'Schedule 2H Adjustments'!$A42)</f>
        <v>0</v>
      </c>
      <c r="X42" s="303">
        <f t="shared" si="6"/>
        <v>0</v>
      </c>
      <c r="Y42" s="117">
        <f>'As-Filed Schedule 2H'!O42</f>
        <v>0</v>
      </c>
      <c r="Z42" s="307">
        <f>SUMIFS(Adjustments!$G:$G,Adjustments!$H:$H,"2H",Adjustments!$I:$I,'Schedule 2H Adjustments'!$Y$12,Adjustments!$J:$J,'Schedule 2H Adjustments'!$A42)</f>
        <v>0</v>
      </c>
      <c r="AA42" s="303">
        <f t="shared" si="7"/>
        <v>0</v>
      </c>
    </row>
    <row r="43" spans="1:27" x14ac:dyDescent="0.35">
      <c r="A43" s="24">
        <v>29</v>
      </c>
      <c r="B43" s="565" t="str">
        <f>IF('As-Filed Schedule 2H'!B43:D43=0,"",'As-Filed Schedule 2H'!B43:D43)</f>
        <v/>
      </c>
      <c r="C43" s="565"/>
      <c r="D43" s="565"/>
      <c r="F43" s="114">
        <f>'As-Filed Schedule 2H'!F43</f>
        <v>0</v>
      </c>
      <c r="G43" s="307">
        <f>SUMIFS(Adjustments!$G:$G,Adjustments!$H:$H,"2H",Adjustments!$I:$I,'Schedule 2H Adjustments'!$F$12,Adjustments!$J:$J,'Schedule 2H Adjustments'!$A43)</f>
        <v>0</v>
      </c>
      <c r="H43" s="303">
        <f t="shared" si="0"/>
        <v>0</v>
      </c>
      <c r="I43" s="68">
        <f>IFERROR(F43*'As-Filed Schedule 1'!$E$103,0)</f>
        <v>0</v>
      </c>
      <c r="J43" s="304">
        <f>IFERROR(H43*'Adjusted Schedule 1'!$E$104,0)</f>
        <v>0</v>
      </c>
      <c r="K43" s="68">
        <f t="shared" si="1"/>
        <v>0</v>
      </c>
      <c r="L43" s="304">
        <f t="shared" si="2"/>
        <v>0</v>
      </c>
      <c r="N43" s="114">
        <f>'As-Filed Schedule 2H'!J43</f>
        <v>0</v>
      </c>
      <c r="O43" s="307">
        <f>SUMIFS(Adjustments!$G:$G,Adjustments!$H:$H,"2H",Adjustments!$I:$I,'Schedule 2H Adjustments'!$N$12,Adjustments!$J:$J,'Schedule 2H Adjustments'!$A43)</f>
        <v>0</v>
      </c>
      <c r="P43" s="303">
        <f t="shared" si="3"/>
        <v>0</v>
      </c>
      <c r="Q43" s="68">
        <f>IFERROR(N43*'As-Filed Schedule 1'!$E$103,0)</f>
        <v>0</v>
      </c>
      <c r="R43" s="68">
        <f>IFERROR(P43*'Adjusted Schedule 1'!$E$104,0)</f>
        <v>0</v>
      </c>
      <c r="S43" s="68">
        <f t="shared" si="4"/>
        <v>0</v>
      </c>
      <c r="T43" s="304">
        <f t="shared" si="5"/>
        <v>0</v>
      </c>
      <c r="V43" s="117">
        <f>'As-Filed Schedule 2H'!N43</f>
        <v>0</v>
      </c>
      <c r="W43" s="307">
        <f>SUMIFS(Adjustments!$G:$G,Adjustments!$H:$H,"2H",Adjustments!$I:$I,'Schedule 2H Adjustments'!$V$12,Adjustments!$J:$J,'Schedule 2H Adjustments'!$A43)</f>
        <v>0</v>
      </c>
      <c r="X43" s="303">
        <f t="shared" si="6"/>
        <v>0</v>
      </c>
      <c r="Y43" s="117">
        <f>'As-Filed Schedule 2H'!O43</f>
        <v>0</v>
      </c>
      <c r="Z43" s="307">
        <f>SUMIFS(Adjustments!$G:$G,Adjustments!$H:$H,"2H",Adjustments!$I:$I,'Schedule 2H Adjustments'!$Y$12,Adjustments!$J:$J,'Schedule 2H Adjustments'!$A43)</f>
        <v>0</v>
      </c>
      <c r="AA43" s="303">
        <f t="shared" si="7"/>
        <v>0</v>
      </c>
    </row>
    <row r="44" spans="1:27" x14ac:dyDescent="0.35">
      <c r="A44" s="24">
        <v>30</v>
      </c>
      <c r="B44" s="565" t="str">
        <f>IF('As-Filed Schedule 2H'!B44:D44=0,"",'As-Filed Schedule 2H'!B44:D44)</f>
        <v/>
      </c>
      <c r="C44" s="565"/>
      <c r="D44" s="565"/>
      <c r="F44" s="114">
        <f>'As-Filed Schedule 2H'!F44</f>
        <v>0</v>
      </c>
      <c r="G44" s="307">
        <f>SUMIFS(Adjustments!$G:$G,Adjustments!$H:$H,"2H",Adjustments!$I:$I,'Schedule 2H Adjustments'!$F$12,Adjustments!$J:$J,'Schedule 2H Adjustments'!$A44)</f>
        <v>0</v>
      </c>
      <c r="H44" s="303">
        <f t="shared" si="0"/>
        <v>0</v>
      </c>
      <c r="I44" s="68">
        <f>IFERROR(F44*'As-Filed Schedule 1'!$E$103,0)</f>
        <v>0</v>
      </c>
      <c r="J44" s="304">
        <f>IFERROR(H44*'Adjusted Schedule 1'!$E$104,0)</f>
        <v>0</v>
      </c>
      <c r="K44" s="68">
        <f t="shared" si="1"/>
        <v>0</v>
      </c>
      <c r="L44" s="304">
        <f t="shared" si="2"/>
        <v>0</v>
      </c>
      <c r="N44" s="114">
        <f>'As-Filed Schedule 2H'!J44</f>
        <v>0</v>
      </c>
      <c r="O44" s="307">
        <f>SUMIFS(Adjustments!$G:$G,Adjustments!$H:$H,"2H",Adjustments!$I:$I,'Schedule 2H Adjustments'!$N$12,Adjustments!$J:$J,'Schedule 2H Adjustments'!$A44)</f>
        <v>0</v>
      </c>
      <c r="P44" s="303">
        <f t="shared" si="3"/>
        <v>0</v>
      </c>
      <c r="Q44" s="68">
        <f>IFERROR(N44*'As-Filed Schedule 1'!$E$103,0)</f>
        <v>0</v>
      </c>
      <c r="R44" s="68">
        <f>IFERROR(P44*'Adjusted Schedule 1'!$E$104,0)</f>
        <v>0</v>
      </c>
      <c r="S44" s="68">
        <f t="shared" si="4"/>
        <v>0</v>
      </c>
      <c r="T44" s="304">
        <f t="shared" si="5"/>
        <v>0</v>
      </c>
      <c r="V44" s="117">
        <f>'As-Filed Schedule 2H'!N44</f>
        <v>0</v>
      </c>
      <c r="W44" s="307">
        <f>SUMIFS(Adjustments!$G:$G,Adjustments!$H:$H,"2H",Adjustments!$I:$I,'Schedule 2H Adjustments'!$V$12,Adjustments!$J:$J,'Schedule 2H Adjustments'!$A44)</f>
        <v>0</v>
      </c>
      <c r="X44" s="303">
        <f t="shared" si="6"/>
        <v>0</v>
      </c>
      <c r="Y44" s="117">
        <f>'As-Filed Schedule 2H'!O44</f>
        <v>0</v>
      </c>
      <c r="Z44" s="307">
        <f>SUMIFS(Adjustments!$G:$G,Adjustments!$H:$H,"2H",Adjustments!$I:$I,'Schedule 2H Adjustments'!$Y$12,Adjustments!$J:$J,'Schedule 2H Adjustments'!$A44)</f>
        <v>0</v>
      </c>
      <c r="AA44" s="303">
        <f t="shared" si="7"/>
        <v>0</v>
      </c>
    </row>
    <row r="45" spans="1:27" x14ac:dyDescent="0.35">
      <c r="A45" s="24">
        <v>31</v>
      </c>
      <c r="B45" s="565" t="str">
        <f>IF('As-Filed Schedule 2H'!B45:D45=0,"",'As-Filed Schedule 2H'!B45:D45)</f>
        <v/>
      </c>
      <c r="C45" s="565"/>
      <c r="D45" s="565"/>
      <c r="F45" s="114">
        <f>'As-Filed Schedule 2H'!F45</f>
        <v>0</v>
      </c>
      <c r="G45" s="307">
        <f>SUMIFS(Adjustments!$G:$G,Adjustments!$H:$H,"2H",Adjustments!$I:$I,'Schedule 2H Adjustments'!$F$12,Adjustments!$J:$J,'Schedule 2H Adjustments'!$A45)</f>
        <v>0</v>
      </c>
      <c r="H45" s="303">
        <f t="shared" si="0"/>
        <v>0</v>
      </c>
      <c r="I45" s="68">
        <f>IFERROR(F45*'As-Filed Schedule 1'!$E$103,0)</f>
        <v>0</v>
      </c>
      <c r="J45" s="304">
        <f>IFERROR(H45*'Adjusted Schedule 1'!$E$104,0)</f>
        <v>0</v>
      </c>
      <c r="K45" s="68">
        <f t="shared" si="1"/>
        <v>0</v>
      </c>
      <c r="L45" s="304">
        <f t="shared" si="2"/>
        <v>0</v>
      </c>
      <c r="N45" s="114">
        <f>'As-Filed Schedule 2H'!J45</f>
        <v>0</v>
      </c>
      <c r="O45" s="307">
        <f>SUMIFS(Adjustments!$G:$G,Adjustments!$H:$H,"2H",Adjustments!$I:$I,'Schedule 2H Adjustments'!$N$12,Adjustments!$J:$J,'Schedule 2H Adjustments'!$A45)</f>
        <v>0</v>
      </c>
      <c r="P45" s="303">
        <f t="shared" si="3"/>
        <v>0</v>
      </c>
      <c r="Q45" s="68">
        <f>IFERROR(N45*'As-Filed Schedule 1'!$E$103,0)</f>
        <v>0</v>
      </c>
      <c r="R45" s="68">
        <f>IFERROR(P45*'Adjusted Schedule 1'!$E$104,0)</f>
        <v>0</v>
      </c>
      <c r="S45" s="68">
        <f t="shared" si="4"/>
        <v>0</v>
      </c>
      <c r="T45" s="304">
        <f t="shared" si="5"/>
        <v>0</v>
      </c>
      <c r="V45" s="117">
        <f>'As-Filed Schedule 2H'!N45</f>
        <v>0</v>
      </c>
      <c r="W45" s="307">
        <f>SUMIFS(Adjustments!$G:$G,Adjustments!$H:$H,"2H",Adjustments!$I:$I,'Schedule 2H Adjustments'!$V$12,Adjustments!$J:$J,'Schedule 2H Adjustments'!$A45)</f>
        <v>0</v>
      </c>
      <c r="X45" s="303">
        <f t="shared" si="6"/>
        <v>0</v>
      </c>
      <c r="Y45" s="117">
        <f>'As-Filed Schedule 2H'!O45</f>
        <v>0</v>
      </c>
      <c r="Z45" s="307">
        <f>SUMIFS(Adjustments!$G:$G,Adjustments!$H:$H,"2H",Adjustments!$I:$I,'Schedule 2H Adjustments'!$Y$12,Adjustments!$J:$J,'Schedule 2H Adjustments'!$A45)</f>
        <v>0</v>
      </c>
      <c r="AA45" s="303">
        <f t="shared" si="7"/>
        <v>0</v>
      </c>
    </row>
    <row r="46" spans="1:27" x14ac:dyDescent="0.35">
      <c r="A46" s="24">
        <v>32</v>
      </c>
      <c r="B46" s="565" t="str">
        <f>IF('As-Filed Schedule 2H'!B46:D46=0,"",'As-Filed Schedule 2H'!B46:D46)</f>
        <v/>
      </c>
      <c r="C46" s="565"/>
      <c r="D46" s="565"/>
      <c r="F46" s="114">
        <f>'As-Filed Schedule 2H'!F46</f>
        <v>0</v>
      </c>
      <c r="G46" s="307">
        <f>SUMIFS(Adjustments!$G:$G,Adjustments!$H:$H,"2H",Adjustments!$I:$I,'Schedule 2H Adjustments'!$F$12,Adjustments!$J:$J,'Schedule 2H Adjustments'!$A46)</f>
        <v>0</v>
      </c>
      <c r="H46" s="303">
        <f t="shared" si="0"/>
        <v>0</v>
      </c>
      <c r="I46" s="68">
        <f>IFERROR(F46*'As-Filed Schedule 1'!$E$103,0)</f>
        <v>0</v>
      </c>
      <c r="J46" s="304">
        <f>IFERROR(H46*'Adjusted Schedule 1'!$E$104,0)</f>
        <v>0</v>
      </c>
      <c r="K46" s="68">
        <f t="shared" si="1"/>
        <v>0</v>
      </c>
      <c r="L46" s="304">
        <f t="shared" si="2"/>
        <v>0</v>
      </c>
      <c r="N46" s="114">
        <f>'As-Filed Schedule 2H'!J46</f>
        <v>0</v>
      </c>
      <c r="O46" s="307">
        <f>SUMIFS(Adjustments!$G:$G,Adjustments!$H:$H,"2H",Adjustments!$I:$I,'Schedule 2H Adjustments'!$N$12,Adjustments!$J:$J,'Schedule 2H Adjustments'!$A46)</f>
        <v>0</v>
      </c>
      <c r="P46" s="303">
        <f t="shared" si="3"/>
        <v>0</v>
      </c>
      <c r="Q46" s="68">
        <f>IFERROR(N46*'As-Filed Schedule 1'!$E$103,0)</f>
        <v>0</v>
      </c>
      <c r="R46" s="68">
        <f>IFERROR(P46*'Adjusted Schedule 1'!$E$104,0)</f>
        <v>0</v>
      </c>
      <c r="S46" s="68">
        <f t="shared" si="4"/>
        <v>0</v>
      </c>
      <c r="T46" s="304">
        <f t="shared" si="5"/>
        <v>0</v>
      </c>
      <c r="V46" s="117">
        <f>'As-Filed Schedule 2H'!N46</f>
        <v>0</v>
      </c>
      <c r="W46" s="307">
        <f>SUMIFS(Adjustments!$G:$G,Adjustments!$H:$H,"2H",Adjustments!$I:$I,'Schedule 2H Adjustments'!$V$12,Adjustments!$J:$J,'Schedule 2H Adjustments'!$A46)</f>
        <v>0</v>
      </c>
      <c r="X46" s="303">
        <f t="shared" si="6"/>
        <v>0</v>
      </c>
      <c r="Y46" s="117">
        <f>'As-Filed Schedule 2H'!O46</f>
        <v>0</v>
      </c>
      <c r="Z46" s="307">
        <f>SUMIFS(Adjustments!$G:$G,Adjustments!$H:$H,"2H",Adjustments!$I:$I,'Schedule 2H Adjustments'!$Y$12,Adjustments!$J:$J,'Schedule 2H Adjustments'!$A46)</f>
        <v>0</v>
      </c>
      <c r="AA46" s="303">
        <f t="shared" si="7"/>
        <v>0</v>
      </c>
    </row>
    <row r="47" spans="1:27" x14ac:dyDescent="0.35">
      <c r="A47" s="24">
        <v>33</v>
      </c>
      <c r="B47" s="565" t="str">
        <f>IF('As-Filed Schedule 2H'!B47:D47=0,"",'As-Filed Schedule 2H'!B47:D47)</f>
        <v/>
      </c>
      <c r="C47" s="565"/>
      <c r="D47" s="565"/>
      <c r="F47" s="114">
        <f>'As-Filed Schedule 2H'!F47</f>
        <v>0</v>
      </c>
      <c r="G47" s="307">
        <f>SUMIFS(Adjustments!$G:$G,Adjustments!$H:$H,"2H",Adjustments!$I:$I,'Schedule 2H Adjustments'!$F$12,Adjustments!$J:$J,'Schedule 2H Adjustments'!$A47)</f>
        <v>0</v>
      </c>
      <c r="H47" s="303">
        <f t="shared" si="0"/>
        <v>0</v>
      </c>
      <c r="I47" s="68">
        <f>IFERROR(F47*'As-Filed Schedule 1'!$E$103,0)</f>
        <v>0</v>
      </c>
      <c r="J47" s="304">
        <f>IFERROR(H47*'Adjusted Schedule 1'!$E$104,0)</f>
        <v>0</v>
      </c>
      <c r="K47" s="68">
        <f t="shared" si="1"/>
        <v>0</v>
      </c>
      <c r="L47" s="304">
        <f t="shared" si="2"/>
        <v>0</v>
      </c>
      <c r="N47" s="114">
        <f>'As-Filed Schedule 2H'!J47</f>
        <v>0</v>
      </c>
      <c r="O47" s="307">
        <f>SUMIFS(Adjustments!$G:$G,Adjustments!$H:$H,"2H",Adjustments!$I:$I,'Schedule 2H Adjustments'!$N$12,Adjustments!$J:$J,'Schedule 2H Adjustments'!$A47)</f>
        <v>0</v>
      </c>
      <c r="P47" s="303">
        <f t="shared" si="3"/>
        <v>0</v>
      </c>
      <c r="Q47" s="68">
        <f>IFERROR(N47*'As-Filed Schedule 1'!$E$103,0)</f>
        <v>0</v>
      </c>
      <c r="R47" s="68">
        <f>IFERROR(P47*'Adjusted Schedule 1'!$E$104,0)</f>
        <v>0</v>
      </c>
      <c r="S47" s="68">
        <f t="shared" si="4"/>
        <v>0</v>
      </c>
      <c r="T47" s="304">
        <f t="shared" si="5"/>
        <v>0</v>
      </c>
      <c r="V47" s="117">
        <f>'As-Filed Schedule 2H'!N47</f>
        <v>0</v>
      </c>
      <c r="W47" s="307">
        <f>SUMIFS(Adjustments!$G:$G,Adjustments!$H:$H,"2H",Adjustments!$I:$I,'Schedule 2H Adjustments'!$V$12,Adjustments!$J:$J,'Schedule 2H Adjustments'!$A47)</f>
        <v>0</v>
      </c>
      <c r="X47" s="303">
        <f t="shared" si="6"/>
        <v>0</v>
      </c>
      <c r="Y47" s="117">
        <f>'As-Filed Schedule 2H'!O47</f>
        <v>0</v>
      </c>
      <c r="Z47" s="307">
        <f>SUMIFS(Adjustments!$G:$G,Adjustments!$H:$H,"2H",Adjustments!$I:$I,'Schedule 2H Adjustments'!$Y$12,Adjustments!$J:$J,'Schedule 2H Adjustments'!$A47)</f>
        <v>0</v>
      </c>
      <c r="AA47" s="303">
        <f t="shared" si="7"/>
        <v>0</v>
      </c>
    </row>
    <row r="48" spans="1:27" x14ac:dyDescent="0.35">
      <c r="A48" s="24">
        <v>34</v>
      </c>
      <c r="B48" s="565" t="str">
        <f>IF('As-Filed Schedule 2H'!B48:D48=0,"",'As-Filed Schedule 2H'!B48:D48)</f>
        <v/>
      </c>
      <c r="C48" s="565"/>
      <c r="D48" s="565"/>
      <c r="F48" s="114">
        <f>'As-Filed Schedule 2H'!F48</f>
        <v>0</v>
      </c>
      <c r="G48" s="307">
        <f>SUMIFS(Adjustments!$G:$G,Adjustments!$H:$H,"2H",Adjustments!$I:$I,'Schedule 2H Adjustments'!$F$12,Adjustments!$J:$J,'Schedule 2H Adjustments'!$A48)</f>
        <v>0</v>
      </c>
      <c r="H48" s="303">
        <f t="shared" si="0"/>
        <v>0</v>
      </c>
      <c r="I48" s="68">
        <f>IFERROR(F48*'As-Filed Schedule 1'!$E$103,0)</f>
        <v>0</v>
      </c>
      <c r="J48" s="304">
        <f>IFERROR(H48*'Adjusted Schedule 1'!$E$104,0)</f>
        <v>0</v>
      </c>
      <c r="K48" s="68">
        <f t="shared" si="1"/>
        <v>0</v>
      </c>
      <c r="L48" s="304">
        <f t="shared" si="2"/>
        <v>0</v>
      </c>
      <c r="N48" s="114">
        <f>'As-Filed Schedule 2H'!J48</f>
        <v>0</v>
      </c>
      <c r="O48" s="307">
        <f>SUMIFS(Adjustments!$G:$G,Adjustments!$H:$H,"2H",Adjustments!$I:$I,'Schedule 2H Adjustments'!$N$12,Adjustments!$J:$J,'Schedule 2H Adjustments'!$A48)</f>
        <v>0</v>
      </c>
      <c r="P48" s="303">
        <f t="shared" si="3"/>
        <v>0</v>
      </c>
      <c r="Q48" s="68">
        <f>IFERROR(N48*'As-Filed Schedule 1'!$E$103,0)</f>
        <v>0</v>
      </c>
      <c r="R48" s="68">
        <f>IFERROR(P48*'Adjusted Schedule 1'!$E$104,0)</f>
        <v>0</v>
      </c>
      <c r="S48" s="68">
        <f t="shared" si="4"/>
        <v>0</v>
      </c>
      <c r="T48" s="304">
        <f t="shared" si="5"/>
        <v>0</v>
      </c>
      <c r="V48" s="117">
        <f>'As-Filed Schedule 2H'!N48</f>
        <v>0</v>
      </c>
      <c r="W48" s="307">
        <f>SUMIFS(Adjustments!$G:$G,Adjustments!$H:$H,"2H",Adjustments!$I:$I,'Schedule 2H Adjustments'!$V$12,Adjustments!$J:$J,'Schedule 2H Adjustments'!$A48)</f>
        <v>0</v>
      </c>
      <c r="X48" s="303">
        <f t="shared" si="6"/>
        <v>0</v>
      </c>
      <c r="Y48" s="117">
        <f>'As-Filed Schedule 2H'!O48</f>
        <v>0</v>
      </c>
      <c r="Z48" s="307">
        <f>SUMIFS(Adjustments!$G:$G,Adjustments!$H:$H,"2H",Adjustments!$I:$I,'Schedule 2H Adjustments'!$Y$12,Adjustments!$J:$J,'Schedule 2H Adjustments'!$A48)</f>
        <v>0</v>
      </c>
      <c r="AA48" s="303">
        <f t="shared" si="7"/>
        <v>0</v>
      </c>
    </row>
    <row r="49" spans="1:27" x14ac:dyDescent="0.35">
      <c r="A49" s="24">
        <v>35</v>
      </c>
      <c r="B49" s="565" t="str">
        <f>IF('As-Filed Schedule 2H'!B49:D49=0,"",'As-Filed Schedule 2H'!B49:D49)</f>
        <v/>
      </c>
      <c r="C49" s="565"/>
      <c r="D49" s="565"/>
      <c r="F49" s="114">
        <f>'As-Filed Schedule 2H'!F49</f>
        <v>0</v>
      </c>
      <c r="G49" s="307">
        <f>SUMIFS(Adjustments!$G:$G,Adjustments!$H:$H,"2H",Adjustments!$I:$I,'Schedule 2H Adjustments'!$F$12,Adjustments!$J:$J,'Schedule 2H Adjustments'!$A49)</f>
        <v>0</v>
      </c>
      <c r="H49" s="303">
        <f t="shared" si="0"/>
        <v>0</v>
      </c>
      <c r="I49" s="68">
        <f>IFERROR(F49*'As-Filed Schedule 1'!$E$103,0)</f>
        <v>0</v>
      </c>
      <c r="J49" s="304">
        <f>IFERROR(H49*'Adjusted Schedule 1'!$E$104,0)</f>
        <v>0</v>
      </c>
      <c r="K49" s="68">
        <f t="shared" si="1"/>
        <v>0</v>
      </c>
      <c r="L49" s="304">
        <f t="shared" si="2"/>
        <v>0</v>
      </c>
      <c r="N49" s="114">
        <f>'As-Filed Schedule 2H'!J49</f>
        <v>0</v>
      </c>
      <c r="O49" s="307">
        <f>SUMIFS(Adjustments!$G:$G,Adjustments!$H:$H,"2H",Adjustments!$I:$I,'Schedule 2H Adjustments'!$N$12,Adjustments!$J:$J,'Schedule 2H Adjustments'!$A49)</f>
        <v>0</v>
      </c>
      <c r="P49" s="303">
        <f t="shared" si="3"/>
        <v>0</v>
      </c>
      <c r="Q49" s="68">
        <f>IFERROR(N49*'As-Filed Schedule 1'!$E$103,0)</f>
        <v>0</v>
      </c>
      <c r="R49" s="68">
        <f>IFERROR(P49*'Adjusted Schedule 1'!$E$104,0)</f>
        <v>0</v>
      </c>
      <c r="S49" s="68">
        <f t="shared" si="4"/>
        <v>0</v>
      </c>
      <c r="T49" s="304">
        <f t="shared" si="5"/>
        <v>0</v>
      </c>
      <c r="V49" s="117">
        <f>'As-Filed Schedule 2H'!N49</f>
        <v>0</v>
      </c>
      <c r="W49" s="307">
        <f>SUMIFS(Adjustments!$G:$G,Adjustments!$H:$H,"2H",Adjustments!$I:$I,'Schedule 2H Adjustments'!$V$12,Adjustments!$J:$J,'Schedule 2H Adjustments'!$A49)</f>
        <v>0</v>
      </c>
      <c r="X49" s="303">
        <f t="shared" si="6"/>
        <v>0</v>
      </c>
      <c r="Y49" s="117">
        <f>'As-Filed Schedule 2H'!O49</f>
        <v>0</v>
      </c>
      <c r="Z49" s="307">
        <f>SUMIFS(Adjustments!$G:$G,Adjustments!$H:$H,"2H",Adjustments!$I:$I,'Schedule 2H Adjustments'!$Y$12,Adjustments!$J:$J,'Schedule 2H Adjustments'!$A49)</f>
        <v>0</v>
      </c>
      <c r="AA49" s="303">
        <f t="shared" si="7"/>
        <v>0</v>
      </c>
    </row>
    <row r="50" spans="1:27" x14ac:dyDescent="0.35">
      <c r="A50" s="24">
        <v>36</v>
      </c>
      <c r="B50" s="565" t="str">
        <f>IF('As-Filed Schedule 2H'!B50:D50=0,"",'As-Filed Schedule 2H'!B50:D50)</f>
        <v/>
      </c>
      <c r="C50" s="565"/>
      <c r="D50" s="565"/>
      <c r="F50" s="114">
        <f>'As-Filed Schedule 2H'!F50</f>
        <v>0</v>
      </c>
      <c r="G50" s="307">
        <f>SUMIFS(Adjustments!$G:$G,Adjustments!$H:$H,"2H",Adjustments!$I:$I,'Schedule 2H Adjustments'!$F$12,Adjustments!$J:$J,'Schedule 2H Adjustments'!$A50)</f>
        <v>0</v>
      </c>
      <c r="H50" s="303">
        <f t="shared" si="0"/>
        <v>0</v>
      </c>
      <c r="I50" s="68">
        <f>IFERROR(F50*'As-Filed Schedule 1'!$E$103,0)</f>
        <v>0</v>
      </c>
      <c r="J50" s="304">
        <f>IFERROR(H50*'Adjusted Schedule 1'!$E$104,0)</f>
        <v>0</v>
      </c>
      <c r="K50" s="68">
        <f t="shared" si="1"/>
        <v>0</v>
      </c>
      <c r="L50" s="304">
        <f t="shared" si="2"/>
        <v>0</v>
      </c>
      <c r="N50" s="114">
        <f>'As-Filed Schedule 2H'!J50</f>
        <v>0</v>
      </c>
      <c r="O50" s="307">
        <f>SUMIFS(Adjustments!$G:$G,Adjustments!$H:$H,"2H",Adjustments!$I:$I,'Schedule 2H Adjustments'!$N$12,Adjustments!$J:$J,'Schedule 2H Adjustments'!$A50)</f>
        <v>0</v>
      </c>
      <c r="P50" s="303">
        <f t="shared" si="3"/>
        <v>0</v>
      </c>
      <c r="Q50" s="68">
        <f>IFERROR(N50*'As-Filed Schedule 1'!$E$103,0)</f>
        <v>0</v>
      </c>
      <c r="R50" s="68">
        <f>IFERROR(P50*'Adjusted Schedule 1'!$E$104,0)</f>
        <v>0</v>
      </c>
      <c r="S50" s="68">
        <f t="shared" si="4"/>
        <v>0</v>
      </c>
      <c r="T50" s="304">
        <f t="shared" si="5"/>
        <v>0</v>
      </c>
      <c r="V50" s="117">
        <f>'As-Filed Schedule 2H'!N50</f>
        <v>0</v>
      </c>
      <c r="W50" s="307">
        <f>SUMIFS(Adjustments!$G:$G,Adjustments!$H:$H,"2H",Adjustments!$I:$I,'Schedule 2H Adjustments'!$V$12,Adjustments!$J:$J,'Schedule 2H Adjustments'!$A50)</f>
        <v>0</v>
      </c>
      <c r="X50" s="303">
        <f t="shared" si="6"/>
        <v>0</v>
      </c>
      <c r="Y50" s="117">
        <f>'As-Filed Schedule 2H'!O50</f>
        <v>0</v>
      </c>
      <c r="Z50" s="307">
        <f>SUMIFS(Adjustments!$G:$G,Adjustments!$H:$H,"2H",Adjustments!$I:$I,'Schedule 2H Adjustments'!$Y$12,Adjustments!$J:$J,'Schedule 2H Adjustments'!$A50)</f>
        <v>0</v>
      </c>
      <c r="AA50" s="303">
        <f t="shared" si="7"/>
        <v>0</v>
      </c>
    </row>
    <row r="51" spans="1:27" x14ac:dyDescent="0.35">
      <c r="A51" s="24">
        <v>37</v>
      </c>
      <c r="B51" s="565" t="str">
        <f>IF('As-Filed Schedule 2H'!B51:D51=0,"",'As-Filed Schedule 2H'!B51:D51)</f>
        <v/>
      </c>
      <c r="C51" s="565"/>
      <c r="D51" s="565"/>
      <c r="F51" s="114">
        <f>'As-Filed Schedule 2H'!F51</f>
        <v>0</v>
      </c>
      <c r="G51" s="307">
        <f>SUMIFS(Adjustments!$G:$G,Adjustments!$H:$H,"2H",Adjustments!$I:$I,'Schedule 2H Adjustments'!$F$12,Adjustments!$J:$J,'Schedule 2H Adjustments'!$A51)</f>
        <v>0</v>
      </c>
      <c r="H51" s="303">
        <f t="shared" si="0"/>
        <v>0</v>
      </c>
      <c r="I51" s="68">
        <f>IFERROR(F51*'As-Filed Schedule 1'!$E$103,0)</f>
        <v>0</v>
      </c>
      <c r="J51" s="304">
        <f>IFERROR(H51*'Adjusted Schedule 1'!$E$104,0)</f>
        <v>0</v>
      </c>
      <c r="K51" s="68">
        <f t="shared" si="1"/>
        <v>0</v>
      </c>
      <c r="L51" s="304">
        <f t="shared" si="2"/>
        <v>0</v>
      </c>
      <c r="N51" s="114">
        <f>'As-Filed Schedule 2H'!J51</f>
        <v>0</v>
      </c>
      <c r="O51" s="307">
        <f>SUMIFS(Adjustments!$G:$G,Adjustments!$H:$H,"2H",Adjustments!$I:$I,'Schedule 2H Adjustments'!$N$12,Adjustments!$J:$J,'Schedule 2H Adjustments'!$A51)</f>
        <v>0</v>
      </c>
      <c r="P51" s="303">
        <f t="shared" si="3"/>
        <v>0</v>
      </c>
      <c r="Q51" s="68">
        <f>IFERROR(N51*'As-Filed Schedule 1'!$E$103,0)</f>
        <v>0</v>
      </c>
      <c r="R51" s="68">
        <f>IFERROR(P51*'Adjusted Schedule 1'!$E$104,0)</f>
        <v>0</v>
      </c>
      <c r="S51" s="68">
        <f t="shared" si="4"/>
        <v>0</v>
      </c>
      <c r="T51" s="304">
        <f t="shared" si="5"/>
        <v>0</v>
      </c>
      <c r="V51" s="117">
        <f>'As-Filed Schedule 2H'!N51</f>
        <v>0</v>
      </c>
      <c r="W51" s="307">
        <f>SUMIFS(Adjustments!$G:$G,Adjustments!$H:$H,"2H",Adjustments!$I:$I,'Schedule 2H Adjustments'!$V$12,Adjustments!$J:$J,'Schedule 2H Adjustments'!$A51)</f>
        <v>0</v>
      </c>
      <c r="X51" s="303">
        <f t="shared" si="6"/>
        <v>0</v>
      </c>
      <c r="Y51" s="117">
        <f>'As-Filed Schedule 2H'!O51</f>
        <v>0</v>
      </c>
      <c r="Z51" s="307">
        <f>SUMIFS(Adjustments!$G:$G,Adjustments!$H:$H,"2H",Adjustments!$I:$I,'Schedule 2H Adjustments'!$Y$12,Adjustments!$J:$J,'Schedule 2H Adjustments'!$A51)</f>
        <v>0</v>
      </c>
      <c r="AA51" s="303">
        <f t="shared" si="7"/>
        <v>0</v>
      </c>
    </row>
    <row r="52" spans="1:27" x14ac:dyDescent="0.35">
      <c r="A52" s="24">
        <v>38</v>
      </c>
      <c r="B52" s="565" t="str">
        <f>IF('As-Filed Schedule 2H'!B52:D52=0,"",'As-Filed Schedule 2H'!B52:D52)</f>
        <v/>
      </c>
      <c r="C52" s="565"/>
      <c r="D52" s="565"/>
      <c r="F52" s="114">
        <f>'As-Filed Schedule 2H'!F52</f>
        <v>0</v>
      </c>
      <c r="G52" s="307">
        <f>SUMIFS(Adjustments!$G:$G,Adjustments!$H:$H,"2H",Adjustments!$I:$I,'Schedule 2H Adjustments'!$F$12,Adjustments!$J:$J,'Schedule 2H Adjustments'!$A52)</f>
        <v>0</v>
      </c>
      <c r="H52" s="303">
        <f t="shared" si="0"/>
        <v>0</v>
      </c>
      <c r="I52" s="68">
        <f>IFERROR(F52*'As-Filed Schedule 1'!$E$103,0)</f>
        <v>0</v>
      </c>
      <c r="J52" s="304">
        <f>IFERROR(H52*'Adjusted Schedule 1'!$E$104,0)</f>
        <v>0</v>
      </c>
      <c r="K52" s="68">
        <f t="shared" si="1"/>
        <v>0</v>
      </c>
      <c r="L52" s="304">
        <f t="shared" si="2"/>
        <v>0</v>
      </c>
      <c r="N52" s="114">
        <f>'As-Filed Schedule 2H'!J52</f>
        <v>0</v>
      </c>
      <c r="O52" s="307">
        <f>SUMIFS(Adjustments!$G:$G,Adjustments!$H:$H,"2H",Adjustments!$I:$I,'Schedule 2H Adjustments'!$N$12,Adjustments!$J:$J,'Schedule 2H Adjustments'!$A52)</f>
        <v>0</v>
      </c>
      <c r="P52" s="303">
        <f t="shared" si="3"/>
        <v>0</v>
      </c>
      <c r="Q52" s="68">
        <f>IFERROR(N52*'As-Filed Schedule 1'!$E$103,0)</f>
        <v>0</v>
      </c>
      <c r="R52" s="68">
        <f>IFERROR(P52*'Adjusted Schedule 1'!$E$104,0)</f>
        <v>0</v>
      </c>
      <c r="S52" s="68">
        <f t="shared" si="4"/>
        <v>0</v>
      </c>
      <c r="T52" s="304">
        <f t="shared" si="5"/>
        <v>0</v>
      </c>
      <c r="V52" s="117">
        <f>'As-Filed Schedule 2H'!N52</f>
        <v>0</v>
      </c>
      <c r="W52" s="307">
        <f>SUMIFS(Adjustments!$G:$G,Adjustments!$H:$H,"2H",Adjustments!$I:$I,'Schedule 2H Adjustments'!$V$12,Adjustments!$J:$J,'Schedule 2H Adjustments'!$A52)</f>
        <v>0</v>
      </c>
      <c r="X52" s="303">
        <f t="shared" si="6"/>
        <v>0</v>
      </c>
      <c r="Y52" s="117">
        <f>'As-Filed Schedule 2H'!O52</f>
        <v>0</v>
      </c>
      <c r="Z52" s="307">
        <f>SUMIFS(Adjustments!$G:$G,Adjustments!$H:$H,"2H",Adjustments!$I:$I,'Schedule 2H Adjustments'!$Y$12,Adjustments!$J:$J,'Schedule 2H Adjustments'!$A52)</f>
        <v>0</v>
      </c>
      <c r="AA52" s="303">
        <f t="shared" si="7"/>
        <v>0</v>
      </c>
    </row>
    <row r="53" spans="1:27" x14ac:dyDescent="0.35">
      <c r="A53" s="24">
        <v>39</v>
      </c>
      <c r="B53" s="565" t="str">
        <f>IF('As-Filed Schedule 2H'!B53:D53=0,"",'As-Filed Schedule 2H'!B53:D53)</f>
        <v/>
      </c>
      <c r="C53" s="565"/>
      <c r="D53" s="565"/>
      <c r="F53" s="114">
        <f>'As-Filed Schedule 2H'!F53</f>
        <v>0</v>
      </c>
      <c r="G53" s="307">
        <f>SUMIFS(Adjustments!$G:$G,Adjustments!$H:$H,"2H",Adjustments!$I:$I,'Schedule 2H Adjustments'!$F$12,Adjustments!$J:$J,'Schedule 2H Adjustments'!$A53)</f>
        <v>0</v>
      </c>
      <c r="H53" s="303">
        <f t="shared" si="0"/>
        <v>0</v>
      </c>
      <c r="I53" s="68">
        <f>IFERROR(F53*'As-Filed Schedule 1'!$E$103,0)</f>
        <v>0</v>
      </c>
      <c r="J53" s="304">
        <f>IFERROR(H53*'Adjusted Schedule 1'!$E$104,0)</f>
        <v>0</v>
      </c>
      <c r="K53" s="68">
        <f t="shared" si="1"/>
        <v>0</v>
      </c>
      <c r="L53" s="304">
        <f t="shared" si="2"/>
        <v>0</v>
      </c>
      <c r="N53" s="114">
        <f>'As-Filed Schedule 2H'!J53</f>
        <v>0</v>
      </c>
      <c r="O53" s="307">
        <f>SUMIFS(Adjustments!$G:$G,Adjustments!$H:$H,"2H",Adjustments!$I:$I,'Schedule 2H Adjustments'!$N$12,Adjustments!$J:$J,'Schedule 2H Adjustments'!$A53)</f>
        <v>0</v>
      </c>
      <c r="P53" s="303">
        <f t="shared" si="3"/>
        <v>0</v>
      </c>
      <c r="Q53" s="68">
        <f>IFERROR(N53*'As-Filed Schedule 1'!$E$103,0)</f>
        <v>0</v>
      </c>
      <c r="R53" s="68">
        <f>IFERROR(P53*'Adjusted Schedule 1'!$E$104,0)</f>
        <v>0</v>
      </c>
      <c r="S53" s="68">
        <f t="shared" si="4"/>
        <v>0</v>
      </c>
      <c r="T53" s="304">
        <f t="shared" si="5"/>
        <v>0</v>
      </c>
      <c r="V53" s="117">
        <f>'As-Filed Schedule 2H'!N53</f>
        <v>0</v>
      </c>
      <c r="W53" s="307">
        <f>SUMIFS(Adjustments!$G:$G,Adjustments!$H:$H,"2H",Adjustments!$I:$I,'Schedule 2H Adjustments'!$V$12,Adjustments!$J:$J,'Schedule 2H Adjustments'!$A53)</f>
        <v>0</v>
      </c>
      <c r="X53" s="303">
        <f t="shared" si="6"/>
        <v>0</v>
      </c>
      <c r="Y53" s="117">
        <f>'As-Filed Schedule 2H'!O53</f>
        <v>0</v>
      </c>
      <c r="Z53" s="307">
        <f>SUMIFS(Adjustments!$G:$G,Adjustments!$H:$H,"2H",Adjustments!$I:$I,'Schedule 2H Adjustments'!$Y$12,Adjustments!$J:$J,'Schedule 2H Adjustments'!$A53)</f>
        <v>0</v>
      </c>
      <c r="AA53" s="303">
        <f t="shared" si="7"/>
        <v>0</v>
      </c>
    </row>
    <row r="54" spans="1:27" x14ac:dyDescent="0.35">
      <c r="A54" s="24">
        <v>40</v>
      </c>
      <c r="B54" s="565" t="str">
        <f>IF('As-Filed Schedule 2H'!B54:D54=0,"",'As-Filed Schedule 2H'!B54:D54)</f>
        <v/>
      </c>
      <c r="C54" s="565"/>
      <c r="D54" s="565"/>
      <c r="F54" s="114">
        <f>'As-Filed Schedule 2H'!F54</f>
        <v>0</v>
      </c>
      <c r="G54" s="307">
        <f>SUMIFS(Adjustments!$G:$G,Adjustments!$H:$H,"2H",Adjustments!$I:$I,'Schedule 2H Adjustments'!$F$12,Adjustments!$J:$J,'Schedule 2H Adjustments'!$A54)</f>
        <v>0</v>
      </c>
      <c r="H54" s="303">
        <f t="shared" si="0"/>
        <v>0</v>
      </c>
      <c r="I54" s="68">
        <f>IFERROR(F54*'As-Filed Schedule 1'!$E$103,0)</f>
        <v>0</v>
      </c>
      <c r="J54" s="304">
        <f>IFERROR(H54*'Adjusted Schedule 1'!$E$104,0)</f>
        <v>0</v>
      </c>
      <c r="K54" s="68">
        <f t="shared" si="1"/>
        <v>0</v>
      </c>
      <c r="L54" s="304">
        <f t="shared" si="2"/>
        <v>0</v>
      </c>
      <c r="N54" s="114">
        <f>'As-Filed Schedule 2H'!J54</f>
        <v>0</v>
      </c>
      <c r="O54" s="307">
        <f>SUMIFS(Adjustments!$G:$G,Adjustments!$H:$H,"2H",Adjustments!$I:$I,'Schedule 2H Adjustments'!$N$12,Adjustments!$J:$J,'Schedule 2H Adjustments'!$A54)</f>
        <v>0</v>
      </c>
      <c r="P54" s="303">
        <f t="shared" si="3"/>
        <v>0</v>
      </c>
      <c r="Q54" s="68">
        <f>IFERROR(N54*'As-Filed Schedule 1'!$E$103,0)</f>
        <v>0</v>
      </c>
      <c r="R54" s="68">
        <f>IFERROR(P54*'Adjusted Schedule 1'!$E$104,0)</f>
        <v>0</v>
      </c>
      <c r="S54" s="68">
        <f t="shared" si="4"/>
        <v>0</v>
      </c>
      <c r="T54" s="304">
        <f t="shared" si="5"/>
        <v>0</v>
      </c>
      <c r="V54" s="117">
        <f>'As-Filed Schedule 2H'!N54</f>
        <v>0</v>
      </c>
      <c r="W54" s="307">
        <f>SUMIFS(Adjustments!$G:$G,Adjustments!$H:$H,"2H",Adjustments!$I:$I,'Schedule 2H Adjustments'!$V$12,Adjustments!$J:$J,'Schedule 2H Adjustments'!$A54)</f>
        <v>0</v>
      </c>
      <c r="X54" s="303">
        <f t="shared" si="6"/>
        <v>0</v>
      </c>
      <c r="Y54" s="117">
        <f>'As-Filed Schedule 2H'!O54</f>
        <v>0</v>
      </c>
      <c r="Z54" s="307">
        <f>SUMIFS(Adjustments!$G:$G,Adjustments!$H:$H,"2H",Adjustments!$I:$I,'Schedule 2H Adjustments'!$Y$12,Adjustments!$J:$J,'Schedule 2H Adjustments'!$A54)</f>
        <v>0</v>
      </c>
      <c r="AA54" s="303">
        <f t="shared" si="7"/>
        <v>0</v>
      </c>
    </row>
    <row r="55" spans="1:27" x14ac:dyDescent="0.35">
      <c r="A55" s="24">
        <v>41</v>
      </c>
      <c r="B55" s="565" t="str">
        <f>IF('As-Filed Schedule 2H'!B55:D55=0,"",'As-Filed Schedule 2H'!B55:D55)</f>
        <v/>
      </c>
      <c r="C55" s="565"/>
      <c r="D55" s="565"/>
      <c r="F55" s="114">
        <f>'As-Filed Schedule 2H'!F55</f>
        <v>0</v>
      </c>
      <c r="G55" s="307">
        <f>SUMIFS(Adjustments!$G:$G,Adjustments!$H:$H,"2H",Adjustments!$I:$I,'Schedule 2H Adjustments'!$F$12,Adjustments!$J:$J,'Schedule 2H Adjustments'!$A55)</f>
        <v>0</v>
      </c>
      <c r="H55" s="303">
        <f t="shared" si="0"/>
        <v>0</v>
      </c>
      <c r="I55" s="68">
        <f>IFERROR(F55*'As-Filed Schedule 1'!$E$103,0)</f>
        <v>0</v>
      </c>
      <c r="J55" s="304">
        <f>IFERROR(H55*'Adjusted Schedule 1'!$E$104,0)</f>
        <v>0</v>
      </c>
      <c r="K55" s="68">
        <f t="shared" si="1"/>
        <v>0</v>
      </c>
      <c r="L55" s="304">
        <f t="shared" si="2"/>
        <v>0</v>
      </c>
      <c r="N55" s="114">
        <f>'As-Filed Schedule 2H'!J55</f>
        <v>0</v>
      </c>
      <c r="O55" s="307">
        <f>SUMIFS(Adjustments!$G:$G,Adjustments!$H:$H,"2H",Adjustments!$I:$I,'Schedule 2H Adjustments'!$N$12,Adjustments!$J:$J,'Schedule 2H Adjustments'!$A55)</f>
        <v>0</v>
      </c>
      <c r="P55" s="303">
        <f t="shared" si="3"/>
        <v>0</v>
      </c>
      <c r="Q55" s="68">
        <f>IFERROR(N55*'As-Filed Schedule 1'!$E$103,0)</f>
        <v>0</v>
      </c>
      <c r="R55" s="68">
        <f>IFERROR(P55*'Adjusted Schedule 1'!$E$104,0)</f>
        <v>0</v>
      </c>
      <c r="S55" s="68">
        <f t="shared" si="4"/>
        <v>0</v>
      </c>
      <c r="T55" s="304">
        <f t="shared" si="5"/>
        <v>0</v>
      </c>
      <c r="V55" s="117">
        <f>'As-Filed Schedule 2H'!N55</f>
        <v>0</v>
      </c>
      <c r="W55" s="307">
        <f>SUMIFS(Adjustments!$G:$G,Adjustments!$H:$H,"2H",Adjustments!$I:$I,'Schedule 2H Adjustments'!$V$12,Adjustments!$J:$J,'Schedule 2H Adjustments'!$A55)</f>
        <v>0</v>
      </c>
      <c r="X55" s="303">
        <f t="shared" si="6"/>
        <v>0</v>
      </c>
      <c r="Y55" s="117">
        <f>'As-Filed Schedule 2H'!O55</f>
        <v>0</v>
      </c>
      <c r="Z55" s="307">
        <f>SUMIFS(Adjustments!$G:$G,Adjustments!$H:$H,"2H",Adjustments!$I:$I,'Schedule 2H Adjustments'!$Y$12,Adjustments!$J:$J,'Schedule 2H Adjustments'!$A55)</f>
        <v>0</v>
      </c>
      <c r="AA55" s="303">
        <f t="shared" si="7"/>
        <v>0</v>
      </c>
    </row>
    <row r="56" spans="1:27" x14ac:dyDescent="0.35">
      <c r="A56" s="24">
        <v>42</v>
      </c>
      <c r="B56" s="565" t="str">
        <f>IF('As-Filed Schedule 2H'!B56:D56=0,"",'As-Filed Schedule 2H'!B56:D56)</f>
        <v/>
      </c>
      <c r="C56" s="565"/>
      <c r="D56" s="565"/>
      <c r="F56" s="114">
        <f>'As-Filed Schedule 2H'!F56</f>
        <v>0</v>
      </c>
      <c r="G56" s="307">
        <f>SUMIFS(Adjustments!$G:$G,Adjustments!$H:$H,"2H",Adjustments!$I:$I,'Schedule 2H Adjustments'!$F$12,Adjustments!$J:$J,'Schedule 2H Adjustments'!$A56)</f>
        <v>0</v>
      </c>
      <c r="H56" s="303">
        <f t="shared" si="0"/>
        <v>0</v>
      </c>
      <c r="I56" s="68">
        <f>IFERROR(F56*'As-Filed Schedule 1'!$E$103,0)</f>
        <v>0</v>
      </c>
      <c r="J56" s="304">
        <f>IFERROR(H56*'Adjusted Schedule 1'!$E$104,0)</f>
        <v>0</v>
      </c>
      <c r="K56" s="68">
        <f t="shared" si="1"/>
        <v>0</v>
      </c>
      <c r="L56" s="304">
        <f t="shared" si="2"/>
        <v>0</v>
      </c>
      <c r="N56" s="114">
        <f>'As-Filed Schedule 2H'!J56</f>
        <v>0</v>
      </c>
      <c r="O56" s="307">
        <f>SUMIFS(Adjustments!$G:$G,Adjustments!$H:$H,"2H",Adjustments!$I:$I,'Schedule 2H Adjustments'!$N$12,Adjustments!$J:$J,'Schedule 2H Adjustments'!$A56)</f>
        <v>0</v>
      </c>
      <c r="P56" s="303">
        <f t="shared" si="3"/>
        <v>0</v>
      </c>
      <c r="Q56" s="68">
        <f>IFERROR(N56*'As-Filed Schedule 1'!$E$103,0)</f>
        <v>0</v>
      </c>
      <c r="R56" s="68">
        <f>IFERROR(P56*'Adjusted Schedule 1'!$E$104,0)</f>
        <v>0</v>
      </c>
      <c r="S56" s="68">
        <f t="shared" si="4"/>
        <v>0</v>
      </c>
      <c r="T56" s="304">
        <f t="shared" si="5"/>
        <v>0</v>
      </c>
      <c r="V56" s="117">
        <f>'As-Filed Schedule 2H'!N56</f>
        <v>0</v>
      </c>
      <c r="W56" s="307">
        <f>SUMIFS(Adjustments!$G:$G,Adjustments!$H:$H,"2H",Adjustments!$I:$I,'Schedule 2H Adjustments'!$V$12,Adjustments!$J:$J,'Schedule 2H Adjustments'!$A56)</f>
        <v>0</v>
      </c>
      <c r="X56" s="303">
        <f t="shared" si="6"/>
        <v>0</v>
      </c>
      <c r="Y56" s="117">
        <f>'As-Filed Schedule 2H'!O56</f>
        <v>0</v>
      </c>
      <c r="Z56" s="307">
        <f>SUMIFS(Adjustments!$G:$G,Adjustments!$H:$H,"2H",Adjustments!$I:$I,'Schedule 2H Adjustments'!$Y$12,Adjustments!$J:$J,'Schedule 2H Adjustments'!$A56)</f>
        <v>0</v>
      </c>
      <c r="AA56" s="303">
        <f t="shared" si="7"/>
        <v>0</v>
      </c>
    </row>
    <row r="57" spans="1:27" x14ac:dyDescent="0.35">
      <c r="A57" s="24">
        <v>43</v>
      </c>
      <c r="B57" s="565" t="str">
        <f>IF('As-Filed Schedule 2H'!B57:D57=0,"",'As-Filed Schedule 2H'!B57:D57)</f>
        <v/>
      </c>
      <c r="C57" s="565"/>
      <c r="D57" s="565"/>
      <c r="F57" s="114">
        <f>'As-Filed Schedule 2H'!F57</f>
        <v>0</v>
      </c>
      <c r="G57" s="307">
        <f>SUMIFS(Adjustments!$G:$G,Adjustments!$H:$H,"2H",Adjustments!$I:$I,'Schedule 2H Adjustments'!$F$12,Adjustments!$J:$J,'Schedule 2H Adjustments'!$A57)</f>
        <v>0</v>
      </c>
      <c r="H57" s="303">
        <f t="shared" si="0"/>
        <v>0</v>
      </c>
      <c r="I57" s="68">
        <f>IFERROR(F57*'As-Filed Schedule 1'!$E$103,0)</f>
        <v>0</v>
      </c>
      <c r="J57" s="304">
        <f>IFERROR(H57*'Adjusted Schedule 1'!$E$104,0)</f>
        <v>0</v>
      </c>
      <c r="K57" s="68">
        <f t="shared" si="1"/>
        <v>0</v>
      </c>
      <c r="L57" s="304">
        <f t="shared" si="2"/>
        <v>0</v>
      </c>
      <c r="N57" s="114">
        <f>'As-Filed Schedule 2H'!J57</f>
        <v>0</v>
      </c>
      <c r="O57" s="307">
        <f>SUMIFS(Adjustments!$G:$G,Adjustments!$H:$H,"2H",Adjustments!$I:$I,'Schedule 2H Adjustments'!$N$12,Adjustments!$J:$J,'Schedule 2H Adjustments'!$A57)</f>
        <v>0</v>
      </c>
      <c r="P57" s="303">
        <f t="shared" si="3"/>
        <v>0</v>
      </c>
      <c r="Q57" s="68">
        <f>IFERROR(N57*'As-Filed Schedule 1'!$E$103,0)</f>
        <v>0</v>
      </c>
      <c r="R57" s="68">
        <f>IFERROR(P57*'Adjusted Schedule 1'!$E$104,0)</f>
        <v>0</v>
      </c>
      <c r="S57" s="68">
        <f t="shared" si="4"/>
        <v>0</v>
      </c>
      <c r="T57" s="304">
        <f t="shared" si="5"/>
        <v>0</v>
      </c>
      <c r="V57" s="117">
        <f>'As-Filed Schedule 2H'!N57</f>
        <v>0</v>
      </c>
      <c r="W57" s="307">
        <f>SUMIFS(Adjustments!$G:$G,Adjustments!$H:$H,"2H",Adjustments!$I:$I,'Schedule 2H Adjustments'!$V$12,Adjustments!$J:$J,'Schedule 2H Adjustments'!$A57)</f>
        <v>0</v>
      </c>
      <c r="X57" s="303">
        <f t="shared" si="6"/>
        <v>0</v>
      </c>
      <c r="Y57" s="117">
        <f>'As-Filed Schedule 2H'!O57</f>
        <v>0</v>
      </c>
      <c r="Z57" s="307">
        <f>SUMIFS(Adjustments!$G:$G,Adjustments!$H:$H,"2H",Adjustments!$I:$I,'Schedule 2H Adjustments'!$Y$12,Adjustments!$J:$J,'Schedule 2H Adjustments'!$A57)</f>
        <v>0</v>
      </c>
      <c r="AA57" s="303">
        <f t="shared" si="7"/>
        <v>0</v>
      </c>
    </row>
    <row r="58" spans="1:27" x14ac:dyDescent="0.35">
      <c r="A58" s="24">
        <v>44</v>
      </c>
      <c r="B58" s="565" t="str">
        <f>IF('As-Filed Schedule 2H'!B58:D58=0,"",'As-Filed Schedule 2H'!B58:D58)</f>
        <v/>
      </c>
      <c r="C58" s="565"/>
      <c r="D58" s="565"/>
      <c r="F58" s="114">
        <f>'As-Filed Schedule 2H'!F58</f>
        <v>0</v>
      </c>
      <c r="G58" s="307">
        <f>SUMIFS(Adjustments!$G:$G,Adjustments!$H:$H,"2H",Adjustments!$I:$I,'Schedule 2H Adjustments'!$F$12,Adjustments!$J:$J,'Schedule 2H Adjustments'!$A58)</f>
        <v>0</v>
      </c>
      <c r="H58" s="303">
        <f t="shared" si="0"/>
        <v>0</v>
      </c>
      <c r="I58" s="68">
        <f>IFERROR(F58*'As-Filed Schedule 1'!$E$103,0)</f>
        <v>0</v>
      </c>
      <c r="J58" s="304">
        <f>IFERROR(H58*'Adjusted Schedule 1'!$E$104,0)</f>
        <v>0</v>
      </c>
      <c r="K58" s="68">
        <f t="shared" si="1"/>
        <v>0</v>
      </c>
      <c r="L58" s="304">
        <f t="shared" si="2"/>
        <v>0</v>
      </c>
      <c r="N58" s="114">
        <f>'As-Filed Schedule 2H'!J58</f>
        <v>0</v>
      </c>
      <c r="O58" s="307">
        <f>SUMIFS(Adjustments!$G:$G,Adjustments!$H:$H,"2H",Adjustments!$I:$I,'Schedule 2H Adjustments'!$N$12,Adjustments!$J:$J,'Schedule 2H Adjustments'!$A58)</f>
        <v>0</v>
      </c>
      <c r="P58" s="303">
        <f t="shared" si="3"/>
        <v>0</v>
      </c>
      <c r="Q58" s="68">
        <f>IFERROR(N58*'As-Filed Schedule 1'!$E$103,0)</f>
        <v>0</v>
      </c>
      <c r="R58" s="68">
        <f>IFERROR(P58*'Adjusted Schedule 1'!$E$104,0)</f>
        <v>0</v>
      </c>
      <c r="S58" s="68">
        <f t="shared" si="4"/>
        <v>0</v>
      </c>
      <c r="T58" s="304">
        <f t="shared" si="5"/>
        <v>0</v>
      </c>
      <c r="V58" s="117">
        <f>'As-Filed Schedule 2H'!N58</f>
        <v>0</v>
      </c>
      <c r="W58" s="307">
        <f>SUMIFS(Adjustments!$G:$G,Adjustments!$H:$H,"2H",Adjustments!$I:$I,'Schedule 2H Adjustments'!$V$12,Adjustments!$J:$J,'Schedule 2H Adjustments'!$A58)</f>
        <v>0</v>
      </c>
      <c r="X58" s="303">
        <f t="shared" si="6"/>
        <v>0</v>
      </c>
      <c r="Y58" s="117">
        <f>'As-Filed Schedule 2H'!O58</f>
        <v>0</v>
      </c>
      <c r="Z58" s="307">
        <f>SUMIFS(Adjustments!$G:$G,Adjustments!$H:$H,"2H",Adjustments!$I:$I,'Schedule 2H Adjustments'!$Y$12,Adjustments!$J:$J,'Schedule 2H Adjustments'!$A58)</f>
        <v>0</v>
      </c>
      <c r="AA58" s="303">
        <f t="shared" si="7"/>
        <v>0</v>
      </c>
    </row>
    <row r="59" spans="1:27" x14ac:dyDescent="0.35">
      <c r="A59" s="24">
        <v>45</v>
      </c>
      <c r="B59" s="565" t="str">
        <f>IF('As-Filed Schedule 2H'!B59:D59=0,"",'As-Filed Schedule 2H'!B59:D59)</f>
        <v/>
      </c>
      <c r="C59" s="565"/>
      <c r="D59" s="565"/>
      <c r="F59" s="114">
        <f>'As-Filed Schedule 2H'!F59</f>
        <v>0</v>
      </c>
      <c r="G59" s="307">
        <f>SUMIFS(Adjustments!$G:$G,Adjustments!$H:$H,"2H",Adjustments!$I:$I,'Schedule 2H Adjustments'!$F$12,Adjustments!$J:$J,'Schedule 2H Adjustments'!$A59)</f>
        <v>0</v>
      </c>
      <c r="H59" s="303">
        <f t="shared" si="0"/>
        <v>0</v>
      </c>
      <c r="I59" s="68">
        <f>IFERROR(F59*'As-Filed Schedule 1'!$E$103,0)</f>
        <v>0</v>
      </c>
      <c r="J59" s="304">
        <f>IFERROR(H59*'Adjusted Schedule 1'!$E$104,0)</f>
        <v>0</v>
      </c>
      <c r="K59" s="68">
        <f t="shared" si="1"/>
        <v>0</v>
      </c>
      <c r="L59" s="304">
        <f t="shared" si="2"/>
        <v>0</v>
      </c>
      <c r="N59" s="114">
        <f>'As-Filed Schedule 2H'!J59</f>
        <v>0</v>
      </c>
      <c r="O59" s="307">
        <f>SUMIFS(Adjustments!$G:$G,Adjustments!$H:$H,"2H",Adjustments!$I:$I,'Schedule 2H Adjustments'!$N$12,Adjustments!$J:$J,'Schedule 2H Adjustments'!$A59)</f>
        <v>0</v>
      </c>
      <c r="P59" s="303">
        <f t="shared" si="3"/>
        <v>0</v>
      </c>
      <c r="Q59" s="68">
        <f>IFERROR(N59*'As-Filed Schedule 1'!$E$103,0)</f>
        <v>0</v>
      </c>
      <c r="R59" s="68">
        <f>IFERROR(P59*'Adjusted Schedule 1'!$E$104,0)</f>
        <v>0</v>
      </c>
      <c r="S59" s="68">
        <f t="shared" si="4"/>
        <v>0</v>
      </c>
      <c r="T59" s="304">
        <f t="shared" si="5"/>
        <v>0</v>
      </c>
      <c r="V59" s="117">
        <f>'As-Filed Schedule 2H'!N59</f>
        <v>0</v>
      </c>
      <c r="W59" s="307">
        <f>SUMIFS(Adjustments!$G:$G,Adjustments!$H:$H,"2H",Adjustments!$I:$I,'Schedule 2H Adjustments'!$V$12,Adjustments!$J:$J,'Schedule 2H Adjustments'!$A59)</f>
        <v>0</v>
      </c>
      <c r="X59" s="303">
        <f t="shared" si="6"/>
        <v>0</v>
      </c>
      <c r="Y59" s="117">
        <f>'As-Filed Schedule 2H'!O59</f>
        <v>0</v>
      </c>
      <c r="Z59" s="307">
        <f>SUMIFS(Adjustments!$G:$G,Adjustments!$H:$H,"2H",Adjustments!$I:$I,'Schedule 2H Adjustments'!$Y$12,Adjustments!$J:$J,'Schedule 2H Adjustments'!$A59)</f>
        <v>0</v>
      </c>
      <c r="AA59" s="303">
        <f t="shared" si="7"/>
        <v>0</v>
      </c>
    </row>
    <row r="60" spans="1:27" x14ac:dyDescent="0.35">
      <c r="A60" s="24">
        <v>46</v>
      </c>
      <c r="B60" s="565" t="str">
        <f>IF('As-Filed Schedule 2H'!B60:D60=0,"",'As-Filed Schedule 2H'!B60:D60)</f>
        <v/>
      </c>
      <c r="C60" s="565"/>
      <c r="D60" s="565"/>
      <c r="F60" s="114">
        <f>'As-Filed Schedule 2H'!F60</f>
        <v>0</v>
      </c>
      <c r="G60" s="307">
        <f>SUMIFS(Adjustments!$G:$G,Adjustments!$H:$H,"2H",Adjustments!$I:$I,'Schedule 2H Adjustments'!$F$12,Adjustments!$J:$J,'Schedule 2H Adjustments'!$A60)</f>
        <v>0</v>
      </c>
      <c r="H60" s="303">
        <f t="shared" si="0"/>
        <v>0</v>
      </c>
      <c r="I60" s="68">
        <f>IFERROR(F60*'As-Filed Schedule 1'!$E$103,0)</f>
        <v>0</v>
      </c>
      <c r="J60" s="304">
        <f>IFERROR(H60*'Adjusted Schedule 1'!$E$104,0)</f>
        <v>0</v>
      </c>
      <c r="K60" s="68">
        <f t="shared" si="1"/>
        <v>0</v>
      </c>
      <c r="L60" s="304">
        <f t="shared" si="2"/>
        <v>0</v>
      </c>
      <c r="N60" s="114">
        <f>'As-Filed Schedule 2H'!J60</f>
        <v>0</v>
      </c>
      <c r="O60" s="307">
        <f>SUMIFS(Adjustments!$G:$G,Adjustments!$H:$H,"2H",Adjustments!$I:$I,'Schedule 2H Adjustments'!$N$12,Adjustments!$J:$J,'Schedule 2H Adjustments'!$A60)</f>
        <v>0</v>
      </c>
      <c r="P60" s="303">
        <f t="shared" si="3"/>
        <v>0</v>
      </c>
      <c r="Q60" s="68">
        <f>IFERROR(N60*'As-Filed Schedule 1'!$E$103,0)</f>
        <v>0</v>
      </c>
      <c r="R60" s="68">
        <f>IFERROR(P60*'Adjusted Schedule 1'!$E$104,0)</f>
        <v>0</v>
      </c>
      <c r="S60" s="68">
        <f t="shared" si="4"/>
        <v>0</v>
      </c>
      <c r="T60" s="304">
        <f t="shared" si="5"/>
        <v>0</v>
      </c>
      <c r="V60" s="117">
        <f>'As-Filed Schedule 2H'!N60</f>
        <v>0</v>
      </c>
      <c r="W60" s="307">
        <f>SUMIFS(Adjustments!$G:$G,Adjustments!$H:$H,"2H",Adjustments!$I:$I,'Schedule 2H Adjustments'!$V$12,Adjustments!$J:$J,'Schedule 2H Adjustments'!$A60)</f>
        <v>0</v>
      </c>
      <c r="X60" s="303">
        <f t="shared" si="6"/>
        <v>0</v>
      </c>
      <c r="Y60" s="117">
        <f>'As-Filed Schedule 2H'!O60</f>
        <v>0</v>
      </c>
      <c r="Z60" s="307">
        <f>SUMIFS(Adjustments!$G:$G,Adjustments!$H:$H,"2H",Adjustments!$I:$I,'Schedule 2H Adjustments'!$Y$12,Adjustments!$J:$J,'Schedule 2H Adjustments'!$A60)</f>
        <v>0</v>
      </c>
      <c r="AA60" s="303">
        <f t="shared" si="7"/>
        <v>0</v>
      </c>
    </row>
    <row r="61" spans="1:27" x14ac:dyDescent="0.35">
      <c r="A61" s="24">
        <v>47</v>
      </c>
      <c r="B61" s="565" t="str">
        <f>IF('As-Filed Schedule 2H'!B61:D61=0,"",'As-Filed Schedule 2H'!B61:D61)</f>
        <v/>
      </c>
      <c r="C61" s="565"/>
      <c r="D61" s="565"/>
      <c r="F61" s="114">
        <f>'As-Filed Schedule 2H'!F61</f>
        <v>0</v>
      </c>
      <c r="G61" s="307">
        <f>SUMIFS(Adjustments!$G:$G,Adjustments!$H:$H,"2H",Adjustments!$I:$I,'Schedule 2H Adjustments'!$F$12,Adjustments!$J:$J,'Schedule 2H Adjustments'!$A61)</f>
        <v>0</v>
      </c>
      <c r="H61" s="303">
        <f t="shared" si="0"/>
        <v>0</v>
      </c>
      <c r="I61" s="68">
        <f>IFERROR(F61*'As-Filed Schedule 1'!$E$103,0)</f>
        <v>0</v>
      </c>
      <c r="J61" s="304">
        <f>IFERROR(H61*'Adjusted Schedule 1'!$E$104,0)</f>
        <v>0</v>
      </c>
      <c r="K61" s="68">
        <f t="shared" si="1"/>
        <v>0</v>
      </c>
      <c r="L61" s="304">
        <f t="shared" si="2"/>
        <v>0</v>
      </c>
      <c r="N61" s="114">
        <f>'As-Filed Schedule 2H'!J61</f>
        <v>0</v>
      </c>
      <c r="O61" s="307">
        <f>SUMIFS(Adjustments!$G:$G,Adjustments!$H:$H,"2H",Adjustments!$I:$I,'Schedule 2H Adjustments'!$N$12,Adjustments!$J:$J,'Schedule 2H Adjustments'!$A61)</f>
        <v>0</v>
      </c>
      <c r="P61" s="303">
        <f t="shared" si="3"/>
        <v>0</v>
      </c>
      <c r="Q61" s="68">
        <f>IFERROR(N61*'As-Filed Schedule 1'!$E$103,0)</f>
        <v>0</v>
      </c>
      <c r="R61" s="68">
        <f>IFERROR(P61*'Adjusted Schedule 1'!$E$104,0)</f>
        <v>0</v>
      </c>
      <c r="S61" s="68">
        <f t="shared" si="4"/>
        <v>0</v>
      </c>
      <c r="T61" s="304">
        <f t="shared" si="5"/>
        <v>0</v>
      </c>
      <c r="V61" s="117">
        <f>'As-Filed Schedule 2H'!N61</f>
        <v>0</v>
      </c>
      <c r="W61" s="307">
        <f>SUMIFS(Adjustments!$G:$G,Adjustments!$H:$H,"2H",Adjustments!$I:$I,'Schedule 2H Adjustments'!$V$12,Adjustments!$J:$J,'Schedule 2H Adjustments'!$A61)</f>
        <v>0</v>
      </c>
      <c r="X61" s="303">
        <f t="shared" si="6"/>
        <v>0</v>
      </c>
      <c r="Y61" s="117">
        <f>'As-Filed Schedule 2H'!O61</f>
        <v>0</v>
      </c>
      <c r="Z61" s="307">
        <f>SUMIFS(Adjustments!$G:$G,Adjustments!$H:$H,"2H",Adjustments!$I:$I,'Schedule 2H Adjustments'!$Y$12,Adjustments!$J:$J,'Schedule 2H Adjustments'!$A61)</f>
        <v>0</v>
      </c>
      <c r="AA61" s="303">
        <f t="shared" si="7"/>
        <v>0</v>
      </c>
    </row>
    <row r="62" spans="1:27" x14ac:dyDescent="0.35">
      <c r="A62" s="24">
        <v>48</v>
      </c>
      <c r="B62" s="565" t="str">
        <f>IF('As-Filed Schedule 2H'!B62:D62=0,"",'As-Filed Schedule 2H'!B62:D62)</f>
        <v/>
      </c>
      <c r="C62" s="565"/>
      <c r="D62" s="565"/>
      <c r="F62" s="114">
        <f>'As-Filed Schedule 2H'!F62</f>
        <v>0</v>
      </c>
      <c r="G62" s="307">
        <f>SUMIFS(Adjustments!$G:$G,Adjustments!$H:$H,"2H",Adjustments!$I:$I,'Schedule 2H Adjustments'!$F$12,Adjustments!$J:$J,'Schedule 2H Adjustments'!$A62)</f>
        <v>0</v>
      </c>
      <c r="H62" s="303">
        <f t="shared" si="0"/>
        <v>0</v>
      </c>
      <c r="I62" s="68">
        <f>IFERROR(F62*'As-Filed Schedule 1'!$E$103,0)</f>
        <v>0</v>
      </c>
      <c r="J62" s="304">
        <f>IFERROR(H62*'Adjusted Schedule 1'!$E$104,0)</f>
        <v>0</v>
      </c>
      <c r="K62" s="68">
        <f t="shared" si="1"/>
        <v>0</v>
      </c>
      <c r="L62" s="304">
        <f t="shared" si="2"/>
        <v>0</v>
      </c>
      <c r="N62" s="114">
        <f>'As-Filed Schedule 2H'!J62</f>
        <v>0</v>
      </c>
      <c r="O62" s="307">
        <f>SUMIFS(Adjustments!$G:$G,Adjustments!$H:$H,"2H",Adjustments!$I:$I,'Schedule 2H Adjustments'!$N$12,Adjustments!$J:$J,'Schedule 2H Adjustments'!$A62)</f>
        <v>0</v>
      </c>
      <c r="P62" s="303">
        <f t="shared" si="3"/>
        <v>0</v>
      </c>
      <c r="Q62" s="68">
        <f>IFERROR(N62*'As-Filed Schedule 1'!$E$103,0)</f>
        <v>0</v>
      </c>
      <c r="R62" s="68">
        <f>IFERROR(P62*'Adjusted Schedule 1'!$E$104,0)</f>
        <v>0</v>
      </c>
      <c r="S62" s="68">
        <f t="shared" si="4"/>
        <v>0</v>
      </c>
      <c r="T62" s="304">
        <f t="shared" si="5"/>
        <v>0</v>
      </c>
      <c r="V62" s="117">
        <f>'As-Filed Schedule 2H'!N62</f>
        <v>0</v>
      </c>
      <c r="W62" s="307">
        <f>SUMIFS(Adjustments!$G:$G,Adjustments!$H:$H,"2H",Adjustments!$I:$I,'Schedule 2H Adjustments'!$V$12,Adjustments!$J:$J,'Schedule 2H Adjustments'!$A62)</f>
        <v>0</v>
      </c>
      <c r="X62" s="303">
        <f t="shared" si="6"/>
        <v>0</v>
      </c>
      <c r="Y62" s="117">
        <f>'As-Filed Schedule 2H'!O62</f>
        <v>0</v>
      </c>
      <c r="Z62" s="307">
        <f>SUMIFS(Adjustments!$G:$G,Adjustments!$H:$H,"2H",Adjustments!$I:$I,'Schedule 2H Adjustments'!$Y$12,Adjustments!$J:$J,'Schedule 2H Adjustments'!$A62)</f>
        <v>0</v>
      </c>
      <c r="AA62" s="303">
        <f t="shared" si="7"/>
        <v>0</v>
      </c>
    </row>
    <row r="63" spans="1:27" x14ac:dyDescent="0.35">
      <c r="A63" s="24">
        <v>49</v>
      </c>
      <c r="B63" s="565" t="str">
        <f>IF('As-Filed Schedule 2H'!B63:D63=0,"",'As-Filed Schedule 2H'!B63:D63)</f>
        <v/>
      </c>
      <c r="C63" s="565"/>
      <c r="D63" s="565"/>
      <c r="F63" s="114">
        <f>'As-Filed Schedule 2H'!F63</f>
        <v>0</v>
      </c>
      <c r="G63" s="307">
        <f>SUMIFS(Adjustments!$G:$G,Adjustments!$H:$H,"2H",Adjustments!$I:$I,'Schedule 2H Adjustments'!$F$12,Adjustments!$J:$J,'Schedule 2H Adjustments'!$A63)</f>
        <v>0</v>
      </c>
      <c r="H63" s="303">
        <f t="shared" si="0"/>
        <v>0</v>
      </c>
      <c r="I63" s="68">
        <f>IFERROR(F63*'As-Filed Schedule 1'!$E$103,0)</f>
        <v>0</v>
      </c>
      <c r="J63" s="304">
        <f>IFERROR(H63*'Adjusted Schedule 1'!$E$104,0)</f>
        <v>0</v>
      </c>
      <c r="K63" s="68">
        <f t="shared" si="1"/>
        <v>0</v>
      </c>
      <c r="L63" s="304">
        <f t="shared" si="2"/>
        <v>0</v>
      </c>
      <c r="N63" s="114">
        <f>'As-Filed Schedule 2H'!J63</f>
        <v>0</v>
      </c>
      <c r="O63" s="307">
        <f>SUMIFS(Adjustments!$G:$G,Adjustments!$H:$H,"2H",Adjustments!$I:$I,'Schedule 2H Adjustments'!$N$12,Adjustments!$J:$J,'Schedule 2H Adjustments'!$A63)</f>
        <v>0</v>
      </c>
      <c r="P63" s="303">
        <f t="shared" si="3"/>
        <v>0</v>
      </c>
      <c r="Q63" s="68">
        <f>IFERROR(N63*'As-Filed Schedule 1'!$E$103,0)</f>
        <v>0</v>
      </c>
      <c r="R63" s="68">
        <f>IFERROR(P63*'Adjusted Schedule 1'!$E$104,0)</f>
        <v>0</v>
      </c>
      <c r="S63" s="68">
        <f t="shared" si="4"/>
        <v>0</v>
      </c>
      <c r="T63" s="304">
        <f t="shared" si="5"/>
        <v>0</v>
      </c>
      <c r="V63" s="117">
        <f>'As-Filed Schedule 2H'!N63</f>
        <v>0</v>
      </c>
      <c r="W63" s="307">
        <f>SUMIFS(Adjustments!$G:$G,Adjustments!$H:$H,"2H",Adjustments!$I:$I,'Schedule 2H Adjustments'!$V$12,Adjustments!$J:$J,'Schedule 2H Adjustments'!$A63)</f>
        <v>0</v>
      </c>
      <c r="X63" s="303">
        <f t="shared" si="6"/>
        <v>0</v>
      </c>
      <c r="Y63" s="117">
        <f>'As-Filed Schedule 2H'!O63</f>
        <v>0</v>
      </c>
      <c r="Z63" s="307">
        <f>SUMIFS(Adjustments!$G:$G,Adjustments!$H:$H,"2H",Adjustments!$I:$I,'Schedule 2H Adjustments'!$Y$12,Adjustments!$J:$J,'Schedule 2H Adjustments'!$A63)</f>
        <v>0</v>
      </c>
      <c r="AA63" s="303">
        <f t="shared" si="7"/>
        <v>0</v>
      </c>
    </row>
    <row r="64" spans="1:27" x14ac:dyDescent="0.35">
      <c r="A64" s="24">
        <v>50</v>
      </c>
      <c r="B64" s="565" t="str">
        <f>IF('As-Filed Schedule 2H'!B64:D64=0,"",'As-Filed Schedule 2H'!B64:D64)</f>
        <v/>
      </c>
      <c r="C64" s="565"/>
      <c r="D64" s="565"/>
      <c r="F64" s="114">
        <f>'As-Filed Schedule 2H'!F64</f>
        <v>0</v>
      </c>
      <c r="G64" s="307">
        <f>SUMIFS(Adjustments!$G:$G,Adjustments!$H:$H,"2H",Adjustments!$I:$I,'Schedule 2H Adjustments'!$F$12,Adjustments!$J:$J,'Schedule 2H Adjustments'!$A64)</f>
        <v>0</v>
      </c>
      <c r="H64" s="303">
        <f t="shared" si="0"/>
        <v>0</v>
      </c>
      <c r="I64" s="68">
        <f>IFERROR(F64*'As-Filed Schedule 1'!$E$103,0)</f>
        <v>0</v>
      </c>
      <c r="J64" s="304">
        <f>IFERROR(H64*'Adjusted Schedule 1'!$E$104,0)</f>
        <v>0</v>
      </c>
      <c r="K64" s="68">
        <f t="shared" si="1"/>
        <v>0</v>
      </c>
      <c r="L64" s="304">
        <f t="shared" si="2"/>
        <v>0</v>
      </c>
      <c r="N64" s="114">
        <f>'As-Filed Schedule 2H'!J64</f>
        <v>0</v>
      </c>
      <c r="O64" s="307">
        <f>SUMIFS(Adjustments!$G:$G,Adjustments!$H:$H,"2H",Adjustments!$I:$I,'Schedule 2H Adjustments'!$N$12,Adjustments!$J:$J,'Schedule 2H Adjustments'!$A64)</f>
        <v>0</v>
      </c>
      <c r="P64" s="303">
        <f t="shared" si="3"/>
        <v>0</v>
      </c>
      <c r="Q64" s="68">
        <f>IFERROR(N64*'As-Filed Schedule 1'!$E$103,0)</f>
        <v>0</v>
      </c>
      <c r="R64" s="68">
        <f>IFERROR(P64*'Adjusted Schedule 1'!$E$104,0)</f>
        <v>0</v>
      </c>
      <c r="S64" s="68">
        <f t="shared" si="4"/>
        <v>0</v>
      </c>
      <c r="T64" s="304">
        <f t="shared" si="5"/>
        <v>0</v>
      </c>
      <c r="V64" s="117">
        <f>'As-Filed Schedule 2H'!N64</f>
        <v>0</v>
      </c>
      <c r="W64" s="307">
        <f>SUMIFS(Adjustments!$G:$G,Adjustments!$H:$H,"2H",Adjustments!$I:$I,'Schedule 2H Adjustments'!$V$12,Adjustments!$J:$J,'Schedule 2H Adjustments'!$A64)</f>
        <v>0</v>
      </c>
      <c r="X64" s="303">
        <f t="shared" si="6"/>
        <v>0</v>
      </c>
      <c r="Y64" s="117">
        <f>'As-Filed Schedule 2H'!O64</f>
        <v>0</v>
      </c>
      <c r="Z64" s="307">
        <f>SUMIFS(Adjustments!$G:$G,Adjustments!$H:$H,"2H",Adjustments!$I:$I,'Schedule 2H Adjustments'!$Y$12,Adjustments!$J:$J,'Schedule 2H Adjustments'!$A64)</f>
        <v>0</v>
      </c>
      <c r="AA64" s="303">
        <f t="shared" si="7"/>
        <v>0</v>
      </c>
    </row>
    <row r="65" spans="1:27" x14ac:dyDescent="0.35">
      <c r="A65" s="24">
        <v>51</v>
      </c>
      <c r="B65" s="565" t="str">
        <f>IF('As-Filed Schedule 2H'!B65:D65=0,"",'As-Filed Schedule 2H'!B65:D65)</f>
        <v/>
      </c>
      <c r="C65" s="565"/>
      <c r="D65" s="565"/>
      <c r="F65" s="114">
        <f>'As-Filed Schedule 2H'!F65</f>
        <v>0</v>
      </c>
      <c r="G65" s="307">
        <f>SUMIFS(Adjustments!$G:$G,Adjustments!$H:$H,"2H",Adjustments!$I:$I,'Schedule 2H Adjustments'!$F$12,Adjustments!$J:$J,'Schedule 2H Adjustments'!$A65)</f>
        <v>0</v>
      </c>
      <c r="H65" s="303">
        <f t="shared" si="0"/>
        <v>0</v>
      </c>
      <c r="I65" s="68">
        <f>IFERROR(F65*'As-Filed Schedule 1'!$E$103,0)</f>
        <v>0</v>
      </c>
      <c r="J65" s="304">
        <f>IFERROR(H65*'Adjusted Schedule 1'!$E$104,0)</f>
        <v>0</v>
      </c>
      <c r="K65" s="68">
        <f t="shared" si="1"/>
        <v>0</v>
      </c>
      <c r="L65" s="304">
        <f t="shared" si="2"/>
        <v>0</v>
      </c>
      <c r="N65" s="114">
        <f>'As-Filed Schedule 2H'!J65</f>
        <v>0</v>
      </c>
      <c r="O65" s="307">
        <f>SUMIFS(Adjustments!$G:$G,Adjustments!$H:$H,"2H",Adjustments!$I:$I,'Schedule 2H Adjustments'!$N$12,Adjustments!$J:$J,'Schedule 2H Adjustments'!$A65)</f>
        <v>0</v>
      </c>
      <c r="P65" s="303">
        <f t="shared" si="3"/>
        <v>0</v>
      </c>
      <c r="Q65" s="68">
        <f>IFERROR(N65*'As-Filed Schedule 1'!$E$103,0)</f>
        <v>0</v>
      </c>
      <c r="R65" s="68">
        <f>IFERROR(P65*'Adjusted Schedule 1'!$E$104,0)</f>
        <v>0</v>
      </c>
      <c r="S65" s="68">
        <f t="shared" si="4"/>
        <v>0</v>
      </c>
      <c r="T65" s="304">
        <f t="shared" si="5"/>
        <v>0</v>
      </c>
      <c r="V65" s="117">
        <f>'As-Filed Schedule 2H'!N65</f>
        <v>0</v>
      </c>
      <c r="W65" s="307">
        <f>SUMIFS(Adjustments!$G:$G,Adjustments!$H:$H,"2H",Adjustments!$I:$I,'Schedule 2H Adjustments'!$V$12,Adjustments!$J:$J,'Schedule 2H Adjustments'!$A65)</f>
        <v>0</v>
      </c>
      <c r="X65" s="303">
        <f t="shared" si="6"/>
        <v>0</v>
      </c>
      <c r="Y65" s="117">
        <f>'As-Filed Schedule 2H'!O65</f>
        <v>0</v>
      </c>
      <c r="Z65" s="307">
        <f>SUMIFS(Adjustments!$G:$G,Adjustments!$H:$H,"2H",Adjustments!$I:$I,'Schedule 2H Adjustments'!$Y$12,Adjustments!$J:$J,'Schedule 2H Adjustments'!$A65)</f>
        <v>0</v>
      </c>
      <c r="AA65" s="303">
        <f t="shared" si="7"/>
        <v>0</v>
      </c>
    </row>
    <row r="66" spans="1:27" x14ac:dyDescent="0.35">
      <c r="A66" s="24">
        <v>52</v>
      </c>
      <c r="B66" s="565" t="str">
        <f>IF('As-Filed Schedule 2H'!B66:D66=0,"",'As-Filed Schedule 2H'!B66:D66)</f>
        <v/>
      </c>
      <c r="C66" s="565"/>
      <c r="D66" s="565"/>
      <c r="F66" s="114">
        <f>'As-Filed Schedule 2H'!F66</f>
        <v>0</v>
      </c>
      <c r="G66" s="307">
        <f>SUMIFS(Adjustments!$G:$G,Adjustments!$H:$H,"2H",Adjustments!$I:$I,'Schedule 2H Adjustments'!$F$12,Adjustments!$J:$J,'Schedule 2H Adjustments'!$A66)</f>
        <v>0</v>
      </c>
      <c r="H66" s="303">
        <f t="shared" si="0"/>
        <v>0</v>
      </c>
      <c r="I66" s="68">
        <f>IFERROR(F66*'As-Filed Schedule 1'!$E$103,0)</f>
        <v>0</v>
      </c>
      <c r="J66" s="304">
        <f>IFERROR(H66*'Adjusted Schedule 1'!$E$104,0)</f>
        <v>0</v>
      </c>
      <c r="K66" s="68">
        <f t="shared" si="1"/>
        <v>0</v>
      </c>
      <c r="L66" s="304">
        <f t="shared" si="2"/>
        <v>0</v>
      </c>
      <c r="N66" s="114">
        <f>'As-Filed Schedule 2H'!J66</f>
        <v>0</v>
      </c>
      <c r="O66" s="307">
        <f>SUMIFS(Adjustments!$G:$G,Adjustments!$H:$H,"2H",Adjustments!$I:$I,'Schedule 2H Adjustments'!$N$12,Adjustments!$J:$J,'Schedule 2H Adjustments'!$A66)</f>
        <v>0</v>
      </c>
      <c r="P66" s="303">
        <f t="shared" si="3"/>
        <v>0</v>
      </c>
      <c r="Q66" s="68">
        <f>IFERROR(N66*'As-Filed Schedule 1'!$E$103,0)</f>
        <v>0</v>
      </c>
      <c r="R66" s="68">
        <f>IFERROR(P66*'Adjusted Schedule 1'!$E$104,0)</f>
        <v>0</v>
      </c>
      <c r="S66" s="68">
        <f t="shared" si="4"/>
        <v>0</v>
      </c>
      <c r="T66" s="304">
        <f t="shared" si="5"/>
        <v>0</v>
      </c>
      <c r="V66" s="117">
        <f>'As-Filed Schedule 2H'!N66</f>
        <v>0</v>
      </c>
      <c r="W66" s="307">
        <f>SUMIFS(Adjustments!$G:$G,Adjustments!$H:$H,"2H",Adjustments!$I:$I,'Schedule 2H Adjustments'!$V$12,Adjustments!$J:$J,'Schedule 2H Adjustments'!$A66)</f>
        <v>0</v>
      </c>
      <c r="X66" s="303">
        <f t="shared" si="6"/>
        <v>0</v>
      </c>
      <c r="Y66" s="117">
        <f>'As-Filed Schedule 2H'!O66</f>
        <v>0</v>
      </c>
      <c r="Z66" s="307">
        <f>SUMIFS(Adjustments!$G:$G,Adjustments!$H:$H,"2H",Adjustments!$I:$I,'Schedule 2H Adjustments'!$Y$12,Adjustments!$J:$J,'Schedule 2H Adjustments'!$A66)</f>
        <v>0</v>
      </c>
      <c r="AA66" s="303">
        <f t="shared" si="7"/>
        <v>0</v>
      </c>
    </row>
    <row r="67" spans="1:27" x14ac:dyDescent="0.35">
      <c r="A67" s="24">
        <v>53</v>
      </c>
      <c r="B67" s="565" t="str">
        <f>IF('As-Filed Schedule 2H'!B67:D67=0,"",'As-Filed Schedule 2H'!B67:D67)</f>
        <v/>
      </c>
      <c r="C67" s="565"/>
      <c r="D67" s="565"/>
      <c r="F67" s="114">
        <f>'As-Filed Schedule 2H'!F67</f>
        <v>0</v>
      </c>
      <c r="G67" s="307">
        <f>SUMIFS(Adjustments!$G:$G,Adjustments!$H:$H,"2H",Adjustments!$I:$I,'Schedule 2H Adjustments'!$F$12,Adjustments!$J:$J,'Schedule 2H Adjustments'!$A67)</f>
        <v>0</v>
      </c>
      <c r="H67" s="303">
        <f t="shared" si="0"/>
        <v>0</v>
      </c>
      <c r="I67" s="68">
        <f>IFERROR(F67*'As-Filed Schedule 1'!$E$103,0)</f>
        <v>0</v>
      </c>
      <c r="J67" s="304">
        <f>IFERROR(H67*'Adjusted Schedule 1'!$E$104,0)</f>
        <v>0</v>
      </c>
      <c r="K67" s="68">
        <f t="shared" si="1"/>
        <v>0</v>
      </c>
      <c r="L67" s="304">
        <f t="shared" si="2"/>
        <v>0</v>
      </c>
      <c r="N67" s="114">
        <f>'As-Filed Schedule 2H'!J67</f>
        <v>0</v>
      </c>
      <c r="O67" s="307">
        <f>SUMIFS(Adjustments!$G:$G,Adjustments!$H:$H,"2H",Adjustments!$I:$I,'Schedule 2H Adjustments'!$N$12,Adjustments!$J:$J,'Schedule 2H Adjustments'!$A67)</f>
        <v>0</v>
      </c>
      <c r="P67" s="303">
        <f t="shared" si="3"/>
        <v>0</v>
      </c>
      <c r="Q67" s="68">
        <f>IFERROR(N67*'As-Filed Schedule 1'!$E$103,0)</f>
        <v>0</v>
      </c>
      <c r="R67" s="68">
        <f>IFERROR(P67*'Adjusted Schedule 1'!$E$104,0)</f>
        <v>0</v>
      </c>
      <c r="S67" s="68">
        <f t="shared" si="4"/>
        <v>0</v>
      </c>
      <c r="T67" s="304">
        <f t="shared" si="5"/>
        <v>0</v>
      </c>
      <c r="V67" s="117">
        <f>'As-Filed Schedule 2H'!N67</f>
        <v>0</v>
      </c>
      <c r="W67" s="307">
        <f>SUMIFS(Adjustments!$G:$G,Adjustments!$H:$H,"2H",Adjustments!$I:$I,'Schedule 2H Adjustments'!$V$12,Adjustments!$J:$J,'Schedule 2H Adjustments'!$A67)</f>
        <v>0</v>
      </c>
      <c r="X67" s="303">
        <f t="shared" si="6"/>
        <v>0</v>
      </c>
      <c r="Y67" s="117">
        <f>'As-Filed Schedule 2H'!O67</f>
        <v>0</v>
      </c>
      <c r="Z67" s="307">
        <f>SUMIFS(Adjustments!$G:$G,Adjustments!$H:$H,"2H",Adjustments!$I:$I,'Schedule 2H Adjustments'!$Y$12,Adjustments!$J:$J,'Schedule 2H Adjustments'!$A67)</f>
        <v>0</v>
      </c>
      <c r="AA67" s="303">
        <f t="shared" si="7"/>
        <v>0</v>
      </c>
    </row>
    <row r="68" spans="1:27" x14ac:dyDescent="0.35">
      <c r="A68" s="24">
        <v>54</v>
      </c>
      <c r="B68" s="565" t="str">
        <f>IF('As-Filed Schedule 2H'!B68:D68=0,"",'As-Filed Schedule 2H'!B68:D68)</f>
        <v/>
      </c>
      <c r="C68" s="565"/>
      <c r="D68" s="565"/>
      <c r="F68" s="114">
        <f>'As-Filed Schedule 2H'!F68</f>
        <v>0</v>
      </c>
      <c r="G68" s="307">
        <f>SUMIFS(Adjustments!$G:$G,Adjustments!$H:$H,"2H",Adjustments!$I:$I,'Schedule 2H Adjustments'!$F$12,Adjustments!$J:$J,'Schedule 2H Adjustments'!$A68)</f>
        <v>0</v>
      </c>
      <c r="H68" s="303">
        <f t="shared" si="0"/>
        <v>0</v>
      </c>
      <c r="I68" s="68">
        <f>IFERROR(F68*'As-Filed Schedule 1'!$E$103,0)</f>
        <v>0</v>
      </c>
      <c r="J68" s="304">
        <f>IFERROR(H68*'Adjusted Schedule 1'!$E$104,0)</f>
        <v>0</v>
      </c>
      <c r="K68" s="68">
        <f t="shared" si="1"/>
        <v>0</v>
      </c>
      <c r="L68" s="304">
        <f t="shared" si="2"/>
        <v>0</v>
      </c>
      <c r="N68" s="114">
        <f>'As-Filed Schedule 2H'!J68</f>
        <v>0</v>
      </c>
      <c r="O68" s="307">
        <f>SUMIFS(Adjustments!$G:$G,Adjustments!$H:$H,"2H",Adjustments!$I:$I,'Schedule 2H Adjustments'!$N$12,Adjustments!$J:$J,'Schedule 2H Adjustments'!$A68)</f>
        <v>0</v>
      </c>
      <c r="P68" s="303">
        <f t="shared" si="3"/>
        <v>0</v>
      </c>
      <c r="Q68" s="68">
        <f>IFERROR(N68*'As-Filed Schedule 1'!$E$103,0)</f>
        <v>0</v>
      </c>
      <c r="R68" s="68">
        <f>IFERROR(P68*'Adjusted Schedule 1'!$E$104,0)</f>
        <v>0</v>
      </c>
      <c r="S68" s="68">
        <f t="shared" si="4"/>
        <v>0</v>
      </c>
      <c r="T68" s="304">
        <f t="shared" si="5"/>
        <v>0</v>
      </c>
      <c r="V68" s="117">
        <f>'As-Filed Schedule 2H'!N68</f>
        <v>0</v>
      </c>
      <c r="W68" s="307">
        <f>SUMIFS(Adjustments!$G:$G,Adjustments!$H:$H,"2H",Adjustments!$I:$I,'Schedule 2H Adjustments'!$V$12,Adjustments!$J:$J,'Schedule 2H Adjustments'!$A68)</f>
        <v>0</v>
      </c>
      <c r="X68" s="303">
        <f t="shared" si="6"/>
        <v>0</v>
      </c>
      <c r="Y68" s="117">
        <f>'As-Filed Schedule 2H'!O68</f>
        <v>0</v>
      </c>
      <c r="Z68" s="307">
        <f>SUMIFS(Adjustments!$G:$G,Adjustments!$H:$H,"2H",Adjustments!$I:$I,'Schedule 2H Adjustments'!$Y$12,Adjustments!$J:$J,'Schedule 2H Adjustments'!$A68)</f>
        <v>0</v>
      </c>
      <c r="AA68" s="303">
        <f t="shared" si="7"/>
        <v>0</v>
      </c>
    </row>
    <row r="69" spans="1:27" x14ac:dyDescent="0.35">
      <c r="A69" s="24">
        <v>55</v>
      </c>
      <c r="B69" s="565" t="str">
        <f>IF('As-Filed Schedule 2H'!B69:D69=0,"",'As-Filed Schedule 2H'!B69:D69)</f>
        <v/>
      </c>
      <c r="C69" s="565"/>
      <c r="D69" s="565"/>
      <c r="F69" s="114">
        <f>'As-Filed Schedule 2H'!F69</f>
        <v>0</v>
      </c>
      <c r="G69" s="307">
        <f>SUMIFS(Adjustments!$G:$G,Adjustments!$H:$H,"2H",Adjustments!$I:$I,'Schedule 2H Adjustments'!$F$12,Adjustments!$J:$J,'Schedule 2H Adjustments'!$A69)</f>
        <v>0</v>
      </c>
      <c r="H69" s="303">
        <f t="shared" si="0"/>
        <v>0</v>
      </c>
      <c r="I69" s="68">
        <f>IFERROR(F69*'As-Filed Schedule 1'!$E$103,0)</f>
        <v>0</v>
      </c>
      <c r="J69" s="304">
        <f>IFERROR(H69*'Adjusted Schedule 1'!$E$104,0)</f>
        <v>0</v>
      </c>
      <c r="K69" s="68">
        <f t="shared" si="1"/>
        <v>0</v>
      </c>
      <c r="L69" s="304">
        <f t="shared" si="2"/>
        <v>0</v>
      </c>
      <c r="N69" s="114">
        <f>'As-Filed Schedule 2H'!J69</f>
        <v>0</v>
      </c>
      <c r="O69" s="307">
        <f>SUMIFS(Adjustments!$G:$G,Adjustments!$H:$H,"2H",Adjustments!$I:$I,'Schedule 2H Adjustments'!$N$12,Adjustments!$J:$J,'Schedule 2H Adjustments'!$A69)</f>
        <v>0</v>
      </c>
      <c r="P69" s="303">
        <f t="shared" si="3"/>
        <v>0</v>
      </c>
      <c r="Q69" s="68">
        <f>IFERROR(N69*'As-Filed Schedule 1'!$E$103,0)</f>
        <v>0</v>
      </c>
      <c r="R69" s="68">
        <f>IFERROR(P69*'Adjusted Schedule 1'!$E$104,0)</f>
        <v>0</v>
      </c>
      <c r="S69" s="68">
        <f t="shared" si="4"/>
        <v>0</v>
      </c>
      <c r="T69" s="304">
        <f t="shared" si="5"/>
        <v>0</v>
      </c>
      <c r="V69" s="117">
        <f>'As-Filed Schedule 2H'!N69</f>
        <v>0</v>
      </c>
      <c r="W69" s="307">
        <f>SUMIFS(Adjustments!$G:$G,Adjustments!$H:$H,"2H",Adjustments!$I:$I,'Schedule 2H Adjustments'!$V$12,Adjustments!$J:$J,'Schedule 2H Adjustments'!$A69)</f>
        <v>0</v>
      </c>
      <c r="X69" s="303">
        <f t="shared" si="6"/>
        <v>0</v>
      </c>
      <c r="Y69" s="117">
        <f>'As-Filed Schedule 2H'!O69</f>
        <v>0</v>
      </c>
      <c r="Z69" s="307">
        <f>SUMIFS(Adjustments!$G:$G,Adjustments!$H:$H,"2H",Adjustments!$I:$I,'Schedule 2H Adjustments'!$Y$12,Adjustments!$J:$J,'Schedule 2H Adjustments'!$A69)</f>
        <v>0</v>
      </c>
      <c r="AA69" s="303">
        <f t="shared" si="7"/>
        <v>0</v>
      </c>
    </row>
    <row r="70" spans="1:27" x14ac:dyDescent="0.35">
      <c r="A70" s="24">
        <v>56</v>
      </c>
      <c r="B70" s="565" t="str">
        <f>IF('As-Filed Schedule 2H'!B70:D70=0,"",'As-Filed Schedule 2H'!B70:D70)</f>
        <v/>
      </c>
      <c r="C70" s="565"/>
      <c r="D70" s="565"/>
      <c r="F70" s="114">
        <f>'As-Filed Schedule 2H'!F70</f>
        <v>0</v>
      </c>
      <c r="G70" s="307">
        <f>SUMIFS(Adjustments!$G:$G,Adjustments!$H:$H,"2H",Adjustments!$I:$I,'Schedule 2H Adjustments'!$F$12,Adjustments!$J:$J,'Schedule 2H Adjustments'!$A70)</f>
        <v>0</v>
      </c>
      <c r="H70" s="303">
        <f t="shared" si="0"/>
        <v>0</v>
      </c>
      <c r="I70" s="68">
        <f>IFERROR(F70*'As-Filed Schedule 1'!$E$103,0)</f>
        <v>0</v>
      </c>
      <c r="J70" s="304">
        <f>IFERROR(H70*'Adjusted Schedule 1'!$E$104,0)</f>
        <v>0</v>
      </c>
      <c r="K70" s="68">
        <f t="shared" si="1"/>
        <v>0</v>
      </c>
      <c r="L70" s="304">
        <f t="shared" si="2"/>
        <v>0</v>
      </c>
      <c r="N70" s="114">
        <f>'As-Filed Schedule 2H'!J70</f>
        <v>0</v>
      </c>
      <c r="O70" s="307">
        <f>SUMIFS(Adjustments!$G:$G,Adjustments!$H:$H,"2H",Adjustments!$I:$I,'Schedule 2H Adjustments'!$N$12,Adjustments!$J:$J,'Schedule 2H Adjustments'!$A70)</f>
        <v>0</v>
      </c>
      <c r="P70" s="303">
        <f t="shared" si="3"/>
        <v>0</v>
      </c>
      <c r="Q70" s="68">
        <f>IFERROR(N70*'As-Filed Schedule 1'!$E$103,0)</f>
        <v>0</v>
      </c>
      <c r="R70" s="68">
        <f>IFERROR(P70*'Adjusted Schedule 1'!$E$104,0)</f>
        <v>0</v>
      </c>
      <c r="S70" s="68">
        <f t="shared" si="4"/>
        <v>0</v>
      </c>
      <c r="T70" s="304">
        <f t="shared" si="5"/>
        <v>0</v>
      </c>
      <c r="V70" s="117">
        <f>'As-Filed Schedule 2H'!N70</f>
        <v>0</v>
      </c>
      <c r="W70" s="307">
        <f>SUMIFS(Adjustments!$G:$G,Adjustments!$H:$H,"2H",Adjustments!$I:$I,'Schedule 2H Adjustments'!$V$12,Adjustments!$J:$J,'Schedule 2H Adjustments'!$A70)</f>
        <v>0</v>
      </c>
      <c r="X70" s="303">
        <f t="shared" si="6"/>
        <v>0</v>
      </c>
      <c r="Y70" s="117">
        <f>'As-Filed Schedule 2H'!O70</f>
        <v>0</v>
      </c>
      <c r="Z70" s="307">
        <f>SUMIFS(Adjustments!$G:$G,Adjustments!$H:$H,"2H",Adjustments!$I:$I,'Schedule 2H Adjustments'!$Y$12,Adjustments!$J:$J,'Schedule 2H Adjustments'!$A70)</f>
        <v>0</v>
      </c>
      <c r="AA70" s="303">
        <f t="shared" si="7"/>
        <v>0</v>
      </c>
    </row>
    <row r="71" spans="1:27" x14ac:dyDescent="0.35">
      <c r="A71" s="24">
        <v>57</v>
      </c>
      <c r="B71" s="565" t="str">
        <f>IF('As-Filed Schedule 2H'!B71:D71=0,"",'As-Filed Schedule 2H'!B71:D71)</f>
        <v/>
      </c>
      <c r="C71" s="565"/>
      <c r="D71" s="565"/>
      <c r="F71" s="114">
        <f>'As-Filed Schedule 2H'!F71</f>
        <v>0</v>
      </c>
      <c r="G71" s="307">
        <f>SUMIFS(Adjustments!$G:$G,Adjustments!$H:$H,"2H",Adjustments!$I:$I,'Schedule 2H Adjustments'!$F$12,Adjustments!$J:$J,'Schedule 2H Adjustments'!$A71)</f>
        <v>0</v>
      </c>
      <c r="H71" s="303">
        <f t="shared" si="0"/>
        <v>0</v>
      </c>
      <c r="I71" s="68">
        <f>IFERROR(F71*'As-Filed Schedule 1'!$E$103,0)</f>
        <v>0</v>
      </c>
      <c r="J71" s="304">
        <f>IFERROR(H71*'Adjusted Schedule 1'!$E$104,0)</f>
        <v>0</v>
      </c>
      <c r="K71" s="68">
        <f t="shared" si="1"/>
        <v>0</v>
      </c>
      <c r="L71" s="304">
        <f t="shared" si="2"/>
        <v>0</v>
      </c>
      <c r="N71" s="114">
        <f>'As-Filed Schedule 2H'!J71</f>
        <v>0</v>
      </c>
      <c r="O71" s="307">
        <f>SUMIFS(Adjustments!$G:$G,Adjustments!$H:$H,"2H",Adjustments!$I:$I,'Schedule 2H Adjustments'!$N$12,Adjustments!$J:$J,'Schedule 2H Adjustments'!$A71)</f>
        <v>0</v>
      </c>
      <c r="P71" s="303">
        <f t="shared" si="3"/>
        <v>0</v>
      </c>
      <c r="Q71" s="68">
        <f>IFERROR(N71*'As-Filed Schedule 1'!$E$103,0)</f>
        <v>0</v>
      </c>
      <c r="R71" s="68">
        <f>IFERROR(P71*'Adjusted Schedule 1'!$E$104,0)</f>
        <v>0</v>
      </c>
      <c r="S71" s="68">
        <f t="shared" si="4"/>
        <v>0</v>
      </c>
      <c r="T71" s="304">
        <f t="shared" si="5"/>
        <v>0</v>
      </c>
      <c r="V71" s="117">
        <f>'As-Filed Schedule 2H'!N71</f>
        <v>0</v>
      </c>
      <c r="W71" s="307">
        <f>SUMIFS(Adjustments!$G:$G,Adjustments!$H:$H,"2H",Adjustments!$I:$I,'Schedule 2H Adjustments'!$V$12,Adjustments!$J:$J,'Schedule 2H Adjustments'!$A71)</f>
        <v>0</v>
      </c>
      <c r="X71" s="303">
        <f t="shared" si="6"/>
        <v>0</v>
      </c>
      <c r="Y71" s="117">
        <f>'As-Filed Schedule 2H'!O71</f>
        <v>0</v>
      </c>
      <c r="Z71" s="307">
        <f>SUMIFS(Adjustments!$G:$G,Adjustments!$H:$H,"2H",Adjustments!$I:$I,'Schedule 2H Adjustments'!$Y$12,Adjustments!$J:$J,'Schedule 2H Adjustments'!$A71)</f>
        <v>0</v>
      </c>
      <c r="AA71" s="303">
        <f t="shared" si="7"/>
        <v>0</v>
      </c>
    </row>
    <row r="72" spans="1:27" x14ac:dyDescent="0.35">
      <c r="A72" s="24">
        <v>58</v>
      </c>
      <c r="B72" s="565" t="str">
        <f>IF('As-Filed Schedule 2H'!B72:D72=0,"",'As-Filed Schedule 2H'!B72:D72)</f>
        <v/>
      </c>
      <c r="C72" s="565"/>
      <c r="D72" s="565"/>
      <c r="F72" s="114">
        <f>'As-Filed Schedule 2H'!F72</f>
        <v>0</v>
      </c>
      <c r="G72" s="307">
        <f>SUMIFS(Adjustments!$G:$G,Adjustments!$H:$H,"2H",Adjustments!$I:$I,'Schedule 2H Adjustments'!$F$12,Adjustments!$J:$J,'Schedule 2H Adjustments'!$A72)</f>
        <v>0</v>
      </c>
      <c r="H72" s="303">
        <f t="shared" si="0"/>
        <v>0</v>
      </c>
      <c r="I72" s="68">
        <f>IFERROR(F72*'As-Filed Schedule 1'!$E$103,0)</f>
        <v>0</v>
      </c>
      <c r="J72" s="304">
        <f>IFERROR(H72*'Adjusted Schedule 1'!$E$104,0)</f>
        <v>0</v>
      </c>
      <c r="K72" s="68">
        <f t="shared" si="1"/>
        <v>0</v>
      </c>
      <c r="L72" s="304">
        <f t="shared" si="2"/>
        <v>0</v>
      </c>
      <c r="N72" s="114">
        <f>'As-Filed Schedule 2H'!J72</f>
        <v>0</v>
      </c>
      <c r="O72" s="307">
        <f>SUMIFS(Adjustments!$G:$G,Adjustments!$H:$H,"2H",Adjustments!$I:$I,'Schedule 2H Adjustments'!$N$12,Adjustments!$J:$J,'Schedule 2H Adjustments'!$A72)</f>
        <v>0</v>
      </c>
      <c r="P72" s="303">
        <f t="shared" si="3"/>
        <v>0</v>
      </c>
      <c r="Q72" s="68">
        <f>IFERROR(N72*'As-Filed Schedule 1'!$E$103,0)</f>
        <v>0</v>
      </c>
      <c r="R72" s="68">
        <f>IFERROR(P72*'Adjusted Schedule 1'!$E$104,0)</f>
        <v>0</v>
      </c>
      <c r="S72" s="68">
        <f t="shared" si="4"/>
        <v>0</v>
      </c>
      <c r="T72" s="304">
        <f t="shared" si="5"/>
        <v>0</v>
      </c>
      <c r="V72" s="117">
        <f>'As-Filed Schedule 2H'!N72</f>
        <v>0</v>
      </c>
      <c r="W72" s="307">
        <f>SUMIFS(Adjustments!$G:$G,Adjustments!$H:$H,"2H",Adjustments!$I:$I,'Schedule 2H Adjustments'!$V$12,Adjustments!$J:$J,'Schedule 2H Adjustments'!$A72)</f>
        <v>0</v>
      </c>
      <c r="X72" s="303">
        <f t="shared" si="6"/>
        <v>0</v>
      </c>
      <c r="Y72" s="117">
        <f>'As-Filed Schedule 2H'!O72</f>
        <v>0</v>
      </c>
      <c r="Z72" s="307">
        <f>SUMIFS(Adjustments!$G:$G,Adjustments!$H:$H,"2H",Adjustments!$I:$I,'Schedule 2H Adjustments'!$Y$12,Adjustments!$J:$J,'Schedule 2H Adjustments'!$A72)</f>
        <v>0</v>
      </c>
      <c r="AA72" s="303">
        <f t="shared" si="7"/>
        <v>0</v>
      </c>
    </row>
    <row r="73" spans="1:27" x14ac:dyDescent="0.35">
      <c r="A73" s="24">
        <v>59</v>
      </c>
      <c r="F73" s="18">
        <f>SUM(F15:F72)</f>
        <v>0</v>
      </c>
      <c r="G73" s="18">
        <f>SUM(G15:G72)</f>
        <v>0</v>
      </c>
      <c r="H73" s="18">
        <f t="shared" ref="H73:K73" si="8">SUM(H15:H72)</f>
        <v>0</v>
      </c>
      <c r="I73" s="18">
        <f t="shared" si="8"/>
        <v>0</v>
      </c>
      <c r="J73" s="304">
        <f>IFERROR(H73*'Adjusted Schedule 1'!$E$104,0)</f>
        <v>0</v>
      </c>
      <c r="K73" s="18">
        <f t="shared" si="8"/>
        <v>0</v>
      </c>
      <c r="L73" s="305">
        <f t="shared" ref="L73" si="9">SUM(L15:L72)</f>
        <v>0</v>
      </c>
      <c r="N73" s="18">
        <f>SUM(N15:N72)</f>
        <v>0</v>
      </c>
      <c r="O73" s="18">
        <f t="shared" ref="O73:S73" si="10">SUM(O15:O72)</f>
        <v>0</v>
      </c>
      <c r="P73" s="18">
        <f t="shared" si="10"/>
        <v>0</v>
      </c>
      <c r="Q73" s="18">
        <f t="shared" si="10"/>
        <v>0</v>
      </c>
      <c r="R73" s="18">
        <f t="shared" si="10"/>
        <v>0</v>
      </c>
      <c r="S73" s="18">
        <f t="shared" si="10"/>
        <v>0</v>
      </c>
      <c r="T73" s="305">
        <f>SUM(T15:T72)</f>
        <v>0</v>
      </c>
      <c r="Y73" s="83" t="s">
        <v>313</v>
      </c>
      <c r="Z73" s="325"/>
      <c r="AA73" s="322"/>
    </row>
    <row r="74" spans="1:27" ht="15" thickBot="1" x14ac:dyDescent="0.4">
      <c r="K74" s="37" t="s">
        <v>257</v>
      </c>
      <c r="L74" s="318" t="s">
        <v>257</v>
      </c>
      <c r="S74" s="37" t="s">
        <v>258</v>
      </c>
      <c r="T74" s="318" t="s">
        <v>258</v>
      </c>
    </row>
    <row r="75" spans="1:27" s="72" customFormat="1" ht="16" thickBot="1" x14ac:dyDescent="0.4">
      <c r="A75" s="24">
        <v>60</v>
      </c>
      <c r="B75" s="73" t="s">
        <v>817</v>
      </c>
      <c r="F75" s="75">
        <f>K73+S73</f>
        <v>0</v>
      </c>
      <c r="G75"/>
      <c r="H75" s="75">
        <f>L73+T73</f>
        <v>0</v>
      </c>
      <c r="I75" s="74"/>
      <c r="J75" s="319"/>
      <c r="K75" s="74"/>
      <c r="L75" s="319"/>
      <c r="N75" s="74"/>
      <c r="O75" s="326"/>
      <c r="P75" s="319"/>
      <c r="Q75" s="74"/>
      <c r="R75" s="319"/>
      <c r="T75" s="321"/>
      <c r="W75" s="324"/>
      <c r="X75" s="321"/>
      <c r="Z75" s="324"/>
      <c r="AA75" s="321"/>
    </row>
  </sheetData>
  <sheetProtection sheet="1" objects="1" scenarios="1"/>
  <customSheetViews>
    <customSheetView guid="{17302493-42B1-4877-869E-E424A97AE78B}" state="hidden" topLeftCell="S1">
      <selection activeCell="F17" sqref="F17"/>
      <pageMargins left="0.7" right="0.7" top="0.75" bottom="0.75" header="0.3" footer="0.3"/>
    </customSheetView>
    <customSheetView guid="{5C0BA3A5-859C-46C2-B685-44D9A90065E4}" topLeftCell="S1">
      <selection activeCell="F8" sqref="F8"/>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AA75"/>
  <sheetViews>
    <sheetView topLeftCell="S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53"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53"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53" customWidth="1"/>
    <col min="24" max="24" width="13.26953125" style="48" customWidth="1"/>
    <col min="25" max="25" width="12" customWidth="1"/>
    <col min="26" max="26" width="16.1796875" style="253" customWidth="1"/>
    <col min="27" max="27" width="12" style="48" customWidth="1"/>
  </cols>
  <sheetData>
    <row r="1" spans="1:27" ht="26" x14ac:dyDescent="0.6">
      <c r="A1" s="3" t="s">
        <v>777</v>
      </c>
    </row>
    <row r="2" spans="1:27" ht="21" x14ac:dyDescent="0.5">
      <c r="A2" s="2" t="s">
        <v>775</v>
      </c>
    </row>
    <row r="3" spans="1:27" ht="25" customHeight="1" x14ac:dyDescent="0.5">
      <c r="A3" s="546" t="s">
        <v>846</v>
      </c>
      <c r="B3" s="546"/>
      <c r="C3" s="546"/>
      <c r="D3" s="546"/>
      <c r="E3" s="546"/>
      <c r="F3" s="546"/>
      <c r="G3" s="546"/>
      <c r="H3" s="546"/>
      <c r="I3" s="546"/>
      <c r="J3" s="546"/>
      <c r="K3" s="546"/>
      <c r="L3" s="315"/>
    </row>
    <row r="5" spans="1:27" x14ac:dyDescent="0.35">
      <c r="A5" s="1" t="s">
        <v>776</v>
      </c>
      <c r="C5" s="414" t="str">
        <f>Results!$C$6</f>
        <v>WellPower</v>
      </c>
    </row>
    <row r="6" spans="1:27" x14ac:dyDescent="0.35">
      <c r="A6" s="1" t="s">
        <v>0</v>
      </c>
      <c r="C6" s="35">
        <f>Results!$C$7</f>
        <v>45473</v>
      </c>
      <c r="F6" s="35"/>
      <c r="G6" s="313"/>
      <c r="H6" s="60"/>
    </row>
    <row r="8" spans="1:27" x14ac:dyDescent="0.35">
      <c r="A8" s="1" t="s">
        <v>253</v>
      </c>
      <c r="B8" s="1" t="s">
        <v>825</v>
      </c>
      <c r="C8" s="1"/>
      <c r="F8" s="116" t="str">
        <f>'As-Filed Schedule 2I'!F8</f>
        <v>Yes/No</v>
      </c>
      <c r="G8" s="41" t="s">
        <v>259</v>
      </c>
    </row>
    <row r="10" spans="1:27" x14ac:dyDescent="0.35">
      <c r="A10" s="1" t="s">
        <v>254</v>
      </c>
      <c r="B10" s="1" t="s">
        <v>256</v>
      </c>
      <c r="C10" s="1"/>
    </row>
    <row r="12" spans="1:27" x14ac:dyDescent="0.35">
      <c r="B12" s="560">
        <v>1</v>
      </c>
      <c r="C12" s="560"/>
      <c r="D12" s="560"/>
      <c r="F12" s="23">
        <v>2</v>
      </c>
      <c r="G12" s="248" t="s">
        <v>550</v>
      </c>
      <c r="H12" s="249" t="s">
        <v>551</v>
      </c>
      <c r="I12" s="23">
        <v>3</v>
      </c>
      <c r="J12" s="249" t="s">
        <v>555</v>
      </c>
      <c r="K12" s="23">
        <v>4</v>
      </c>
      <c r="L12" s="249" t="s">
        <v>559</v>
      </c>
      <c r="N12" s="23">
        <v>5</v>
      </c>
      <c r="O12" s="248" t="s">
        <v>560</v>
      </c>
      <c r="P12" s="249" t="s">
        <v>561</v>
      </c>
      <c r="Q12" s="23">
        <v>6</v>
      </c>
      <c r="R12" s="249" t="s">
        <v>565</v>
      </c>
      <c r="S12" s="23">
        <v>7</v>
      </c>
      <c r="T12" s="249" t="s">
        <v>569</v>
      </c>
      <c r="V12" s="23">
        <v>8</v>
      </c>
      <c r="W12" s="248" t="s">
        <v>610</v>
      </c>
      <c r="X12" s="249" t="s">
        <v>623</v>
      </c>
      <c r="Y12" s="23">
        <v>9</v>
      </c>
      <c r="Z12" s="248" t="s">
        <v>612</v>
      </c>
      <c r="AA12" s="249" t="s">
        <v>613</v>
      </c>
    </row>
    <row r="13" spans="1:27" ht="15" customHeight="1" x14ac:dyDescent="0.35">
      <c r="B13" s="561" t="s">
        <v>255</v>
      </c>
      <c r="C13" s="561"/>
      <c r="D13" s="561"/>
      <c r="F13" s="563" t="s">
        <v>261</v>
      </c>
      <c r="G13" s="568"/>
      <c r="H13" s="568"/>
      <c r="I13" s="568"/>
      <c r="J13" s="568"/>
      <c r="K13" s="568"/>
      <c r="L13" s="564"/>
      <c r="N13" s="563" t="s">
        <v>262</v>
      </c>
      <c r="O13" s="568"/>
      <c r="P13" s="568"/>
      <c r="Q13" s="568"/>
      <c r="R13" s="568"/>
      <c r="S13" s="568"/>
      <c r="T13" s="564"/>
      <c r="V13" s="562" t="s">
        <v>250</v>
      </c>
      <c r="W13" s="621" t="s">
        <v>614</v>
      </c>
      <c r="X13" s="622" t="s">
        <v>615</v>
      </c>
      <c r="Y13" s="562" t="s">
        <v>312</v>
      </c>
      <c r="Z13" s="621" t="s">
        <v>624</v>
      </c>
      <c r="AA13" s="622" t="s">
        <v>625</v>
      </c>
    </row>
    <row r="14" spans="1:27" ht="55.5" customHeight="1" x14ac:dyDescent="0.35">
      <c r="B14" s="561"/>
      <c r="C14" s="561"/>
      <c r="D14" s="561"/>
      <c r="E14" s="48"/>
      <c r="F14" s="10" t="s">
        <v>214</v>
      </c>
      <c r="G14" s="250" t="s">
        <v>603</v>
      </c>
      <c r="H14" s="251" t="s">
        <v>604</v>
      </c>
      <c r="I14" s="142" t="s">
        <v>493</v>
      </c>
      <c r="J14" s="251" t="s">
        <v>607</v>
      </c>
      <c r="K14" s="142" t="s">
        <v>215</v>
      </c>
      <c r="L14" s="251" t="s">
        <v>609</v>
      </c>
      <c r="M14" s="48"/>
      <c r="N14" s="142" t="s">
        <v>214</v>
      </c>
      <c r="O14" s="250" t="s">
        <v>603</v>
      </c>
      <c r="P14" s="251" t="s">
        <v>604</v>
      </c>
      <c r="Q14" s="142" t="s">
        <v>493</v>
      </c>
      <c r="R14" s="251" t="s">
        <v>607</v>
      </c>
      <c r="S14" s="10" t="s">
        <v>215</v>
      </c>
      <c r="T14" s="251" t="s">
        <v>609</v>
      </c>
      <c r="U14" s="48"/>
      <c r="V14" s="562"/>
      <c r="W14" s="621"/>
      <c r="X14" s="622"/>
      <c r="Y14" s="562"/>
      <c r="Z14" s="621"/>
      <c r="AA14" s="622"/>
    </row>
    <row r="15" spans="1:27" x14ac:dyDescent="0.35">
      <c r="A15" s="24">
        <v>1</v>
      </c>
      <c r="B15" s="565" t="str">
        <f>IF('As-Filed Schedule 2I'!B15:D15=0,"",'As-Filed Schedule 2I'!B15:D15)</f>
        <v/>
      </c>
      <c r="C15" s="565"/>
      <c r="D15" s="565"/>
      <c r="F15" s="114">
        <f>'As-Filed Schedule 2I'!F15</f>
        <v>0</v>
      </c>
      <c r="G15" s="307">
        <f>SUMIFS(Adjustments!$G:$G,Adjustments!$H:$H,"2I",Adjustments!$I:$I,'Schedule 2I Adjustments'!$F$12,Adjustments!$J:$J,'Schedule 2I Adjustments'!$A15)</f>
        <v>0</v>
      </c>
      <c r="H15" s="303">
        <f>SUM(F15:G15)</f>
        <v>0</v>
      </c>
      <c r="I15" s="68">
        <f>IFERROR(F15*'As-Filed Schedule 1'!$E$103,0)</f>
        <v>0</v>
      </c>
      <c r="J15" s="304">
        <f>IFERROR(H15*'Adjusted Schedule 1'!$E$104,0)</f>
        <v>0</v>
      </c>
      <c r="K15" s="68">
        <f>SUM(F15,I15)</f>
        <v>0</v>
      </c>
      <c r="L15" s="304">
        <f>SUM(H15,J15)</f>
        <v>0</v>
      </c>
      <c r="N15" s="114">
        <f>'As-Filed Schedule 2I'!J15</f>
        <v>0</v>
      </c>
      <c r="O15" s="307">
        <f>SUMIFS(Adjustments!$G:$G,Adjustments!$H:$H,"2I",Adjustments!$I:$I,'Schedule 2I Adjustments'!$N$12,Adjustments!$J:$J,'Schedule 2I Adjustments'!$A15)</f>
        <v>0</v>
      </c>
      <c r="P15" s="303">
        <f>SUM(N15:O15)</f>
        <v>0</v>
      </c>
      <c r="Q15" s="68">
        <f>IFERROR(N15*'As-Filed Schedule 1'!$E$103,0)</f>
        <v>0</v>
      </c>
      <c r="R15" s="68">
        <f>IFERROR(P15*'Adjusted Schedule 1'!$E$104,0)</f>
        <v>0</v>
      </c>
      <c r="S15" s="68">
        <f>SUM(N15,Q15)</f>
        <v>0</v>
      </c>
      <c r="T15" s="304">
        <f>SUM(P15,R15)</f>
        <v>0</v>
      </c>
      <c r="V15" s="117">
        <f>'As-Filed Schedule 2I'!N15</f>
        <v>0</v>
      </c>
      <c r="W15" s="307">
        <f>SUMIFS(Adjustments!$G:$G,Adjustments!$H:$H,"2I",Adjustments!$I:$I,'Schedule 2I Adjustments'!$V$12,Adjustments!$J:$J,'Schedule 2I Adjustments'!$A15)</f>
        <v>0</v>
      </c>
      <c r="X15" s="303">
        <f>SUM(V15:W15)</f>
        <v>0</v>
      </c>
      <c r="Y15" s="117">
        <f>'As-Filed Schedule 2I'!O15</f>
        <v>0</v>
      </c>
      <c r="Z15" s="307">
        <f>SUMIFS(Adjustments!$G:$G,Adjustments!$H:$H,"2I",Adjustments!$I:$I,'Schedule 2I Adjustments'!$Y$12,Adjustments!$J:$J,'Schedule 2I Adjustments'!$A15)</f>
        <v>0</v>
      </c>
      <c r="AA15" s="303">
        <f>SUM(Y15:Z15)</f>
        <v>0</v>
      </c>
    </row>
    <row r="16" spans="1:27" x14ac:dyDescent="0.35">
      <c r="A16" s="24">
        <v>2</v>
      </c>
      <c r="B16" s="565" t="str">
        <f>IF('As-Filed Schedule 2I'!B16:D16=0,"",'As-Filed Schedule 2I'!B16:D16)</f>
        <v/>
      </c>
      <c r="C16" s="565"/>
      <c r="D16" s="565"/>
      <c r="F16" s="114">
        <f>'As-Filed Schedule 2I'!F16</f>
        <v>0</v>
      </c>
      <c r="G16" s="307">
        <f>SUMIFS(Adjustments!$G:$G,Adjustments!$H:$H,"2I",Adjustments!$I:$I,'Schedule 2I Adjustments'!$F$12,Adjustments!$J:$J,'Schedule 2I Adjustments'!$A16)</f>
        <v>0</v>
      </c>
      <c r="H16" s="303">
        <f t="shared" ref="H16:H72" si="0">SUM(F16:G16)</f>
        <v>0</v>
      </c>
      <c r="I16" s="68">
        <f>IFERROR(F16*'As-Filed Schedule 1'!$E$103,0)</f>
        <v>0</v>
      </c>
      <c r="J16" s="304">
        <f>IFERROR(H16*'Adjusted Schedule 1'!$E$104,0)</f>
        <v>0</v>
      </c>
      <c r="K16" s="68">
        <f t="shared" ref="K16:K72" si="1">SUM(F16,I16)</f>
        <v>0</v>
      </c>
      <c r="L16" s="304">
        <f t="shared" ref="L16:L72" si="2">SUM(H16,J16)</f>
        <v>0</v>
      </c>
      <c r="N16" s="114">
        <f>'As-Filed Schedule 2I'!J16</f>
        <v>0</v>
      </c>
      <c r="O16" s="307">
        <f>SUMIFS(Adjustments!$G:$G,Adjustments!$H:$H,"2I",Adjustments!$I:$I,'Schedule 2I Adjustments'!$N$12,Adjustments!$J:$J,'Schedule 2I Adjustments'!$A16)</f>
        <v>0</v>
      </c>
      <c r="P16" s="303">
        <f t="shared" ref="P16:P72" si="3">SUM(N16:O16)</f>
        <v>0</v>
      </c>
      <c r="Q16" s="68">
        <f>IFERROR(N16*'As-Filed Schedule 1'!$E$103,0)</f>
        <v>0</v>
      </c>
      <c r="R16" s="68">
        <f>IFERROR(P16*'Adjusted Schedule 1'!$E$104,0)</f>
        <v>0</v>
      </c>
      <c r="S16" s="68">
        <f t="shared" ref="S16:S72" si="4">SUM(N16,Q16)</f>
        <v>0</v>
      </c>
      <c r="T16" s="304">
        <f t="shared" ref="T16:T72" si="5">SUM(P16,R16)</f>
        <v>0</v>
      </c>
      <c r="V16" s="117">
        <f>'As-Filed Schedule 2I'!N16</f>
        <v>0</v>
      </c>
      <c r="W16" s="307">
        <f>SUMIFS(Adjustments!$G:$G,Adjustments!$H:$H,"2I",Adjustments!$I:$I,'Schedule 2I Adjustments'!$V$12,Adjustments!$J:$J,'Schedule 2I Adjustments'!$A16)</f>
        <v>0</v>
      </c>
      <c r="X16" s="303">
        <f t="shared" ref="X16:X72" si="6">SUM(V16:W16)</f>
        <v>0</v>
      </c>
      <c r="Y16" s="117">
        <f>'As-Filed Schedule 2I'!O16</f>
        <v>0</v>
      </c>
      <c r="Z16" s="307">
        <f>SUMIFS(Adjustments!$G:$G,Adjustments!$H:$H,"2I",Adjustments!$I:$I,'Schedule 2I Adjustments'!$Y$12,Adjustments!$J:$J,'Schedule 2I Adjustments'!$A16)</f>
        <v>0</v>
      </c>
      <c r="AA16" s="303">
        <f t="shared" ref="AA16:AA72" si="7">SUM(Y16:Z16)</f>
        <v>0</v>
      </c>
    </row>
    <row r="17" spans="1:27" x14ac:dyDescent="0.35">
      <c r="A17" s="24">
        <v>3</v>
      </c>
      <c r="B17" s="565" t="str">
        <f>IF('As-Filed Schedule 2I'!B17:D17=0,"",'As-Filed Schedule 2I'!B17:D17)</f>
        <v/>
      </c>
      <c r="C17" s="565"/>
      <c r="D17" s="565"/>
      <c r="F17" s="114">
        <f>'As-Filed Schedule 2I'!F17</f>
        <v>0</v>
      </c>
      <c r="G17" s="307">
        <f>SUMIFS(Adjustments!$G:$G,Adjustments!$H:$H,"2I",Adjustments!$I:$I,'Schedule 2I Adjustments'!$F$12,Adjustments!$J:$J,'Schedule 2I Adjustments'!$A17)</f>
        <v>0</v>
      </c>
      <c r="H17" s="303">
        <f t="shared" si="0"/>
        <v>0</v>
      </c>
      <c r="I17" s="68">
        <f>IFERROR(F17*'As-Filed Schedule 1'!$E$103,0)</f>
        <v>0</v>
      </c>
      <c r="J17" s="304">
        <f>IFERROR(H17*'Adjusted Schedule 1'!$E$104,0)</f>
        <v>0</v>
      </c>
      <c r="K17" s="68">
        <f t="shared" si="1"/>
        <v>0</v>
      </c>
      <c r="L17" s="304">
        <f t="shared" si="2"/>
        <v>0</v>
      </c>
      <c r="N17" s="114">
        <f>'As-Filed Schedule 2I'!J17</f>
        <v>0</v>
      </c>
      <c r="O17" s="307">
        <f>SUMIFS(Adjustments!$G:$G,Adjustments!$H:$H,"2I",Adjustments!$I:$I,'Schedule 2I Adjustments'!$N$12,Adjustments!$J:$J,'Schedule 2I Adjustments'!$A17)</f>
        <v>0</v>
      </c>
      <c r="P17" s="303">
        <f t="shared" si="3"/>
        <v>0</v>
      </c>
      <c r="Q17" s="68">
        <f>IFERROR(N17*'As-Filed Schedule 1'!$E$103,0)</f>
        <v>0</v>
      </c>
      <c r="R17" s="68">
        <f>IFERROR(P17*'Adjusted Schedule 1'!$E$104,0)</f>
        <v>0</v>
      </c>
      <c r="S17" s="68">
        <f t="shared" si="4"/>
        <v>0</v>
      </c>
      <c r="T17" s="304">
        <f t="shared" si="5"/>
        <v>0</v>
      </c>
      <c r="V17" s="117">
        <f>'As-Filed Schedule 2I'!N17</f>
        <v>0</v>
      </c>
      <c r="W17" s="307">
        <f>SUMIFS(Adjustments!$G:$G,Adjustments!$H:$H,"2I",Adjustments!$I:$I,'Schedule 2I Adjustments'!$V$12,Adjustments!$J:$J,'Schedule 2I Adjustments'!$A17)</f>
        <v>0</v>
      </c>
      <c r="X17" s="303">
        <f t="shared" si="6"/>
        <v>0</v>
      </c>
      <c r="Y17" s="117">
        <f>'As-Filed Schedule 2I'!O17</f>
        <v>0</v>
      </c>
      <c r="Z17" s="307">
        <f>SUMIFS(Adjustments!$G:$G,Adjustments!$H:$H,"2I",Adjustments!$I:$I,'Schedule 2I Adjustments'!$Y$12,Adjustments!$J:$J,'Schedule 2I Adjustments'!$A17)</f>
        <v>0</v>
      </c>
      <c r="AA17" s="303">
        <f t="shared" si="7"/>
        <v>0</v>
      </c>
    </row>
    <row r="18" spans="1:27" x14ac:dyDescent="0.35">
      <c r="A18" s="24">
        <v>4</v>
      </c>
      <c r="B18" s="565" t="str">
        <f>IF('As-Filed Schedule 2I'!B18:D18=0,"",'As-Filed Schedule 2I'!B18:D18)</f>
        <v/>
      </c>
      <c r="C18" s="565"/>
      <c r="D18" s="565"/>
      <c r="F18" s="114">
        <f>'As-Filed Schedule 2I'!F18</f>
        <v>0</v>
      </c>
      <c r="G18" s="307">
        <f>SUMIFS(Adjustments!$G:$G,Adjustments!$H:$H,"2I",Adjustments!$I:$I,'Schedule 2I Adjustments'!$F$12,Adjustments!$J:$J,'Schedule 2I Adjustments'!$A18)</f>
        <v>0</v>
      </c>
      <c r="H18" s="303">
        <f t="shared" si="0"/>
        <v>0</v>
      </c>
      <c r="I18" s="68">
        <f>IFERROR(F18*'As-Filed Schedule 1'!$E$103,0)</f>
        <v>0</v>
      </c>
      <c r="J18" s="304">
        <f>IFERROR(H18*'Adjusted Schedule 1'!$E$104,0)</f>
        <v>0</v>
      </c>
      <c r="K18" s="68">
        <f>SUM(F18,I18)</f>
        <v>0</v>
      </c>
      <c r="L18" s="304">
        <f>SUM(H18,J18)</f>
        <v>0</v>
      </c>
      <c r="N18" s="114">
        <f>'As-Filed Schedule 2I'!J18</f>
        <v>0</v>
      </c>
      <c r="O18" s="307">
        <f>SUMIFS(Adjustments!$G:$G,Adjustments!$H:$H,"2I",Adjustments!$I:$I,'Schedule 2I Adjustments'!$N$12,Adjustments!$J:$J,'Schedule 2I Adjustments'!$A18)</f>
        <v>0</v>
      </c>
      <c r="P18" s="303">
        <f t="shared" si="3"/>
        <v>0</v>
      </c>
      <c r="Q18" s="68">
        <f>IFERROR(N18*'As-Filed Schedule 1'!$E$103,0)</f>
        <v>0</v>
      </c>
      <c r="R18" s="68">
        <f>IFERROR(P18*'Adjusted Schedule 1'!$E$104,0)</f>
        <v>0</v>
      </c>
      <c r="S18" s="68">
        <f t="shared" si="4"/>
        <v>0</v>
      </c>
      <c r="T18" s="304">
        <f t="shared" si="5"/>
        <v>0</v>
      </c>
      <c r="V18" s="117">
        <f>'As-Filed Schedule 2I'!N18</f>
        <v>0</v>
      </c>
      <c r="W18" s="307">
        <f>SUMIFS(Adjustments!$G:$G,Adjustments!$H:$H,"2I",Adjustments!$I:$I,'Schedule 2I Adjustments'!$V$12,Adjustments!$J:$J,'Schedule 2I Adjustments'!$A18)</f>
        <v>0</v>
      </c>
      <c r="X18" s="303">
        <f t="shared" si="6"/>
        <v>0</v>
      </c>
      <c r="Y18" s="117">
        <f>'As-Filed Schedule 2I'!O18</f>
        <v>0</v>
      </c>
      <c r="Z18" s="307">
        <f>SUMIFS(Adjustments!$G:$G,Adjustments!$H:$H,"2I",Adjustments!$I:$I,'Schedule 2I Adjustments'!$Y$12,Adjustments!$J:$J,'Schedule 2I Adjustments'!$A18)</f>
        <v>0</v>
      </c>
      <c r="AA18" s="303">
        <f t="shared" si="7"/>
        <v>0</v>
      </c>
    </row>
    <row r="19" spans="1:27" x14ac:dyDescent="0.35">
      <c r="A19" s="24">
        <v>5</v>
      </c>
      <c r="B19" s="565" t="str">
        <f>IF('As-Filed Schedule 2I'!B19:D19=0,"",'As-Filed Schedule 2I'!B19:D19)</f>
        <v/>
      </c>
      <c r="C19" s="565"/>
      <c r="D19" s="565"/>
      <c r="F19" s="114">
        <f>'As-Filed Schedule 2I'!F19</f>
        <v>0</v>
      </c>
      <c r="G19" s="307">
        <f>SUMIFS(Adjustments!$G:$G,Adjustments!$H:$H,"2I",Adjustments!$I:$I,'Schedule 2I Adjustments'!$F$12,Adjustments!$J:$J,'Schedule 2I Adjustments'!$A19)</f>
        <v>0</v>
      </c>
      <c r="H19" s="303">
        <f t="shared" si="0"/>
        <v>0</v>
      </c>
      <c r="I19" s="68">
        <f>IFERROR(F19*'As-Filed Schedule 1'!$E$103,0)</f>
        <v>0</v>
      </c>
      <c r="J19" s="304">
        <f>IFERROR(H19*'Adjusted Schedule 1'!$E$104,0)</f>
        <v>0</v>
      </c>
      <c r="K19" s="68">
        <f t="shared" si="1"/>
        <v>0</v>
      </c>
      <c r="L19" s="304">
        <f>SUM(H19,J19)</f>
        <v>0</v>
      </c>
      <c r="N19" s="114">
        <f>'As-Filed Schedule 2I'!J19</f>
        <v>0</v>
      </c>
      <c r="O19" s="307">
        <f>SUMIFS(Adjustments!$G:$G,Adjustments!$H:$H,"2I",Adjustments!$I:$I,'Schedule 2I Adjustments'!$N$12,Adjustments!$J:$J,'Schedule 2I Adjustments'!$A19)</f>
        <v>0</v>
      </c>
      <c r="P19" s="303">
        <f t="shared" si="3"/>
        <v>0</v>
      </c>
      <c r="Q19" s="68">
        <f>IFERROR(N19*'As-Filed Schedule 1'!$E$103,0)</f>
        <v>0</v>
      </c>
      <c r="R19" s="68">
        <f>IFERROR(P19*'Adjusted Schedule 1'!$E$104,0)</f>
        <v>0</v>
      </c>
      <c r="S19" s="68">
        <f t="shared" si="4"/>
        <v>0</v>
      </c>
      <c r="T19" s="304">
        <f t="shared" si="5"/>
        <v>0</v>
      </c>
      <c r="V19" s="117">
        <f>'As-Filed Schedule 2I'!N19</f>
        <v>0</v>
      </c>
      <c r="W19" s="307">
        <f>SUMIFS(Adjustments!$G:$G,Adjustments!$H:$H,"2I",Adjustments!$I:$I,'Schedule 2I Adjustments'!$V$12,Adjustments!$J:$J,'Schedule 2I Adjustments'!$A19)</f>
        <v>0</v>
      </c>
      <c r="X19" s="303">
        <f t="shared" si="6"/>
        <v>0</v>
      </c>
      <c r="Y19" s="117">
        <f>'As-Filed Schedule 2I'!O19</f>
        <v>0</v>
      </c>
      <c r="Z19" s="307">
        <f>SUMIFS(Adjustments!$G:$G,Adjustments!$H:$H,"2I",Adjustments!$I:$I,'Schedule 2I Adjustments'!$Y$12,Adjustments!$J:$J,'Schedule 2I Adjustments'!$A19)</f>
        <v>0</v>
      </c>
      <c r="AA19" s="303">
        <f t="shared" si="7"/>
        <v>0</v>
      </c>
    </row>
    <row r="20" spans="1:27" x14ac:dyDescent="0.35">
      <c r="A20" s="24">
        <v>6</v>
      </c>
      <c r="B20" s="565" t="str">
        <f>IF('As-Filed Schedule 2I'!B20:D20=0,"",'As-Filed Schedule 2I'!B20:D20)</f>
        <v/>
      </c>
      <c r="C20" s="565"/>
      <c r="D20" s="565"/>
      <c r="F20" s="114">
        <f>'As-Filed Schedule 2I'!F20</f>
        <v>0</v>
      </c>
      <c r="G20" s="307">
        <f>SUMIFS(Adjustments!$G:$G,Adjustments!$H:$H,"2I",Adjustments!$I:$I,'Schedule 2I Adjustments'!$F$12,Adjustments!$J:$J,'Schedule 2I Adjustments'!$A20)</f>
        <v>0</v>
      </c>
      <c r="H20" s="303">
        <f t="shared" si="0"/>
        <v>0</v>
      </c>
      <c r="I20" s="68">
        <f>IFERROR(F20*'As-Filed Schedule 1'!$E$103,0)</f>
        <v>0</v>
      </c>
      <c r="J20" s="304">
        <f>IFERROR(H20*'Adjusted Schedule 1'!$E$104,0)</f>
        <v>0</v>
      </c>
      <c r="K20" s="68">
        <f>SUM(F20,I20)</f>
        <v>0</v>
      </c>
      <c r="L20" s="304">
        <f t="shared" si="2"/>
        <v>0</v>
      </c>
      <c r="N20" s="114">
        <f>'As-Filed Schedule 2I'!J20</f>
        <v>0</v>
      </c>
      <c r="O20" s="307">
        <f>SUMIFS(Adjustments!$G:$G,Adjustments!$H:$H,"2I",Adjustments!$I:$I,'Schedule 2I Adjustments'!$N$12,Adjustments!$J:$J,'Schedule 2I Adjustments'!$A20)</f>
        <v>0</v>
      </c>
      <c r="P20" s="303">
        <f t="shared" si="3"/>
        <v>0</v>
      </c>
      <c r="Q20" s="68">
        <f>IFERROR(N20*'As-Filed Schedule 1'!$E$103,0)</f>
        <v>0</v>
      </c>
      <c r="R20" s="68">
        <f>IFERROR(P20*'Adjusted Schedule 1'!$E$104,0)</f>
        <v>0</v>
      </c>
      <c r="S20" s="68">
        <f t="shared" si="4"/>
        <v>0</v>
      </c>
      <c r="T20" s="304">
        <f t="shared" si="5"/>
        <v>0</v>
      </c>
      <c r="V20" s="117">
        <f>'As-Filed Schedule 2I'!N20</f>
        <v>0</v>
      </c>
      <c r="W20" s="307">
        <f>SUMIFS(Adjustments!$G:$G,Adjustments!$H:$H,"2I",Adjustments!$I:$I,'Schedule 2I Adjustments'!$V$12,Adjustments!$J:$J,'Schedule 2I Adjustments'!$A20)</f>
        <v>0</v>
      </c>
      <c r="X20" s="303">
        <f t="shared" si="6"/>
        <v>0</v>
      </c>
      <c r="Y20" s="117">
        <f>'As-Filed Schedule 2I'!O20</f>
        <v>0</v>
      </c>
      <c r="Z20" s="307">
        <f>SUMIFS(Adjustments!$G:$G,Adjustments!$H:$H,"2I",Adjustments!$I:$I,'Schedule 2I Adjustments'!$Y$12,Adjustments!$J:$J,'Schedule 2I Adjustments'!$A20)</f>
        <v>0</v>
      </c>
      <c r="AA20" s="303">
        <f t="shared" si="7"/>
        <v>0</v>
      </c>
    </row>
    <row r="21" spans="1:27" x14ac:dyDescent="0.35">
      <c r="A21" s="24">
        <v>7</v>
      </c>
      <c r="B21" s="565" t="str">
        <f>IF('As-Filed Schedule 2I'!B21:D21=0,"",'As-Filed Schedule 2I'!B21:D21)</f>
        <v/>
      </c>
      <c r="C21" s="565"/>
      <c r="D21" s="565"/>
      <c r="F21" s="114">
        <f>'As-Filed Schedule 2I'!F21</f>
        <v>0</v>
      </c>
      <c r="G21" s="307">
        <f>SUMIFS(Adjustments!$G:$G,Adjustments!$H:$H,"2I",Adjustments!$I:$I,'Schedule 2I Adjustments'!$F$12,Adjustments!$J:$J,'Schedule 2I Adjustments'!$A21)</f>
        <v>0</v>
      </c>
      <c r="H21" s="303">
        <f t="shared" si="0"/>
        <v>0</v>
      </c>
      <c r="I21" s="68">
        <f>IFERROR(F21*'As-Filed Schedule 1'!$E$103,0)</f>
        <v>0</v>
      </c>
      <c r="J21" s="304">
        <f>IFERROR(H21*'Adjusted Schedule 1'!$E$104,0)</f>
        <v>0</v>
      </c>
      <c r="K21" s="68">
        <f t="shared" si="1"/>
        <v>0</v>
      </c>
      <c r="L21" s="304">
        <f t="shared" si="2"/>
        <v>0</v>
      </c>
      <c r="N21" s="114">
        <f>'As-Filed Schedule 2I'!J21</f>
        <v>0</v>
      </c>
      <c r="O21" s="307">
        <f>SUMIFS(Adjustments!$G:$G,Adjustments!$H:$H,"2I",Adjustments!$I:$I,'Schedule 2I Adjustments'!$N$12,Adjustments!$J:$J,'Schedule 2I Adjustments'!$A21)</f>
        <v>0</v>
      </c>
      <c r="P21" s="303">
        <f t="shared" si="3"/>
        <v>0</v>
      </c>
      <c r="Q21" s="68">
        <f>IFERROR(N21*'As-Filed Schedule 1'!$E$103,0)</f>
        <v>0</v>
      </c>
      <c r="R21" s="68">
        <f>IFERROR(P21*'Adjusted Schedule 1'!$E$104,0)</f>
        <v>0</v>
      </c>
      <c r="S21" s="68">
        <f>SUM(N21,Q21)</f>
        <v>0</v>
      </c>
      <c r="T21" s="304">
        <f>SUM(P21,R21)</f>
        <v>0</v>
      </c>
      <c r="V21" s="117">
        <f>'As-Filed Schedule 2I'!N21</f>
        <v>0</v>
      </c>
      <c r="W21" s="307">
        <f>SUMIFS(Adjustments!$G:$G,Adjustments!$H:$H,"2I",Adjustments!$I:$I,'Schedule 2I Adjustments'!$V$12,Adjustments!$J:$J,'Schedule 2I Adjustments'!$A21)</f>
        <v>0</v>
      </c>
      <c r="X21" s="303">
        <f t="shared" si="6"/>
        <v>0</v>
      </c>
      <c r="Y21" s="117">
        <f>'As-Filed Schedule 2I'!O21</f>
        <v>0</v>
      </c>
      <c r="Z21" s="307">
        <f>SUMIFS(Adjustments!$G:$G,Adjustments!$H:$H,"2I",Adjustments!$I:$I,'Schedule 2I Adjustments'!$Y$12,Adjustments!$J:$J,'Schedule 2I Adjustments'!$A21)</f>
        <v>0</v>
      </c>
      <c r="AA21" s="303">
        <f t="shared" si="7"/>
        <v>0</v>
      </c>
    </row>
    <row r="22" spans="1:27" x14ac:dyDescent="0.35">
      <c r="A22" s="24">
        <v>8</v>
      </c>
      <c r="B22" s="565" t="str">
        <f>IF('As-Filed Schedule 2I'!B22:D22=0,"",'As-Filed Schedule 2I'!B22:D22)</f>
        <v/>
      </c>
      <c r="C22" s="565"/>
      <c r="D22" s="565"/>
      <c r="F22" s="114">
        <f>'As-Filed Schedule 2I'!F22</f>
        <v>0</v>
      </c>
      <c r="G22" s="307">
        <f>SUMIFS(Adjustments!$G:$G,Adjustments!$H:$H,"2I",Adjustments!$I:$I,'Schedule 2I Adjustments'!$F$12,Adjustments!$J:$J,'Schedule 2I Adjustments'!$A22)</f>
        <v>0</v>
      </c>
      <c r="H22" s="303">
        <f t="shared" si="0"/>
        <v>0</v>
      </c>
      <c r="I22" s="68">
        <f>IFERROR(F22*'As-Filed Schedule 1'!$E$103,0)</f>
        <v>0</v>
      </c>
      <c r="J22" s="304">
        <f>IFERROR(H22*'Adjusted Schedule 1'!$E$104,0)</f>
        <v>0</v>
      </c>
      <c r="K22" s="68">
        <f t="shared" si="1"/>
        <v>0</v>
      </c>
      <c r="L22" s="304">
        <f t="shared" si="2"/>
        <v>0</v>
      </c>
      <c r="N22" s="114">
        <f>'As-Filed Schedule 2I'!J22</f>
        <v>0</v>
      </c>
      <c r="O22" s="307">
        <f>SUMIFS(Adjustments!$G:$G,Adjustments!$H:$H,"2I",Adjustments!$I:$I,'Schedule 2I Adjustments'!$N$12,Adjustments!$J:$J,'Schedule 2I Adjustments'!$A22)</f>
        <v>0</v>
      </c>
      <c r="P22" s="303">
        <f t="shared" si="3"/>
        <v>0</v>
      </c>
      <c r="Q22" s="68">
        <f>IFERROR(N22*'As-Filed Schedule 1'!$E$103,0)</f>
        <v>0</v>
      </c>
      <c r="R22" s="68">
        <f>IFERROR(P22*'Adjusted Schedule 1'!$E$104,0)</f>
        <v>0</v>
      </c>
      <c r="S22" s="68">
        <f t="shared" si="4"/>
        <v>0</v>
      </c>
      <c r="T22" s="304">
        <f t="shared" si="5"/>
        <v>0</v>
      </c>
      <c r="V22" s="117">
        <f>'As-Filed Schedule 2I'!N22</f>
        <v>0</v>
      </c>
      <c r="W22" s="307">
        <f>SUMIFS(Adjustments!$G:$G,Adjustments!$H:$H,"2I",Adjustments!$I:$I,'Schedule 2I Adjustments'!$V$12,Adjustments!$J:$J,'Schedule 2I Adjustments'!$A22)</f>
        <v>0</v>
      </c>
      <c r="X22" s="303">
        <f t="shared" si="6"/>
        <v>0</v>
      </c>
      <c r="Y22" s="117">
        <f>'As-Filed Schedule 2I'!O22</f>
        <v>0</v>
      </c>
      <c r="Z22" s="307">
        <f>SUMIFS(Adjustments!$G:$G,Adjustments!$H:$H,"2I",Adjustments!$I:$I,'Schedule 2I Adjustments'!$Y$12,Adjustments!$J:$J,'Schedule 2I Adjustments'!$A22)</f>
        <v>0</v>
      </c>
      <c r="AA22" s="303">
        <f t="shared" si="7"/>
        <v>0</v>
      </c>
    </row>
    <row r="23" spans="1:27" x14ac:dyDescent="0.35">
      <c r="A23" s="24">
        <v>9</v>
      </c>
      <c r="B23" s="565" t="str">
        <f>IF('As-Filed Schedule 2I'!B23:D23=0,"",'As-Filed Schedule 2I'!B23:D23)</f>
        <v/>
      </c>
      <c r="C23" s="565"/>
      <c r="D23" s="565"/>
      <c r="F23" s="114">
        <f>'As-Filed Schedule 2I'!F23</f>
        <v>0</v>
      </c>
      <c r="G23" s="307">
        <f>SUMIFS(Adjustments!$G:$G,Adjustments!$H:$H,"2I",Adjustments!$I:$I,'Schedule 2I Adjustments'!$F$12,Adjustments!$J:$J,'Schedule 2I Adjustments'!$A23)</f>
        <v>0</v>
      </c>
      <c r="H23" s="303">
        <f t="shared" si="0"/>
        <v>0</v>
      </c>
      <c r="I23" s="68">
        <f>IFERROR(F23*'As-Filed Schedule 1'!$E$103,0)</f>
        <v>0</v>
      </c>
      <c r="J23" s="304">
        <f>IFERROR(H23*'Adjusted Schedule 1'!$E$104,0)</f>
        <v>0</v>
      </c>
      <c r="K23" s="68">
        <f t="shared" si="1"/>
        <v>0</v>
      </c>
      <c r="L23" s="304">
        <f t="shared" si="2"/>
        <v>0</v>
      </c>
      <c r="N23" s="114">
        <f>'As-Filed Schedule 2I'!J23</f>
        <v>0</v>
      </c>
      <c r="O23" s="307">
        <f>SUMIFS(Adjustments!$G:$G,Adjustments!$H:$H,"2I",Adjustments!$I:$I,'Schedule 2I Adjustments'!$N$12,Adjustments!$J:$J,'Schedule 2I Adjustments'!$A23)</f>
        <v>0</v>
      </c>
      <c r="P23" s="303">
        <f t="shared" si="3"/>
        <v>0</v>
      </c>
      <c r="Q23" s="68">
        <f>IFERROR(N23*'As-Filed Schedule 1'!$E$103,0)</f>
        <v>0</v>
      </c>
      <c r="R23" s="68">
        <f>IFERROR(P23*'Adjusted Schedule 1'!$E$104,0)</f>
        <v>0</v>
      </c>
      <c r="S23" s="68">
        <f t="shared" si="4"/>
        <v>0</v>
      </c>
      <c r="T23" s="304">
        <f t="shared" si="5"/>
        <v>0</v>
      </c>
      <c r="V23" s="117">
        <f>'As-Filed Schedule 2I'!N23</f>
        <v>0</v>
      </c>
      <c r="W23" s="307">
        <f>SUMIFS(Adjustments!$G:$G,Adjustments!$H:$H,"2I",Adjustments!$I:$I,'Schedule 2I Adjustments'!$V$12,Adjustments!$J:$J,'Schedule 2I Adjustments'!$A23)</f>
        <v>0</v>
      </c>
      <c r="X23" s="303">
        <f t="shared" si="6"/>
        <v>0</v>
      </c>
      <c r="Y23" s="117">
        <f>'As-Filed Schedule 2I'!O23</f>
        <v>0</v>
      </c>
      <c r="Z23" s="307">
        <f>SUMIFS(Adjustments!$G:$G,Adjustments!$H:$H,"2I",Adjustments!$I:$I,'Schedule 2I Adjustments'!$Y$12,Adjustments!$J:$J,'Schedule 2I Adjustments'!$A23)</f>
        <v>0</v>
      </c>
      <c r="AA23" s="303">
        <f t="shared" si="7"/>
        <v>0</v>
      </c>
    </row>
    <row r="24" spans="1:27" x14ac:dyDescent="0.35">
      <c r="A24" s="24">
        <v>10</v>
      </c>
      <c r="B24" s="565" t="str">
        <f>IF('As-Filed Schedule 2I'!B24:D24=0,"",'As-Filed Schedule 2I'!B24:D24)</f>
        <v/>
      </c>
      <c r="C24" s="565"/>
      <c r="D24" s="565"/>
      <c r="F24" s="114">
        <f>'As-Filed Schedule 2I'!F24</f>
        <v>0</v>
      </c>
      <c r="G24" s="307">
        <f>SUMIFS(Adjustments!$G:$G,Adjustments!$H:$H,"2I",Adjustments!$I:$I,'Schedule 2I Adjustments'!$F$12,Adjustments!$J:$J,'Schedule 2I Adjustments'!$A24)</f>
        <v>0</v>
      </c>
      <c r="H24" s="303">
        <f t="shared" si="0"/>
        <v>0</v>
      </c>
      <c r="I24" s="68">
        <f>IFERROR(F24*'As-Filed Schedule 1'!$E$103,0)</f>
        <v>0</v>
      </c>
      <c r="J24" s="304">
        <f>IFERROR(H24*'Adjusted Schedule 1'!$E$104,0)</f>
        <v>0</v>
      </c>
      <c r="K24" s="68">
        <f t="shared" si="1"/>
        <v>0</v>
      </c>
      <c r="L24" s="304">
        <f t="shared" si="2"/>
        <v>0</v>
      </c>
      <c r="N24" s="114">
        <f>'As-Filed Schedule 2I'!J24</f>
        <v>0</v>
      </c>
      <c r="O24" s="307">
        <f>SUMIFS(Adjustments!$G:$G,Adjustments!$H:$H,"2I",Adjustments!$I:$I,'Schedule 2I Adjustments'!$N$12,Adjustments!$J:$J,'Schedule 2I Adjustments'!$A24)</f>
        <v>0</v>
      </c>
      <c r="P24" s="303">
        <f t="shared" si="3"/>
        <v>0</v>
      </c>
      <c r="Q24" s="68">
        <f>IFERROR(N24*'As-Filed Schedule 1'!$E$103,0)</f>
        <v>0</v>
      </c>
      <c r="R24" s="68">
        <f>IFERROR(P24*'Adjusted Schedule 1'!$E$104,0)</f>
        <v>0</v>
      </c>
      <c r="S24" s="68">
        <f t="shared" si="4"/>
        <v>0</v>
      </c>
      <c r="T24" s="304">
        <f t="shared" si="5"/>
        <v>0</v>
      </c>
      <c r="V24" s="117">
        <f>'As-Filed Schedule 2I'!N24</f>
        <v>0</v>
      </c>
      <c r="W24" s="307">
        <f>SUMIFS(Adjustments!$G:$G,Adjustments!$H:$H,"2I",Adjustments!$I:$I,'Schedule 2I Adjustments'!$V$12,Adjustments!$J:$J,'Schedule 2I Adjustments'!$A24)</f>
        <v>0</v>
      </c>
      <c r="X24" s="303">
        <f t="shared" si="6"/>
        <v>0</v>
      </c>
      <c r="Y24" s="117">
        <f>'As-Filed Schedule 2I'!O24</f>
        <v>0</v>
      </c>
      <c r="Z24" s="307">
        <f>SUMIFS(Adjustments!$G:$G,Adjustments!$H:$H,"2I",Adjustments!$I:$I,'Schedule 2I Adjustments'!$Y$12,Adjustments!$J:$J,'Schedule 2I Adjustments'!$A24)</f>
        <v>0</v>
      </c>
      <c r="AA24" s="303">
        <f t="shared" si="7"/>
        <v>0</v>
      </c>
    </row>
    <row r="25" spans="1:27" x14ac:dyDescent="0.35">
      <c r="A25" s="24">
        <v>11</v>
      </c>
      <c r="B25" s="565" t="str">
        <f>IF('As-Filed Schedule 2I'!B25:D25=0,"",'As-Filed Schedule 2I'!B25:D25)</f>
        <v/>
      </c>
      <c r="C25" s="565"/>
      <c r="D25" s="565"/>
      <c r="F25" s="114">
        <f>'As-Filed Schedule 2I'!F25</f>
        <v>0</v>
      </c>
      <c r="G25" s="307">
        <f>SUMIFS(Adjustments!$G:$G,Adjustments!$H:$H,"2I",Adjustments!$I:$I,'Schedule 2I Adjustments'!$F$12,Adjustments!$J:$J,'Schedule 2I Adjustments'!$A25)</f>
        <v>0</v>
      </c>
      <c r="H25" s="303">
        <f t="shared" si="0"/>
        <v>0</v>
      </c>
      <c r="I25" s="68">
        <f>IFERROR(F25*'As-Filed Schedule 1'!$E$103,0)</f>
        <v>0</v>
      </c>
      <c r="J25" s="304">
        <f>IFERROR(H25*'Adjusted Schedule 1'!$E$104,0)</f>
        <v>0</v>
      </c>
      <c r="K25" s="68">
        <f t="shared" si="1"/>
        <v>0</v>
      </c>
      <c r="L25" s="304">
        <f t="shared" si="2"/>
        <v>0</v>
      </c>
      <c r="N25" s="114">
        <f>'As-Filed Schedule 2I'!J25</f>
        <v>0</v>
      </c>
      <c r="O25" s="307">
        <f>SUMIFS(Adjustments!$G:$G,Adjustments!$H:$H,"2I",Adjustments!$I:$I,'Schedule 2I Adjustments'!$N$12,Adjustments!$J:$J,'Schedule 2I Adjustments'!$A25)</f>
        <v>0</v>
      </c>
      <c r="P25" s="303">
        <f t="shared" si="3"/>
        <v>0</v>
      </c>
      <c r="Q25" s="68">
        <f>IFERROR(N25*'As-Filed Schedule 1'!$E$103,0)</f>
        <v>0</v>
      </c>
      <c r="R25" s="68">
        <f>IFERROR(P25*'Adjusted Schedule 1'!$E$104,0)</f>
        <v>0</v>
      </c>
      <c r="S25" s="68">
        <f t="shared" si="4"/>
        <v>0</v>
      </c>
      <c r="T25" s="304">
        <f t="shared" si="5"/>
        <v>0</v>
      </c>
      <c r="V25" s="117">
        <f>'As-Filed Schedule 2I'!N25</f>
        <v>0</v>
      </c>
      <c r="W25" s="307">
        <f>SUMIFS(Adjustments!$G:$G,Adjustments!$H:$H,"2I",Adjustments!$I:$I,'Schedule 2I Adjustments'!$V$12,Adjustments!$J:$J,'Schedule 2I Adjustments'!$A25)</f>
        <v>0</v>
      </c>
      <c r="X25" s="303">
        <f t="shared" si="6"/>
        <v>0</v>
      </c>
      <c r="Y25" s="117">
        <f>'As-Filed Schedule 2I'!O25</f>
        <v>0</v>
      </c>
      <c r="Z25" s="307">
        <f>SUMIFS(Adjustments!$G:$G,Adjustments!$H:$H,"2I",Adjustments!$I:$I,'Schedule 2I Adjustments'!$Y$12,Adjustments!$J:$J,'Schedule 2I Adjustments'!$A25)</f>
        <v>0</v>
      </c>
      <c r="AA25" s="303">
        <f t="shared" si="7"/>
        <v>0</v>
      </c>
    </row>
    <row r="26" spans="1:27" x14ac:dyDescent="0.35">
      <c r="A26" s="24">
        <v>12</v>
      </c>
      <c r="B26" s="565" t="str">
        <f>IF('As-Filed Schedule 2I'!B26:D26=0,"",'As-Filed Schedule 2I'!B26:D26)</f>
        <v/>
      </c>
      <c r="C26" s="565"/>
      <c r="D26" s="565"/>
      <c r="F26" s="114">
        <f>'As-Filed Schedule 2I'!F26</f>
        <v>0</v>
      </c>
      <c r="G26" s="307">
        <f>SUMIFS(Adjustments!$G:$G,Adjustments!$H:$H,"2I",Adjustments!$I:$I,'Schedule 2I Adjustments'!$F$12,Adjustments!$J:$J,'Schedule 2I Adjustments'!$A26)</f>
        <v>0</v>
      </c>
      <c r="H26" s="303">
        <f t="shared" si="0"/>
        <v>0</v>
      </c>
      <c r="I26" s="68">
        <f>IFERROR(F26*'As-Filed Schedule 1'!$E$103,0)</f>
        <v>0</v>
      </c>
      <c r="J26" s="304">
        <f>IFERROR(H26*'Adjusted Schedule 1'!$E$104,0)</f>
        <v>0</v>
      </c>
      <c r="K26" s="68">
        <f t="shared" si="1"/>
        <v>0</v>
      </c>
      <c r="L26" s="304">
        <f t="shared" si="2"/>
        <v>0</v>
      </c>
      <c r="N26" s="114">
        <f>'As-Filed Schedule 2I'!J26</f>
        <v>0</v>
      </c>
      <c r="O26" s="307">
        <f>SUMIFS(Adjustments!$G:$G,Adjustments!$H:$H,"2I",Adjustments!$I:$I,'Schedule 2I Adjustments'!$N$12,Adjustments!$J:$J,'Schedule 2I Adjustments'!$A26)</f>
        <v>0</v>
      </c>
      <c r="P26" s="303">
        <f t="shared" si="3"/>
        <v>0</v>
      </c>
      <c r="Q26" s="68">
        <f>IFERROR(N26*'As-Filed Schedule 1'!$E$103,0)</f>
        <v>0</v>
      </c>
      <c r="R26" s="68">
        <f>IFERROR(P26*'Adjusted Schedule 1'!$E$104,0)</f>
        <v>0</v>
      </c>
      <c r="S26" s="68">
        <f t="shared" si="4"/>
        <v>0</v>
      </c>
      <c r="T26" s="304">
        <f t="shared" si="5"/>
        <v>0</v>
      </c>
      <c r="V26" s="117">
        <f>'As-Filed Schedule 2I'!N26</f>
        <v>0</v>
      </c>
      <c r="W26" s="307">
        <f>SUMIFS(Adjustments!$G:$G,Adjustments!$H:$H,"2I",Adjustments!$I:$I,'Schedule 2I Adjustments'!$V$12,Adjustments!$J:$J,'Schedule 2I Adjustments'!$A26)</f>
        <v>0</v>
      </c>
      <c r="X26" s="303">
        <f t="shared" si="6"/>
        <v>0</v>
      </c>
      <c r="Y26" s="117">
        <f>'As-Filed Schedule 2I'!O26</f>
        <v>0</v>
      </c>
      <c r="Z26" s="307">
        <f>SUMIFS(Adjustments!$G:$G,Adjustments!$H:$H,"2I",Adjustments!$I:$I,'Schedule 2I Adjustments'!$Y$12,Adjustments!$J:$J,'Schedule 2I Adjustments'!$A26)</f>
        <v>0</v>
      </c>
      <c r="AA26" s="303">
        <f t="shared" si="7"/>
        <v>0</v>
      </c>
    </row>
    <row r="27" spans="1:27" x14ac:dyDescent="0.35">
      <c r="A27" s="24">
        <v>13</v>
      </c>
      <c r="B27" s="565" t="str">
        <f>IF('As-Filed Schedule 2I'!B27:D27=0,"",'As-Filed Schedule 2I'!B27:D27)</f>
        <v/>
      </c>
      <c r="C27" s="565"/>
      <c r="D27" s="565"/>
      <c r="F27" s="114">
        <f>'As-Filed Schedule 2I'!F27</f>
        <v>0</v>
      </c>
      <c r="G27" s="307">
        <f>SUMIFS(Adjustments!$G:$G,Adjustments!$H:$H,"2I",Adjustments!$I:$I,'Schedule 2I Adjustments'!$F$12,Adjustments!$J:$J,'Schedule 2I Adjustments'!$A27)</f>
        <v>0</v>
      </c>
      <c r="H27" s="303">
        <f t="shared" si="0"/>
        <v>0</v>
      </c>
      <c r="I27" s="68">
        <f>IFERROR(F27*'As-Filed Schedule 1'!$E$103,0)</f>
        <v>0</v>
      </c>
      <c r="J27" s="304">
        <f>IFERROR(H27*'Adjusted Schedule 1'!$E$104,0)</f>
        <v>0</v>
      </c>
      <c r="K27" s="68">
        <f t="shared" si="1"/>
        <v>0</v>
      </c>
      <c r="L27" s="304">
        <f t="shared" si="2"/>
        <v>0</v>
      </c>
      <c r="N27" s="114">
        <f>'As-Filed Schedule 2I'!J27</f>
        <v>0</v>
      </c>
      <c r="O27" s="307">
        <f>SUMIFS(Adjustments!$G:$G,Adjustments!$H:$H,"2I",Adjustments!$I:$I,'Schedule 2I Adjustments'!$N$12,Adjustments!$J:$J,'Schedule 2I Adjustments'!$A27)</f>
        <v>0</v>
      </c>
      <c r="P27" s="303">
        <f t="shared" si="3"/>
        <v>0</v>
      </c>
      <c r="Q27" s="68">
        <f>IFERROR(N27*'As-Filed Schedule 1'!$E$103,0)</f>
        <v>0</v>
      </c>
      <c r="R27" s="68">
        <f>IFERROR(P27*'Adjusted Schedule 1'!$E$104,0)</f>
        <v>0</v>
      </c>
      <c r="S27" s="68">
        <f t="shared" si="4"/>
        <v>0</v>
      </c>
      <c r="T27" s="304">
        <f t="shared" si="5"/>
        <v>0</v>
      </c>
      <c r="V27" s="117">
        <f>'As-Filed Schedule 2I'!N27</f>
        <v>0</v>
      </c>
      <c r="W27" s="307">
        <f>SUMIFS(Adjustments!$G:$G,Adjustments!$H:$H,"2I",Adjustments!$I:$I,'Schedule 2I Adjustments'!$V$12,Adjustments!$J:$J,'Schedule 2I Adjustments'!$A27)</f>
        <v>0</v>
      </c>
      <c r="X27" s="303">
        <f t="shared" si="6"/>
        <v>0</v>
      </c>
      <c r="Y27" s="117">
        <f>'As-Filed Schedule 2I'!O27</f>
        <v>0</v>
      </c>
      <c r="Z27" s="307">
        <f>SUMIFS(Adjustments!$G:$G,Adjustments!$H:$H,"2I",Adjustments!$I:$I,'Schedule 2I Adjustments'!$Y$12,Adjustments!$J:$J,'Schedule 2I Adjustments'!$A27)</f>
        <v>0</v>
      </c>
      <c r="AA27" s="303">
        <f t="shared" si="7"/>
        <v>0</v>
      </c>
    </row>
    <row r="28" spans="1:27" x14ac:dyDescent="0.35">
      <c r="A28" s="24">
        <v>14</v>
      </c>
      <c r="B28" s="565" t="str">
        <f>IF('As-Filed Schedule 2I'!B28:D28=0,"",'As-Filed Schedule 2I'!B28:D28)</f>
        <v/>
      </c>
      <c r="C28" s="565"/>
      <c r="D28" s="565"/>
      <c r="F28" s="114">
        <f>'As-Filed Schedule 2I'!F28</f>
        <v>0</v>
      </c>
      <c r="G28" s="307">
        <f>SUMIFS(Adjustments!$G:$G,Adjustments!$H:$H,"2I",Adjustments!$I:$I,'Schedule 2I Adjustments'!$F$12,Adjustments!$J:$J,'Schedule 2I Adjustments'!$A28)</f>
        <v>0</v>
      </c>
      <c r="H28" s="303">
        <f t="shared" si="0"/>
        <v>0</v>
      </c>
      <c r="I28" s="68">
        <f>IFERROR(F28*'As-Filed Schedule 1'!$E$103,0)</f>
        <v>0</v>
      </c>
      <c r="J28" s="304">
        <f>IFERROR(H28*'Adjusted Schedule 1'!$E$104,0)</f>
        <v>0</v>
      </c>
      <c r="K28" s="68">
        <f t="shared" si="1"/>
        <v>0</v>
      </c>
      <c r="L28" s="304">
        <f t="shared" si="2"/>
        <v>0</v>
      </c>
      <c r="N28" s="114">
        <f>'As-Filed Schedule 2I'!J28</f>
        <v>0</v>
      </c>
      <c r="O28" s="307">
        <f>SUMIFS(Adjustments!$G:$G,Adjustments!$H:$H,"2I",Adjustments!$I:$I,'Schedule 2I Adjustments'!$N$12,Adjustments!$J:$J,'Schedule 2I Adjustments'!$A28)</f>
        <v>0</v>
      </c>
      <c r="P28" s="303">
        <f t="shared" si="3"/>
        <v>0</v>
      </c>
      <c r="Q28" s="68">
        <f>IFERROR(N28*'As-Filed Schedule 1'!$E$103,0)</f>
        <v>0</v>
      </c>
      <c r="R28" s="68">
        <f>IFERROR(P28*'Adjusted Schedule 1'!$E$104,0)</f>
        <v>0</v>
      </c>
      <c r="S28" s="68">
        <f t="shared" si="4"/>
        <v>0</v>
      </c>
      <c r="T28" s="304">
        <f t="shared" si="5"/>
        <v>0</v>
      </c>
      <c r="V28" s="117">
        <f>'As-Filed Schedule 2I'!N28</f>
        <v>0</v>
      </c>
      <c r="W28" s="307">
        <f>SUMIFS(Adjustments!$G:$G,Adjustments!$H:$H,"2I",Adjustments!$I:$I,'Schedule 2I Adjustments'!$V$12,Adjustments!$J:$J,'Schedule 2I Adjustments'!$A28)</f>
        <v>0</v>
      </c>
      <c r="X28" s="303">
        <f t="shared" si="6"/>
        <v>0</v>
      </c>
      <c r="Y28" s="117">
        <f>'As-Filed Schedule 2I'!O28</f>
        <v>0</v>
      </c>
      <c r="Z28" s="307">
        <f>SUMIFS(Adjustments!$G:$G,Adjustments!$H:$H,"2I",Adjustments!$I:$I,'Schedule 2I Adjustments'!$Y$12,Adjustments!$J:$J,'Schedule 2I Adjustments'!$A28)</f>
        <v>0</v>
      </c>
      <c r="AA28" s="303">
        <f t="shared" si="7"/>
        <v>0</v>
      </c>
    </row>
    <row r="29" spans="1:27" x14ac:dyDescent="0.35">
      <c r="A29" s="24">
        <v>15</v>
      </c>
      <c r="B29" s="565" t="str">
        <f>IF('As-Filed Schedule 2I'!B29:D29=0,"",'As-Filed Schedule 2I'!B29:D29)</f>
        <v/>
      </c>
      <c r="C29" s="565"/>
      <c r="D29" s="565"/>
      <c r="F29" s="114">
        <f>'As-Filed Schedule 2I'!F29</f>
        <v>0</v>
      </c>
      <c r="G29" s="307">
        <f>SUMIFS(Adjustments!$G:$G,Adjustments!$H:$H,"2I",Adjustments!$I:$I,'Schedule 2I Adjustments'!$F$12,Adjustments!$J:$J,'Schedule 2I Adjustments'!$A29)</f>
        <v>0</v>
      </c>
      <c r="H29" s="303">
        <f t="shared" si="0"/>
        <v>0</v>
      </c>
      <c r="I29" s="68">
        <f>IFERROR(F29*'As-Filed Schedule 1'!$E$103,0)</f>
        <v>0</v>
      </c>
      <c r="J29" s="304">
        <f>IFERROR(H29*'Adjusted Schedule 1'!$E$104,0)</f>
        <v>0</v>
      </c>
      <c r="K29" s="68">
        <f t="shared" si="1"/>
        <v>0</v>
      </c>
      <c r="L29" s="304">
        <f t="shared" si="2"/>
        <v>0</v>
      </c>
      <c r="N29" s="114">
        <f>'As-Filed Schedule 2I'!J29</f>
        <v>0</v>
      </c>
      <c r="O29" s="307">
        <f>SUMIFS(Adjustments!$G:$G,Adjustments!$H:$H,"2I",Adjustments!$I:$I,'Schedule 2I Adjustments'!$N$12,Adjustments!$J:$J,'Schedule 2I Adjustments'!$A29)</f>
        <v>0</v>
      </c>
      <c r="P29" s="303">
        <f t="shared" si="3"/>
        <v>0</v>
      </c>
      <c r="Q29" s="68">
        <f>IFERROR(N29*'As-Filed Schedule 1'!$E$103,0)</f>
        <v>0</v>
      </c>
      <c r="R29" s="68">
        <f>IFERROR(P29*'Adjusted Schedule 1'!$E$104,0)</f>
        <v>0</v>
      </c>
      <c r="S29" s="68">
        <f t="shared" si="4"/>
        <v>0</v>
      </c>
      <c r="T29" s="304">
        <f t="shared" si="5"/>
        <v>0</v>
      </c>
      <c r="V29" s="117">
        <f>'As-Filed Schedule 2I'!N29</f>
        <v>0</v>
      </c>
      <c r="W29" s="307">
        <f>SUMIFS(Adjustments!$G:$G,Adjustments!$H:$H,"2I",Adjustments!$I:$I,'Schedule 2I Adjustments'!$V$12,Adjustments!$J:$J,'Schedule 2I Adjustments'!$A29)</f>
        <v>0</v>
      </c>
      <c r="X29" s="303">
        <f t="shared" si="6"/>
        <v>0</v>
      </c>
      <c r="Y29" s="117">
        <f>'As-Filed Schedule 2I'!O29</f>
        <v>0</v>
      </c>
      <c r="Z29" s="307">
        <f>SUMIFS(Adjustments!$G:$G,Adjustments!$H:$H,"2I",Adjustments!$I:$I,'Schedule 2I Adjustments'!$Y$12,Adjustments!$J:$J,'Schedule 2I Adjustments'!$A29)</f>
        <v>0</v>
      </c>
      <c r="AA29" s="303">
        <f t="shared" si="7"/>
        <v>0</v>
      </c>
    </row>
    <row r="30" spans="1:27" x14ac:dyDescent="0.35">
      <c r="A30" s="24">
        <v>16</v>
      </c>
      <c r="B30" s="565" t="str">
        <f>IF('As-Filed Schedule 2I'!B30:D30=0,"",'As-Filed Schedule 2I'!B30:D30)</f>
        <v/>
      </c>
      <c r="C30" s="565"/>
      <c r="D30" s="565"/>
      <c r="F30" s="114">
        <f>'As-Filed Schedule 2I'!F30</f>
        <v>0</v>
      </c>
      <c r="G30" s="307">
        <f>SUMIFS(Adjustments!$G:$G,Adjustments!$H:$H,"2I",Adjustments!$I:$I,'Schedule 2I Adjustments'!$F$12,Adjustments!$J:$J,'Schedule 2I Adjustments'!$A30)</f>
        <v>0</v>
      </c>
      <c r="H30" s="303">
        <f t="shared" si="0"/>
        <v>0</v>
      </c>
      <c r="I30" s="68">
        <f>IFERROR(F30*'As-Filed Schedule 1'!$E$103,0)</f>
        <v>0</v>
      </c>
      <c r="J30" s="304">
        <f>IFERROR(H30*'Adjusted Schedule 1'!$E$104,0)</f>
        <v>0</v>
      </c>
      <c r="K30" s="68">
        <f t="shared" si="1"/>
        <v>0</v>
      </c>
      <c r="L30" s="304">
        <f t="shared" si="2"/>
        <v>0</v>
      </c>
      <c r="N30" s="114">
        <f>'As-Filed Schedule 2I'!J30</f>
        <v>0</v>
      </c>
      <c r="O30" s="307">
        <f>SUMIFS(Adjustments!$G:$G,Adjustments!$H:$H,"2I",Adjustments!$I:$I,'Schedule 2I Adjustments'!$N$12,Adjustments!$J:$J,'Schedule 2I Adjustments'!$A30)</f>
        <v>0</v>
      </c>
      <c r="P30" s="303">
        <f t="shared" si="3"/>
        <v>0</v>
      </c>
      <c r="Q30" s="68">
        <f>IFERROR(N30*'As-Filed Schedule 1'!$E$103,0)</f>
        <v>0</v>
      </c>
      <c r="R30" s="68">
        <f>IFERROR(P30*'Adjusted Schedule 1'!$E$104,0)</f>
        <v>0</v>
      </c>
      <c r="S30" s="68">
        <f t="shared" si="4"/>
        <v>0</v>
      </c>
      <c r="T30" s="304">
        <f t="shared" si="5"/>
        <v>0</v>
      </c>
      <c r="V30" s="117">
        <f>'As-Filed Schedule 2I'!N30</f>
        <v>0</v>
      </c>
      <c r="W30" s="307">
        <f>SUMIFS(Adjustments!$G:$G,Adjustments!$H:$H,"2I",Adjustments!$I:$I,'Schedule 2I Adjustments'!$V$12,Adjustments!$J:$J,'Schedule 2I Adjustments'!$A30)</f>
        <v>0</v>
      </c>
      <c r="X30" s="303">
        <f t="shared" si="6"/>
        <v>0</v>
      </c>
      <c r="Y30" s="117">
        <f>'As-Filed Schedule 2I'!O30</f>
        <v>0</v>
      </c>
      <c r="Z30" s="307">
        <f>SUMIFS(Adjustments!$G:$G,Adjustments!$H:$H,"2I",Adjustments!$I:$I,'Schedule 2I Adjustments'!$Y$12,Adjustments!$J:$J,'Schedule 2I Adjustments'!$A30)</f>
        <v>0</v>
      </c>
      <c r="AA30" s="303">
        <f t="shared" si="7"/>
        <v>0</v>
      </c>
    </row>
    <row r="31" spans="1:27" x14ac:dyDescent="0.35">
      <c r="A31" s="24">
        <v>17</v>
      </c>
      <c r="B31" s="565" t="str">
        <f>IF('As-Filed Schedule 2I'!B31:D31=0,"",'As-Filed Schedule 2I'!B31:D31)</f>
        <v/>
      </c>
      <c r="C31" s="565"/>
      <c r="D31" s="565"/>
      <c r="F31" s="114">
        <f>'As-Filed Schedule 2I'!F31</f>
        <v>0</v>
      </c>
      <c r="G31" s="307">
        <f>SUMIFS(Adjustments!$G:$G,Adjustments!$H:$H,"2I",Adjustments!$I:$I,'Schedule 2I Adjustments'!$F$12,Adjustments!$J:$J,'Schedule 2I Adjustments'!$A31)</f>
        <v>0</v>
      </c>
      <c r="H31" s="303">
        <f t="shared" si="0"/>
        <v>0</v>
      </c>
      <c r="I31" s="68">
        <f>IFERROR(F31*'As-Filed Schedule 1'!$E$103,0)</f>
        <v>0</v>
      </c>
      <c r="J31" s="304">
        <f>IFERROR(H31*'Adjusted Schedule 1'!$E$104,0)</f>
        <v>0</v>
      </c>
      <c r="K31" s="68">
        <f t="shared" si="1"/>
        <v>0</v>
      </c>
      <c r="L31" s="304">
        <f t="shared" si="2"/>
        <v>0</v>
      </c>
      <c r="N31" s="114">
        <f>'As-Filed Schedule 2I'!J31</f>
        <v>0</v>
      </c>
      <c r="O31" s="307">
        <f>SUMIFS(Adjustments!$G:$G,Adjustments!$H:$H,"2I",Adjustments!$I:$I,'Schedule 2I Adjustments'!$N$12,Adjustments!$J:$J,'Schedule 2I Adjustments'!$A31)</f>
        <v>0</v>
      </c>
      <c r="P31" s="303">
        <f t="shared" si="3"/>
        <v>0</v>
      </c>
      <c r="Q31" s="68">
        <f>IFERROR(N31*'As-Filed Schedule 1'!$E$103,0)</f>
        <v>0</v>
      </c>
      <c r="R31" s="68">
        <f>IFERROR(P31*'Adjusted Schedule 1'!$E$104,0)</f>
        <v>0</v>
      </c>
      <c r="S31" s="68">
        <f t="shared" si="4"/>
        <v>0</v>
      </c>
      <c r="T31" s="304">
        <f t="shared" si="5"/>
        <v>0</v>
      </c>
      <c r="V31" s="117">
        <f>'As-Filed Schedule 2I'!N31</f>
        <v>0</v>
      </c>
      <c r="W31" s="307">
        <f>SUMIFS(Adjustments!$G:$G,Adjustments!$H:$H,"2I",Adjustments!$I:$I,'Schedule 2I Adjustments'!$V$12,Adjustments!$J:$J,'Schedule 2I Adjustments'!$A31)</f>
        <v>0</v>
      </c>
      <c r="X31" s="303">
        <f t="shared" si="6"/>
        <v>0</v>
      </c>
      <c r="Y31" s="117">
        <f>'As-Filed Schedule 2I'!O31</f>
        <v>0</v>
      </c>
      <c r="Z31" s="307">
        <f>SUMIFS(Adjustments!$G:$G,Adjustments!$H:$H,"2I",Adjustments!$I:$I,'Schedule 2I Adjustments'!$Y$12,Adjustments!$J:$J,'Schedule 2I Adjustments'!$A31)</f>
        <v>0</v>
      </c>
      <c r="AA31" s="303">
        <f t="shared" si="7"/>
        <v>0</v>
      </c>
    </row>
    <row r="32" spans="1:27" x14ac:dyDescent="0.35">
      <c r="A32" s="24">
        <v>18</v>
      </c>
      <c r="B32" s="565" t="str">
        <f>IF('As-Filed Schedule 2I'!B32:D32=0,"",'As-Filed Schedule 2I'!B32:D32)</f>
        <v/>
      </c>
      <c r="C32" s="565"/>
      <c r="D32" s="565"/>
      <c r="F32" s="114">
        <f>'As-Filed Schedule 2I'!F32</f>
        <v>0</v>
      </c>
      <c r="G32" s="307">
        <f>SUMIFS(Adjustments!$G:$G,Adjustments!$H:$H,"2I",Adjustments!$I:$I,'Schedule 2I Adjustments'!$F$12,Adjustments!$J:$J,'Schedule 2I Adjustments'!$A32)</f>
        <v>0</v>
      </c>
      <c r="H32" s="303">
        <f t="shared" si="0"/>
        <v>0</v>
      </c>
      <c r="I32" s="68">
        <f>IFERROR(F32*'As-Filed Schedule 1'!$E$103,0)</f>
        <v>0</v>
      </c>
      <c r="J32" s="304">
        <f>IFERROR(H32*'Adjusted Schedule 1'!$E$104,0)</f>
        <v>0</v>
      </c>
      <c r="K32" s="68">
        <f t="shared" si="1"/>
        <v>0</v>
      </c>
      <c r="L32" s="304">
        <f t="shared" si="2"/>
        <v>0</v>
      </c>
      <c r="N32" s="114">
        <f>'As-Filed Schedule 2I'!J32</f>
        <v>0</v>
      </c>
      <c r="O32" s="307">
        <f>SUMIFS(Adjustments!$G:$G,Adjustments!$H:$H,"2I",Adjustments!$I:$I,'Schedule 2I Adjustments'!$N$12,Adjustments!$J:$J,'Schedule 2I Adjustments'!$A32)</f>
        <v>0</v>
      </c>
      <c r="P32" s="303">
        <f t="shared" si="3"/>
        <v>0</v>
      </c>
      <c r="Q32" s="68">
        <f>IFERROR(N32*'As-Filed Schedule 1'!$E$103,0)</f>
        <v>0</v>
      </c>
      <c r="R32" s="68">
        <f>IFERROR(P32*'Adjusted Schedule 1'!$E$104,0)</f>
        <v>0</v>
      </c>
      <c r="S32" s="68">
        <f t="shared" si="4"/>
        <v>0</v>
      </c>
      <c r="T32" s="304">
        <f t="shared" si="5"/>
        <v>0</v>
      </c>
      <c r="V32" s="117">
        <f>'As-Filed Schedule 2I'!N32</f>
        <v>0</v>
      </c>
      <c r="W32" s="307">
        <f>SUMIFS(Adjustments!$G:$G,Adjustments!$H:$H,"2I",Adjustments!$I:$I,'Schedule 2I Adjustments'!$V$12,Adjustments!$J:$J,'Schedule 2I Adjustments'!$A32)</f>
        <v>0</v>
      </c>
      <c r="X32" s="303">
        <f t="shared" si="6"/>
        <v>0</v>
      </c>
      <c r="Y32" s="117">
        <f>'As-Filed Schedule 2I'!O32</f>
        <v>0</v>
      </c>
      <c r="Z32" s="307">
        <f>SUMIFS(Adjustments!$G:$G,Adjustments!$H:$H,"2I",Adjustments!$I:$I,'Schedule 2I Adjustments'!$Y$12,Adjustments!$J:$J,'Schedule 2I Adjustments'!$A32)</f>
        <v>0</v>
      </c>
      <c r="AA32" s="303">
        <f t="shared" si="7"/>
        <v>0</v>
      </c>
    </row>
    <row r="33" spans="1:27" x14ac:dyDescent="0.35">
      <c r="A33" s="24">
        <v>19</v>
      </c>
      <c r="B33" s="565" t="str">
        <f>IF('As-Filed Schedule 2I'!B33:D33=0,"",'As-Filed Schedule 2I'!B33:D33)</f>
        <v/>
      </c>
      <c r="C33" s="565"/>
      <c r="D33" s="565"/>
      <c r="F33" s="114">
        <f>'As-Filed Schedule 2I'!F33</f>
        <v>0</v>
      </c>
      <c r="G33" s="307">
        <f>SUMIFS(Adjustments!$G:$G,Adjustments!$H:$H,"2I",Adjustments!$I:$I,'Schedule 2I Adjustments'!$F$12,Adjustments!$J:$J,'Schedule 2I Adjustments'!$A33)</f>
        <v>0</v>
      </c>
      <c r="H33" s="303">
        <f t="shared" si="0"/>
        <v>0</v>
      </c>
      <c r="I33" s="68">
        <f>IFERROR(F33*'As-Filed Schedule 1'!$E$103,0)</f>
        <v>0</v>
      </c>
      <c r="J33" s="304">
        <f>IFERROR(H33*'Adjusted Schedule 1'!$E$104,0)</f>
        <v>0</v>
      </c>
      <c r="K33" s="68">
        <f t="shared" si="1"/>
        <v>0</v>
      </c>
      <c r="L33" s="304">
        <f t="shared" si="2"/>
        <v>0</v>
      </c>
      <c r="N33" s="114">
        <f>'As-Filed Schedule 2I'!J33</f>
        <v>0</v>
      </c>
      <c r="O33" s="307">
        <f>SUMIFS(Adjustments!$G:$G,Adjustments!$H:$H,"2I",Adjustments!$I:$I,'Schedule 2I Adjustments'!$N$12,Adjustments!$J:$J,'Schedule 2I Adjustments'!$A33)</f>
        <v>0</v>
      </c>
      <c r="P33" s="303">
        <f t="shared" si="3"/>
        <v>0</v>
      </c>
      <c r="Q33" s="68">
        <f>IFERROR(N33*'As-Filed Schedule 1'!$E$103,0)</f>
        <v>0</v>
      </c>
      <c r="R33" s="68">
        <f>IFERROR(P33*'Adjusted Schedule 1'!$E$104,0)</f>
        <v>0</v>
      </c>
      <c r="S33" s="68">
        <f t="shared" si="4"/>
        <v>0</v>
      </c>
      <c r="T33" s="304">
        <f t="shared" si="5"/>
        <v>0</v>
      </c>
      <c r="V33" s="117">
        <f>'As-Filed Schedule 2I'!N33</f>
        <v>0</v>
      </c>
      <c r="W33" s="307">
        <f>SUMIFS(Adjustments!$G:$G,Adjustments!$H:$H,"2I",Adjustments!$I:$I,'Schedule 2I Adjustments'!$V$12,Adjustments!$J:$J,'Schedule 2I Adjustments'!$A33)</f>
        <v>0</v>
      </c>
      <c r="X33" s="303">
        <f t="shared" si="6"/>
        <v>0</v>
      </c>
      <c r="Y33" s="117">
        <f>'As-Filed Schedule 2I'!O33</f>
        <v>0</v>
      </c>
      <c r="Z33" s="307">
        <f>SUMIFS(Adjustments!$G:$G,Adjustments!$H:$H,"2I",Adjustments!$I:$I,'Schedule 2I Adjustments'!$Y$12,Adjustments!$J:$J,'Schedule 2I Adjustments'!$A33)</f>
        <v>0</v>
      </c>
      <c r="AA33" s="303">
        <f t="shared" si="7"/>
        <v>0</v>
      </c>
    </row>
    <row r="34" spans="1:27" x14ac:dyDescent="0.35">
      <c r="A34" s="24">
        <v>20</v>
      </c>
      <c r="B34" s="565" t="str">
        <f>IF('As-Filed Schedule 2I'!B34:D34=0,"",'As-Filed Schedule 2I'!B34:D34)</f>
        <v/>
      </c>
      <c r="C34" s="565"/>
      <c r="D34" s="565"/>
      <c r="F34" s="114">
        <f>'As-Filed Schedule 2I'!F34</f>
        <v>0</v>
      </c>
      <c r="G34" s="307">
        <f>SUMIFS(Adjustments!$G:$G,Adjustments!$H:$H,"2I",Adjustments!$I:$I,'Schedule 2I Adjustments'!$F$12,Adjustments!$J:$J,'Schedule 2I Adjustments'!$A34)</f>
        <v>0</v>
      </c>
      <c r="H34" s="303">
        <f t="shared" si="0"/>
        <v>0</v>
      </c>
      <c r="I34" s="68">
        <f>IFERROR(F34*'As-Filed Schedule 1'!$E$103,0)</f>
        <v>0</v>
      </c>
      <c r="J34" s="304">
        <f>IFERROR(H34*'Adjusted Schedule 1'!$E$104,0)</f>
        <v>0</v>
      </c>
      <c r="K34" s="68">
        <f t="shared" si="1"/>
        <v>0</v>
      </c>
      <c r="L34" s="304">
        <f t="shared" si="2"/>
        <v>0</v>
      </c>
      <c r="N34" s="114">
        <f>'As-Filed Schedule 2I'!J34</f>
        <v>0</v>
      </c>
      <c r="O34" s="307">
        <f>SUMIFS(Adjustments!$G:$G,Adjustments!$H:$H,"2I",Adjustments!$I:$I,'Schedule 2I Adjustments'!$N$12,Adjustments!$J:$J,'Schedule 2I Adjustments'!$A34)</f>
        <v>0</v>
      </c>
      <c r="P34" s="303">
        <f t="shared" si="3"/>
        <v>0</v>
      </c>
      <c r="Q34" s="68">
        <f>IFERROR(N34*'As-Filed Schedule 1'!$E$103,0)</f>
        <v>0</v>
      </c>
      <c r="R34" s="68">
        <f>IFERROR(P34*'Adjusted Schedule 1'!$E$104,0)</f>
        <v>0</v>
      </c>
      <c r="S34" s="68">
        <f t="shared" si="4"/>
        <v>0</v>
      </c>
      <c r="T34" s="304">
        <f t="shared" si="5"/>
        <v>0</v>
      </c>
      <c r="V34" s="117">
        <f>'As-Filed Schedule 2I'!N34</f>
        <v>0</v>
      </c>
      <c r="W34" s="307">
        <f>SUMIFS(Adjustments!$G:$G,Adjustments!$H:$H,"2I",Adjustments!$I:$I,'Schedule 2I Adjustments'!$V$12,Adjustments!$J:$J,'Schedule 2I Adjustments'!$A34)</f>
        <v>0</v>
      </c>
      <c r="X34" s="303">
        <f t="shared" si="6"/>
        <v>0</v>
      </c>
      <c r="Y34" s="117">
        <f>'As-Filed Schedule 2I'!O34</f>
        <v>0</v>
      </c>
      <c r="Z34" s="307">
        <f>SUMIFS(Adjustments!$G:$G,Adjustments!$H:$H,"2I",Adjustments!$I:$I,'Schedule 2I Adjustments'!$Y$12,Adjustments!$J:$J,'Schedule 2I Adjustments'!$A34)</f>
        <v>0</v>
      </c>
      <c r="AA34" s="303">
        <f t="shared" si="7"/>
        <v>0</v>
      </c>
    </row>
    <row r="35" spans="1:27" x14ac:dyDescent="0.35">
      <c r="A35" s="24">
        <v>21</v>
      </c>
      <c r="B35" s="565" t="str">
        <f>IF('As-Filed Schedule 2I'!B35:D35=0,"",'As-Filed Schedule 2I'!B35:D35)</f>
        <v/>
      </c>
      <c r="C35" s="565"/>
      <c r="D35" s="565"/>
      <c r="F35" s="114">
        <f>'As-Filed Schedule 2I'!F35</f>
        <v>0</v>
      </c>
      <c r="G35" s="307">
        <f>SUMIFS(Adjustments!$G:$G,Adjustments!$H:$H,"2I",Adjustments!$I:$I,'Schedule 2I Adjustments'!$F$12,Adjustments!$J:$J,'Schedule 2I Adjustments'!$A35)</f>
        <v>0</v>
      </c>
      <c r="H35" s="303">
        <f t="shared" si="0"/>
        <v>0</v>
      </c>
      <c r="I35" s="68">
        <f>IFERROR(F35*'As-Filed Schedule 1'!$E$103,0)</f>
        <v>0</v>
      </c>
      <c r="J35" s="304">
        <f>IFERROR(H35*'Adjusted Schedule 1'!$E$104,0)</f>
        <v>0</v>
      </c>
      <c r="K35" s="68">
        <f t="shared" si="1"/>
        <v>0</v>
      </c>
      <c r="L35" s="304">
        <f t="shared" si="2"/>
        <v>0</v>
      </c>
      <c r="N35" s="114">
        <f>'As-Filed Schedule 2I'!J35</f>
        <v>0</v>
      </c>
      <c r="O35" s="307">
        <f>SUMIFS(Adjustments!$G:$G,Adjustments!$H:$H,"2I",Adjustments!$I:$I,'Schedule 2I Adjustments'!$N$12,Adjustments!$J:$J,'Schedule 2I Adjustments'!$A35)</f>
        <v>0</v>
      </c>
      <c r="P35" s="303">
        <f t="shared" si="3"/>
        <v>0</v>
      </c>
      <c r="Q35" s="68">
        <f>IFERROR(N35*'As-Filed Schedule 1'!$E$103,0)</f>
        <v>0</v>
      </c>
      <c r="R35" s="68">
        <f>IFERROR(P35*'Adjusted Schedule 1'!$E$104,0)</f>
        <v>0</v>
      </c>
      <c r="S35" s="68">
        <f t="shared" si="4"/>
        <v>0</v>
      </c>
      <c r="T35" s="304">
        <f t="shared" si="5"/>
        <v>0</v>
      </c>
      <c r="V35" s="117">
        <f>'As-Filed Schedule 2I'!N35</f>
        <v>0</v>
      </c>
      <c r="W35" s="307">
        <f>SUMIFS(Adjustments!$G:$G,Adjustments!$H:$H,"2I",Adjustments!$I:$I,'Schedule 2I Adjustments'!$V$12,Adjustments!$J:$J,'Schedule 2I Adjustments'!$A35)</f>
        <v>0</v>
      </c>
      <c r="X35" s="303">
        <f t="shared" si="6"/>
        <v>0</v>
      </c>
      <c r="Y35" s="117">
        <f>'As-Filed Schedule 2I'!O35</f>
        <v>0</v>
      </c>
      <c r="Z35" s="307">
        <f>SUMIFS(Adjustments!$G:$G,Adjustments!$H:$H,"2I",Adjustments!$I:$I,'Schedule 2I Adjustments'!$Y$12,Adjustments!$J:$J,'Schedule 2I Adjustments'!$A35)</f>
        <v>0</v>
      </c>
      <c r="AA35" s="303">
        <f t="shared" si="7"/>
        <v>0</v>
      </c>
    </row>
    <row r="36" spans="1:27" x14ac:dyDescent="0.35">
      <c r="A36" s="24">
        <v>22</v>
      </c>
      <c r="B36" s="565" t="str">
        <f>IF('As-Filed Schedule 2I'!B36:D36=0,"",'As-Filed Schedule 2I'!B36:D36)</f>
        <v/>
      </c>
      <c r="C36" s="565"/>
      <c r="D36" s="565"/>
      <c r="F36" s="114">
        <f>'As-Filed Schedule 2I'!F36</f>
        <v>0</v>
      </c>
      <c r="G36" s="307">
        <f>SUMIFS(Adjustments!$G:$G,Adjustments!$H:$H,"2I",Adjustments!$I:$I,'Schedule 2I Adjustments'!$F$12,Adjustments!$J:$J,'Schedule 2I Adjustments'!$A36)</f>
        <v>0</v>
      </c>
      <c r="H36" s="303">
        <f t="shared" si="0"/>
        <v>0</v>
      </c>
      <c r="I36" s="68">
        <f>IFERROR(F36*'As-Filed Schedule 1'!$E$103,0)</f>
        <v>0</v>
      </c>
      <c r="J36" s="304">
        <f>IFERROR(H36*'Adjusted Schedule 1'!$E$104,0)</f>
        <v>0</v>
      </c>
      <c r="K36" s="68">
        <f t="shared" si="1"/>
        <v>0</v>
      </c>
      <c r="L36" s="304">
        <f t="shared" si="2"/>
        <v>0</v>
      </c>
      <c r="N36" s="114">
        <f>'As-Filed Schedule 2I'!J36</f>
        <v>0</v>
      </c>
      <c r="O36" s="307">
        <f>SUMIFS(Adjustments!$G:$G,Adjustments!$H:$H,"2I",Adjustments!$I:$I,'Schedule 2I Adjustments'!$N$12,Adjustments!$J:$J,'Schedule 2I Adjustments'!$A36)</f>
        <v>0</v>
      </c>
      <c r="P36" s="303">
        <f t="shared" si="3"/>
        <v>0</v>
      </c>
      <c r="Q36" s="68">
        <f>IFERROR(N36*'As-Filed Schedule 1'!$E$103,0)</f>
        <v>0</v>
      </c>
      <c r="R36" s="68">
        <f>IFERROR(P36*'Adjusted Schedule 1'!$E$104,0)</f>
        <v>0</v>
      </c>
      <c r="S36" s="68">
        <f t="shared" si="4"/>
        <v>0</v>
      </c>
      <c r="T36" s="304">
        <f t="shared" si="5"/>
        <v>0</v>
      </c>
      <c r="V36" s="117">
        <f>'As-Filed Schedule 2I'!N36</f>
        <v>0</v>
      </c>
      <c r="W36" s="307">
        <f>SUMIFS(Adjustments!$G:$G,Adjustments!$H:$H,"2I",Adjustments!$I:$I,'Schedule 2I Adjustments'!$V$12,Adjustments!$J:$J,'Schedule 2I Adjustments'!$A36)</f>
        <v>0</v>
      </c>
      <c r="X36" s="303">
        <f t="shared" si="6"/>
        <v>0</v>
      </c>
      <c r="Y36" s="117">
        <f>'As-Filed Schedule 2I'!O36</f>
        <v>0</v>
      </c>
      <c r="Z36" s="307">
        <f>SUMIFS(Adjustments!$G:$G,Adjustments!$H:$H,"2I",Adjustments!$I:$I,'Schedule 2I Adjustments'!$Y$12,Adjustments!$J:$J,'Schedule 2I Adjustments'!$A36)</f>
        <v>0</v>
      </c>
      <c r="AA36" s="303">
        <f t="shared" si="7"/>
        <v>0</v>
      </c>
    </row>
    <row r="37" spans="1:27" x14ac:dyDescent="0.35">
      <c r="A37" s="24">
        <v>23</v>
      </c>
      <c r="B37" s="565" t="str">
        <f>IF('As-Filed Schedule 2I'!B37:D37=0,"",'As-Filed Schedule 2I'!B37:D37)</f>
        <v/>
      </c>
      <c r="C37" s="565"/>
      <c r="D37" s="565"/>
      <c r="F37" s="114">
        <f>'As-Filed Schedule 2I'!F37</f>
        <v>0</v>
      </c>
      <c r="G37" s="307">
        <f>SUMIFS(Adjustments!$G:$G,Adjustments!$H:$H,"2I",Adjustments!$I:$I,'Schedule 2I Adjustments'!$F$12,Adjustments!$J:$J,'Schedule 2I Adjustments'!$A37)</f>
        <v>0</v>
      </c>
      <c r="H37" s="303">
        <f t="shared" si="0"/>
        <v>0</v>
      </c>
      <c r="I37" s="68">
        <f>IFERROR(F37*'As-Filed Schedule 1'!$E$103,0)</f>
        <v>0</v>
      </c>
      <c r="J37" s="304">
        <f>IFERROR(H37*'Adjusted Schedule 1'!$E$104,0)</f>
        <v>0</v>
      </c>
      <c r="K37" s="68">
        <f t="shared" si="1"/>
        <v>0</v>
      </c>
      <c r="L37" s="304">
        <f t="shared" si="2"/>
        <v>0</v>
      </c>
      <c r="N37" s="114">
        <f>'As-Filed Schedule 2I'!J37</f>
        <v>0</v>
      </c>
      <c r="O37" s="307">
        <f>SUMIFS(Adjustments!$G:$G,Adjustments!$H:$H,"2I",Adjustments!$I:$I,'Schedule 2I Adjustments'!$N$12,Adjustments!$J:$J,'Schedule 2I Adjustments'!$A37)</f>
        <v>0</v>
      </c>
      <c r="P37" s="303">
        <f t="shared" si="3"/>
        <v>0</v>
      </c>
      <c r="Q37" s="68">
        <f>IFERROR(N37*'As-Filed Schedule 1'!$E$103,0)</f>
        <v>0</v>
      </c>
      <c r="R37" s="68">
        <f>IFERROR(P37*'Adjusted Schedule 1'!$E$104,0)</f>
        <v>0</v>
      </c>
      <c r="S37" s="68">
        <f t="shared" si="4"/>
        <v>0</v>
      </c>
      <c r="T37" s="304">
        <f t="shared" si="5"/>
        <v>0</v>
      </c>
      <c r="V37" s="117">
        <f>'As-Filed Schedule 2I'!N37</f>
        <v>0</v>
      </c>
      <c r="W37" s="307">
        <f>SUMIFS(Adjustments!$G:$G,Adjustments!$H:$H,"2I",Adjustments!$I:$I,'Schedule 2I Adjustments'!$V$12,Adjustments!$J:$J,'Schedule 2I Adjustments'!$A37)</f>
        <v>0</v>
      </c>
      <c r="X37" s="303">
        <f t="shared" si="6"/>
        <v>0</v>
      </c>
      <c r="Y37" s="117">
        <f>'As-Filed Schedule 2I'!O37</f>
        <v>0</v>
      </c>
      <c r="Z37" s="307">
        <f>SUMIFS(Adjustments!$G:$G,Adjustments!$H:$H,"2I",Adjustments!$I:$I,'Schedule 2I Adjustments'!$Y$12,Adjustments!$J:$J,'Schedule 2I Adjustments'!$A37)</f>
        <v>0</v>
      </c>
      <c r="AA37" s="303">
        <f t="shared" si="7"/>
        <v>0</v>
      </c>
    </row>
    <row r="38" spans="1:27" x14ac:dyDescent="0.35">
      <c r="A38" s="24">
        <v>24</v>
      </c>
      <c r="B38" s="565" t="str">
        <f>IF('As-Filed Schedule 2I'!B38:D38=0,"",'As-Filed Schedule 2I'!B38:D38)</f>
        <v/>
      </c>
      <c r="C38" s="565"/>
      <c r="D38" s="565"/>
      <c r="F38" s="114">
        <f>'As-Filed Schedule 2I'!F38</f>
        <v>0</v>
      </c>
      <c r="G38" s="307">
        <f>SUMIFS(Adjustments!$G:$G,Adjustments!$H:$H,"2I",Adjustments!$I:$I,'Schedule 2I Adjustments'!$F$12,Adjustments!$J:$J,'Schedule 2I Adjustments'!$A38)</f>
        <v>0</v>
      </c>
      <c r="H38" s="303">
        <f t="shared" si="0"/>
        <v>0</v>
      </c>
      <c r="I38" s="68">
        <f>IFERROR(F38*'As-Filed Schedule 1'!$E$103,0)</f>
        <v>0</v>
      </c>
      <c r="J38" s="304">
        <f>IFERROR(H38*'Adjusted Schedule 1'!$E$104,0)</f>
        <v>0</v>
      </c>
      <c r="K38" s="68">
        <f t="shared" si="1"/>
        <v>0</v>
      </c>
      <c r="L38" s="304">
        <f t="shared" si="2"/>
        <v>0</v>
      </c>
      <c r="N38" s="114">
        <f>'As-Filed Schedule 2I'!J38</f>
        <v>0</v>
      </c>
      <c r="O38" s="307">
        <f>SUMIFS(Adjustments!$G:$G,Adjustments!$H:$H,"2I",Adjustments!$I:$I,'Schedule 2I Adjustments'!$N$12,Adjustments!$J:$J,'Schedule 2I Adjustments'!$A38)</f>
        <v>0</v>
      </c>
      <c r="P38" s="303">
        <f t="shared" si="3"/>
        <v>0</v>
      </c>
      <c r="Q38" s="68">
        <f>IFERROR(N38*'As-Filed Schedule 1'!$E$103,0)</f>
        <v>0</v>
      </c>
      <c r="R38" s="68">
        <f>IFERROR(P38*'Adjusted Schedule 1'!$E$104,0)</f>
        <v>0</v>
      </c>
      <c r="S38" s="68">
        <f t="shared" si="4"/>
        <v>0</v>
      </c>
      <c r="T38" s="304">
        <f t="shared" si="5"/>
        <v>0</v>
      </c>
      <c r="V38" s="117">
        <f>'As-Filed Schedule 2I'!N38</f>
        <v>0</v>
      </c>
      <c r="W38" s="307">
        <f>SUMIFS(Adjustments!$G:$G,Adjustments!$H:$H,"2I",Adjustments!$I:$I,'Schedule 2I Adjustments'!$V$12,Adjustments!$J:$J,'Schedule 2I Adjustments'!$A38)</f>
        <v>0</v>
      </c>
      <c r="X38" s="303">
        <f t="shared" si="6"/>
        <v>0</v>
      </c>
      <c r="Y38" s="117">
        <f>'As-Filed Schedule 2I'!O38</f>
        <v>0</v>
      </c>
      <c r="Z38" s="307">
        <f>SUMIFS(Adjustments!$G:$G,Adjustments!$H:$H,"2I",Adjustments!$I:$I,'Schedule 2I Adjustments'!$Y$12,Adjustments!$J:$J,'Schedule 2I Adjustments'!$A38)</f>
        <v>0</v>
      </c>
      <c r="AA38" s="303">
        <f t="shared" si="7"/>
        <v>0</v>
      </c>
    </row>
    <row r="39" spans="1:27" x14ac:dyDescent="0.35">
      <c r="A39" s="24">
        <v>25</v>
      </c>
      <c r="B39" s="565" t="str">
        <f>IF('As-Filed Schedule 2I'!B39:D39=0,"",'As-Filed Schedule 2I'!B39:D39)</f>
        <v/>
      </c>
      <c r="C39" s="565"/>
      <c r="D39" s="565"/>
      <c r="F39" s="114">
        <f>'As-Filed Schedule 2I'!F39</f>
        <v>0</v>
      </c>
      <c r="G39" s="307">
        <f>SUMIFS(Adjustments!$G:$G,Adjustments!$H:$H,"2I",Adjustments!$I:$I,'Schedule 2I Adjustments'!$F$12,Adjustments!$J:$J,'Schedule 2I Adjustments'!$A39)</f>
        <v>0</v>
      </c>
      <c r="H39" s="303">
        <f t="shared" si="0"/>
        <v>0</v>
      </c>
      <c r="I39" s="68">
        <f>IFERROR(F39*'As-Filed Schedule 1'!$E$103,0)</f>
        <v>0</v>
      </c>
      <c r="J39" s="304">
        <f>IFERROR(H39*'Adjusted Schedule 1'!$E$104,0)</f>
        <v>0</v>
      </c>
      <c r="K39" s="68">
        <f t="shared" si="1"/>
        <v>0</v>
      </c>
      <c r="L39" s="304">
        <f t="shared" si="2"/>
        <v>0</v>
      </c>
      <c r="N39" s="114">
        <f>'As-Filed Schedule 2I'!J39</f>
        <v>0</v>
      </c>
      <c r="O39" s="307">
        <f>SUMIFS(Adjustments!$G:$G,Adjustments!$H:$H,"2I",Adjustments!$I:$I,'Schedule 2I Adjustments'!$N$12,Adjustments!$J:$J,'Schedule 2I Adjustments'!$A39)</f>
        <v>0</v>
      </c>
      <c r="P39" s="303">
        <f t="shared" si="3"/>
        <v>0</v>
      </c>
      <c r="Q39" s="68">
        <f>IFERROR(N39*'As-Filed Schedule 1'!$E$103,0)</f>
        <v>0</v>
      </c>
      <c r="R39" s="68">
        <f>IFERROR(P39*'Adjusted Schedule 1'!$E$104,0)</f>
        <v>0</v>
      </c>
      <c r="S39" s="68">
        <f t="shared" si="4"/>
        <v>0</v>
      </c>
      <c r="T39" s="304">
        <f t="shared" si="5"/>
        <v>0</v>
      </c>
      <c r="V39" s="117">
        <f>'As-Filed Schedule 2I'!N39</f>
        <v>0</v>
      </c>
      <c r="W39" s="307">
        <f>SUMIFS(Adjustments!$G:$G,Adjustments!$H:$H,"2I",Adjustments!$I:$I,'Schedule 2I Adjustments'!$V$12,Adjustments!$J:$J,'Schedule 2I Adjustments'!$A39)</f>
        <v>0</v>
      </c>
      <c r="X39" s="303">
        <f t="shared" si="6"/>
        <v>0</v>
      </c>
      <c r="Y39" s="117">
        <f>'As-Filed Schedule 2I'!O39</f>
        <v>0</v>
      </c>
      <c r="Z39" s="307">
        <f>SUMIFS(Adjustments!$G:$G,Adjustments!$H:$H,"2I",Adjustments!$I:$I,'Schedule 2I Adjustments'!$Y$12,Adjustments!$J:$J,'Schedule 2I Adjustments'!$A39)</f>
        <v>0</v>
      </c>
      <c r="AA39" s="303">
        <f t="shared" si="7"/>
        <v>0</v>
      </c>
    </row>
    <row r="40" spans="1:27" x14ac:dyDescent="0.35">
      <c r="A40" s="24">
        <v>26</v>
      </c>
      <c r="B40" s="565" t="str">
        <f>IF('As-Filed Schedule 2I'!B40:D40=0,"",'As-Filed Schedule 2I'!B40:D40)</f>
        <v/>
      </c>
      <c r="C40" s="565"/>
      <c r="D40" s="565"/>
      <c r="F40" s="114">
        <f>'As-Filed Schedule 2I'!F40</f>
        <v>0</v>
      </c>
      <c r="G40" s="307">
        <f>SUMIFS(Adjustments!$G:$G,Adjustments!$H:$H,"2I",Adjustments!$I:$I,'Schedule 2I Adjustments'!$F$12,Adjustments!$J:$J,'Schedule 2I Adjustments'!$A40)</f>
        <v>0</v>
      </c>
      <c r="H40" s="303">
        <f t="shared" si="0"/>
        <v>0</v>
      </c>
      <c r="I40" s="68">
        <f>IFERROR(F40*'As-Filed Schedule 1'!$E$103,0)</f>
        <v>0</v>
      </c>
      <c r="J40" s="304">
        <f>IFERROR(H40*'Adjusted Schedule 1'!$E$104,0)</f>
        <v>0</v>
      </c>
      <c r="K40" s="68">
        <f t="shared" si="1"/>
        <v>0</v>
      </c>
      <c r="L40" s="304">
        <f t="shared" si="2"/>
        <v>0</v>
      </c>
      <c r="N40" s="114">
        <f>'As-Filed Schedule 2I'!J40</f>
        <v>0</v>
      </c>
      <c r="O40" s="307">
        <f>SUMIFS(Adjustments!$G:$G,Adjustments!$H:$H,"2I",Adjustments!$I:$I,'Schedule 2I Adjustments'!$N$12,Adjustments!$J:$J,'Schedule 2I Adjustments'!$A40)</f>
        <v>0</v>
      </c>
      <c r="P40" s="303">
        <f t="shared" si="3"/>
        <v>0</v>
      </c>
      <c r="Q40" s="68">
        <f>IFERROR(N40*'As-Filed Schedule 1'!$E$103,0)</f>
        <v>0</v>
      </c>
      <c r="R40" s="68">
        <f>IFERROR(P40*'Adjusted Schedule 1'!$E$104,0)</f>
        <v>0</v>
      </c>
      <c r="S40" s="68">
        <f t="shared" si="4"/>
        <v>0</v>
      </c>
      <c r="T40" s="304">
        <f t="shared" si="5"/>
        <v>0</v>
      </c>
      <c r="V40" s="117">
        <f>'As-Filed Schedule 2I'!N40</f>
        <v>0</v>
      </c>
      <c r="W40" s="307">
        <f>SUMIFS(Adjustments!$G:$G,Adjustments!$H:$H,"2I",Adjustments!$I:$I,'Schedule 2I Adjustments'!$V$12,Adjustments!$J:$J,'Schedule 2I Adjustments'!$A40)</f>
        <v>0</v>
      </c>
      <c r="X40" s="303">
        <f t="shared" si="6"/>
        <v>0</v>
      </c>
      <c r="Y40" s="117">
        <f>'As-Filed Schedule 2I'!O40</f>
        <v>0</v>
      </c>
      <c r="Z40" s="307">
        <f>SUMIFS(Adjustments!$G:$G,Adjustments!$H:$H,"2I",Adjustments!$I:$I,'Schedule 2I Adjustments'!$Y$12,Adjustments!$J:$J,'Schedule 2I Adjustments'!$A40)</f>
        <v>0</v>
      </c>
      <c r="AA40" s="303">
        <f t="shared" si="7"/>
        <v>0</v>
      </c>
    </row>
    <row r="41" spans="1:27" x14ac:dyDescent="0.35">
      <c r="A41" s="24">
        <v>27</v>
      </c>
      <c r="B41" s="565" t="str">
        <f>IF('As-Filed Schedule 2I'!B41:D41=0,"",'As-Filed Schedule 2I'!B41:D41)</f>
        <v/>
      </c>
      <c r="C41" s="565"/>
      <c r="D41" s="565"/>
      <c r="F41" s="114">
        <f>'As-Filed Schedule 2I'!F41</f>
        <v>0</v>
      </c>
      <c r="G41" s="307">
        <f>SUMIFS(Adjustments!$G:$G,Adjustments!$H:$H,"2I",Adjustments!$I:$I,'Schedule 2I Adjustments'!$F$12,Adjustments!$J:$J,'Schedule 2I Adjustments'!$A41)</f>
        <v>0</v>
      </c>
      <c r="H41" s="303">
        <f t="shared" si="0"/>
        <v>0</v>
      </c>
      <c r="I41" s="68">
        <f>IFERROR(F41*'As-Filed Schedule 1'!$E$103,0)</f>
        <v>0</v>
      </c>
      <c r="J41" s="304">
        <f>IFERROR(H41*'Adjusted Schedule 1'!$E$104,0)</f>
        <v>0</v>
      </c>
      <c r="K41" s="68">
        <f t="shared" si="1"/>
        <v>0</v>
      </c>
      <c r="L41" s="304">
        <f t="shared" si="2"/>
        <v>0</v>
      </c>
      <c r="N41" s="114">
        <f>'As-Filed Schedule 2I'!J41</f>
        <v>0</v>
      </c>
      <c r="O41" s="307">
        <f>SUMIFS(Adjustments!$G:$G,Adjustments!$H:$H,"2I",Adjustments!$I:$I,'Schedule 2I Adjustments'!$N$12,Adjustments!$J:$J,'Schedule 2I Adjustments'!$A41)</f>
        <v>0</v>
      </c>
      <c r="P41" s="303">
        <f t="shared" si="3"/>
        <v>0</v>
      </c>
      <c r="Q41" s="68">
        <f>IFERROR(N41*'As-Filed Schedule 1'!$E$103,0)</f>
        <v>0</v>
      </c>
      <c r="R41" s="68">
        <f>IFERROR(P41*'Adjusted Schedule 1'!$E$104,0)</f>
        <v>0</v>
      </c>
      <c r="S41" s="68">
        <f t="shared" si="4"/>
        <v>0</v>
      </c>
      <c r="T41" s="304">
        <f t="shared" si="5"/>
        <v>0</v>
      </c>
      <c r="V41" s="117">
        <f>'As-Filed Schedule 2I'!N41</f>
        <v>0</v>
      </c>
      <c r="W41" s="307">
        <f>SUMIFS(Adjustments!$G:$G,Adjustments!$H:$H,"2I",Adjustments!$I:$I,'Schedule 2I Adjustments'!$V$12,Adjustments!$J:$J,'Schedule 2I Adjustments'!$A41)</f>
        <v>0</v>
      </c>
      <c r="X41" s="303">
        <f t="shared" si="6"/>
        <v>0</v>
      </c>
      <c r="Y41" s="117">
        <f>'As-Filed Schedule 2I'!O41</f>
        <v>0</v>
      </c>
      <c r="Z41" s="307">
        <f>SUMIFS(Adjustments!$G:$G,Adjustments!$H:$H,"2I",Adjustments!$I:$I,'Schedule 2I Adjustments'!$Y$12,Adjustments!$J:$J,'Schedule 2I Adjustments'!$A41)</f>
        <v>0</v>
      </c>
      <c r="AA41" s="303">
        <f t="shared" si="7"/>
        <v>0</v>
      </c>
    </row>
    <row r="42" spans="1:27" x14ac:dyDescent="0.35">
      <c r="A42" s="24">
        <v>28</v>
      </c>
      <c r="B42" s="565" t="str">
        <f>IF('As-Filed Schedule 2I'!B42:D42=0,"",'As-Filed Schedule 2I'!B42:D42)</f>
        <v/>
      </c>
      <c r="C42" s="565"/>
      <c r="D42" s="565"/>
      <c r="F42" s="114">
        <f>'As-Filed Schedule 2I'!F42</f>
        <v>0</v>
      </c>
      <c r="G42" s="307">
        <f>SUMIFS(Adjustments!$G:$G,Adjustments!$H:$H,"2I",Adjustments!$I:$I,'Schedule 2I Adjustments'!$F$12,Adjustments!$J:$J,'Schedule 2I Adjustments'!$A42)</f>
        <v>0</v>
      </c>
      <c r="H42" s="303">
        <f t="shared" si="0"/>
        <v>0</v>
      </c>
      <c r="I42" s="68">
        <f>IFERROR(F42*'As-Filed Schedule 1'!$E$103,0)</f>
        <v>0</v>
      </c>
      <c r="J42" s="304">
        <f>IFERROR(H42*'Adjusted Schedule 1'!$E$104,0)</f>
        <v>0</v>
      </c>
      <c r="K42" s="68">
        <f t="shared" si="1"/>
        <v>0</v>
      </c>
      <c r="L42" s="304">
        <f t="shared" si="2"/>
        <v>0</v>
      </c>
      <c r="N42" s="114">
        <f>'As-Filed Schedule 2I'!J42</f>
        <v>0</v>
      </c>
      <c r="O42" s="307">
        <f>SUMIFS(Adjustments!$G:$G,Adjustments!$H:$H,"2I",Adjustments!$I:$I,'Schedule 2I Adjustments'!$N$12,Adjustments!$J:$J,'Schedule 2I Adjustments'!$A42)</f>
        <v>0</v>
      </c>
      <c r="P42" s="303">
        <f t="shared" si="3"/>
        <v>0</v>
      </c>
      <c r="Q42" s="68">
        <f>IFERROR(N42*'As-Filed Schedule 1'!$E$103,0)</f>
        <v>0</v>
      </c>
      <c r="R42" s="68">
        <f>IFERROR(P42*'Adjusted Schedule 1'!$E$104,0)</f>
        <v>0</v>
      </c>
      <c r="S42" s="68">
        <f t="shared" si="4"/>
        <v>0</v>
      </c>
      <c r="T42" s="304">
        <f t="shared" si="5"/>
        <v>0</v>
      </c>
      <c r="V42" s="117">
        <f>'As-Filed Schedule 2I'!N42</f>
        <v>0</v>
      </c>
      <c r="W42" s="307">
        <f>SUMIFS(Adjustments!$G:$G,Adjustments!$H:$H,"2I",Adjustments!$I:$I,'Schedule 2I Adjustments'!$V$12,Adjustments!$J:$J,'Schedule 2I Adjustments'!$A42)</f>
        <v>0</v>
      </c>
      <c r="X42" s="303">
        <f t="shared" si="6"/>
        <v>0</v>
      </c>
      <c r="Y42" s="117">
        <f>'As-Filed Schedule 2I'!O42</f>
        <v>0</v>
      </c>
      <c r="Z42" s="307">
        <f>SUMIFS(Adjustments!$G:$G,Adjustments!$H:$H,"2I",Adjustments!$I:$I,'Schedule 2I Adjustments'!$Y$12,Adjustments!$J:$J,'Schedule 2I Adjustments'!$A42)</f>
        <v>0</v>
      </c>
      <c r="AA42" s="303">
        <f t="shared" si="7"/>
        <v>0</v>
      </c>
    </row>
    <row r="43" spans="1:27" x14ac:dyDescent="0.35">
      <c r="A43" s="24">
        <v>29</v>
      </c>
      <c r="B43" s="565" t="str">
        <f>IF('As-Filed Schedule 2I'!B43:D43=0,"",'As-Filed Schedule 2I'!B43:D43)</f>
        <v/>
      </c>
      <c r="C43" s="565"/>
      <c r="D43" s="565"/>
      <c r="F43" s="114">
        <f>'As-Filed Schedule 2I'!F43</f>
        <v>0</v>
      </c>
      <c r="G43" s="307">
        <f>SUMIFS(Adjustments!$G:$G,Adjustments!$H:$H,"2I",Adjustments!$I:$I,'Schedule 2I Adjustments'!$F$12,Adjustments!$J:$J,'Schedule 2I Adjustments'!$A43)</f>
        <v>0</v>
      </c>
      <c r="H43" s="303">
        <f t="shared" si="0"/>
        <v>0</v>
      </c>
      <c r="I43" s="68">
        <f>IFERROR(F43*'As-Filed Schedule 1'!$E$103,0)</f>
        <v>0</v>
      </c>
      <c r="J43" s="304">
        <f>IFERROR(H43*'Adjusted Schedule 1'!$E$104,0)</f>
        <v>0</v>
      </c>
      <c r="K43" s="68">
        <f t="shared" si="1"/>
        <v>0</v>
      </c>
      <c r="L43" s="304">
        <f t="shared" si="2"/>
        <v>0</v>
      </c>
      <c r="N43" s="114">
        <f>'As-Filed Schedule 2I'!J43</f>
        <v>0</v>
      </c>
      <c r="O43" s="307">
        <f>SUMIFS(Adjustments!$G:$G,Adjustments!$H:$H,"2I",Adjustments!$I:$I,'Schedule 2I Adjustments'!$N$12,Adjustments!$J:$J,'Schedule 2I Adjustments'!$A43)</f>
        <v>0</v>
      </c>
      <c r="P43" s="303">
        <f t="shared" si="3"/>
        <v>0</v>
      </c>
      <c r="Q43" s="68">
        <f>IFERROR(N43*'As-Filed Schedule 1'!$E$103,0)</f>
        <v>0</v>
      </c>
      <c r="R43" s="68">
        <f>IFERROR(P43*'Adjusted Schedule 1'!$E$104,0)</f>
        <v>0</v>
      </c>
      <c r="S43" s="68">
        <f t="shared" si="4"/>
        <v>0</v>
      </c>
      <c r="T43" s="304">
        <f t="shared" si="5"/>
        <v>0</v>
      </c>
      <c r="V43" s="117">
        <f>'As-Filed Schedule 2I'!N43</f>
        <v>0</v>
      </c>
      <c r="W43" s="307">
        <f>SUMIFS(Adjustments!$G:$G,Adjustments!$H:$H,"2I",Adjustments!$I:$I,'Schedule 2I Adjustments'!$V$12,Adjustments!$J:$J,'Schedule 2I Adjustments'!$A43)</f>
        <v>0</v>
      </c>
      <c r="X43" s="303">
        <f t="shared" si="6"/>
        <v>0</v>
      </c>
      <c r="Y43" s="117">
        <f>'As-Filed Schedule 2I'!O43</f>
        <v>0</v>
      </c>
      <c r="Z43" s="307">
        <f>SUMIFS(Adjustments!$G:$G,Adjustments!$H:$H,"2I",Adjustments!$I:$I,'Schedule 2I Adjustments'!$Y$12,Adjustments!$J:$J,'Schedule 2I Adjustments'!$A43)</f>
        <v>0</v>
      </c>
      <c r="AA43" s="303">
        <f t="shared" si="7"/>
        <v>0</v>
      </c>
    </row>
    <row r="44" spans="1:27" x14ac:dyDescent="0.35">
      <c r="A44" s="24">
        <v>30</v>
      </c>
      <c r="B44" s="565" t="str">
        <f>IF('As-Filed Schedule 2I'!B44:D44=0,"",'As-Filed Schedule 2I'!B44:D44)</f>
        <v/>
      </c>
      <c r="C44" s="565"/>
      <c r="D44" s="565"/>
      <c r="F44" s="114">
        <f>'As-Filed Schedule 2I'!F44</f>
        <v>0</v>
      </c>
      <c r="G44" s="307">
        <f>SUMIFS(Adjustments!$G:$G,Adjustments!$H:$H,"2I",Adjustments!$I:$I,'Schedule 2I Adjustments'!$F$12,Adjustments!$J:$J,'Schedule 2I Adjustments'!$A44)</f>
        <v>0</v>
      </c>
      <c r="H44" s="303">
        <f t="shared" si="0"/>
        <v>0</v>
      </c>
      <c r="I44" s="68">
        <f>IFERROR(F44*'As-Filed Schedule 1'!$E$103,0)</f>
        <v>0</v>
      </c>
      <c r="J44" s="304">
        <f>IFERROR(H44*'Adjusted Schedule 1'!$E$104,0)</f>
        <v>0</v>
      </c>
      <c r="K44" s="68">
        <f t="shared" si="1"/>
        <v>0</v>
      </c>
      <c r="L44" s="304">
        <f t="shared" si="2"/>
        <v>0</v>
      </c>
      <c r="N44" s="114">
        <f>'As-Filed Schedule 2I'!J44</f>
        <v>0</v>
      </c>
      <c r="O44" s="307">
        <f>SUMIFS(Adjustments!$G:$G,Adjustments!$H:$H,"2I",Adjustments!$I:$I,'Schedule 2I Adjustments'!$N$12,Adjustments!$J:$J,'Schedule 2I Adjustments'!$A44)</f>
        <v>0</v>
      </c>
      <c r="P44" s="303">
        <f t="shared" si="3"/>
        <v>0</v>
      </c>
      <c r="Q44" s="68">
        <f>IFERROR(N44*'As-Filed Schedule 1'!$E$103,0)</f>
        <v>0</v>
      </c>
      <c r="R44" s="68">
        <f>IFERROR(P44*'Adjusted Schedule 1'!$E$104,0)</f>
        <v>0</v>
      </c>
      <c r="S44" s="68">
        <f t="shared" si="4"/>
        <v>0</v>
      </c>
      <c r="T44" s="304">
        <f t="shared" si="5"/>
        <v>0</v>
      </c>
      <c r="V44" s="117">
        <f>'As-Filed Schedule 2I'!N44</f>
        <v>0</v>
      </c>
      <c r="W44" s="307">
        <f>SUMIFS(Adjustments!$G:$G,Adjustments!$H:$H,"2I",Adjustments!$I:$I,'Schedule 2I Adjustments'!$V$12,Adjustments!$J:$J,'Schedule 2I Adjustments'!$A44)</f>
        <v>0</v>
      </c>
      <c r="X44" s="303">
        <f t="shared" si="6"/>
        <v>0</v>
      </c>
      <c r="Y44" s="117">
        <f>'As-Filed Schedule 2I'!O44</f>
        <v>0</v>
      </c>
      <c r="Z44" s="307">
        <f>SUMIFS(Adjustments!$G:$G,Adjustments!$H:$H,"2I",Adjustments!$I:$I,'Schedule 2I Adjustments'!$Y$12,Adjustments!$J:$J,'Schedule 2I Adjustments'!$A44)</f>
        <v>0</v>
      </c>
      <c r="AA44" s="303">
        <f t="shared" si="7"/>
        <v>0</v>
      </c>
    </row>
    <row r="45" spans="1:27" x14ac:dyDescent="0.35">
      <c r="A45" s="24">
        <v>31</v>
      </c>
      <c r="B45" s="565" t="str">
        <f>IF('As-Filed Schedule 2I'!B45:D45=0,"",'As-Filed Schedule 2I'!B45:D45)</f>
        <v/>
      </c>
      <c r="C45" s="565"/>
      <c r="D45" s="565"/>
      <c r="F45" s="114">
        <f>'As-Filed Schedule 2I'!F45</f>
        <v>0</v>
      </c>
      <c r="G45" s="307">
        <f>SUMIFS(Adjustments!$G:$G,Adjustments!$H:$H,"2I",Adjustments!$I:$I,'Schedule 2I Adjustments'!$F$12,Adjustments!$J:$J,'Schedule 2I Adjustments'!$A45)</f>
        <v>0</v>
      </c>
      <c r="H45" s="303">
        <f t="shared" si="0"/>
        <v>0</v>
      </c>
      <c r="I45" s="68">
        <f>IFERROR(F45*'As-Filed Schedule 1'!$E$103,0)</f>
        <v>0</v>
      </c>
      <c r="J45" s="304">
        <f>IFERROR(H45*'Adjusted Schedule 1'!$E$104,0)</f>
        <v>0</v>
      </c>
      <c r="K45" s="68">
        <f t="shared" si="1"/>
        <v>0</v>
      </c>
      <c r="L45" s="304">
        <f t="shared" si="2"/>
        <v>0</v>
      </c>
      <c r="N45" s="114">
        <f>'As-Filed Schedule 2I'!J45</f>
        <v>0</v>
      </c>
      <c r="O45" s="307">
        <f>SUMIFS(Adjustments!$G:$G,Adjustments!$H:$H,"2I",Adjustments!$I:$I,'Schedule 2I Adjustments'!$N$12,Adjustments!$J:$J,'Schedule 2I Adjustments'!$A45)</f>
        <v>0</v>
      </c>
      <c r="P45" s="303">
        <f t="shared" si="3"/>
        <v>0</v>
      </c>
      <c r="Q45" s="68">
        <f>IFERROR(N45*'As-Filed Schedule 1'!$E$103,0)</f>
        <v>0</v>
      </c>
      <c r="R45" s="68">
        <f>IFERROR(P45*'Adjusted Schedule 1'!$E$104,0)</f>
        <v>0</v>
      </c>
      <c r="S45" s="68">
        <f t="shared" si="4"/>
        <v>0</v>
      </c>
      <c r="T45" s="304">
        <f t="shared" si="5"/>
        <v>0</v>
      </c>
      <c r="V45" s="117">
        <f>'As-Filed Schedule 2I'!N45</f>
        <v>0</v>
      </c>
      <c r="W45" s="307">
        <f>SUMIFS(Adjustments!$G:$G,Adjustments!$H:$H,"2I",Adjustments!$I:$I,'Schedule 2I Adjustments'!$V$12,Adjustments!$J:$J,'Schedule 2I Adjustments'!$A45)</f>
        <v>0</v>
      </c>
      <c r="X45" s="303">
        <f t="shared" si="6"/>
        <v>0</v>
      </c>
      <c r="Y45" s="117">
        <f>'As-Filed Schedule 2I'!O45</f>
        <v>0</v>
      </c>
      <c r="Z45" s="307">
        <f>SUMIFS(Adjustments!$G:$G,Adjustments!$H:$H,"2I",Adjustments!$I:$I,'Schedule 2I Adjustments'!$Y$12,Adjustments!$J:$J,'Schedule 2I Adjustments'!$A45)</f>
        <v>0</v>
      </c>
      <c r="AA45" s="303">
        <f t="shared" si="7"/>
        <v>0</v>
      </c>
    </row>
    <row r="46" spans="1:27" x14ac:dyDescent="0.35">
      <c r="A46" s="24">
        <v>32</v>
      </c>
      <c r="B46" s="565" t="str">
        <f>IF('As-Filed Schedule 2I'!B46:D46=0,"",'As-Filed Schedule 2I'!B46:D46)</f>
        <v/>
      </c>
      <c r="C46" s="565"/>
      <c r="D46" s="565"/>
      <c r="F46" s="114">
        <f>'As-Filed Schedule 2I'!F46</f>
        <v>0</v>
      </c>
      <c r="G46" s="307">
        <f>SUMIFS(Adjustments!$G:$G,Adjustments!$H:$H,"2I",Adjustments!$I:$I,'Schedule 2I Adjustments'!$F$12,Adjustments!$J:$J,'Schedule 2I Adjustments'!$A46)</f>
        <v>0</v>
      </c>
      <c r="H46" s="303">
        <f t="shared" si="0"/>
        <v>0</v>
      </c>
      <c r="I46" s="68">
        <f>IFERROR(F46*'As-Filed Schedule 1'!$E$103,0)</f>
        <v>0</v>
      </c>
      <c r="J46" s="304">
        <f>IFERROR(H46*'Adjusted Schedule 1'!$E$104,0)</f>
        <v>0</v>
      </c>
      <c r="K46" s="68">
        <f t="shared" si="1"/>
        <v>0</v>
      </c>
      <c r="L46" s="304">
        <f t="shared" si="2"/>
        <v>0</v>
      </c>
      <c r="N46" s="114">
        <f>'As-Filed Schedule 2I'!J46</f>
        <v>0</v>
      </c>
      <c r="O46" s="307">
        <f>SUMIFS(Adjustments!$G:$G,Adjustments!$H:$H,"2I",Adjustments!$I:$I,'Schedule 2I Adjustments'!$N$12,Adjustments!$J:$J,'Schedule 2I Adjustments'!$A46)</f>
        <v>0</v>
      </c>
      <c r="P46" s="303">
        <f t="shared" si="3"/>
        <v>0</v>
      </c>
      <c r="Q46" s="68">
        <f>IFERROR(N46*'As-Filed Schedule 1'!$E$103,0)</f>
        <v>0</v>
      </c>
      <c r="R46" s="68">
        <f>IFERROR(P46*'Adjusted Schedule 1'!$E$104,0)</f>
        <v>0</v>
      </c>
      <c r="S46" s="68">
        <f t="shared" si="4"/>
        <v>0</v>
      </c>
      <c r="T46" s="304">
        <f t="shared" si="5"/>
        <v>0</v>
      </c>
      <c r="V46" s="117">
        <f>'As-Filed Schedule 2I'!N46</f>
        <v>0</v>
      </c>
      <c r="W46" s="307">
        <f>SUMIFS(Adjustments!$G:$G,Adjustments!$H:$H,"2I",Adjustments!$I:$I,'Schedule 2I Adjustments'!$V$12,Adjustments!$J:$J,'Schedule 2I Adjustments'!$A46)</f>
        <v>0</v>
      </c>
      <c r="X46" s="303">
        <f t="shared" si="6"/>
        <v>0</v>
      </c>
      <c r="Y46" s="117">
        <f>'As-Filed Schedule 2I'!O46</f>
        <v>0</v>
      </c>
      <c r="Z46" s="307">
        <f>SUMIFS(Adjustments!$G:$G,Adjustments!$H:$H,"2I",Adjustments!$I:$I,'Schedule 2I Adjustments'!$Y$12,Adjustments!$J:$J,'Schedule 2I Adjustments'!$A46)</f>
        <v>0</v>
      </c>
      <c r="AA46" s="303">
        <f t="shared" si="7"/>
        <v>0</v>
      </c>
    </row>
    <row r="47" spans="1:27" x14ac:dyDescent="0.35">
      <c r="A47" s="24">
        <v>33</v>
      </c>
      <c r="B47" s="565" t="str">
        <f>IF('As-Filed Schedule 2I'!B47:D47=0,"",'As-Filed Schedule 2I'!B47:D47)</f>
        <v/>
      </c>
      <c r="C47" s="565"/>
      <c r="D47" s="565"/>
      <c r="F47" s="114">
        <f>'As-Filed Schedule 2I'!F47</f>
        <v>0</v>
      </c>
      <c r="G47" s="307">
        <f>SUMIFS(Adjustments!$G:$G,Adjustments!$H:$H,"2I",Adjustments!$I:$I,'Schedule 2I Adjustments'!$F$12,Adjustments!$J:$J,'Schedule 2I Adjustments'!$A47)</f>
        <v>0</v>
      </c>
      <c r="H47" s="303">
        <f t="shared" si="0"/>
        <v>0</v>
      </c>
      <c r="I47" s="68">
        <f>IFERROR(F47*'As-Filed Schedule 1'!$E$103,0)</f>
        <v>0</v>
      </c>
      <c r="J47" s="304">
        <f>IFERROR(H47*'Adjusted Schedule 1'!$E$104,0)</f>
        <v>0</v>
      </c>
      <c r="K47" s="68">
        <f t="shared" si="1"/>
        <v>0</v>
      </c>
      <c r="L47" s="304">
        <f t="shared" si="2"/>
        <v>0</v>
      </c>
      <c r="N47" s="114">
        <f>'As-Filed Schedule 2I'!J47</f>
        <v>0</v>
      </c>
      <c r="O47" s="307">
        <f>SUMIFS(Adjustments!$G:$G,Adjustments!$H:$H,"2I",Adjustments!$I:$I,'Schedule 2I Adjustments'!$N$12,Adjustments!$J:$J,'Schedule 2I Adjustments'!$A47)</f>
        <v>0</v>
      </c>
      <c r="P47" s="303">
        <f t="shared" si="3"/>
        <v>0</v>
      </c>
      <c r="Q47" s="68">
        <f>IFERROR(N47*'As-Filed Schedule 1'!$E$103,0)</f>
        <v>0</v>
      </c>
      <c r="R47" s="68">
        <f>IFERROR(P47*'Adjusted Schedule 1'!$E$104,0)</f>
        <v>0</v>
      </c>
      <c r="S47" s="68">
        <f t="shared" si="4"/>
        <v>0</v>
      </c>
      <c r="T47" s="304">
        <f t="shared" si="5"/>
        <v>0</v>
      </c>
      <c r="V47" s="117">
        <f>'As-Filed Schedule 2I'!N47</f>
        <v>0</v>
      </c>
      <c r="W47" s="307">
        <f>SUMIFS(Adjustments!$G:$G,Adjustments!$H:$H,"2I",Adjustments!$I:$I,'Schedule 2I Adjustments'!$V$12,Adjustments!$J:$J,'Schedule 2I Adjustments'!$A47)</f>
        <v>0</v>
      </c>
      <c r="X47" s="303">
        <f t="shared" si="6"/>
        <v>0</v>
      </c>
      <c r="Y47" s="117">
        <f>'As-Filed Schedule 2I'!O47</f>
        <v>0</v>
      </c>
      <c r="Z47" s="307">
        <f>SUMIFS(Adjustments!$G:$G,Adjustments!$H:$H,"2I",Adjustments!$I:$I,'Schedule 2I Adjustments'!$Y$12,Adjustments!$J:$J,'Schedule 2I Adjustments'!$A47)</f>
        <v>0</v>
      </c>
      <c r="AA47" s="303">
        <f t="shared" si="7"/>
        <v>0</v>
      </c>
    </row>
    <row r="48" spans="1:27" x14ac:dyDescent="0.35">
      <c r="A48" s="24">
        <v>34</v>
      </c>
      <c r="B48" s="565" t="str">
        <f>IF('As-Filed Schedule 2I'!B48:D48=0,"",'As-Filed Schedule 2I'!B48:D48)</f>
        <v/>
      </c>
      <c r="C48" s="565"/>
      <c r="D48" s="565"/>
      <c r="F48" s="114">
        <f>'As-Filed Schedule 2I'!F48</f>
        <v>0</v>
      </c>
      <c r="G48" s="307">
        <f>SUMIFS(Adjustments!$G:$G,Adjustments!$H:$H,"2I",Adjustments!$I:$I,'Schedule 2I Adjustments'!$F$12,Adjustments!$J:$J,'Schedule 2I Adjustments'!$A48)</f>
        <v>0</v>
      </c>
      <c r="H48" s="303">
        <f t="shared" si="0"/>
        <v>0</v>
      </c>
      <c r="I48" s="68">
        <f>IFERROR(F48*'As-Filed Schedule 1'!$E$103,0)</f>
        <v>0</v>
      </c>
      <c r="J48" s="304">
        <f>IFERROR(H48*'Adjusted Schedule 1'!$E$104,0)</f>
        <v>0</v>
      </c>
      <c r="K48" s="68">
        <f t="shared" si="1"/>
        <v>0</v>
      </c>
      <c r="L48" s="304">
        <f t="shared" si="2"/>
        <v>0</v>
      </c>
      <c r="N48" s="114">
        <f>'As-Filed Schedule 2I'!J48</f>
        <v>0</v>
      </c>
      <c r="O48" s="307">
        <f>SUMIFS(Adjustments!$G:$G,Adjustments!$H:$H,"2I",Adjustments!$I:$I,'Schedule 2I Adjustments'!$N$12,Adjustments!$J:$J,'Schedule 2I Adjustments'!$A48)</f>
        <v>0</v>
      </c>
      <c r="P48" s="303">
        <f t="shared" si="3"/>
        <v>0</v>
      </c>
      <c r="Q48" s="68">
        <f>IFERROR(N48*'As-Filed Schedule 1'!$E$103,0)</f>
        <v>0</v>
      </c>
      <c r="R48" s="68">
        <f>IFERROR(P48*'Adjusted Schedule 1'!$E$104,0)</f>
        <v>0</v>
      </c>
      <c r="S48" s="68">
        <f t="shared" si="4"/>
        <v>0</v>
      </c>
      <c r="T48" s="304">
        <f t="shared" si="5"/>
        <v>0</v>
      </c>
      <c r="V48" s="117">
        <f>'As-Filed Schedule 2I'!N48</f>
        <v>0</v>
      </c>
      <c r="W48" s="307">
        <f>SUMIFS(Adjustments!$G:$G,Adjustments!$H:$H,"2I",Adjustments!$I:$I,'Schedule 2I Adjustments'!$V$12,Adjustments!$J:$J,'Schedule 2I Adjustments'!$A48)</f>
        <v>0</v>
      </c>
      <c r="X48" s="303">
        <f t="shared" si="6"/>
        <v>0</v>
      </c>
      <c r="Y48" s="117">
        <f>'As-Filed Schedule 2I'!O48</f>
        <v>0</v>
      </c>
      <c r="Z48" s="307">
        <f>SUMIFS(Adjustments!$G:$G,Adjustments!$H:$H,"2I",Adjustments!$I:$I,'Schedule 2I Adjustments'!$Y$12,Adjustments!$J:$J,'Schedule 2I Adjustments'!$A48)</f>
        <v>0</v>
      </c>
      <c r="AA48" s="303">
        <f t="shared" si="7"/>
        <v>0</v>
      </c>
    </row>
    <row r="49" spans="1:27" x14ac:dyDescent="0.35">
      <c r="A49" s="24">
        <v>35</v>
      </c>
      <c r="B49" s="565" t="str">
        <f>IF('As-Filed Schedule 2I'!B49:D49=0,"",'As-Filed Schedule 2I'!B49:D49)</f>
        <v/>
      </c>
      <c r="C49" s="565"/>
      <c r="D49" s="565"/>
      <c r="F49" s="114">
        <f>'As-Filed Schedule 2I'!F49</f>
        <v>0</v>
      </c>
      <c r="G49" s="307">
        <f>SUMIFS(Adjustments!$G:$G,Adjustments!$H:$H,"2I",Adjustments!$I:$I,'Schedule 2I Adjustments'!$F$12,Adjustments!$J:$J,'Schedule 2I Adjustments'!$A49)</f>
        <v>0</v>
      </c>
      <c r="H49" s="303">
        <f t="shared" si="0"/>
        <v>0</v>
      </c>
      <c r="I49" s="68">
        <f>IFERROR(F49*'As-Filed Schedule 1'!$E$103,0)</f>
        <v>0</v>
      </c>
      <c r="J49" s="304">
        <f>IFERROR(H49*'Adjusted Schedule 1'!$E$104,0)</f>
        <v>0</v>
      </c>
      <c r="K49" s="68">
        <f t="shared" si="1"/>
        <v>0</v>
      </c>
      <c r="L49" s="304">
        <f t="shared" si="2"/>
        <v>0</v>
      </c>
      <c r="N49" s="114">
        <f>'As-Filed Schedule 2I'!J49</f>
        <v>0</v>
      </c>
      <c r="O49" s="307">
        <f>SUMIFS(Adjustments!$G:$G,Adjustments!$H:$H,"2I",Adjustments!$I:$I,'Schedule 2I Adjustments'!$N$12,Adjustments!$J:$J,'Schedule 2I Adjustments'!$A49)</f>
        <v>0</v>
      </c>
      <c r="P49" s="303">
        <f t="shared" si="3"/>
        <v>0</v>
      </c>
      <c r="Q49" s="68">
        <f>IFERROR(N49*'As-Filed Schedule 1'!$E$103,0)</f>
        <v>0</v>
      </c>
      <c r="R49" s="68">
        <f>IFERROR(P49*'Adjusted Schedule 1'!$E$104,0)</f>
        <v>0</v>
      </c>
      <c r="S49" s="68">
        <f t="shared" si="4"/>
        <v>0</v>
      </c>
      <c r="T49" s="304">
        <f t="shared" si="5"/>
        <v>0</v>
      </c>
      <c r="V49" s="117">
        <f>'As-Filed Schedule 2I'!N49</f>
        <v>0</v>
      </c>
      <c r="W49" s="307">
        <f>SUMIFS(Adjustments!$G:$G,Adjustments!$H:$H,"2I",Adjustments!$I:$I,'Schedule 2I Adjustments'!$V$12,Adjustments!$J:$J,'Schedule 2I Adjustments'!$A49)</f>
        <v>0</v>
      </c>
      <c r="X49" s="303">
        <f t="shared" si="6"/>
        <v>0</v>
      </c>
      <c r="Y49" s="117">
        <f>'As-Filed Schedule 2I'!O49</f>
        <v>0</v>
      </c>
      <c r="Z49" s="307">
        <f>SUMIFS(Adjustments!$G:$G,Adjustments!$H:$H,"2I",Adjustments!$I:$I,'Schedule 2I Adjustments'!$Y$12,Adjustments!$J:$J,'Schedule 2I Adjustments'!$A49)</f>
        <v>0</v>
      </c>
      <c r="AA49" s="303">
        <f t="shared" si="7"/>
        <v>0</v>
      </c>
    </row>
    <row r="50" spans="1:27" x14ac:dyDescent="0.35">
      <c r="A50" s="24">
        <v>36</v>
      </c>
      <c r="B50" s="565" t="str">
        <f>IF('As-Filed Schedule 2I'!B50:D50=0,"",'As-Filed Schedule 2I'!B50:D50)</f>
        <v/>
      </c>
      <c r="C50" s="565"/>
      <c r="D50" s="565"/>
      <c r="F50" s="114">
        <f>'As-Filed Schedule 2I'!F50</f>
        <v>0</v>
      </c>
      <c r="G50" s="307">
        <f>SUMIFS(Adjustments!$G:$G,Adjustments!$H:$H,"2I",Adjustments!$I:$I,'Schedule 2I Adjustments'!$F$12,Adjustments!$J:$J,'Schedule 2I Adjustments'!$A50)</f>
        <v>0</v>
      </c>
      <c r="H50" s="303">
        <f t="shared" si="0"/>
        <v>0</v>
      </c>
      <c r="I50" s="68">
        <f>IFERROR(F50*'As-Filed Schedule 1'!$E$103,0)</f>
        <v>0</v>
      </c>
      <c r="J50" s="304">
        <f>IFERROR(H50*'Adjusted Schedule 1'!$E$104,0)</f>
        <v>0</v>
      </c>
      <c r="K50" s="68">
        <f t="shared" si="1"/>
        <v>0</v>
      </c>
      <c r="L50" s="304">
        <f t="shared" si="2"/>
        <v>0</v>
      </c>
      <c r="N50" s="114">
        <f>'As-Filed Schedule 2I'!J50</f>
        <v>0</v>
      </c>
      <c r="O50" s="307">
        <f>SUMIFS(Adjustments!$G:$G,Adjustments!$H:$H,"2I",Adjustments!$I:$I,'Schedule 2I Adjustments'!$N$12,Adjustments!$J:$J,'Schedule 2I Adjustments'!$A50)</f>
        <v>0</v>
      </c>
      <c r="P50" s="303">
        <f t="shared" si="3"/>
        <v>0</v>
      </c>
      <c r="Q50" s="68">
        <f>IFERROR(N50*'As-Filed Schedule 1'!$E$103,0)</f>
        <v>0</v>
      </c>
      <c r="R50" s="68">
        <f>IFERROR(P50*'Adjusted Schedule 1'!$E$104,0)</f>
        <v>0</v>
      </c>
      <c r="S50" s="68">
        <f t="shared" si="4"/>
        <v>0</v>
      </c>
      <c r="T50" s="304">
        <f t="shared" si="5"/>
        <v>0</v>
      </c>
      <c r="V50" s="117">
        <f>'As-Filed Schedule 2I'!N50</f>
        <v>0</v>
      </c>
      <c r="W50" s="307">
        <f>SUMIFS(Adjustments!$G:$G,Adjustments!$H:$H,"2I",Adjustments!$I:$I,'Schedule 2I Adjustments'!$V$12,Adjustments!$J:$J,'Schedule 2I Adjustments'!$A50)</f>
        <v>0</v>
      </c>
      <c r="X50" s="303">
        <f t="shared" si="6"/>
        <v>0</v>
      </c>
      <c r="Y50" s="117">
        <f>'As-Filed Schedule 2I'!O50</f>
        <v>0</v>
      </c>
      <c r="Z50" s="307">
        <f>SUMIFS(Adjustments!$G:$G,Adjustments!$H:$H,"2I",Adjustments!$I:$I,'Schedule 2I Adjustments'!$Y$12,Adjustments!$J:$J,'Schedule 2I Adjustments'!$A50)</f>
        <v>0</v>
      </c>
      <c r="AA50" s="303">
        <f t="shared" si="7"/>
        <v>0</v>
      </c>
    </row>
    <row r="51" spans="1:27" x14ac:dyDescent="0.35">
      <c r="A51" s="24">
        <v>37</v>
      </c>
      <c r="B51" s="565" t="str">
        <f>IF('As-Filed Schedule 2I'!B51:D51=0,"",'As-Filed Schedule 2I'!B51:D51)</f>
        <v/>
      </c>
      <c r="C51" s="565"/>
      <c r="D51" s="565"/>
      <c r="F51" s="114">
        <f>'As-Filed Schedule 2I'!F51</f>
        <v>0</v>
      </c>
      <c r="G51" s="307">
        <f>SUMIFS(Adjustments!$G:$G,Adjustments!$H:$H,"2I",Adjustments!$I:$I,'Schedule 2I Adjustments'!$F$12,Adjustments!$J:$J,'Schedule 2I Adjustments'!$A51)</f>
        <v>0</v>
      </c>
      <c r="H51" s="303">
        <f t="shared" si="0"/>
        <v>0</v>
      </c>
      <c r="I51" s="68">
        <f>IFERROR(F51*'As-Filed Schedule 1'!$E$103,0)</f>
        <v>0</v>
      </c>
      <c r="J51" s="304">
        <f>IFERROR(H51*'Adjusted Schedule 1'!$E$104,0)</f>
        <v>0</v>
      </c>
      <c r="K51" s="68">
        <f t="shared" si="1"/>
        <v>0</v>
      </c>
      <c r="L51" s="304">
        <f t="shared" si="2"/>
        <v>0</v>
      </c>
      <c r="N51" s="114">
        <f>'As-Filed Schedule 2I'!J51</f>
        <v>0</v>
      </c>
      <c r="O51" s="307">
        <f>SUMIFS(Adjustments!$G:$G,Adjustments!$H:$H,"2I",Adjustments!$I:$I,'Schedule 2I Adjustments'!$N$12,Adjustments!$J:$J,'Schedule 2I Adjustments'!$A51)</f>
        <v>0</v>
      </c>
      <c r="P51" s="303">
        <f t="shared" si="3"/>
        <v>0</v>
      </c>
      <c r="Q51" s="68">
        <f>IFERROR(N51*'As-Filed Schedule 1'!$E$103,0)</f>
        <v>0</v>
      </c>
      <c r="R51" s="68">
        <f>IFERROR(P51*'Adjusted Schedule 1'!$E$104,0)</f>
        <v>0</v>
      </c>
      <c r="S51" s="68">
        <f t="shared" si="4"/>
        <v>0</v>
      </c>
      <c r="T51" s="304">
        <f t="shared" si="5"/>
        <v>0</v>
      </c>
      <c r="V51" s="117">
        <f>'As-Filed Schedule 2I'!N51</f>
        <v>0</v>
      </c>
      <c r="W51" s="307">
        <f>SUMIFS(Adjustments!$G:$G,Adjustments!$H:$H,"2I",Adjustments!$I:$I,'Schedule 2I Adjustments'!$V$12,Adjustments!$J:$J,'Schedule 2I Adjustments'!$A51)</f>
        <v>0</v>
      </c>
      <c r="X51" s="303">
        <f t="shared" si="6"/>
        <v>0</v>
      </c>
      <c r="Y51" s="117">
        <f>'As-Filed Schedule 2I'!O51</f>
        <v>0</v>
      </c>
      <c r="Z51" s="307">
        <f>SUMIFS(Adjustments!$G:$G,Adjustments!$H:$H,"2I",Adjustments!$I:$I,'Schedule 2I Adjustments'!$Y$12,Adjustments!$J:$J,'Schedule 2I Adjustments'!$A51)</f>
        <v>0</v>
      </c>
      <c r="AA51" s="303">
        <f t="shared" si="7"/>
        <v>0</v>
      </c>
    </row>
    <row r="52" spans="1:27" x14ac:dyDescent="0.35">
      <c r="A52" s="24">
        <v>38</v>
      </c>
      <c r="B52" s="565" t="str">
        <f>IF('As-Filed Schedule 2I'!B52:D52=0,"",'As-Filed Schedule 2I'!B52:D52)</f>
        <v/>
      </c>
      <c r="C52" s="565"/>
      <c r="D52" s="565"/>
      <c r="F52" s="114">
        <f>'As-Filed Schedule 2I'!F52</f>
        <v>0</v>
      </c>
      <c r="G52" s="307">
        <f>SUMIFS(Adjustments!$G:$G,Adjustments!$H:$H,"2I",Adjustments!$I:$I,'Schedule 2I Adjustments'!$F$12,Adjustments!$J:$J,'Schedule 2I Adjustments'!$A52)</f>
        <v>0</v>
      </c>
      <c r="H52" s="303">
        <f t="shared" si="0"/>
        <v>0</v>
      </c>
      <c r="I52" s="68">
        <f>IFERROR(F52*'As-Filed Schedule 1'!$E$103,0)</f>
        <v>0</v>
      </c>
      <c r="J52" s="304">
        <f>IFERROR(H52*'Adjusted Schedule 1'!$E$104,0)</f>
        <v>0</v>
      </c>
      <c r="K52" s="68">
        <f t="shared" si="1"/>
        <v>0</v>
      </c>
      <c r="L52" s="304">
        <f t="shared" si="2"/>
        <v>0</v>
      </c>
      <c r="N52" s="114">
        <f>'As-Filed Schedule 2I'!J52</f>
        <v>0</v>
      </c>
      <c r="O52" s="307">
        <f>SUMIFS(Adjustments!$G:$G,Adjustments!$H:$H,"2I",Adjustments!$I:$I,'Schedule 2I Adjustments'!$N$12,Adjustments!$J:$J,'Schedule 2I Adjustments'!$A52)</f>
        <v>0</v>
      </c>
      <c r="P52" s="303">
        <f t="shared" si="3"/>
        <v>0</v>
      </c>
      <c r="Q52" s="68">
        <f>IFERROR(N52*'As-Filed Schedule 1'!$E$103,0)</f>
        <v>0</v>
      </c>
      <c r="R52" s="68">
        <f>IFERROR(P52*'Adjusted Schedule 1'!$E$104,0)</f>
        <v>0</v>
      </c>
      <c r="S52" s="68">
        <f t="shared" si="4"/>
        <v>0</v>
      </c>
      <c r="T52" s="304">
        <f t="shared" si="5"/>
        <v>0</v>
      </c>
      <c r="V52" s="117">
        <f>'As-Filed Schedule 2I'!N52</f>
        <v>0</v>
      </c>
      <c r="W52" s="307">
        <f>SUMIFS(Adjustments!$G:$G,Adjustments!$H:$H,"2I",Adjustments!$I:$I,'Schedule 2I Adjustments'!$V$12,Adjustments!$J:$J,'Schedule 2I Adjustments'!$A52)</f>
        <v>0</v>
      </c>
      <c r="X52" s="303">
        <f t="shared" si="6"/>
        <v>0</v>
      </c>
      <c r="Y52" s="117">
        <f>'As-Filed Schedule 2I'!O52</f>
        <v>0</v>
      </c>
      <c r="Z52" s="307">
        <f>SUMIFS(Adjustments!$G:$G,Adjustments!$H:$H,"2I",Adjustments!$I:$I,'Schedule 2I Adjustments'!$Y$12,Adjustments!$J:$J,'Schedule 2I Adjustments'!$A52)</f>
        <v>0</v>
      </c>
      <c r="AA52" s="303">
        <f t="shared" si="7"/>
        <v>0</v>
      </c>
    </row>
    <row r="53" spans="1:27" x14ac:dyDescent="0.35">
      <c r="A53" s="24">
        <v>39</v>
      </c>
      <c r="B53" s="565" t="str">
        <f>IF('As-Filed Schedule 2I'!B53:D53=0,"",'As-Filed Schedule 2I'!B53:D53)</f>
        <v/>
      </c>
      <c r="C53" s="565"/>
      <c r="D53" s="565"/>
      <c r="F53" s="114">
        <f>'As-Filed Schedule 2I'!F53</f>
        <v>0</v>
      </c>
      <c r="G53" s="307">
        <f>SUMIFS(Adjustments!$G:$G,Adjustments!$H:$H,"2I",Adjustments!$I:$I,'Schedule 2I Adjustments'!$F$12,Adjustments!$J:$J,'Schedule 2I Adjustments'!$A53)</f>
        <v>0</v>
      </c>
      <c r="H53" s="303">
        <f t="shared" si="0"/>
        <v>0</v>
      </c>
      <c r="I53" s="68">
        <f>IFERROR(F53*'As-Filed Schedule 1'!$E$103,0)</f>
        <v>0</v>
      </c>
      <c r="J53" s="304">
        <f>IFERROR(H53*'Adjusted Schedule 1'!$E$104,0)</f>
        <v>0</v>
      </c>
      <c r="K53" s="68">
        <f t="shared" si="1"/>
        <v>0</v>
      </c>
      <c r="L53" s="304">
        <f t="shared" si="2"/>
        <v>0</v>
      </c>
      <c r="N53" s="114">
        <f>'As-Filed Schedule 2I'!J53</f>
        <v>0</v>
      </c>
      <c r="O53" s="307">
        <f>SUMIFS(Adjustments!$G:$G,Adjustments!$H:$H,"2I",Adjustments!$I:$I,'Schedule 2I Adjustments'!$N$12,Adjustments!$J:$J,'Schedule 2I Adjustments'!$A53)</f>
        <v>0</v>
      </c>
      <c r="P53" s="303">
        <f t="shared" si="3"/>
        <v>0</v>
      </c>
      <c r="Q53" s="68">
        <f>IFERROR(N53*'As-Filed Schedule 1'!$E$103,0)</f>
        <v>0</v>
      </c>
      <c r="R53" s="68">
        <f>IFERROR(P53*'Adjusted Schedule 1'!$E$104,0)</f>
        <v>0</v>
      </c>
      <c r="S53" s="68">
        <f t="shared" si="4"/>
        <v>0</v>
      </c>
      <c r="T53" s="304">
        <f t="shared" si="5"/>
        <v>0</v>
      </c>
      <c r="V53" s="117">
        <f>'As-Filed Schedule 2I'!N53</f>
        <v>0</v>
      </c>
      <c r="W53" s="307">
        <f>SUMIFS(Adjustments!$G:$G,Adjustments!$H:$H,"2I",Adjustments!$I:$I,'Schedule 2I Adjustments'!$V$12,Adjustments!$J:$J,'Schedule 2I Adjustments'!$A53)</f>
        <v>0</v>
      </c>
      <c r="X53" s="303">
        <f t="shared" si="6"/>
        <v>0</v>
      </c>
      <c r="Y53" s="117">
        <f>'As-Filed Schedule 2I'!O53</f>
        <v>0</v>
      </c>
      <c r="Z53" s="307">
        <f>SUMIFS(Adjustments!$G:$G,Adjustments!$H:$H,"2I",Adjustments!$I:$I,'Schedule 2I Adjustments'!$Y$12,Adjustments!$J:$J,'Schedule 2I Adjustments'!$A53)</f>
        <v>0</v>
      </c>
      <c r="AA53" s="303">
        <f t="shared" si="7"/>
        <v>0</v>
      </c>
    </row>
    <row r="54" spans="1:27" x14ac:dyDescent="0.35">
      <c r="A54" s="24">
        <v>40</v>
      </c>
      <c r="B54" s="565" t="str">
        <f>IF('As-Filed Schedule 2I'!B54:D54=0,"",'As-Filed Schedule 2I'!B54:D54)</f>
        <v/>
      </c>
      <c r="C54" s="565"/>
      <c r="D54" s="565"/>
      <c r="F54" s="114">
        <f>'As-Filed Schedule 2I'!F54</f>
        <v>0</v>
      </c>
      <c r="G54" s="307">
        <f>SUMIFS(Adjustments!$G:$G,Adjustments!$H:$H,"2I",Adjustments!$I:$I,'Schedule 2I Adjustments'!$F$12,Adjustments!$J:$J,'Schedule 2I Adjustments'!$A54)</f>
        <v>0</v>
      </c>
      <c r="H54" s="303">
        <f t="shared" si="0"/>
        <v>0</v>
      </c>
      <c r="I54" s="68">
        <f>IFERROR(F54*'As-Filed Schedule 1'!$E$103,0)</f>
        <v>0</v>
      </c>
      <c r="J54" s="304">
        <f>IFERROR(H54*'Adjusted Schedule 1'!$E$104,0)</f>
        <v>0</v>
      </c>
      <c r="K54" s="68">
        <f t="shared" si="1"/>
        <v>0</v>
      </c>
      <c r="L54" s="304">
        <f t="shared" si="2"/>
        <v>0</v>
      </c>
      <c r="N54" s="114">
        <f>'As-Filed Schedule 2I'!J54</f>
        <v>0</v>
      </c>
      <c r="O54" s="307">
        <f>SUMIFS(Adjustments!$G:$G,Adjustments!$H:$H,"2I",Adjustments!$I:$I,'Schedule 2I Adjustments'!$N$12,Adjustments!$J:$J,'Schedule 2I Adjustments'!$A54)</f>
        <v>0</v>
      </c>
      <c r="P54" s="303">
        <f t="shared" si="3"/>
        <v>0</v>
      </c>
      <c r="Q54" s="68">
        <f>IFERROR(N54*'As-Filed Schedule 1'!$E$103,0)</f>
        <v>0</v>
      </c>
      <c r="R54" s="68">
        <f>IFERROR(P54*'Adjusted Schedule 1'!$E$104,0)</f>
        <v>0</v>
      </c>
      <c r="S54" s="68">
        <f t="shared" si="4"/>
        <v>0</v>
      </c>
      <c r="T54" s="304">
        <f t="shared" si="5"/>
        <v>0</v>
      </c>
      <c r="V54" s="117">
        <f>'As-Filed Schedule 2I'!N54</f>
        <v>0</v>
      </c>
      <c r="W54" s="307">
        <f>SUMIFS(Adjustments!$G:$G,Adjustments!$H:$H,"2I",Adjustments!$I:$I,'Schedule 2I Adjustments'!$V$12,Adjustments!$J:$J,'Schedule 2I Adjustments'!$A54)</f>
        <v>0</v>
      </c>
      <c r="X54" s="303">
        <f t="shared" si="6"/>
        <v>0</v>
      </c>
      <c r="Y54" s="117">
        <f>'As-Filed Schedule 2I'!O54</f>
        <v>0</v>
      </c>
      <c r="Z54" s="307">
        <f>SUMIFS(Adjustments!$G:$G,Adjustments!$H:$H,"2I",Adjustments!$I:$I,'Schedule 2I Adjustments'!$Y$12,Adjustments!$J:$J,'Schedule 2I Adjustments'!$A54)</f>
        <v>0</v>
      </c>
      <c r="AA54" s="303">
        <f t="shared" si="7"/>
        <v>0</v>
      </c>
    </row>
    <row r="55" spans="1:27" x14ac:dyDescent="0.35">
      <c r="A55" s="24">
        <v>41</v>
      </c>
      <c r="B55" s="565" t="str">
        <f>IF('As-Filed Schedule 2I'!B55:D55=0,"",'As-Filed Schedule 2I'!B55:D55)</f>
        <v/>
      </c>
      <c r="C55" s="565"/>
      <c r="D55" s="565"/>
      <c r="F55" s="114">
        <f>'As-Filed Schedule 2I'!F55</f>
        <v>0</v>
      </c>
      <c r="G55" s="307">
        <f>SUMIFS(Adjustments!$G:$G,Adjustments!$H:$H,"2I",Adjustments!$I:$I,'Schedule 2I Adjustments'!$F$12,Adjustments!$J:$J,'Schedule 2I Adjustments'!$A55)</f>
        <v>0</v>
      </c>
      <c r="H55" s="303">
        <f t="shared" si="0"/>
        <v>0</v>
      </c>
      <c r="I55" s="68">
        <f>IFERROR(F55*'As-Filed Schedule 1'!$E$103,0)</f>
        <v>0</v>
      </c>
      <c r="J55" s="304">
        <f>IFERROR(H55*'Adjusted Schedule 1'!$E$104,0)</f>
        <v>0</v>
      </c>
      <c r="K55" s="68">
        <f t="shared" si="1"/>
        <v>0</v>
      </c>
      <c r="L55" s="304">
        <f t="shared" si="2"/>
        <v>0</v>
      </c>
      <c r="N55" s="114">
        <f>'As-Filed Schedule 2I'!J55</f>
        <v>0</v>
      </c>
      <c r="O55" s="307">
        <f>SUMIFS(Adjustments!$G:$G,Adjustments!$H:$H,"2I",Adjustments!$I:$I,'Schedule 2I Adjustments'!$N$12,Adjustments!$J:$J,'Schedule 2I Adjustments'!$A55)</f>
        <v>0</v>
      </c>
      <c r="P55" s="303">
        <f t="shared" si="3"/>
        <v>0</v>
      </c>
      <c r="Q55" s="68">
        <f>IFERROR(N55*'As-Filed Schedule 1'!$E$103,0)</f>
        <v>0</v>
      </c>
      <c r="R55" s="68">
        <f>IFERROR(P55*'Adjusted Schedule 1'!$E$104,0)</f>
        <v>0</v>
      </c>
      <c r="S55" s="68">
        <f t="shared" si="4"/>
        <v>0</v>
      </c>
      <c r="T55" s="304">
        <f t="shared" si="5"/>
        <v>0</v>
      </c>
      <c r="V55" s="117">
        <f>'As-Filed Schedule 2I'!N55</f>
        <v>0</v>
      </c>
      <c r="W55" s="307">
        <f>SUMIFS(Adjustments!$G:$G,Adjustments!$H:$H,"2I",Adjustments!$I:$I,'Schedule 2I Adjustments'!$V$12,Adjustments!$J:$J,'Schedule 2I Adjustments'!$A55)</f>
        <v>0</v>
      </c>
      <c r="X55" s="303">
        <f t="shared" si="6"/>
        <v>0</v>
      </c>
      <c r="Y55" s="117">
        <f>'As-Filed Schedule 2I'!O55</f>
        <v>0</v>
      </c>
      <c r="Z55" s="307">
        <f>SUMIFS(Adjustments!$G:$G,Adjustments!$H:$H,"2I",Adjustments!$I:$I,'Schedule 2I Adjustments'!$Y$12,Adjustments!$J:$J,'Schedule 2I Adjustments'!$A55)</f>
        <v>0</v>
      </c>
      <c r="AA55" s="303">
        <f t="shared" si="7"/>
        <v>0</v>
      </c>
    </row>
    <row r="56" spans="1:27" x14ac:dyDescent="0.35">
      <c r="A56" s="24">
        <v>42</v>
      </c>
      <c r="B56" s="565" t="str">
        <f>IF('As-Filed Schedule 2I'!B56:D56=0,"",'As-Filed Schedule 2I'!B56:D56)</f>
        <v/>
      </c>
      <c r="C56" s="565"/>
      <c r="D56" s="565"/>
      <c r="F56" s="114">
        <f>'As-Filed Schedule 2I'!F56</f>
        <v>0</v>
      </c>
      <c r="G56" s="307">
        <f>SUMIFS(Adjustments!$G:$G,Adjustments!$H:$H,"2I",Adjustments!$I:$I,'Schedule 2I Adjustments'!$F$12,Adjustments!$J:$J,'Schedule 2I Adjustments'!$A56)</f>
        <v>0</v>
      </c>
      <c r="H56" s="303">
        <f t="shared" si="0"/>
        <v>0</v>
      </c>
      <c r="I56" s="68">
        <f>IFERROR(F56*'As-Filed Schedule 1'!$E$103,0)</f>
        <v>0</v>
      </c>
      <c r="J56" s="304">
        <f>IFERROR(H56*'Adjusted Schedule 1'!$E$104,0)</f>
        <v>0</v>
      </c>
      <c r="K56" s="68">
        <f t="shared" si="1"/>
        <v>0</v>
      </c>
      <c r="L56" s="304">
        <f t="shared" si="2"/>
        <v>0</v>
      </c>
      <c r="N56" s="114">
        <f>'As-Filed Schedule 2I'!J56</f>
        <v>0</v>
      </c>
      <c r="O56" s="307">
        <f>SUMIFS(Adjustments!$G:$G,Adjustments!$H:$H,"2I",Adjustments!$I:$I,'Schedule 2I Adjustments'!$N$12,Adjustments!$J:$J,'Schedule 2I Adjustments'!$A56)</f>
        <v>0</v>
      </c>
      <c r="P56" s="303">
        <f t="shared" si="3"/>
        <v>0</v>
      </c>
      <c r="Q56" s="68">
        <f>IFERROR(N56*'As-Filed Schedule 1'!$E$103,0)</f>
        <v>0</v>
      </c>
      <c r="R56" s="68">
        <f>IFERROR(P56*'Adjusted Schedule 1'!$E$104,0)</f>
        <v>0</v>
      </c>
      <c r="S56" s="68">
        <f t="shared" si="4"/>
        <v>0</v>
      </c>
      <c r="T56" s="304">
        <f t="shared" si="5"/>
        <v>0</v>
      </c>
      <c r="V56" s="117">
        <f>'As-Filed Schedule 2I'!N56</f>
        <v>0</v>
      </c>
      <c r="W56" s="307">
        <f>SUMIFS(Adjustments!$G:$G,Adjustments!$H:$H,"2I",Adjustments!$I:$I,'Schedule 2I Adjustments'!$V$12,Adjustments!$J:$J,'Schedule 2I Adjustments'!$A56)</f>
        <v>0</v>
      </c>
      <c r="X56" s="303">
        <f t="shared" si="6"/>
        <v>0</v>
      </c>
      <c r="Y56" s="117">
        <f>'As-Filed Schedule 2I'!O56</f>
        <v>0</v>
      </c>
      <c r="Z56" s="307">
        <f>SUMIFS(Adjustments!$G:$G,Adjustments!$H:$H,"2I",Adjustments!$I:$I,'Schedule 2I Adjustments'!$Y$12,Adjustments!$J:$J,'Schedule 2I Adjustments'!$A56)</f>
        <v>0</v>
      </c>
      <c r="AA56" s="303">
        <f t="shared" si="7"/>
        <v>0</v>
      </c>
    </row>
    <row r="57" spans="1:27" x14ac:dyDescent="0.35">
      <c r="A57" s="24">
        <v>43</v>
      </c>
      <c r="B57" s="565" t="str">
        <f>IF('As-Filed Schedule 2I'!B57:D57=0,"",'As-Filed Schedule 2I'!B57:D57)</f>
        <v/>
      </c>
      <c r="C57" s="565"/>
      <c r="D57" s="565"/>
      <c r="F57" s="114">
        <f>'As-Filed Schedule 2I'!F57</f>
        <v>0</v>
      </c>
      <c r="G57" s="307">
        <f>SUMIFS(Adjustments!$G:$G,Adjustments!$H:$H,"2I",Adjustments!$I:$I,'Schedule 2I Adjustments'!$F$12,Adjustments!$J:$J,'Schedule 2I Adjustments'!$A57)</f>
        <v>0</v>
      </c>
      <c r="H57" s="303">
        <f t="shared" si="0"/>
        <v>0</v>
      </c>
      <c r="I57" s="68">
        <f>IFERROR(F57*'As-Filed Schedule 1'!$E$103,0)</f>
        <v>0</v>
      </c>
      <c r="J57" s="304">
        <f>IFERROR(H57*'Adjusted Schedule 1'!$E$104,0)</f>
        <v>0</v>
      </c>
      <c r="K57" s="68">
        <f t="shared" si="1"/>
        <v>0</v>
      </c>
      <c r="L57" s="304">
        <f t="shared" si="2"/>
        <v>0</v>
      </c>
      <c r="N57" s="114">
        <f>'As-Filed Schedule 2I'!J57</f>
        <v>0</v>
      </c>
      <c r="O57" s="307">
        <f>SUMIFS(Adjustments!$G:$G,Adjustments!$H:$H,"2I",Adjustments!$I:$I,'Schedule 2I Adjustments'!$N$12,Adjustments!$J:$J,'Schedule 2I Adjustments'!$A57)</f>
        <v>0</v>
      </c>
      <c r="P57" s="303">
        <f t="shared" si="3"/>
        <v>0</v>
      </c>
      <c r="Q57" s="68">
        <f>IFERROR(N57*'As-Filed Schedule 1'!$E$103,0)</f>
        <v>0</v>
      </c>
      <c r="R57" s="68">
        <f>IFERROR(P57*'Adjusted Schedule 1'!$E$104,0)</f>
        <v>0</v>
      </c>
      <c r="S57" s="68">
        <f t="shared" si="4"/>
        <v>0</v>
      </c>
      <c r="T57" s="304">
        <f t="shared" si="5"/>
        <v>0</v>
      </c>
      <c r="V57" s="117">
        <f>'As-Filed Schedule 2I'!N57</f>
        <v>0</v>
      </c>
      <c r="W57" s="307">
        <f>SUMIFS(Adjustments!$G:$G,Adjustments!$H:$H,"2I",Adjustments!$I:$I,'Schedule 2I Adjustments'!$V$12,Adjustments!$J:$J,'Schedule 2I Adjustments'!$A57)</f>
        <v>0</v>
      </c>
      <c r="X57" s="303">
        <f t="shared" si="6"/>
        <v>0</v>
      </c>
      <c r="Y57" s="117">
        <f>'As-Filed Schedule 2I'!O57</f>
        <v>0</v>
      </c>
      <c r="Z57" s="307">
        <f>SUMIFS(Adjustments!$G:$G,Adjustments!$H:$H,"2I",Adjustments!$I:$I,'Schedule 2I Adjustments'!$Y$12,Adjustments!$J:$J,'Schedule 2I Adjustments'!$A57)</f>
        <v>0</v>
      </c>
      <c r="AA57" s="303">
        <f t="shared" si="7"/>
        <v>0</v>
      </c>
    </row>
    <row r="58" spans="1:27" x14ac:dyDescent="0.35">
      <c r="A58" s="24">
        <v>44</v>
      </c>
      <c r="B58" s="565" t="str">
        <f>IF('As-Filed Schedule 2I'!B58:D58=0,"",'As-Filed Schedule 2I'!B58:D58)</f>
        <v/>
      </c>
      <c r="C58" s="565"/>
      <c r="D58" s="565"/>
      <c r="F58" s="114">
        <f>'As-Filed Schedule 2I'!F58</f>
        <v>0</v>
      </c>
      <c r="G58" s="307">
        <f>SUMIFS(Adjustments!$G:$G,Adjustments!$H:$H,"2I",Adjustments!$I:$I,'Schedule 2I Adjustments'!$F$12,Adjustments!$J:$J,'Schedule 2I Adjustments'!$A58)</f>
        <v>0</v>
      </c>
      <c r="H58" s="303">
        <f t="shared" si="0"/>
        <v>0</v>
      </c>
      <c r="I58" s="68">
        <f>IFERROR(F58*'As-Filed Schedule 1'!$E$103,0)</f>
        <v>0</v>
      </c>
      <c r="J58" s="304">
        <f>IFERROR(H58*'Adjusted Schedule 1'!$E$104,0)</f>
        <v>0</v>
      </c>
      <c r="K58" s="68">
        <f t="shared" si="1"/>
        <v>0</v>
      </c>
      <c r="L58" s="304">
        <f t="shared" si="2"/>
        <v>0</v>
      </c>
      <c r="N58" s="114">
        <f>'As-Filed Schedule 2I'!J58</f>
        <v>0</v>
      </c>
      <c r="O58" s="307">
        <f>SUMIFS(Adjustments!$G:$G,Adjustments!$H:$H,"2I",Adjustments!$I:$I,'Schedule 2I Adjustments'!$N$12,Adjustments!$J:$J,'Schedule 2I Adjustments'!$A58)</f>
        <v>0</v>
      </c>
      <c r="P58" s="303">
        <f t="shared" si="3"/>
        <v>0</v>
      </c>
      <c r="Q58" s="68">
        <f>IFERROR(N58*'As-Filed Schedule 1'!$E$103,0)</f>
        <v>0</v>
      </c>
      <c r="R58" s="68">
        <f>IFERROR(P58*'Adjusted Schedule 1'!$E$104,0)</f>
        <v>0</v>
      </c>
      <c r="S58" s="68">
        <f t="shared" si="4"/>
        <v>0</v>
      </c>
      <c r="T58" s="304">
        <f t="shared" si="5"/>
        <v>0</v>
      </c>
      <c r="V58" s="117">
        <f>'As-Filed Schedule 2I'!N58</f>
        <v>0</v>
      </c>
      <c r="W58" s="307">
        <f>SUMIFS(Adjustments!$G:$G,Adjustments!$H:$H,"2I",Adjustments!$I:$I,'Schedule 2I Adjustments'!$V$12,Adjustments!$J:$J,'Schedule 2I Adjustments'!$A58)</f>
        <v>0</v>
      </c>
      <c r="X58" s="303">
        <f t="shared" si="6"/>
        <v>0</v>
      </c>
      <c r="Y58" s="117">
        <f>'As-Filed Schedule 2I'!O58</f>
        <v>0</v>
      </c>
      <c r="Z58" s="307">
        <f>SUMIFS(Adjustments!$G:$G,Adjustments!$H:$H,"2I",Adjustments!$I:$I,'Schedule 2I Adjustments'!$Y$12,Adjustments!$J:$J,'Schedule 2I Adjustments'!$A58)</f>
        <v>0</v>
      </c>
      <c r="AA58" s="303">
        <f t="shared" si="7"/>
        <v>0</v>
      </c>
    </row>
    <row r="59" spans="1:27" x14ac:dyDescent="0.35">
      <c r="A59" s="24">
        <v>45</v>
      </c>
      <c r="B59" s="565" t="str">
        <f>IF('As-Filed Schedule 2I'!B59:D59=0,"",'As-Filed Schedule 2I'!B59:D59)</f>
        <v/>
      </c>
      <c r="C59" s="565"/>
      <c r="D59" s="565"/>
      <c r="F59" s="114">
        <f>'As-Filed Schedule 2I'!F59</f>
        <v>0</v>
      </c>
      <c r="G59" s="307">
        <f>SUMIFS(Adjustments!$G:$G,Adjustments!$H:$H,"2I",Adjustments!$I:$I,'Schedule 2I Adjustments'!$F$12,Adjustments!$J:$J,'Schedule 2I Adjustments'!$A59)</f>
        <v>0</v>
      </c>
      <c r="H59" s="303">
        <f t="shared" si="0"/>
        <v>0</v>
      </c>
      <c r="I59" s="68">
        <f>IFERROR(F59*'As-Filed Schedule 1'!$E$103,0)</f>
        <v>0</v>
      </c>
      <c r="J59" s="304">
        <f>IFERROR(H59*'Adjusted Schedule 1'!$E$104,0)</f>
        <v>0</v>
      </c>
      <c r="K59" s="68">
        <f t="shared" si="1"/>
        <v>0</v>
      </c>
      <c r="L59" s="304">
        <f t="shared" si="2"/>
        <v>0</v>
      </c>
      <c r="N59" s="114">
        <f>'As-Filed Schedule 2I'!J59</f>
        <v>0</v>
      </c>
      <c r="O59" s="307">
        <f>SUMIFS(Adjustments!$G:$G,Adjustments!$H:$H,"2I",Adjustments!$I:$I,'Schedule 2I Adjustments'!$N$12,Adjustments!$J:$J,'Schedule 2I Adjustments'!$A59)</f>
        <v>0</v>
      </c>
      <c r="P59" s="303">
        <f t="shared" si="3"/>
        <v>0</v>
      </c>
      <c r="Q59" s="68">
        <f>IFERROR(N59*'As-Filed Schedule 1'!$E$103,0)</f>
        <v>0</v>
      </c>
      <c r="R59" s="68">
        <f>IFERROR(P59*'Adjusted Schedule 1'!$E$104,0)</f>
        <v>0</v>
      </c>
      <c r="S59" s="68">
        <f t="shared" si="4"/>
        <v>0</v>
      </c>
      <c r="T59" s="304">
        <f t="shared" si="5"/>
        <v>0</v>
      </c>
      <c r="V59" s="117">
        <f>'As-Filed Schedule 2I'!N59</f>
        <v>0</v>
      </c>
      <c r="W59" s="307">
        <f>SUMIFS(Adjustments!$G:$G,Adjustments!$H:$H,"2I",Adjustments!$I:$I,'Schedule 2I Adjustments'!$V$12,Adjustments!$J:$J,'Schedule 2I Adjustments'!$A59)</f>
        <v>0</v>
      </c>
      <c r="X59" s="303">
        <f t="shared" si="6"/>
        <v>0</v>
      </c>
      <c r="Y59" s="117">
        <f>'As-Filed Schedule 2I'!O59</f>
        <v>0</v>
      </c>
      <c r="Z59" s="307">
        <f>SUMIFS(Adjustments!$G:$G,Adjustments!$H:$H,"2I",Adjustments!$I:$I,'Schedule 2I Adjustments'!$Y$12,Adjustments!$J:$J,'Schedule 2I Adjustments'!$A59)</f>
        <v>0</v>
      </c>
      <c r="AA59" s="303">
        <f t="shared" si="7"/>
        <v>0</v>
      </c>
    </row>
    <row r="60" spans="1:27" x14ac:dyDescent="0.35">
      <c r="A60" s="24">
        <v>46</v>
      </c>
      <c r="B60" s="565" t="str">
        <f>IF('As-Filed Schedule 2I'!B60:D60=0,"",'As-Filed Schedule 2I'!B60:D60)</f>
        <v/>
      </c>
      <c r="C60" s="565"/>
      <c r="D60" s="565"/>
      <c r="F60" s="114">
        <f>'As-Filed Schedule 2I'!F60</f>
        <v>0</v>
      </c>
      <c r="G60" s="307">
        <f>SUMIFS(Adjustments!$G:$G,Adjustments!$H:$H,"2I",Adjustments!$I:$I,'Schedule 2I Adjustments'!$F$12,Adjustments!$J:$J,'Schedule 2I Adjustments'!$A60)</f>
        <v>0</v>
      </c>
      <c r="H60" s="303">
        <f t="shared" si="0"/>
        <v>0</v>
      </c>
      <c r="I60" s="68">
        <f>IFERROR(F60*'As-Filed Schedule 1'!$E$103,0)</f>
        <v>0</v>
      </c>
      <c r="J60" s="304">
        <f>IFERROR(H60*'Adjusted Schedule 1'!$E$104,0)</f>
        <v>0</v>
      </c>
      <c r="K60" s="68">
        <f t="shared" si="1"/>
        <v>0</v>
      </c>
      <c r="L60" s="304">
        <f t="shared" si="2"/>
        <v>0</v>
      </c>
      <c r="N60" s="114">
        <f>'As-Filed Schedule 2I'!J60</f>
        <v>0</v>
      </c>
      <c r="O60" s="307">
        <f>SUMIFS(Adjustments!$G:$G,Adjustments!$H:$H,"2I",Adjustments!$I:$I,'Schedule 2I Adjustments'!$N$12,Adjustments!$J:$J,'Schedule 2I Adjustments'!$A60)</f>
        <v>0</v>
      </c>
      <c r="P60" s="303">
        <f t="shared" si="3"/>
        <v>0</v>
      </c>
      <c r="Q60" s="68">
        <f>IFERROR(N60*'As-Filed Schedule 1'!$E$103,0)</f>
        <v>0</v>
      </c>
      <c r="R60" s="68">
        <f>IFERROR(P60*'Adjusted Schedule 1'!$E$104,0)</f>
        <v>0</v>
      </c>
      <c r="S60" s="68">
        <f t="shared" si="4"/>
        <v>0</v>
      </c>
      <c r="T60" s="304">
        <f t="shared" si="5"/>
        <v>0</v>
      </c>
      <c r="V60" s="117">
        <f>'As-Filed Schedule 2I'!N60</f>
        <v>0</v>
      </c>
      <c r="W60" s="307">
        <f>SUMIFS(Adjustments!$G:$G,Adjustments!$H:$H,"2I",Adjustments!$I:$I,'Schedule 2I Adjustments'!$V$12,Adjustments!$J:$J,'Schedule 2I Adjustments'!$A60)</f>
        <v>0</v>
      </c>
      <c r="X60" s="303">
        <f t="shared" si="6"/>
        <v>0</v>
      </c>
      <c r="Y60" s="117">
        <f>'As-Filed Schedule 2I'!O60</f>
        <v>0</v>
      </c>
      <c r="Z60" s="307">
        <f>SUMIFS(Adjustments!$G:$G,Adjustments!$H:$H,"2I",Adjustments!$I:$I,'Schedule 2I Adjustments'!$Y$12,Adjustments!$J:$J,'Schedule 2I Adjustments'!$A60)</f>
        <v>0</v>
      </c>
      <c r="AA60" s="303">
        <f t="shared" si="7"/>
        <v>0</v>
      </c>
    </row>
    <row r="61" spans="1:27" x14ac:dyDescent="0.35">
      <c r="A61" s="24">
        <v>47</v>
      </c>
      <c r="B61" s="565" t="str">
        <f>IF('As-Filed Schedule 2I'!B61:D61=0,"",'As-Filed Schedule 2I'!B61:D61)</f>
        <v/>
      </c>
      <c r="C61" s="565"/>
      <c r="D61" s="565"/>
      <c r="F61" s="114">
        <f>'As-Filed Schedule 2I'!F61</f>
        <v>0</v>
      </c>
      <c r="G61" s="307">
        <f>SUMIFS(Adjustments!$G:$G,Adjustments!$H:$H,"2I",Adjustments!$I:$I,'Schedule 2I Adjustments'!$F$12,Adjustments!$J:$J,'Schedule 2I Adjustments'!$A61)</f>
        <v>0</v>
      </c>
      <c r="H61" s="303">
        <f t="shared" si="0"/>
        <v>0</v>
      </c>
      <c r="I61" s="68">
        <f>IFERROR(F61*'As-Filed Schedule 1'!$E$103,0)</f>
        <v>0</v>
      </c>
      <c r="J61" s="304">
        <f>IFERROR(H61*'Adjusted Schedule 1'!$E$104,0)</f>
        <v>0</v>
      </c>
      <c r="K61" s="68">
        <f t="shared" si="1"/>
        <v>0</v>
      </c>
      <c r="L61" s="304">
        <f t="shared" si="2"/>
        <v>0</v>
      </c>
      <c r="N61" s="114">
        <f>'As-Filed Schedule 2I'!J61</f>
        <v>0</v>
      </c>
      <c r="O61" s="307">
        <f>SUMIFS(Adjustments!$G:$G,Adjustments!$H:$H,"2I",Adjustments!$I:$I,'Schedule 2I Adjustments'!$N$12,Adjustments!$J:$J,'Schedule 2I Adjustments'!$A61)</f>
        <v>0</v>
      </c>
      <c r="P61" s="303">
        <f t="shared" si="3"/>
        <v>0</v>
      </c>
      <c r="Q61" s="68">
        <f>IFERROR(N61*'As-Filed Schedule 1'!$E$103,0)</f>
        <v>0</v>
      </c>
      <c r="R61" s="68">
        <f>IFERROR(P61*'Adjusted Schedule 1'!$E$104,0)</f>
        <v>0</v>
      </c>
      <c r="S61" s="68">
        <f t="shared" si="4"/>
        <v>0</v>
      </c>
      <c r="T61" s="304">
        <f t="shared" si="5"/>
        <v>0</v>
      </c>
      <c r="V61" s="117">
        <f>'As-Filed Schedule 2I'!N61</f>
        <v>0</v>
      </c>
      <c r="W61" s="307">
        <f>SUMIFS(Adjustments!$G:$G,Adjustments!$H:$H,"2I",Adjustments!$I:$I,'Schedule 2I Adjustments'!$V$12,Adjustments!$J:$J,'Schedule 2I Adjustments'!$A61)</f>
        <v>0</v>
      </c>
      <c r="X61" s="303">
        <f t="shared" si="6"/>
        <v>0</v>
      </c>
      <c r="Y61" s="117">
        <f>'As-Filed Schedule 2I'!O61</f>
        <v>0</v>
      </c>
      <c r="Z61" s="307">
        <f>SUMIFS(Adjustments!$G:$G,Adjustments!$H:$H,"2I",Adjustments!$I:$I,'Schedule 2I Adjustments'!$Y$12,Adjustments!$J:$J,'Schedule 2I Adjustments'!$A61)</f>
        <v>0</v>
      </c>
      <c r="AA61" s="303">
        <f t="shared" si="7"/>
        <v>0</v>
      </c>
    </row>
    <row r="62" spans="1:27" x14ac:dyDescent="0.35">
      <c r="A62" s="24">
        <v>48</v>
      </c>
      <c r="B62" s="565" t="str">
        <f>IF('As-Filed Schedule 2I'!B62:D62=0,"",'As-Filed Schedule 2I'!B62:D62)</f>
        <v/>
      </c>
      <c r="C62" s="565"/>
      <c r="D62" s="565"/>
      <c r="F62" s="114">
        <f>'As-Filed Schedule 2I'!F62</f>
        <v>0</v>
      </c>
      <c r="G62" s="307">
        <f>SUMIFS(Adjustments!$G:$G,Adjustments!$H:$H,"2I",Adjustments!$I:$I,'Schedule 2I Adjustments'!$F$12,Adjustments!$J:$J,'Schedule 2I Adjustments'!$A62)</f>
        <v>0</v>
      </c>
      <c r="H62" s="303">
        <f t="shared" si="0"/>
        <v>0</v>
      </c>
      <c r="I62" s="68">
        <f>IFERROR(F62*'As-Filed Schedule 1'!$E$103,0)</f>
        <v>0</v>
      </c>
      <c r="J62" s="304">
        <f>IFERROR(H62*'Adjusted Schedule 1'!$E$104,0)</f>
        <v>0</v>
      </c>
      <c r="K62" s="68">
        <f t="shared" si="1"/>
        <v>0</v>
      </c>
      <c r="L62" s="304">
        <f t="shared" si="2"/>
        <v>0</v>
      </c>
      <c r="N62" s="114">
        <f>'As-Filed Schedule 2I'!J62</f>
        <v>0</v>
      </c>
      <c r="O62" s="307">
        <f>SUMIFS(Adjustments!$G:$G,Adjustments!$H:$H,"2I",Adjustments!$I:$I,'Schedule 2I Adjustments'!$N$12,Adjustments!$J:$J,'Schedule 2I Adjustments'!$A62)</f>
        <v>0</v>
      </c>
      <c r="P62" s="303">
        <f t="shared" si="3"/>
        <v>0</v>
      </c>
      <c r="Q62" s="68">
        <f>IFERROR(N62*'As-Filed Schedule 1'!$E$103,0)</f>
        <v>0</v>
      </c>
      <c r="R62" s="68">
        <f>IFERROR(P62*'Adjusted Schedule 1'!$E$104,0)</f>
        <v>0</v>
      </c>
      <c r="S62" s="68">
        <f t="shared" si="4"/>
        <v>0</v>
      </c>
      <c r="T62" s="304">
        <f t="shared" si="5"/>
        <v>0</v>
      </c>
      <c r="V62" s="117">
        <f>'As-Filed Schedule 2I'!N62</f>
        <v>0</v>
      </c>
      <c r="W62" s="307">
        <f>SUMIFS(Adjustments!$G:$G,Adjustments!$H:$H,"2I",Adjustments!$I:$I,'Schedule 2I Adjustments'!$V$12,Adjustments!$J:$J,'Schedule 2I Adjustments'!$A62)</f>
        <v>0</v>
      </c>
      <c r="X62" s="303">
        <f t="shared" si="6"/>
        <v>0</v>
      </c>
      <c r="Y62" s="117">
        <f>'As-Filed Schedule 2I'!O62</f>
        <v>0</v>
      </c>
      <c r="Z62" s="307">
        <f>SUMIFS(Adjustments!$G:$G,Adjustments!$H:$H,"2I",Adjustments!$I:$I,'Schedule 2I Adjustments'!$Y$12,Adjustments!$J:$J,'Schedule 2I Adjustments'!$A62)</f>
        <v>0</v>
      </c>
      <c r="AA62" s="303">
        <f t="shared" si="7"/>
        <v>0</v>
      </c>
    </row>
    <row r="63" spans="1:27" x14ac:dyDescent="0.35">
      <c r="A63" s="24">
        <v>49</v>
      </c>
      <c r="B63" s="565" t="str">
        <f>IF('As-Filed Schedule 2I'!B63:D63=0,"",'As-Filed Schedule 2I'!B63:D63)</f>
        <v/>
      </c>
      <c r="C63" s="565"/>
      <c r="D63" s="565"/>
      <c r="F63" s="114">
        <f>'As-Filed Schedule 2I'!F63</f>
        <v>0</v>
      </c>
      <c r="G63" s="307">
        <f>SUMIFS(Adjustments!$G:$G,Adjustments!$H:$H,"2I",Adjustments!$I:$I,'Schedule 2I Adjustments'!$F$12,Adjustments!$J:$J,'Schedule 2I Adjustments'!$A63)</f>
        <v>0</v>
      </c>
      <c r="H63" s="303">
        <f t="shared" si="0"/>
        <v>0</v>
      </c>
      <c r="I63" s="68">
        <f>IFERROR(F63*'As-Filed Schedule 1'!$E$103,0)</f>
        <v>0</v>
      </c>
      <c r="J63" s="304">
        <f>IFERROR(H63*'Adjusted Schedule 1'!$E$104,0)</f>
        <v>0</v>
      </c>
      <c r="K63" s="68">
        <f t="shared" si="1"/>
        <v>0</v>
      </c>
      <c r="L63" s="304">
        <f t="shared" si="2"/>
        <v>0</v>
      </c>
      <c r="N63" s="114">
        <f>'As-Filed Schedule 2I'!J63</f>
        <v>0</v>
      </c>
      <c r="O63" s="307">
        <f>SUMIFS(Adjustments!$G:$G,Adjustments!$H:$H,"2I",Adjustments!$I:$I,'Schedule 2I Adjustments'!$N$12,Adjustments!$J:$J,'Schedule 2I Adjustments'!$A63)</f>
        <v>0</v>
      </c>
      <c r="P63" s="303">
        <f t="shared" si="3"/>
        <v>0</v>
      </c>
      <c r="Q63" s="68">
        <f>IFERROR(N63*'As-Filed Schedule 1'!$E$103,0)</f>
        <v>0</v>
      </c>
      <c r="R63" s="68">
        <f>IFERROR(P63*'Adjusted Schedule 1'!$E$104,0)</f>
        <v>0</v>
      </c>
      <c r="S63" s="68">
        <f t="shared" si="4"/>
        <v>0</v>
      </c>
      <c r="T63" s="304">
        <f t="shared" si="5"/>
        <v>0</v>
      </c>
      <c r="V63" s="117">
        <f>'As-Filed Schedule 2I'!N63</f>
        <v>0</v>
      </c>
      <c r="W63" s="307">
        <f>SUMIFS(Adjustments!$G:$G,Adjustments!$H:$H,"2I",Adjustments!$I:$I,'Schedule 2I Adjustments'!$V$12,Adjustments!$J:$J,'Schedule 2I Adjustments'!$A63)</f>
        <v>0</v>
      </c>
      <c r="X63" s="303">
        <f t="shared" si="6"/>
        <v>0</v>
      </c>
      <c r="Y63" s="117">
        <f>'As-Filed Schedule 2I'!O63</f>
        <v>0</v>
      </c>
      <c r="Z63" s="307">
        <f>SUMIFS(Adjustments!$G:$G,Adjustments!$H:$H,"2I",Adjustments!$I:$I,'Schedule 2I Adjustments'!$Y$12,Adjustments!$J:$J,'Schedule 2I Adjustments'!$A63)</f>
        <v>0</v>
      </c>
      <c r="AA63" s="303">
        <f t="shared" si="7"/>
        <v>0</v>
      </c>
    </row>
    <row r="64" spans="1:27" x14ac:dyDescent="0.35">
      <c r="A64" s="24">
        <v>50</v>
      </c>
      <c r="B64" s="565" t="str">
        <f>IF('As-Filed Schedule 2I'!B64:D64=0,"",'As-Filed Schedule 2I'!B64:D64)</f>
        <v/>
      </c>
      <c r="C64" s="565"/>
      <c r="D64" s="565"/>
      <c r="F64" s="114">
        <f>'As-Filed Schedule 2I'!F64</f>
        <v>0</v>
      </c>
      <c r="G64" s="307">
        <f>SUMIFS(Adjustments!$G:$G,Adjustments!$H:$H,"2I",Adjustments!$I:$I,'Schedule 2I Adjustments'!$F$12,Adjustments!$J:$J,'Schedule 2I Adjustments'!$A64)</f>
        <v>0</v>
      </c>
      <c r="H64" s="303">
        <f t="shared" si="0"/>
        <v>0</v>
      </c>
      <c r="I64" s="68">
        <f>IFERROR(F64*'As-Filed Schedule 1'!$E$103,0)</f>
        <v>0</v>
      </c>
      <c r="J64" s="304">
        <f>IFERROR(H64*'Adjusted Schedule 1'!$E$104,0)</f>
        <v>0</v>
      </c>
      <c r="K64" s="68">
        <f t="shared" si="1"/>
        <v>0</v>
      </c>
      <c r="L64" s="304">
        <f t="shared" si="2"/>
        <v>0</v>
      </c>
      <c r="N64" s="114">
        <f>'As-Filed Schedule 2I'!J64</f>
        <v>0</v>
      </c>
      <c r="O64" s="307">
        <f>SUMIFS(Adjustments!$G:$G,Adjustments!$H:$H,"2I",Adjustments!$I:$I,'Schedule 2I Adjustments'!$N$12,Adjustments!$J:$J,'Schedule 2I Adjustments'!$A64)</f>
        <v>0</v>
      </c>
      <c r="P64" s="303">
        <f t="shared" si="3"/>
        <v>0</v>
      </c>
      <c r="Q64" s="68">
        <f>IFERROR(N64*'As-Filed Schedule 1'!$E$103,0)</f>
        <v>0</v>
      </c>
      <c r="R64" s="68">
        <f>IFERROR(P64*'Adjusted Schedule 1'!$E$104,0)</f>
        <v>0</v>
      </c>
      <c r="S64" s="68">
        <f t="shared" si="4"/>
        <v>0</v>
      </c>
      <c r="T64" s="304">
        <f t="shared" si="5"/>
        <v>0</v>
      </c>
      <c r="V64" s="117">
        <f>'As-Filed Schedule 2I'!N64</f>
        <v>0</v>
      </c>
      <c r="W64" s="307">
        <f>SUMIFS(Adjustments!$G:$G,Adjustments!$H:$H,"2I",Adjustments!$I:$I,'Schedule 2I Adjustments'!$V$12,Adjustments!$J:$J,'Schedule 2I Adjustments'!$A64)</f>
        <v>0</v>
      </c>
      <c r="X64" s="303">
        <f t="shared" si="6"/>
        <v>0</v>
      </c>
      <c r="Y64" s="117">
        <f>'As-Filed Schedule 2I'!O64</f>
        <v>0</v>
      </c>
      <c r="Z64" s="307">
        <f>SUMIFS(Adjustments!$G:$G,Adjustments!$H:$H,"2I",Adjustments!$I:$I,'Schedule 2I Adjustments'!$Y$12,Adjustments!$J:$J,'Schedule 2I Adjustments'!$A64)</f>
        <v>0</v>
      </c>
      <c r="AA64" s="303">
        <f t="shared" si="7"/>
        <v>0</v>
      </c>
    </row>
    <row r="65" spans="1:27" x14ac:dyDescent="0.35">
      <c r="A65" s="24">
        <v>51</v>
      </c>
      <c r="B65" s="565" t="str">
        <f>IF('As-Filed Schedule 2I'!B65:D65=0,"",'As-Filed Schedule 2I'!B65:D65)</f>
        <v/>
      </c>
      <c r="C65" s="565"/>
      <c r="D65" s="565"/>
      <c r="F65" s="114">
        <f>'As-Filed Schedule 2I'!F65</f>
        <v>0</v>
      </c>
      <c r="G65" s="307">
        <f>SUMIFS(Adjustments!$G:$G,Adjustments!$H:$H,"2I",Adjustments!$I:$I,'Schedule 2I Adjustments'!$F$12,Adjustments!$J:$J,'Schedule 2I Adjustments'!$A65)</f>
        <v>0</v>
      </c>
      <c r="H65" s="303">
        <f t="shared" si="0"/>
        <v>0</v>
      </c>
      <c r="I65" s="68">
        <f>IFERROR(F65*'As-Filed Schedule 1'!$E$103,0)</f>
        <v>0</v>
      </c>
      <c r="J65" s="304">
        <f>IFERROR(H65*'Adjusted Schedule 1'!$E$104,0)</f>
        <v>0</v>
      </c>
      <c r="K65" s="68">
        <f t="shared" si="1"/>
        <v>0</v>
      </c>
      <c r="L65" s="304">
        <f t="shared" si="2"/>
        <v>0</v>
      </c>
      <c r="N65" s="114">
        <f>'As-Filed Schedule 2I'!J65</f>
        <v>0</v>
      </c>
      <c r="O65" s="307">
        <f>SUMIFS(Adjustments!$G:$G,Adjustments!$H:$H,"2I",Adjustments!$I:$I,'Schedule 2I Adjustments'!$N$12,Adjustments!$J:$J,'Schedule 2I Adjustments'!$A65)</f>
        <v>0</v>
      </c>
      <c r="P65" s="303">
        <f t="shared" si="3"/>
        <v>0</v>
      </c>
      <c r="Q65" s="68">
        <f>IFERROR(N65*'As-Filed Schedule 1'!$E$103,0)</f>
        <v>0</v>
      </c>
      <c r="R65" s="68">
        <f>IFERROR(P65*'Adjusted Schedule 1'!$E$104,0)</f>
        <v>0</v>
      </c>
      <c r="S65" s="68">
        <f t="shared" si="4"/>
        <v>0</v>
      </c>
      <c r="T65" s="304">
        <f t="shared" si="5"/>
        <v>0</v>
      </c>
      <c r="V65" s="117">
        <f>'As-Filed Schedule 2I'!N65</f>
        <v>0</v>
      </c>
      <c r="W65" s="307">
        <f>SUMIFS(Adjustments!$G:$G,Adjustments!$H:$H,"2I",Adjustments!$I:$I,'Schedule 2I Adjustments'!$V$12,Adjustments!$J:$J,'Schedule 2I Adjustments'!$A65)</f>
        <v>0</v>
      </c>
      <c r="X65" s="303">
        <f t="shared" si="6"/>
        <v>0</v>
      </c>
      <c r="Y65" s="117">
        <f>'As-Filed Schedule 2I'!O65</f>
        <v>0</v>
      </c>
      <c r="Z65" s="307">
        <f>SUMIFS(Adjustments!$G:$G,Adjustments!$H:$H,"2I",Adjustments!$I:$I,'Schedule 2I Adjustments'!$Y$12,Adjustments!$J:$J,'Schedule 2I Adjustments'!$A65)</f>
        <v>0</v>
      </c>
      <c r="AA65" s="303">
        <f t="shared" si="7"/>
        <v>0</v>
      </c>
    </row>
    <row r="66" spans="1:27" x14ac:dyDescent="0.35">
      <c r="A66" s="24">
        <v>52</v>
      </c>
      <c r="B66" s="565" t="str">
        <f>IF('As-Filed Schedule 2I'!B66:D66=0,"",'As-Filed Schedule 2I'!B66:D66)</f>
        <v/>
      </c>
      <c r="C66" s="565"/>
      <c r="D66" s="565"/>
      <c r="F66" s="114">
        <f>'As-Filed Schedule 2I'!F66</f>
        <v>0</v>
      </c>
      <c r="G66" s="307">
        <f>SUMIFS(Adjustments!$G:$G,Adjustments!$H:$H,"2I",Adjustments!$I:$I,'Schedule 2I Adjustments'!$F$12,Adjustments!$J:$J,'Schedule 2I Adjustments'!$A66)</f>
        <v>0</v>
      </c>
      <c r="H66" s="303">
        <f t="shared" si="0"/>
        <v>0</v>
      </c>
      <c r="I66" s="68">
        <f>IFERROR(F66*'As-Filed Schedule 1'!$E$103,0)</f>
        <v>0</v>
      </c>
      <c r="J66" s="304">
        <f>IFERROR(H66*'Adjusted Schedule 1'!$E$104,0)</f>
        <v>0</v>
      </c>
      <c r="K66" s="68">
        <f t="shared" si="1"/>
        <v>0</v>
      </c>
      <c r="L66" s="304">
        <f t="shared" si="2"/>
        <v>0</v>
      </c>
      <c r="N66" s="114">
        <f>'As-Filed Schedule 2I'!J66</f>
        <v>0</v>
      </c>
      <c r="O66" s="307">
        <f>SUMIFS(Adjustments!$G:$G,Adjustments!$H:$H,"2I",Adjustments!$I:$I,'Schedule 2I Adjustments'!$N$12,Adjustments!$J:$J,'Schedule 2I Adjustments'!$A66)</f>
        <v>0</v>
      </c>
      <c r="P66" s="303">
        <f t="shared" si="3"/>
        <v>0</v>
      </c>
      <c r="Q66" s="68">
        <f>IFERROR(N66*'As-Filed Schedule 1'!$E$103,0)</f>
        <v>0</v>
      </c>
      <c r="R66" s="68">
        <f>IFERROR(P66*'Adjusted Schedule 1'!$E$104,0)</f>
        <v>0</v>
      </c>
      <c r="S66" s="68">
        <f t="shared" si="4"/>
        <v>0</v>
      </c>
      <c r="T66" s="304">
        <f t="shared" si="5"/>
        <v>0</v>
      </c>
      <c r="V66" s="117">
        <f>'As-Filed Schedule 2I'!N66</f>
        <v>0</v>
      </c>
      <c r="W66" s="307">
        <f>SUMIFS(Adjustments!$G:$G,Adjustments!$H:$H,"2I",Adjustments!$I:$I,'Schedule 2I Adjustments'!$V$12,Adjustments!$J:$J,'Schedule 2I Adjustments'!$A66)</f>
        <v>0</v>
      </c>
      <c r="X66" s="303">
        <f t="shared" si="6"/>
        <v>0</v>
      </c>
      <c r="Y66" s="117">
        <f>'As-Filed Schedule 2I'!O66</f>
        <v>0</v>
      </c>
      <c r="Z66" s="307">
        <f>SUMIFS(Adjustments!$G:$G,Adjustments!$H:$H,"2I",Adjustments!$I:$I,'Schedule 2I Adjustments'!$Y$12,Adjustments!$J:$J,'Schedule 2I Adjustments'!$A66)</f>
        <v>0</v>
      </c>
      <c r="AA66" s="303">
        <f t="shared" si="7"/>
        <v>0</v>
      </c>
    </row>
    <row r="67" spans="1:27" x14ac:dyDescent="0.35">
      <c r="A67" s="24">
        <v>53</v>
      </c>
      <c r="B67" s="565" t="str">
        <f>IF('As-Filed Schedule 2I'!B67:D67=0,"",'As-Filed Schedule 2I'!B67:D67)</f>
        <v/>
      </c>
      <c r="C67" s="565"/>
      <c r="D67" s="565"/>
      <c r="F67" s="114">
        <f>'As-Filed Schedule 2I'!F67</f>
        <v>0</v>
      </c>
      <c r="G67" s="307">
        <f>SUMIFS(Adjustments!$G:$G,Adjustments!$H:$H,"2I",Adjustments!$I:$I,'Schedule 2I Adjustments'!$F$12,Adjustments!$J:$J,'Schedule 2I Adjustments'!$A67)</f>
        <v>0</v>
      </c>
      <c r="H67" s="303">
        <f t="shared" si="0"/>
        <v>0</v>
      </c>
      <c r="I67" s="68">
        <f>IFERROR(F67*'As-Filed Schedule 1'!$E$103,0)</f>
        <v>0</v>
      </c>
      <c r="J67" s="304">
        <f>IFERROR(H67*'Adjusted Schedule 1'!$E$104,0)</f>
        <v>0</v>
      </c>
      <c r="K67" s="68">
        <f t="shared" si="1"/>
        <v>0</v>
      </c>
      <c r="L67" s="304">
        <f t="shared" si="2"/>
        <v>0</v>
      </c>
      <c r="N67" s="114">
        <f>'As-Filed Schedule 2I'!J67</f>
        <v>0</v>
      </c>
      <c r="O67" s="307">
        <f>SUMIFS(Adjustments!$G:$G,Adjustments!$H:$H,"2I",Adjustments!$I:$I,'Schedule 2I Adjustments'!$N$12,Adjustments!$J:$J,'Schedule 2I Adjustments'!$A67)</f>
        <v>0</v>
      </c>
      <c r="P67" s="303">
        <f t="shared" si="3"/>
        <v>0</v>
      </c>
      <c r="Q67" s="68">
        <f>IFERROR(N67*'As-Filed Schedule 1'!$E$103,0)</f>
        <v>0</v>
      </c>
      <c r="R67" s="68">
        <f>IFERROR(P67*'Adjusted Schedule 1'!$E$104,0)</f>
        <v>0</v>
      </c>
      <c r="S67" s="68">
        <f t="shared" si="4"/>
        <v>0</v>
      </c>
      <c r="T67" s="304">
        <f t="shared" si="5"/>
        <v>0</v>
      </c>
      <c r="V67" s="117">
        <f>'As-Filed Schedule 2I'!N67</f>
        <v>0</v>
      </c>
      <c r="W67" s="307">
        <f>SUMIFS(Adjustments!$G:$G,Adjustments!$H:$H,"2I",Adjustments!$I:$I,'Schedule 2I Adjustments'!$V$12,Adjustments!$J:$J,'Schedule 2I Adjustments'!$A67)</f>
        <v>0</v>
      </c>
      <c r="X67" s="303">
        <f t="shared" si="6"/>
        <v>0</v>
      </c>
      <c r="Y67" s="117">
        <f>'As-Filed Schedule 2I'!O67</f>
        <v>0</v>
      </c>
      <c r="Z67" s="307">
        <f>SUMIFS(Adjustments!$G:$G,Adjustments!$H:$H,"2I",Adjustments!$I:$I,'Schedule 2I Adjustments'!$Y$12,Adjustments!$J:$J,'Schedule 2I Adjustments'!$A67)</f>
        <v>0</v>
      </c>
      <c r="AA67" s="303">
        <f t="shared" si="7"/>
        <v>0</v>
      </c>
    </row>
    <row r="68" spans="1:27" x14ac:dyDescent="0.35">
      <c r="A68" s="24">
        <v>54</v>
      </c>
      <c r="B68" s="565" t="str">
        <f>IF('As-Filed Schedule 2I'!B68:D68=0,"",'As-Filed Schedule 2I'!B68:D68)</f>
        <v/>
      </c>
      <c r="C68" s="565"/>
      <c r="D68" s="565"/>
      <c r="F68" s="114">
        <f>'As-Filed Schedule 2I'!F68</f>
        <v>0</v>
      </c>
      <c r="G68" s="307">
        <f>SUMIFS(Adjustments!$G:$G,Adjustments!$H:$H,"2I",Adjustments!$I:$I,'Schedule 2I Adjustments'!$F$12,Adjustments!$J:$J,'Schedule 2I Adjustments'!$A68)</f>
        <v>0</v>
      </c>
      <c r="H68" s="303">
        <f t="shared" si="0"/>
        <v>0</v>
      </c>
      <c r="I68" s="68">
        <f>IFERROR(F68*'As-Filed Schedule 1'!$E$103,0)</f>
        <v>0</v>
      </c>
      <c r="J68" s="304">
        <f>IFERROR(H68*'Adjusted Schedule 1'!$E$104,0)</f>
        <v>0</v>
      </c>
      <c r="K68" s="68">
        <f t="shared" si="1"/>
        <v>0</v>
      </c>
      <c r="L68" s="304">
        <f t="shared" si="2"/>
        <v>0</v>
      </c>
      <c r="N68" s="114">
        <f>'As-Filed Schedule 2I'!J68</f>
        <v>0</v>
      </c>
      <c r="O68" s="307">
        <f>SUMIFS(Adjustments!$G:$G,Adjustments!$H:$H,"2I",Adjustments!$I:$I,'Schedule 2I Adjustments'!$N$12,Adjustments!$J:$J,'Schedule 2I Adjustments'!$A68)</f>
        <v>0</v>
      </c>
      <c r="P68" s="303">
        <f t="shared" si="3"/>
        <v>0</v>
      </c>
      <c r="Q68" s="68">
        <f>IFERROR(N68*'As-Filed Schedule 1'!$E$103,0)</f>
        <v>0</v>
      </c>
      <c r="R68" s="68">
        <f>IFERROR(P68*'Adjusted Schedule 1'!$E$104,0)</f>
        <v>0</v>
      </c>
      <c r="S68" s="68">
        <f t="shared" si="4"/>
        <v>0</v>
      </c>
      <c r="T68" s="304">
        <f t="shared" si="5"/>
        <v>0</v>
      </c>
      <c r="V68" s="117">
        <f>'As-Filed Schedule 2I'!N68</f>
        <v>0</v>
      </c>
      <c r="W68" s="307">
        <f>SUMIFS(Adjustments!$G:$G,Adjustments!$H:$H,"2I",Adjustments!$I:$I,'Schedule 2I Adjustments'!$V$12,Adjustments!$J:$J,'Schedule 2I Adjustments'!$A68)</f>
        <v>0</v>
      </c>
      <c r="X68" s="303">
        <f t="shared" si="6"/>
        <v>0</v>
      </c>
      <c r="Y68" s="117">
        <f>'As-Filed Schedule 2I'!O68</f>
        <v>0</v>
      </c>
      <c r="Z68" s="307">
        <f>SUMIFS(Adjustments!$G:$G,Adjustments!$H:$H,"2I",Adjustments!$I:$I,'Schedule 2I Adjustments'!$Y$12,Adjustments!$J:$J,'Schedule 2I Adjustments'!$A68)</f>
        <v>0</v>
      </c>
      <c r="AA68" s="303">
        <f t="shared" si="7"/>
        <v>0</v>
      </c>
    </row>
    <row r="69" spans="1:27" x14ac:dyDescent="0.35">
      <c r="A69" s="24">
        <v>55</v>
      </c>
      <c r="B69" s="565" t="str">
        <f>IF('As-Filed Schedule 2I'!B69:D69=0,"",'As-Filed Schedule 2I'!B69:D69)</f>
        <v/>
      </c>
      <c r="C69" s="565"/>
      <c r="D69" s="565"/>
      <c r="F69" s="114">
        <f>'As-Filed Schedule 2I'!F69</f>
        <v>0</v>
      </c>
      <c r="G69" s="307">
        <f>SUMIFS(Adjustments!$G:$G,Adjustments!$H:$H,"2I",Adjustments!$I:$I,'Schedule 2I Adjustments'!$F$12,Adjustments!$J:$J,'Schedule 2I Adjustments'!$A69)</f>
        <v>0</v>
      </c>
      <c r="H69" s="303">
        <f t="shared" si="0"/>
        <v>0</v>
      </c>
      <c r="I69" s="68">
        <f>IFERROR(F69*'As-Filed Schedule 1'!$E$103,0)</f>
        <v>0</v>
      </c>
      <c r="J69" s="304">
        <f>IFERROR(H69*'Adjusted Schedule 1'!$E$104,0)</f>
        <v>0</v>
      </c>
      <c r="K69" s="68">
        <f t="shared" si="1"/>
        <v>0</v>
      </c>
      <c r="L69" s="304">
        <f t="shared" si="2"/>
        <v>0</v>
      </c>
      <c r="N69" s="114">
        <f>'As-Filed Schedule 2I'!J69</f>
        <v>0</v>
      </c>
      <c r="O69" s="307">
        <f>SUMIFS(Adjustments!$G:$G,Adjustments!$H:$H,"2I",Adjustments!$I:$I,'Schedule 2I Adjustments'!$N$12,Adjustments!$J:$J,'Schedule 2I Adjustments'!$A69)</f>
        <v>0</v>
      </c>
      <c r="P69" s="303">
        <f t="shared" si="3"/>
        <v>0</v>
      </c>
      <c r="Q69" s="68">
        <f>IFERROR(N69*'As-Filed Schedule 1'!$E$103,0)</f>
        <v>0</v>
      </c>
      <c r="R69" s="68">
        <f>IFERROR(P69*'Adjusted Schedule 1'!$E$104,0)</f>
        <v>0</v>
      </c>
      <c r="S69" s="68">
        <f t="shared" si="4"/>
        <v>0</v>
      </c>
      <c r="T69" s="304">
        <f t="shared" si="5"/>
        <v>0</v>
      </c>
      <c r="V69" s="117">
        <f>'As-Filed Schedule 2I'!N69</f>
        <v>0</v>
      </c>
      <c r="W69" s="307">
        <f>SUMIFS(Adjustments!$G:$G,Adjustments!$H:$H,"2I",Adjustments!$I:$I,'Schedule 2I Adjustments'!$V$12,Adjustments!$J:$J,'Schedule 2I Adjustments'!$A69)</f>
        <v>0</v>
      </c>
      <c r="X69" s="303">
        <f t="shared" si="6"/>
        <v>0</v>
      </c>
      <c r="Y69" s="117">
        <f>'As-Filed Schedule 2I'!O69</f>
        <v>0</v>
      </c>
      <c r="Z69" s="307">
        <f>SUMIFS(Adjustments!$G:$G,Adjustments!$H:$H,"2I",Adjustments!$I:$I,'Schedule 2I Adjustments'!$Y$12,Adjustments!$J:$J,'Schedule 2I Adjustments'!$A69)</f>
        <v>0</v>
      </c>
      <c r="AA69" s="303">
        <f t="shared" si="7"/>
        <v>0</v>
      </c>
    </row>
    <row r="70" spans="1:27" x14ac:dyDescent="0.35">
      <c r="A70" s="24">
        <v>56</v>
      </c>
      <c r="B70" s="565" t="str">
        <f>IF('As-Filed Schedule 2I'!B70:D70=0,"",'As-Filed Schedule 2I'!B70:D70)</f>
        <v/>
      </c>
      <c r="C70" s="565"/>
      <c r="D70" s="565"/>
      <c r="F70" s="114">
        <f>'As-Filed Schedule 2I'!F70</f>
        <v>0</v>
      </c>
      <c r="G70" s="307">
        <f>SUMIFS(Adjustments!$G:$G,Adjustments!$H:$H,"2I",Adjustments!$I:$I,'Schedule 2I Adjustments'!$F$12,Adjustments!$J:$J,'Schedule 2I Adjustments'!$A70)</f>
        <v>0</v>
      </c>
      <c r="H70" s="303">
        <f t="shared" si="0"/>
        <v>0</v>
      </c>
      <c r="I70" s="68">
        <f>IFERROR(F70*'As-Filed Schedule 1'!$E$103,0)</f>
        <v>0</v>
      </c>
      <c r="J70" s="304">
        <f>IFERROR(H70*'Adjusted Schedule 1'!$E$104,0)</f>
        <v>0</v>
      </c>
      <c r="K70" s="68">
        <f t="shared" si="1"/>
        <v>0</v>
      </c>
      <c r="L70" s="304">
        <f t="shared" si="2"/>
        <v>0</v>
      </c>
      <c r="N70" s="114">
        <f>'As-Filed Schedule 2I'!J70</f>
        <v>0</v>
      </c>
      <c r="O70" s="307">
        <f>SUMIFS(Adjustments!$G:$G,Adjustments!$H:$H,"2I",Adjustments!$I:$I,'Schedule 2I Adjustments'!$N$12,Adjustments!$J:$J,'Schedule 2I Adjustments'!$A70)</f>
        <v>0</v>
      </c>
      <c r="P70" s="303">
        <f t="shared" si="3"/>
        <v>0</v>
      </c>
      <c r="Q70" s="68">
        <f>IFERROR(N70*'As-Filed Schedule 1'!$E$103,0)</f>
        <v>0</v>
      </c>
      <c r="R70" s="68">
        <f>IFERROR(P70*'Adjusted Schedule 1'!$E$104,0)</f>
        <v>0</v>
      </c>
      <c r="S70" s="68">
        <f t="shared" si="4"/>
        <v>0</v>
      </c>
      <c r="T70" s="304">
        <f t="shared" si="5"/>
        <v>0</v>
      </c>
      <c r="V70" s="117">
        <f>'As-Filed Schedule 2I'!N70</f>
        <v>0</v>
      </c>
      <c r="W70" s="307">
        <f>SUMIFS(Adjustments!$G:$G,Adjustments!$H:$H,"2I",Adjustments!$I:$I,'Schedule 2I Adjustments'!$V$12,Adjustments!$J:$J,'Schedule 2I Adjustments'!$A70)</f>
        <v>0</v>
      </c>
      <c r="X70" s="303">
        <f t="shared" si="6"/>
        <v>0</v>
      </c>
      <c r="Y70" s="117">
        <f>'As-Filed Schedule 2I'!O70</f>
        <v>0</v>
      </c>
      <c r="Z70" s="307">
        <f>SUMIFS(Adjustments!$G:$G,Adjustments!$H:$H,"2I",Adjustments!$I:$I,'Schedule 2I Adjustments'!$Y$12,Adjustments!$J:$J,'Schedule 2I Adjustments'!$A70)</f>
        <v>0</v>
      </c>
      <c r="AA70" s="303">
        <f t="shared" si="7"/>
        <v>0</v>
      </c>
    </row>
    <row r="71" spans="1:27" x14ac:dyDescent="0.35">
      <c r="A71" s="24">
        <v>57</v>
      </c>
      <c r="B71" s="565" t="str">
        <f>IF('As-Filed Schedule 2I'!B71:D71=0,"",'As-Filed Schedule 2I'!B71:D71)</f>
        <v/>
      </c>
      <c r="C71" s="565"/>
      <c r="D71" s="565"/>
      <c r="F71" s="114">
        <f>'As-Filed Schedule 2I'!F71</f>
        <v>0</v>
      </c>
      <c r="G71" s="307">
        <f>SUMIFS(Adjustments!$G:$G,Adjustments!$H:$H,"2I",Adjustments!$I:$I,'Schedule 2I Adjustments'!$F$12,Adjustments!$J:$J,'Schedule 2I Adjustments'!$A71)</f>
        <v>0</v>
      </c>
      <c r="H71" s="303">
        <f t="shared" si="0"/>
        <v>0</v>
      </c>
      <c r="I71" s="68">
        <f>IFERROR(F71*'As-Filed Schedule 1'!$E$103,0)</f>
        <v>0</v>
      </c>
      <c r="J71" s="304">
        <f>IFERROR(H71*'Adjusted Schedule 1'!$E$104,0)</f>
        <v>0</v>
      </c>
      <c r="K71" s="68">
        <f t="shared" si="1"/>
        <v>0</v>
      </c>
      <c r="L71" s="304">
        <f t="shared" si="2"/>
        <v>0</v>
      </c>
      <c r="N71" s="114">
        <f>'As-Filed Schedule 2I'!J71</f>
        <v>0</v>
      </c>
      <c r="O71" s="307">
        <f>SUMIFS(Adjustments!$G:$G,Adjustments!$H:$H,"2I",Adjustments!$I:$I,'Schedule 2I Adjustments'!$N$12,Adjustments!$J:$J,'Schedule 2I Adjustments'!$A71)</f>
        <v>0</v>
      </c>
      <c r="P71" s="303">
        <f t="shared" si="3"/>
        <v>0</v>
      </c>
      <c r="Q71" s="68">
        <f>IFERROR(N71*'As-Filed Schedule 1'!$E$103,0)</f>
        <v>0</v>
      </c>
      <c r="R71" s="68">
        <f>IFERROR(P71*'Adjusted Schedule 1'!$E$104,0)</f>
        <v>0</v>
      </c>
      <c r="S71" s="68">
        <f t="shared" si="4"/>
        <v>0</v>
      </c>
      <c r="T71" s="304">
        <f t="shared" si="5"/>
        <v>0</v>
      </c>
      <c r="V71" s="117">
        <f>'As-Filed Schedule 2I'!N71</f>
        <v>0</v>
      </c>
      <c r="W71" s="307">
        <f>SUMIFS(Adjustments!$G:$G,Adjustments!$H:$H,"2I",Adjustments!$I:$I,'Schedule 2I Adjustments'!$V$12,Adjustments!$J:$J,'Schedule 2I Adjustments'!$A71)</f>
        <v>0</v>
      </c>
      <c r="X71" s="303">
        <f t="shared" si="6"/>
        <v>0</v>
      </c>
      <c r="Y71" s="117">
        <f>'As-Filed Schedule 2I'!O71</f>
        <v>0</v>
      </c>
      <c r="Z71" s="307">
        <f>SUMIFS(Adjustments!$G:$G,Adjustments!$H:$H,"2I",Adjustments!$I:$I,'Schedule 2I Adjustments'!$Y$12,Adjustments!$J:$J,'Schedule 2I Adjustments'!$A71)</f>
        <v>0</v>
      </c>
      <c r="AA71" s="303">
        <f t="shared" si="7"/>
        <v>0</v>
      </c>
    </row>
    <row r="72" spans="1:27" x14ac:dyDescent="0.35">
      <c r="A72" s="24">
        <v>58</v>
      </c>
      <c r="B72" s="565" t="str">
        <f>IF('As-Filed Schedule 2I'!B72:D72=0,"",'As-Filed Schedule 2I'!B72:D72)</f>
        <v/>
      </c>
      <c r="C72" s="565"/>
      <c r="D72" s="565"/>
      <c r="F72" s="114">
        <f>'As-Filed Schedule 2I'!F72</f>
        <v>0</v>
      </c>
      <c r="G72" s="307">
        <f>SUMIFS(Adjustments!$G:$G,Adjustments!$H:$H,"2I",Adjustments!$I:$I,'Schedule 2I Adjustments'!$F$12,Adjustments!$J:$J,'Schedule 2I Adjustments'!$A72)</f>
        <v>0</v>
      </c>
      <c r="H72" s="303">
        <f t="shared" si="0"/>
        <v>0</v>
      </c>
      <c r="I72" s="68">
        <f>IFERROR(F72*'As-Filed Schedule 1'!$E$103,0)</f>
        <v>0</v>
      </c>
      <c r="J72" s="304">
        <f>IFERROR(H72*'Adjusted Schedule 1'!$E$104,0)</f>
        <v>0</v>
      </c>
      <c r="K72" s="68">
        <f t="shared" si="1"/>
        <v>0</v>
      </c>
      <c r="L72" s="304">
        <f t="shared" si="2"/>
        <v>0</v>
      </c>
      <c r="N72" s="114">
        <f>'As-Filed Schedule 2I'!J72</f>
        <v>0</v>
      </c>
      <c r="O72" s="307">
        <f>SUMIFS(Adjustments!$G:$G,Adjustments!$H:$H,"2I",Adjustments!$I:$I,'Schedule 2I Adjustments'!$N$12,Adjustments!$J:$J,'Schedule 2I Adjustments'!$A72)</f>
        <v>0</v>
      </c>
      <c r="P72" s="303">
        <f t="shared" si="3"/>
        <v>0</v>
      </c>
      <c r="Q72" s="68">
        <f>IFERROR(N72*'As-Filed Schedule 1'!$E$103,0)</f>
        <v>0</v>
      </c>
      <c r="R72" s="68">
        <f>IFERROR(P72*'Adjusted Schedule 1'!$E$104,0)</f>
        <v>0</v>
      </c>
      <c r="S72" s="68">
        <f t="shared" si="4"/>
        <v>0</v>
      </c>
      <c r="T72" s="304">
        <f t="shared" si="5"/>
        <v>0</v>
      </c>
      <c r="V72" s="117">
        <f>'As-Filed Schedule 2I'!N72</f>
        <v>0</v>
      </c>
      <c r="W72" s="307">
        <f>SUMIFS(Adjustments!$G:$G,Adjustments!$H:$H,"2I",Adjustments!$I:$I,'Schedule 2I Adjustments'!$V$12,Adjustments!$J:$J,'Schedule 2I Adjustments'!$A72)</f>
        <v>0</v>
      </c>
      <c r="X72" s="303">
        <f t="shared" si="6"/>
        <v>0</v>
      </c>
      <c r="Y72" s="117">
        <f>'As-Filed Schedule 2I'!O72</f>
        <v>0</v>
      </c>
      <c r="Z72" s="307">
        <f>SUMIFS(Adjustments!$G:$G,Adjustments!$H:$H,"2I",Adjustments!$I:$I,'Schedule 2I Adjustments'!$Y$12,Adjustments!$J:$J,'Schedule 2I Adjustments'!$A72)</f>
        <v>0</v>
      </c>
      <c r="AA72" s="303">
        <f t="shared" si="7"/>
        <v>0</v>
      </c>
    </row>
    <row r="73" spans="1:27" x14ac:dyDescent="0.35">
      <c r="A73" s="24">
        <v>59</v>
      </c>
      <c r="F73" s="18">
        <f>SUM(F15:F72)</f>
        <v>0</v>
      </c>
      <c r="G73" s="18">
        <f>SUM(G15:G72)</f>
        <v>0</v>
      </c>
      <c r="H73" s="18">
        <f t="shared" ref="H73:K73" si="8">SUM(H15:H72)</f>
        <v>0</v>
      </c>
      <c r="I73" s="18">
        <f t="shared" si="8"/>
        <v>0</v>
      </c>
      <c r="J73" s="304">
        <f>IFERROR(H73*'Adjusted Schedule 1'!$E$104,0)</f>
        <v>0</v>
      </c>
      <c r="K73" s="18">
        <f t="shared" si="8"/>
        <v>0</v>
      </c>
      <c r="L73" s="305">
        <f t="shared" ref="L73" si="9">SUM(L15:L72)</f>
        <v>0</v>
      </c>
      <c r="N73" s="18">
        <f>SUM(N15:N72)</f>
        <v>0</v>
      </c>
      <c r="O73" s="18">
        <f t="shared" ref="O73:S73" si="10">SUM(O15:O72)</f>
        <v>0</v>
      </c>
      <c r="P73" s="18">
        <f t="shared" si="10"/>
        <v>0</v>
      </c>
      <c r="Q73" s="18">
        <f t="shared" si="10"/>
        <v>0</v>
      </c>
      <c r="R73" s="18">
        <f t="shared" si="10"/>
        <v>0</v>
      </c>
      <c r="S73" s="18">
        <f t="shared" si="10"/>
        <v>0</v>
      </c>
      <c r="T73" s="305">
        <f>SUM(T15:T72)</f>
        <v>0</v>
      </c>
      <c r="Y73" s="83" t="s">
        <v>313</v>
      </c>
      <c r="Z73" s="325"/>
      <c r="AA73" s="322"/>
    </row>
    <row r="74" spans="1:27" ht="15" thickBot="1" x14ac:dyDescent="0.4">
      <c r="K74" s="37" t="s">
        <v>257</v>
      </c>
      <c r="L74" s="318" t="s">
        <v>257</v>
      </c>
      <c r="S74" s="37" t="s">
        <v>258</v>
      </c>
      <c r="T74" s="318" t="s">
        <v>258</v>
      </c>
    </row>
    <row r="75" spans="1:27" s="72" customFormat="1" ht="16" thickBot="1" x14ac:dyDescent="0.4">
      <c r="A75" s="24">
        <v>60</v>
      </c>
      <c r="B75" s="73" t="s">
        <v>817</v>
      </c>
      <c r="F75" s="75">
        <f>K73+S73</f>
        <v>0</v>
      </c>
      <c r="G75"/>
      <c r="H75" s="75">
        <f>L73+T73</f>
        <v>0</v>
      </c>
      <c r="I75" s="74"/>
      <c r="J75" s="319"/>
      <c r="K75" s="74"/>
      <c r="L75" s="319"/>
      <c r="N75" s="74"/>
      <c r="O75" s="326"/>
      <c r="P75" s="319"/>
      <c r="Q75" s="74"/>
      <c r="R75" s="319"/>
      <c r="T75" s="321"/>
      <c r="W75" s="324"/>
      <c r="X75" s="321"/>
      <c r="Z75" s="324"/>
      <c r="AA75" s="321"/>
    </row>
  </sheetData>
  <sheetProtection sheet="1" objects="1" scenarios="1"/>
  <customSheetViews>
    <customSheetView guid="{17302493-42B1-4877-869E-E424A97AE78B}" state="hidden" topLeftCell="S1">
      <selection activeCell="F17" sqref="F17"/>
      <pageMargins left="0.7" right="0.7" top="0.75" bottom="0.75" header="0.3" footer="0.3"/>
    </customSheetView>
    <customSheetView guid="{5C0BA3A5-859C-46C2-B685-44D9A90065E4}" topLeftCell="S1">
      <selection activeCell="F8" sqref="F8"/>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AA75"/>
  <sheetViews>
    <sheetView topLeftCell="T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53"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53"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53" customWidth="1"/>
    <col min="24" max="24" width="13.26953125" style="48" customWidth="1"/>
    <col min="25" max="25" width="12" customWidth="1"/>
    <col min="26" max="26" width="16.1796875" style="253" customWidth="1"/>
    <col min="27" max="27" width="12" style="48" customWidth="1"/>
  </cols>
  <sheetData>
    <row r="1" spans="1:27" ht="26" x14ac:dyDescent="0.6">
      <c r="A1" s="3" t="s">
        <v>777</v>
      </c>
    </row>
    <row r="2" spans="1:27" ht="21" x14ac:dyDescent="0.5">
      <c r="A2" s="2" t="s">
        <v>775</v>
      </c>
    </row>
    <row r="3" spans="1:27" ht="25" customHeight="1" x14ac:dyDescent="0.5">
      <c r="A3" s="546" t="s">
        <v>847</v>
      </c>
      <c r="B3" s="546"/>
      <c r="C3" s="546"/>
      <c r="D3" s="546"/>
      <c r="E3" s="546"/>
      <c r="F3" s="546"/>
      <c r="G3" s="546"/>
      <c r="H3" s="546"/>
      <c r="I3" s="546"/>
      <c r="J3" s="546"/>
      <c r="K3" s="546"/>
      <c r="L3" s="315"/>
    </row>
    <row r="5" spans="1:27" x14ac:dyDescent="0.35">
      <c r="A5" s="1" t="s">
        <v>776</v>
      </c>
      <c r="C5" s="414" t="str">
        <f>Results!$C$6</f>
        <v>WellPower</v>
      </c>
    </row>
    <row r="6" spans="1:27" x14ac:dyDescent="0.35">
      <c r="A6" s="1" t="s">
        <v>0</v>
      </c>
      <c r="C6" s="35">
        <f>Results!$C$7</f>
        <v>45473</v>
      </c>
      <c r="F6" s="35"/>
      <c r="G6" s="313"/>
      <c r="H6" s="60"/>
    </row>
    <row r="8" spans="1:27" x14ac:dyDescent="0.35">
      <c r="A8" s="1" t="s">
        <v>253</v>
      </c>
      <c r="B8" s="1" t="s">
        <v>828</v>
      </c>
      <c r="C8" s="1"/>
      <c r="F8" s="116" t="str">
        <f>'As-Filed Schedule 2J'!F8</f>
        <v>Yes/No</v>
      </c>
      <c r="G8" s="41" t="s">
        <v>259</v>
      </c>
    </row>
    <row r="10" spans="1:27" x14ac:dyDescent="0.35">
      <c r="A10" s="1" t="s">
        <v>254</v>
      </c>
      <c r="B10" s="1" t="s">
        <v>256</v>
      </c>
      <c r="C10" s="1"/>
    </row>
    <row r="12" spans="1:27" x14ac:dyDescent="0.35">
      <c r="B12" s="560">
        <v>1</v>
      </c>
      <c r="C12" s="560"/>
      <c r="D12" s="560"/>
      <c r="F12" s="23">
        <v>2</v>
      </c>
      <c r="G12" s="248" t="s">
        <v>550</v>
      </c>
      <c r="H12" s="249" t="s">
        <v>551</v>
      </c>
      <c r="I12" s="23">
        <v>3</v>
      </c>
      <c r="J12" s="249" t="s">
        <v>555</v>
      </c>
      <c r="K12" s="23">
        <v>4</v>
      </c>
      <c r="L12" s="249" t="s">
        <v>559</v>
      </c>
      <c r="N12" s="23">
        <v>5</v>
      </c>
      <c r="O12" s="248" t="s">
        <v>560</v>
      </c>
      <c r="P12" s="249" t="s">
        <v>561</v>
      </c>
      <c r="Q12" s="23">
        <v>6</v>
      </c>
      <c r="R12" s="249" t="s">
        <v>565</v>
      </c>
      <c r="S12" s="23">
        <v>7</v>
      </c>
      <c r="T12" s="249" t="s">
        <v>569</v>
      </c>
      <c r="V12" s="23">
        <v>8</v>
      </c>
      <c r="W12" s="248" t="s">
        <v>610</v>
      </c>
      <c r="X12" s="249" t="s">
        <v>623</v>
      </c>
      <c r="Y12" s="23">
        <v>9</v>
      </c>
      <c r="Z12" s="248" t="s">
        <v>612</v>
      </c>
      <c r="AA12" s="249" t="s">
        <v>613</v>
      </c>
    </row>
    <row r="13" spans="1:27" ht="15" customHeight="1" x14ac:dyDescent="0.35">
      <c r="B13" s="561" t="s">
        <v>255</v>
      </c>
      <c r="C13" s="561"/>
      <c r="D13" s="561"/>
      <c r="F13" s="563" t="s">
        <v>261</v>
      </c>
      <c r="G13" s="568"/>
      <c r="H13" s="568"/>
      <c r="I13" s="568"/>
      <c r="J13" s="568"/>
      <c r="K13" s="568"/>
      <c r="L13" s="564"/>
      <c r="N13" s="563" t="s">
        <v>262</v>
      </c>
      <c r="O13" s="568"/>
      <c r="P13" s="568"/>
      <c r="Q13" s="568"/>
      <c r="R13" s="568"/>
      <c r="S13" s="568"/>
      <c r="T13" s="564"/>
      <c r="V13" s="562" t="s">
        <v>250</v>
      </c>
      <c r="W13" s="621" t="s">
        <v>614</v>
      </c>
      <c r="X13" s="622" t="s">
        <v>615</v>
      </c>
      <c r="Y13" s="562" t="s">
        <v>312</v>
      </c>
      <c r="Z13" s="621" t="s">
        <v>624</v>
      </c>
      <c r="AA13" s="622" t="s">
        <v>625</v>
      </c>
    </row>
    <row r="14" spans="1:27" ht="55.5" customHeight="1" x14ac:dyDescent="0.35">
      <c r="B14" s="561"/>
      <c r="C14" s="561"/>
      <c r="D14" s="561"/>
      <c r="E14" s="48"/>
      <c r="F14" s="10" t="s">
        <v>214</v>
      </c>
      <c r="G14" s="250" t="s">
        <v>603</v>
      </c>
      <c r="H14" s="251" t="s">
        <v>604</v>
      </c>
      <c r="I14" s="142" t="s">
        <v>493</v>
      </c>
      <c r="J14" s="251" t="s">
        <v>607</v>
      </c>
      <c r="K14" s="142" t="s">
        <v>215</v>
      </c>
      <c r="L14" s="251" t="s">
        <v>609</v>
      </c>
      <c r="M14" s="48"/>
      <c r="N14" s="142" t="s">
        <v>214</v>
      </c>
      <c r="O14" s="250" t="s">
        <v>603</v>
      </c>
      <c r="P14" s="251" t="s">
        <v>604</v>
      </c>
      <c r="Q14" s="142" t="s">
        <v>493</v>
      </c>
      <c r="R14" s="251" t="s">
        <v>607</v>
      </c>
      <c r="S14" s="10" t="s">
        <v>215</v>
      </c>
      <c r="T14" s="251" t="s">
        <v>609</v>
      </c>
      <c r="U14" s="48"/>
      <c r="V14" s="562"/>
      <c r="W14" s="621"/>
      <c r="X14" s="622"/>
      <c r="Y14" s="562"/>
      <c r="Z14" s="621"/>
      <c r="AA14" s="622"/>
    </row>
    <row r="15" spans="1:27" x14ac:dyDescent="0.35">
      <c r="A15" s="24">
        <v>1</v>
      </c>
      <c r="B15" s="565" t="str">
        <f>IF('As-Filed Schedule 2J'!B15:D15=0,"",'As-Filed Schedule 2J'!B15:D15)</f>
        <v/>
      </c>
      <c r="C15" s="565"/>
      <c r="D15" s="565"/>
      <c r="F15" s="114">
        <f>'As-Filed Schedule 2J'!F15</f>
        <v>0</v>
      </c>
      <c r="G15" s="307">
        <f>SUMIFS(Adjustments!$G:$G,Adjustments!$H:$H,"2J",Adjustments!$I:$I,'Schedule 2J Adjustments'!$F$12,Adjustments!$J:$J,'Schedule 2J Adjustments'!$A15)</f>
        <v>0</v>
      </c>
      <c r="H15" s="303">
        <f>SUM(F15:G15)</f>
        <v>0</v>
      </c>
      <c r="I15" s="68">
        <f>IFERROR(F15*'As-Filed Schedule 1'!$E$103,0)</f>
        <v>0</v>
      </c>
      <c r="J15" s="304">
        <f>IFERROR(H15*'Adjusted Schedule 1'!$E$104,0)</f>
        <v>0</v>
      </c>
      <c r="K15" s="68">
        <f>SUM(F15,I15)</f>
        <v>0</v>
      </c>
      <c r="L15" s="304">
        <f>SUM(H15,J15)</f>
        <v>0</v>
      </c>
      <c r="N15" s="114">
        <f>'As-Filed Schedule 2J'!J15</f>
        <v>0</v>
      </c>
      <c r="O15" s="307">
        <f>SUMIFS(Adjustments!$G:$G,Adjustments!$H:$H,"2J",Adjustments!$I:$I,'Schedule 2J Adjustments'!$N$12,Adjustments!$J:$J,'Schedule 2J Adjustments'!$A15)</f>
        <v>0</v>
      </c>
      <c r="P15" s="303">
        <f>SUM(N15:O15)</f>
        <v>0</v>
      </c>
      <c r="Q15" s="68">
        <f>IFERROR(N15*'As-Filed Schedule 1'!$E$103,0)</f>
        <v>0</v>
      </c>
      <c r="R15" s="68">
        <f>IFERROR(P15*'Adjusted Schedule 1'!$E$104,0)</f>
        <v>0</v>
      </c>
      <c r="S15" s="68">
        <f>SUM(N15,Q15)</f>
        <v>0</v>
      </c>
      <c r="T15" s="304">
        <f>SUM(P15,R15)</f>
        <v>0</v>
      </c>
      <c r="V15" s="117">
        <f>'As-Filed Schedule 2J'!N15</f>
        <v>0</v>
      </c>
      <c r="W15" s="307">
        <f>SUMIFS(Adjustments!$G:$G,Adjustments!$H:$H,"2J",Adjustments!$I:$I,'Schedule 2J Adjustments'!$V$12,Adjustments!$J:$J,'Schedule 2J Adjustments'!$A15)</f>
        <v>0</v>
      </c>
      <c r="X15" s="303">
        <f>SUM(V15:W15)</f>
        <v>0</v>
      </c>
      <c r="Y15" s="117">
        <f>'As-Filed Schedule 2J'!O15</f>
        <v>0</v>
      </c>
      <c r="Z15" s="307">
        <f>SUMIFS(Adjustments!$G:$G,Adjustments!$H:$H,"2J",Adjustments!$I:$I,'Schedule 2J Adjustments'!$Y$12,Adjustments!$J:$J,'Schedule 2J Adjustments'!$A15)</f>
        <v>0</v>
      </c>
      <c r="AA15" s="303">
        <f>SUM(Y15:Z15)</f>
        <v>0</v>
      </c>
    </row>
    <row r="16" spans="1:27" x14ac:dyDescent="0.35">
      <c r="A16" s="24">
        <v>2</v>
      </c>
      <c r="B16" s="565" t="str">
        <f>IF('As-Filed Schedule 2J'!B16:D16=0,"",'As-Filed Schedule 2J'!B16:D16)</f>
        <v/>
      </c>
      <c r="C16" s="565"/>
      <c r="D16" s="565"/>
      <c r="F16" s="114">
        <f>'As-Filed Schedule 2J'!F16</f>
        <v>0</v>
      </c>
      <c r="G16" s="307">
        <f>SUMIFS(Adjustments!$G:$G,Adjustments!$H:$H,"2J",Adjustments!$I:$I,'Schedule 2J Adjustments'!$F$12,Adjustments!$J:$J,'Schedule 2J Adjustments'!$A16)</f>
        <v>0</v>
      </c>
      <c r="H16" s="303">
        <f t="shared" ref="H16:H72" si="0">SUM(F16:G16)</f>
        <v>0</v>
      </c>
      <c r="I16" s="68">
        <f>IFERROR(F16*'As-Filed Schedule 1'!$E$103,0)</f>
        <v>0</v>
      </c>
      <c r="J16" s="304">
        <f>IFERROR(H16*'Adjusted Schedule 1'!$E$104,0)</f>
        <v>0</v>
      </c>
      <c r="K16" s="68">
        <f t="shared" ref="K16:K72" si="1">SUM(F16,I16)</f>
        <v>0</v>
      </c>
      <c r="L16" s="304">
        <f t="shared" ref="L16:L72" si="2">SUM(H16,J16)</f>
        <v>0</v>
      </c>
      <c r="N16" s="114">
        <f>'As-Filed Schedule 2J'!J16</f>
        <v>0</v>
      </c>
      <c r="O16" s="307">
        <f>SUMIFS(Adjustments!$G:$G,Adjustments!$H:$H,"2J",Adjustments!$I:$I,'Schedule 2J Adjustments'!$N$12,Adjustments!$J:$J,'Schedule 2J Adjustments'!$A16)</f>
        <v>0</v>
      </c>
      <c r="P16" s="303">
        <f t="shared" ref="P16:P72" si="3">SUM(N16:O16)</f>
        <v>0</v>
      </c>
      <c r="Q16" s="68">
        <f>IFERROR(N16*'As-Filed Schedule 1'!$E$103,0)</f>
        <v>0</v>
      </c>
      <c r="R16" s="68">
        <f>IFERROR(P16*'Adjusted Schedule 1'!$E$104,0)</f>
        <v>0</v>
      </c>
      <c r="S16" s="68">
        <f t="shared" ref="S16:S72" si="4">SUM(N16,Q16)</f>
        <v>0</v>
      </c>
      <c r="T16" s="304">
        <f t="shared" ref="T16:T72" si="5">SUM(P16,R16)</f>
        <v>0</v>
      </c>
      <c r="V16" s="117">
        <f>'As-Filed Schedule 2J'!N16</f>
        <v>0</v>
      </c>
      <c r="W16" s="307">
        <f>SUMIFS(Adjustments!$G:$G,Adjustments!$H:$H,"2J",Adjustments!$I:$I,'Schedule 2J Adjustments'!$V$12,Adjustments!$J:$J,'Schedule 2J Adjustments'!$A16)</f>
        <v>0</v>
      </c>
      <c r="X16" s="303">
        <f t="shared" ref="X16:X72" si="6">SUM(V16:W16)</f>
        <v>0</v>
      </c>
      <c r="Y16" s="117">
        <f>'As-Filed Schedule 2J'!O16</f>
        <v>0</v>
      </c>
      <c r="Z16" s="307">
        <f>SUMIFS(Adjustments!$G:$G,Adjustments!$H:$H,"2J",Adjustments!$I:$I,'Schedule 2J Adjustments'!$Y$12,Adjustments!$J:$J,'Schedule 2J Adjustments'!$A16)</f>
        <v>0</v>
      </c>
      <c r="AA16" s="303">
        <f t="shared" ref="AA16:AA72" si="7">SUM(Y16:Z16)</f>
        <v>0</v>
      </c>
    </row>
    <row r="17" spans="1:27" x14ac:dyDescent="0.35">
      <c r="A17" s="24">
        <v>3</v>
      </c>
      <c r="B17" s="565" t="str">
        <f>IF('As-Filed Schedule 2J'!B17:D17=0,"",'As-Filed Schedule 2J'!B17:D17)</f>
        <v/>
      </c>
      <c r="C17" s="565"/>
      <c r="D17" s="565"/>
      <c r="F17" s="114">
        <f>'As-Filed Schedule 2J'!F17</f>
        <v>0</v>
      </c>
      <c r="G17" s="307">
        <f>SUMIFS(Adjustments!$G:$G,Adjustments!$H:$H,"2J",Adjustments!$I:$I,'Schedule 2J Adjustments'!$F$12,Adjustments!$J:$J,'Schedule 2J Adjustments'!$A17)</f>
        <v>0</v>
      </c>
      <c r="H17" s="303">
        <f t="shared" si="0"/>
        <v>0</v>
      </c>
      <c r="I17" s="68">
        <f>IFERROR(F17*'As-Filed Schedule 1'!$E$103,0)</f>
        <v>0</v>
      </c>
      <c r="J17" s="304">
        <f>IFERROR(H17*'Adjusted Schedule 1'!$E$104,0)</f>
        <v>0</v>
      </c>
      <c r="K17" s="68">
        <f t="shared" si="1"/>
        <v>0</v>
      </c>
      <c r="L17" s="304">
        <f t="shared" si="2"/>
        <v>0</v>
      </c>
      <c r="N17" s="114">
        <f>'As-Filed Schedule 2J'!J17</f>
        <v>0</v>
      </c>
      <c r="O17" s="307">
        <f>SUMIFS(Adjustments!$G:$G,Adjustments!$H:$H,"2J",Adjustments!$I:$I,'Schedule 2J Adjustments'!$N$12,Adjustments!$J:$J,'Schedule 2J Adjustments'!$A17)</f>
        <v>0</v>
      </c>
      <c r="P17" s="303">
        <f t="shared" si="3"/>
        <v>0</v>
      </c>
      <c r="Q17" s="68">
        <f>IFERROR(N17*'As-Filed Schedule 1'!$E$103,0)</f>
        <v>0</v>
      </c>
      <c r="R17" s="68">
        <f>IFERROR(P17*'Adjusted Schedule 1'!$E$104,0)</f>
        <v>0</v>
      </c>
      <c r="S17" s="68">
        <f t="shared" si="4"/>
        <v>0</v>
      </c>
      <c r="T17" s="304">
        <f t="shared" si="5"/>
        <v>0</v>
      </c>
      <c r="V17" s="117">
        <f>'As-Filed Schedule 2J'!N17</f>
        <v>0</v>
      </c>
      <c r="W17" s="307">
        <f>SUMIFS(Adjustments!$G:$G,Adjustments!$H:$H,"2J",Adjustments!$I:$I,'Schedule 2J Adjustments'!$V$12,Adjustments!$J:$J,'Schedule 2J Adjustments'!$A17)</f>
        <v>0</v>
      </c>
      <c r="X17" s="303">
        <f t="shared" si="6"/>
        <v>0</v>
      </c>
      <c r="Y17" s="117">
        <f>'As-Filed Schedule 2J'!O17</f>
        <v>0</v>
      </c>
      <c r="Z17" s="307">
        <f>SUMIFS(Adjustments!$G:$G,Adjustments!$H:$H,"2J",Adjustments!$I:$I,'Schedule 2J Adjustments'!$Y$12,Adjustments!$J:$J,'Schedule 2J Adjustments'!$A17)</f>
        <v>0</v>
      </c>
      <c r="AA17" s="303">
        <f t="shared" si="7"/>
        <v>0</v>
      </c>
    </row>
    <row r="18" spans="1:27" x14ac:dyDescent="0.35">
      <c r="A18" s="24">
        <v>4</v>
      </c>
      <c r="B18" s="565" t="str">
        <f>IF('As-Filed Schedule 2J'!B18:D18=0,"",'As-Filed Schedule 2J'!B18:D18)</f>
        <v/>
      </c>
      <c r="C18" s="565"/>
      <c r="D18" s="565"/>
      <c r="F18" s="114">
        <f>'As-Filed Schedule 2J'!F18</f>
        <v>0</v>
      </c>
      <c r="G18" s="307">
        <f>SUMIFS(Adjustments!$G:$G,Adjustments!$H:$H,"2J",Adjustments!$I:$I,'Schedule 2J Adjustments'!$F$12,Adjustments!$J:$J,'Schedule 2J Adjustments'!$A18)</f>
        <v>0</v>
      </c>
      <c r="H18" s="303">
        <f t="shared" si="0"/>
        <v>0</v>
      </c>
      <c r="I18" s="68">
        <f>IFERROR(F18*'As-Filed Schedule 1'!$E$103,0)</f>
        <v>0</v>
      </c>
      <c r="J18" s="304">
        <f>IFERROR(H18*'Adjusted Schedule 1'!$E$104,0)</f>
        <v>0</v>
      </c>
      <c r="K18" s="68">
        <f>SUM(F18,I18)</f>
        <v>0</v>
      </c>
      <c r="L18" s="304">
        <f>SUM(H18,J18)</f>
        <v>0</v>
      </c>
      <c r="N18" s="114">
        <f>'As-Filed Schedule 2J'!J18</f>
        <v>0</v>
      </c>
      <c r="O18" s="307">
        <f>SUMIFS(Adjustments!$G:$G,Adjustments!$H:$H,"2J",Adjustments!$I:$I,'Schedule 2J Adjustments'!$N$12,Adjustments!$J:$J,'Schedule 2J Adjustments'!$A18)</f>
        <v>0</v>
      </c>
      <c r="P18" s="303">
        <f t="shared" si="3"/>
        <v>0</v>
      </c>
      <c r="Q18" s="68">
        <f>IFERROR(N18*'As-Filed Schedule 1'!$E$103,0)</f>
        <v>0</v>
      </c>
      <c r="R18" s="68">
        <f>IFERROR(P18*'Adjusted Schedule 1'!$E$104,0)</f>
        <v>0</v>
      </c>
      <c r="S18" s="68">
        <f t="shared" si="4"/>
        <v>0</v>
      </c>
      <c r="T18" s="304">
        <f t="shared" si="5"/>
        <v>0</v>
      </c>
      <c r="V18" s="117">
        <f>'As-Filed Schedule 2J'!N18</f>
        <v>0</v>
      </c>
      <c r="W18" s="307">
        <f>SUMIFS(Adjustments!$G:$G,Adjustments!$H:$H,"2J",Adjustments!$I:$I,'Schedule 2J Adjustments'!$V$12,Adjustments!$J:$J,'Schedule 2J Adjustments'!$A18)</f>
        <v>0</v>
      </c>
      <c r="X18" s="303">
        <f t="shared" si="6"/>
        <v>0</v>
      </c>
      <c r="Y18" s="117">
        <f>'As-Filed Schedule 2J'!O18</f>
        <v>0</v>
      </c>
      <c r="Z18" s="307">
        <f>SUMIFS(Adjustments!$G:$G,Adjustments!$H:$H,"2J",Adjustments!$I:$I,'Schedule 2J Adjustments'!$Y$12,Adjustments!$J:$J,'Schedule 2J Adjustments'!$A18)</f>
        <v>0</v>
      </c>
      <c r="AA18" s="303">
        <f t="shared" si="7"/>
        <v>0</v>
      </c>
    </row>
    <row r="19" spans="1:27" x14ac:dyDescent="0.35">
      <c r="A19" s="24">
        <v>5</v>
      </c>
      <c r="B19" s="565" t="str">
        <f>IF('As-Filed Schedule 2J'!B19:D19=0,"",'As-Filed Schedule 2J'!B19:D19)</f>
        <v/>
      </c>
      <c r="C19" s="565"/>
      <c r="D19" s="565"/>
      <c r="F19" s="114">
        <f>'As-Filed Schedule 2J'!F19</f>
        <v>0</v>
      </c>
      <c r="G19" s="307">
        <f>SUMIFS(Adjustments!$G:$G,Adjustments!$H:$H,"2J",Adjustments!$I:$I,'Schedule 2J Adjustments'!$F$12,Adjustments!$J:$J,'Schedule 2J Adjustments'!$A19)</f>
        <v>0</v>
      </c>
      <c r="H19" s="303">
        <f t="shared" si="0"/>
        <v>0</v>
      </c>
      <c r="I19" s="68">
        <f>IFERROR(F19*'As-Filed Schedule 1'!$E$103,0)</f>
        <v>0</v>
      </c>
      <c r="J19" s="304">
        <f>IFERROR(H19*'Adjusted Schedule 1'!$E$104,0)</f>
        <v>0</v>
      </c>
      <c r="K19" s="68">
        <f t="shared" si="1"/>
        <v>0</v>
      </c>
      <c r="L19" s="304">
        <f>SUM(H19,J19)</f>
        <v>0</v>
      </c>
      <c r="N19" s="114">
        <f>'As-Filed Schedule 2J'!J19</f>
        <v>0</v>
      </c>
      <c r="O19" s="307">
        <f>SUMIFS(Adjustments!$G:$G,Adjustments!$H:$H,"2J",Adjustments!$I:$I,'Schedule 2J Adjustments'!$N$12,Adjustments!$J:$J,'Schedule 2J Adjustments'!$A19)</f>
        <v>0</v>
      </c>
      <c r="P19" s="303">
        <f t="shared" si="3"/>
        <v>0</v>
      </c>
      <c r="Q19" s="68">
        <f>IFERROR(N19*'As-Filed Schedule 1'!$E$103,0)</f>
        <v>0</v>
      </c>
      <c r="R19" s="68">
        <f>IFERROR(P19*'Adjusted Schedule 1'!$E$104,0)</f>
        <v>0</v>
      </c>
      <c r="S19" s="68">
        <f t="shared" si="4"/>
        <v>0</v>
      </c>
      <c r="T19" s="304">
        <f t="shared" si="5"/>
        <v>0</v>
      </c>
      <c r="V19" s="117">
        <f>'As-Filed Schedule 2J'!N19</f>
        <v>0</v>
      </c>
      <c r="W19" s="307">
        <f>SUMIFS(Adjustments!$G:$G,Adjustments!$H:$H,"2J",Adjustments!$I:$I,'Schedule 2J Adjustments'!$V$12,Adjustments!$J:$J,'Schedule 2J Adjustments'!$A19)</f>
        <v>0</v>
      </c>
      <c r="X19" s="303">
        <f t="shared" si="6"/>
        <v>0</v>
      </c>
      <c r="Y19" s="117">
        <f>'As-Filed Schedule 2J'!O19</f>
        <v>0</v>
      </c>
      <c r="Z19" s="307">
        <f>SUMIFS(Adjustments!$G:$G,Adjustments!$H:$H,"2J",Adjustments!$I:$I,'Schedule 2J Adjustments'!$Y$12,Adjustments!$J:$J,'Schedule 2J Adjustments'!$A19)</f>
        <v>0</v>
      </c>
      <c r="AA19" s="303">
        <f t="shared" si="7"/>
        <v>0</v>
      </c>
    </row>
    <row r="20" spans="1:27" x14ac:dyDescent="0.35">
      <c r="A20" s="24">
        <v>6</v>
      </c>
      <c r="B20" s="565" t="str">
        <f>IF('As-Filed Schedule 2J'!B20:D20=0,"",'As-Filed Schedule 2J'!B20:D20)</f>
        <v/>
      </c>
      <c r="C20" s="565"/>
      <c r="D20" s="565"/>
      <c r="F20" s="114">
        <f>'As-Filed Schedule 2J'!F20</f>
        <v>0</v>
      </c>
      <c r="G20" s="307">
        <f>SUMIFS(Adjustments!$G:$G,Adjustments!$H:$H,"2J",Adjustments!$I:$I,'Schedule 2J Adjustments'!$F$12,Adjustments!$J:$J,'Schedule 2J Adjustments'!$A20)</f>
        <v>0</v>
      </c>
      <c r="H20" s="303">
        <f t="shared" si="0"/>
        <v>0</v>
      </c>
      <c r="I20" s="68">
        <f>IFERROR(F20*'As-Filed Schedule 1'!$E$103,0)</f>
        <v>0</v>
      </c>
      <c r="J20" s="304">
        <f>IFERROR(H20*'Adjusted Schedule 1'!$E$104,0)</f>
        <v>0</v>
      </c>
      <c r="K20" s="68">
        <f>SUM(F20,I20)</f>
        <v>0</v>
      </c>
      <c r="L20" s="304">
        <f t="shared" si="2"/>
        <v>0</v>
      </c>
      <c r="N20" s="114">
        <f>'As-Filed Schedule 2J'!J20</f>
        <v>0</v>
      </c>
      <c r="O20" s="307">
        <f>SUMIFS(Adjustments!$G:$G,Adjustments!$H:$H,"2J",Adjustments!$I:$I,'Schedule 2J Adjustments'!$N$12,Adjustments!$J:$J,'Schedule 2J Adjustments'!$A20)</f>
        <v>0</v>
      </c>
      <c r="P20" s="303">
        <f t="shared" si="3"/>
        <v>0</v>
      </c>
      <c r="Q20" s="68">
        <f>IFERROR(N20*'As-Filed Schedule 1'!$E$103,0)</f>
        <v>0</v>
      </c>
      <c r="R20" s="68">
        <f>IFERROR(P20*'Adjusted Schedule 1'!$E$104,0)</f>
        <v>0</v>
      </c>
      <c r="S20" s="68">
        <f t="shared" si="4"/>
        <v>0</v>
      </c>
      <c r="T20" s="304">
        <f t="shared" si="5"/>
        <v>0</v>
      </c>
      <c r="V20" s="117">
        <f>'As-Filed Schedule 2J'!N20</f>
        <v>0</v>
      </c>
      <c r="W20" s="307">
        <f>SUMIFS(Adjustments!$G:$G,Adjustments!$H:$H,"2J",Adjustments!$I:$I,'Schedule 2J Adjustments'!$V$12,Adjustments!$J:$J,'Schedule 2J Adjustments'!$A20)</f>
        <v>0</v>
      </c>
      <c r="X20" s="303">
        <f t="shared" si="6"/>
        <v>0</v>
      </c>
      <c r="Y20" s="117">
        <f>'As-Filed Schedule 2J'!O20</f>
        <v>0</v>
      </c>
      <c r="Z20" s="307">
        <f>SUMIFS(Adjustments!$G:$G,Adjustments!$H:$H,"2J",Adjustments!$I:$I,'Schedule 2J Adjustments'!$Y$12,Adjustments!$J:$J,'Schedule 2J Adjustments'!$A20)</f>
        <v>0</v>
      </c>
      <c r="AA20" s="303">
        <f t="shared" si="7"/>
        <v>0</v>
      </c>
    </row>
    <row r="21" spans="1:27" x14ac:dyDescent="0.35">
      <c r="A21" s="24">
        <v>7</v>
      </c>
      <c r="B21" s="565" t="str">
        <f>IF('As-Filed Schedule 2J'!B21:D21=0,"",'As-Filed Schedule 2J'!B21:D21)</f>
        <v/>
      </c>
      <c r="C21" s="565"/>
      <c r="D21" s="565"/>
      <c r="F21" s="114">
        <f>'As-Filed Schedule 2J'!F21</f>
        <v>0</v>
      </c>
      <c r="G21" s="307">
        <f>SUMIFS(Adjustments!$G:$G,Adjustments!$H:$H,"2J",Adjustments!$I:$I,'Schedule 2J Adjustments'!$F$12,Adjustments!$J:$J,'Schedule 2J Adjustments'!$A21)</f>
        <v>0</v>
      </c>
      <c r="H21" s="303">
        <f t="shared" si="0"/>
        <v>0</v>
      </c>
      <c r="I21" s="68">
        <f>IFERROR(F21*'As-Filed Schedule 1'!$E$103,0)</f>
        <v>0</v>
      </c>
      <c r="J21" s="304">
        <f>IFERROR(H21*'Adjusted Schedule 1'!$E$104,0)</f>
        <v>0</v>
      </c>
      <c r="K21" s="68">
        <f t="shared" si="1"/>
        <v>0</v>
      </c>
      <c r="L21" s="304">
        <f t="shared" si="2"/>
        <v>0</v>
      </c>
      <c r="N21" s="114">
        <f>'As-Filed Schedule 2J'!J21</f>
        <v>0</v>
      </c>
      <c r="O21" s="307">
        <f>SUMIFS(Adjustments!$G:$G,Adjustments!$H:$H,"2J",Adjustments!$I:$I,'Schedule 2J Adjustments'!$N$12,Adjustments!$J:$J,'Schedule 2J Adjustments'!$A21)</f>
        <v>0</v>
      </c>
      <c r="P21" s="303">
        <f t="shared" si="3"/>
        <v>0</v>
      </c>
      <c r="Q21" s="68">
        <f>IFERROR(N21*'As-Filed Schedule 1'!$E$103,0)</f>
        <v>0</v>
      </c>
      <c r="R21" s="68">
        <f>IFERROR(P21*'Adjusted Schedule 1'!$E$104,0)</f>
        <v>0</v>
      </c>
      <c r="S21" s="68">
        <f>SUM(N21,Q21)</f>
        <v>0</v>
      </c>
      <c r="T21" s="304">
        <f>SUM(P21,R21)</f>
        <v>0</v>
      </c>
      <c r="V21" s="117">
        <f>'As-Filed Schedule 2J'!N21</f>
        <v>0</v>
      </c>
      <c r="W21" s="307">
        <f>SUMIFS(Adjustments!$G:$G,Adjustments!$H:$H,"2J",Adjustments!$I:$I,'Schedule 2J Adjustments'!$V$12,Adjustments!$J:$J,'Schedule 2J Adjustments'!$A21)</f>
        <v>0</v>
      </c>
      <c r="X21" s="303">
        <f t="shared" si="6"/>
        <v>0</v>
      </c>
      <c r="Y21" s="117">
        <f>'As-Filed Schedule 2J'!O21</f>
        <v>0</v>
      </c>
      <c r="Z21" s="307">
        <f>SUMIFS(Adjustments!$G:$G,Adjustments!$H:$H,"2J",Adjustments!$I:$I,'Schedule 2J Adjustments'!$Y$12,Adjustments!$J:$J,'Schedule 2J Adjustments'!$A21)</f>
        <v>0</v>
      </c>
      <c r="AA21" s="303">
        <f t="shared" si="7"/>
        <v>0</v>
      </c>
    </row>
    <row r="22" spans="1:27" x14ac:dyDescent="0.35">
      <c r="A22" s="24">
        <v>8</v>
      </c>
      <c r="B22" s="565" t="str">
        <f>IF('As-Filed Schedule 2J'!B22:D22=0,"",'As-Filed Schedule 2J'!B22:D22)</f>
        <v/>
      </c>
      <c r="C22" s="565"/>
      <c r="D22" s="565"/>
      <c r="F22" s="114">
        <f>'As-Filed Schedule 2J'!F22</f>
        <v>0</v>
      </c>
      <c r="G22" s="307">
        <f>SUMIFS(Adjustments!$G:$G,Adjustments!$H:$H,"2J",Adjustments!$I:$I,'Schedule 2J Adjustments'!$F$12,Adjustments!$J:$J,'Schedule 2J Adjustments'!$A22)</f>
        <v>0</v>
      </c>
      <c r="H22" s="303">
        <f t="shared" si="0"/>
        <v>0</v>
      </c>
      <c r="I22" s="68">
        <f>IFERROR(F22*'As-Filed Schedule 1'!$E$103,0)</f>
        <v>0</v>
      </c>
      <c r="J22" s="304">
        <f>IFERROR(H22*'Adjusted Schedule 1'!$E$104,0)</f>
        <v>0</v>
      </c>
      <c r="K22" s="68">
        <f t="shared" si="1"/>
        <v>0</v>
      </c>
      <c r="L22" s="304">
        <f t="shared" si="2"/>
        <v>0</v>
      </c>
      <c r="N22" s="114">
        <f>'As-Filed Schedule 2J'!J22</f>
        <v>0</v>
      </c>
      <c r="O22" s="307">
        <f>SUMIFS(Adjustments!$G:$G,Adjustments!$H:$H,"2J",Adjustments!$I:$I,'Schedule 2J Adjustments'!$N$12,Adjustments!$J:$J,'Schedule 2J Adjustments'!$A22)</f>
        <v>0</v>
      </c>
      <c r="P22" s="303">
        <f t="shared" si="3"/>
        <v>0</v>
      </c>
      <c r="Q22" s="68">
        <f>IFERROR(N22*'As-Filed Schedule 1'!$E$103,0)</f>
        <v>0</v>
      </c>
      <c r="R22" s="68">
        <f>IFERROR(P22*'Adjusted Schedule 1'!$E$104,0)</f>
        <v>0</v>
      </c>
      <c r="S22" s="68">
        <f t="shared" si="4"/>
        <v>0</v>
      </c>
      <c r="T22" s="304">
        <f t="shared" si="5"/>
        <v>0</v>
      </c>
      <c r="V22" s="117">
        <f>'As-Filed Schedule 2J'!N22</f>
        <v>0</v>
      </c>
      <c r="W22" s="307">
        <f>SUMIFS(Adjustments!$G:$G,Adjustments!$H:$H,"2J",Adjustments!$I:$I,'Schedule 2J Adjustments'!$V$12,Adjustments!$J:$J,'Schedule 2J Adjustments'!$A22)</f>
        <v>0</v>
      </c>
      <c r="X22" s="303">
        <f t="shared" si="6"/>
        <v>0</v>
      </c>
      <c r="Y22" s="117">
        <f>'As-Filed Schedule 2J'!O22</f>
        <v>0</v>
      </c>
      <c r="Z22" s="307">
        <f>SUMIFS(Adjustments!$G:$G,Adjustments!$H:$H,"2J",Adjustments!$I:$I,'Schedule 2J Adjustments'!$Y$12,Adjustments!$J:$J,'Schedule 2J Adjustments'!$A22)</f>
        <v>0</v>
      </c>
      <c r="AA22" s="303">
        <f t="shared" si="7"/>
        <v>0</v>
      </c>
    </row>
    <row r="23" spans="1:27" x14ac:dyDescent="0.35">
      <c r="A23" s="24">
        <v>9</v>
      </c>
      <c r="B23" s="565" t="str">
        <f>IF('As-Filed Schedule 2J'!B23:D23=0,"",'As-Filed Schedule 2J'!B23:D23)</f>
        <v/>
      </c>
      <c r="C23" s="565"/>
      <c r="D23" s="565"/>
      <c r="F23" s="114">
        <f>'As-Filed Schedule 2J'!F23</f>
        <v>0</v>
      </c>
      <c r="G23" s="307">
        <f>SUMIFS(Adjustments!$G:$G,Adjustments!$H:$H,"2J",Adjustments!$I:$I,'Schedule 2J Adjustments'!$F$12,Adjustments!$J:$J,'Schedule 2J Adjustments'!$A23)</f>
        <v>0</v>
      </c>
      <c r="H23" s="303">
        <f t="shared" si="0"/>
        <v>0</v>
      </c>
      <c r="I23" s="68">
        <f>IFERROR(F23*'As-Filed Schedule 1'!$E$103,0)</f>
        <v>0</v>
      </c>
      <c r="J23" s="304">
        <f>IFERROR(H23*'Adjusted Schedule 1'!$E$104,0)</f>
        <v>0</v>
      </c>
      <c r="K23" s="68">
        <f t="shared" si="1"/>
        <v>0</v>
      </c>
      <c r="L23" s="304">
        <f t="shared" si="2"/>
        <v>0</v>
      </c>
      <c r="N23" s="114">
        <f>'As-Filed Schedule 2J'!J23</f>
        <v>0</v>
      </c>
      <c r="O23" s="307">
        <f>SUMIFS(Adjustments!$G:$G,Adjustments!$H:$H,"2J",Adjustments!$I:$I,'Schedule 2J Adjustments'!$N$12,Adjustments!$J:$J,'Schedule 2J Adjustments'!$A23)</f>
        <v>0</v>
      </c>
      <c r="P23" s="303">
        <f t="shared" si="3"/>
        <v>0</v>
      </c>
      <c r="Q23" s="68">
        <f>IFERROR(N23*'As-Filed Schedule 1'!$E$103,0)</f>
        <v>0</v>
      </c>
      <c r="R23" s="68">
        <f>IFERROR(P23*'Adjusted Schedule 1'!$E$104,0)</f>
        <v>0</v>
      </c>
      <c r="S23" s="68">
        <f t="shared" si="4"/>
        <v>0</v>
      </c>
      <c r="T23" s="304">
        <f t="shared" si="5"/>
        <v>0</v>
      </c>
      <c r="V23" s="117">
        <f>'As-Filed Schedule 2J'!N23</f>
        <v>0</v>
      </c>
      <c r="W23" s="307">
        <f>SUMIFS(Adjustments!$G:$G,Adjustments!$H:$H,"2J",Adjustments!$I:$I,'Schedule 2J Adjustments'!$V$12,Adjustments!$J:$J,'Schedule 2J Adjustments'!$A23)</f>
        <v>0</v>
      </c>
      <c r="X23" s="303">
        <f t="shared" si="6"/>
        <v>0</v>
      </c>
      <c r="Y23" s="117">
        <f>'As-Filed Schedule 2J'!O23</f>
        <v>0</v>
      </c>
      <c r="Z23" s="307">
        <f>SUMIFS(Adjustments!$G:$G,Adjustments!$H:$H,"2J",Adjustments!$I:$I,'Schedule 2J Adjustments'!$Y$12,Adjustments!$J:$J,'Schedule 2J Adjustments'!$A23)</f>
        <v>0</v>
      </c>
      <c r="AA23" s="303">
        <f t="shared" si="7"/>
        <v>0</v>
      </c>
    </row>
    <row r="24" spans="1:27" x14ac:dyDescent="0.35">
      <c r="A24" s="24">
        <v>10</v>
      </c>
      <c r="B24" s="565" t="str">
        <f>IF('As-Filed Schedule 2J'!B24:D24=0,"",'As-Filed Schedule 2J'!B24:D24)</f>
        <v/>
      </c>
      <c r="C24" s="565"/>
      <c r="D24" s="565"/>
      <c r="F24" s="114">
        <f>'As-Filed Schedule 2J'!F24</f>
        <v>0</v>
      </c>
      <c r="G24" s="307">
        <f>SUMIFS(Adjustments!$G:$G,Adjustments!$H:$H,"2J",Adjustments!$I:$I,'Schedule 2J Adjustments'!$F$12,Adjustments!$J:$J,'Schedule 2J Adjustments'!$A24)</f>
        <v>0</v>
      </c>
      <c r="H24" s="303">
        <f t="shared" si="0"/>
        <v>0</v>
      </c>
      <c r="I24" s="68">
        <f>IFERROR(F24*'As-Filed Schedule 1'!$E$103,0)</f>
        <v>0</v>
      </c>
      <c r="J24" s="304">
        <f>IFERROR(H24*'Adjusted Schedule 1'!$E$104,0)</f>
        <v>0</v>
      </c>
      <c r="K24" s="68">
        <f t="shared" si="1"/>
        <v>0</v>
      </c>
      <c r="L24" s="304">
        <f t="shared" si="2"/>
        <v>0</v>
      </c>
      <c r="N24" s="114">
        <f>'As-Filed Schedule 2J'!J24</f>
        <v>0</v>
      </c>
      <c r="O24" s="307">
        <f>SUMIFS(Adjustments!$G:$G,Adjustments!$H:$H,"2J",Adjustments!$I:$I,'Schedule 2J Adjustments'!$N$12,Adjustments!$J:$J,'Schedule 2J Adjustments'!$A24)</f>
        <v>0</v>
      </c>
      <c r="P24" s="303">
        <f t="shared" si="3"/>
        <v>0</v>
      </c>
      <c r="Q24" s="68">
        <f>IFERROR(N24*'As-Filed Schedule 1'!$E$103,0)</f>
        <v>0</v>
      </c>
      <c r="R24" s="68">
        <f>IFERROR(P24*'Adjusted Schedule 1'!$E$104,0)</f>
        <v>0</v>
      </c>
      <c r="S24" s="68">
        <f t="shared" si="4"/>
        <v>0</v>
      </c>
      <c r="T24" s="304">
        <f t="shared" si="5"/>
        <v>0</v>
      </c>
      <c r="V24" s="117">
        <f>'As-Filed Schedule 2J'!N24</f>
        <v>0</v>
      </c>
      <c r="W24" s="307">
        <f>SUMIFS(Adjustments!$G:$G,Adjustments!$H:$H,"2J",Adjustments!$I:$I,'Schedule 2J Adjustments'!$V$12,Adjustments!$J:$J,'Schedule 2J Adjustments'!$A24)</f>
        <v>0</v>
      </c>
      <c r="X24" s="303">
        <f t="shared" si="6"/>
        <v>0</v>
      </c>
      <c r="Y24" s="117">
        <f>'As-Filed Schedule 2J'!O24</f>
        <v>0</v>
      </c>
      <c r="Z24" s="307">
        <f>SUMIFS(Adjustments!$G:$G,Adjustments!$H:$H,"2J",Adjustments!$I:$I,'Schedule 2J Adjustments'!$Y$12,Adjustments!$J:$J,'Schedule 2J Adjustments'!$A24)</f>
        <v>0</v>
      </c>
      <c r="AA24" s="303">
        <f t="shared" si="7"/>
        <v>0</v>
      </c>
    </row>
    <row r="25" spans="1:27" x14ac:dyDescent="0.35">
      <c r="A25" s="24">
        <v>11</v>
      </c>
      <c r="B25" s="565" t="str">
        <f>IF('As-Filed Schedule 2J'!B25:D25=0,"",'As-Filed Schedule 2J'!B25:D25)</f>
        <v/>
      </c>
      <c r="C25" s="565"/>
      <c r="D25" s="565"/>
      <c r="F25" s="114">
        <f>'As-Filed Schedule 2J'!F25</f>
        <v>0</v>
      </c>
      <c r="G25" s="307">
        <f>SUMIFS(Adjustments!$G:$G,Adjustments!$H:$H,"2J",Adjustments!$I:$I,'Schedule 2J Adjustments'!$F$12,Adjustments!$J:$J,'Schedule 2J Adjustments'!$A25)</f>
        <v>0</v>
      </c>
      <c r="H25" s="303">
        <f t="shared" si="0"/>
        <v>0</v>
      </c>
      <c r="I25" s="68">
        <f>IFERROR(F25*'As-Filed Schedule 1'!$E$103,0)</f>
        <v>0</v>
      </c>
      <c r="J25" s="304">
        <f>IFERROR(H25*'Adjusted Schedule 1'!$E$104,0)</f>
        <v>0</v>
      </c>
      <c r="K25" s="68">
        <f t="shared" si="1"/>
        <v>0</v>
      </c>
      <c r="L25" s="304">
        <f t="shared" si="2"/>
        <v>0</v>
      </c>
      <c r="N25" s="114">
        <f>'As-Filed Schedule 2J'!J25</f>
        <v>0</v>
      </c>
      <c r="O25" s="307">
        <f>SUMIFS(Adjustments!$G:$G,Adjustments!$H:$H,"2J",Adjustments!$I:$I,'Schedule 2J Adjustments'!$N$12,Adjustments!$J:$J,'Schedule 2J Adjustments'!$A25)</f>
        <v>0</v>
      </c>
      <c r="P25" s="303">
        <f t="shared" si="3"/>
        <v>0</v>
      </c>
      <c r="Q25" s="68">
        <f>IFERROR(N25*'As-Filed Schedule 1'!$E$103,0)</f>
        <v>0</v>
      </c>
      <c r="R25" s="68">
        <f>IFERROR(P25*'Adjusted Schedule 1'!$E$104,0)</f>
        <v>0</v>
      </c>
      <c r="S25" s="68">
        <f t="shared" si="4"/>
        <v>0</v>
      </c>
      <c r="T25" s="304">
        <f t="shared" si="5"/>
        <v>0</v>
      </c>
      <c r="V25" s="117">
        <f>'As-Filed Schedule 2J'!N25</f>
        <v>0</v>
      </c>
      <c r="W25" s="307">
        <f>SUMIFS(Adjustments!$G:$G,Adjustments!$H:$H,"2J",Adjustments!$I:$I,'Schedule 2J Adjustments'!$V$12,Adjustments!$J:$J,'Schedule 2J Adjustments'!$A25)</f>
        <v>0</v>
      </c>
      <c r="X25" s="303">
        <f t="shared" si="6"/>
        <v>0</v>
      </c>
      <c r="Y25" s="117">
        <f>'As-Filed Schedule 2J'!O25</f>
        <v>0</v>
      </c>
      <c r="Z25" s="307">
        <f>SUMIFS(Adjustments!$G:$G,Adjustments!$H:$H,"2J",Adjustments!$I:$I,'Schedule 2J Adjustments'!$Y$12,Adjustments!$J:$J,'Schedule 2J Adjustments'!$A25)</f>
        <v>0</v>
      </c>
      <c r="AA25" s="303">
        <f t="shared" si="7"/>
        <v>0</v>
      </c>
    </row>
    <row r="26" spans="1:27" x14ac:dyDescent="0.35">
      <c r="A26" s="24">
        <v>12</v>
      </c>
      <c r="B26" s="565" t="str">
        <f>IF('As-Filed Schedule 2J'!B26:D26=0,"",'As-Filed Schedule 2J'!B26:D26)</f>
        <v/>
      </c>
      <c r="C26" s="565"/>
      <c r="D26" s="565"/>
      <c r="F26" s="114">
        <f>'As-Filed Schedule 2J'!F26</f>
        <v>0</v>
      </c>
      <c r="G26" s="307">
        <f>SUMIFS(Adjustments!$G:$G,Adjustments!$H:$H,"2J",Adjustments!$I:$I,'Schedule 2J Adjustments'!$F$12,Adjustments!$J:$J,'Schedule 2J Adjustments'!$A26)</f>
        <v>0</v>
      </c>
      <c r="H26" s="303">
        <f t="shared" si="0"/>
        <v>0</v>
      </c>
      <c r="I26" s="68">
        <f>IFERROR(F26*'As-Filed Schedule 1'!$E$103,0)</f>
        <v>0</v>
      </c>
      <c r="J26" s="304">
        <f>IFERROR(H26*'Adjusted Schedule 1'!$E$104,0)</f>
        <v>0</v>
      </c>
      <c r="K26" s="68">
        <f t="shared" si="1"/>
        <v>0</v>
      </c>
      <c r="L26" s="304">
        <f t="shared" si="2"/>
        <v>0</v>
      </c>
      <c r="N26" s="114">
        <f>'As-Filed Schedule 2J'!J26</f>
        <v>0</v>
      </c>
      <c r="O26" s="307">
        <f>SUMIFS(Adjustments!$G:$G,Adjustments!$H:$H,"2J",Adjustments!$I:$I,'Schedule 2J Adjustments'!$N$12,Adjustments!$J:$J,'Schedule 2J Adjustments'!$A26)</f>
        <v>0</v>
      </c>
      <c r="P26" s="303">
        <f t="shared" si="3"/>
        <v>0</v>
      </c>
      <c r="Q26" s="68">
        <f>IFERROR(N26*'As-Filed Schedule 1'!$E$103,0)</f>
        <v>0</v>
      </c>
      <c r="R26" s="68">
        <f>IFERROR(P26*'Adjusted Schedule 1'!$E$104,0)</f>
        <v>0</v>
      </c>
      <c r="S26" s="68">
        <f t="shared" si="4"/>
        <v>0</v>
      </c>
      <c r="T26" s="304">
        <f t="shared" si="5"/>
        <v>0</v>
      </c>
      <c r="V26" s="117">
        <f>'As-Filed Schedule 2J'!N26</f>
        <v>0</v>
      </c>
      <c r="W26" s="307">
        <f>SUMIFS(Adjustments!$G:$G,Adjustments!$H:$H,"2J",Adjustments!$I:$I,'Schedule 2J Adjustments'!$V$12,Adjustments!$J:$J,'Schedule 2J Adjustments'!$A26)</f>
        <v>0</v>
      </c>
      <c r="X26" s="303">
        <f t="shared" si="6"/>
        <v>0</v>
      </c>
      <c r="Y26" s="117">
        <f>'As-Filed Schedule 2J'!O26</f>
        <v>0</v>
      </c>
      <c r="Z26" s="307">
        <f>SUMIFS(Adjustments!$G:$G,Adjustments!$H:$H,"2J",Adjustments!$I:$I,'Schedule 2J Adjustments'!$Y$12,Adjustments!$J:$J,'Schedule 2J Adjustments'!$A26)</f>
        <v>0</v>
      </c>
      <c r="AA26" s="303">
        <f t="shared" si="7"/>
        <v>0</v>
      </c>
    </row>
    <row r="27" spans="1:27" x14ac:dyDescent="0.35">
      <c r="A27" s="24">
        <v>13</v>
      </c>
      <c r="B27" s="565" t="str">
        <f>IF('As-Filed Schedule 2J'!B27:D27=0,"",'As-Filed Schedule 2J'!B27:D27)</f>
        <v/>
      </c>
      <c r="C27" s="565"/>
      <c r="D27" s="565"/>
      <c r="F27" s="114">
        <f>'As-Filed Schedule 2J'!F27</f>
        <v>0</v>
      </c>
      <c r="G27" s="307">
        <f>SUMIFS(Adjustments!$G:$G,Adjustments!$H:$H,"2J",Adjustments!$I:$I,'Schedule 2J Adjustments'!$F$12,Adjustments!$J:$J,'Schedule 2J Adjustments'!$A27)</f>
        <v>0</v>
      </c>
      <c r="H27" s="303">
        <f t="shared" si="0"/>
        <v>0</v>
      </c>
      <c r="I27" s="68">
        <f>IFERROR(F27*'As-Filed Schedule 1'!$E$103,0)</f>
        <v>0</v>
      </c>
      <c r="J27" s="304">
        <f>IFERROR(H27*'Adjusted Schedule 1'!$E$104,0)</f>
        <v>0</v>
      </c>
      <c r="K27" s="68">
        <f t="shared" si="1"/>
        <v>0</v>
      </c>
      <c r="L27" s="304">
        <f t="shared" si="2"/>
        <v>0</v>
      </c>
      <c r="N27" s="114">
        <f>'As-Filed Schedule 2J'!J27</f>
        <v>0</v>
      </c>
      <c r="O27" s="307">
        <f>SUMIFS(Adjustments!$G:$G,Adjustments!$H:$H,"2J",Adjustments!$I:$I,'Schedule 2J Adjustments'!$N$12,Adjustments!$J:$J,'Schedule 2J Adjustments'!$A27)</f>
        <v>0</v>
      </c>
      <c r="P27" s="303">
        <f t="shared" si="3"/>
        <v>0</v>
      </c>
      <c r="Q27" s="68">
        <f>IFERROR(N27*'As-Filed Schedule 1'!$E$103,0)</f>
        <v>0</v>
      </c>
      <c r="R27" s="68">
        <f>IFERROR(P27*'Adjusted Schedule 1'!$E$104,0)</f>
        <v>0</v>
      </c>
      <c r="S27" s="68">
        <f t="shared" si="4"/>
        <v>0</v>
      </c>
      <c r="T27" s="304">
        <f t="shared" si="5"/>
        <v>0</v>
      </c>
      <c r="V27" s="117">
        <f>'As-Filed Schedule 2J'!N27</f>
        <v>0</v>
      </c>
      <c r="W27" s="307">
        <f>SUMIFS(Adjustments!$G:$G,Adjustments!$H:$H,"2J",Adjustments!$I:$I,'Schedule 2J Adjustments'!$V$12,Adjustments!$J:$J,'Schedule 2J Adjustments'!$A27)</f>
        <v>0</v>
      </c>
      <c r="X27" s="303">
        <f t="shared" si="6"/>
        <v>0</v>
      </c>
      <c r="Y27" s="117">
        <f>'As-Filed Schedule 2J'!O27</f>
        <v>0</v>
      </c>
      <c r="Z27" s="307">
        <f>SUMIFS(Adjustments!$G:$G,Adjustments!$H:$H,"2J",Adjustments!$I:$I,'Schedule 2J Adjustments'!$Y$12,Adjustments!$J:$J,'Schedule 2J Adjustments'!$A27)</f>
        <v>0</v>
      </c>
      <c r="AA27" s="303">
        <f t="shared" si="7"/>
        <v>0</v>
      </c>
    </row>
    <row r="28" spans="1:27" x14ac:dyDescent="0.35">
      <c r="A28" s="24">
        <v>14</v>
      </c>
      <c r="B28" s="565" t="str">
        <f>IF('As-Filed Schedule 2J'!B28:D28=0,"",'As-Filed Schedule 2J'!B28:D28)</f>
        <v/>
      </c>
      <c r="C28" s="565"/>
      <c r="D28" s="565"/>
      <c r="F28" s="114">
        <f>'As-Filed Schedule 2J'!F28</f>
        <v>0</v>
      </c>
      <c r="G28" s="307">
        <f>SUMIFS(Adjustments!$G:$G,Adjustments!$H:$H,"2J",Adjustments!$I:$I,'Schedule 2J Adjustments'!$F$12,Adjustments!$J:$J,'Schedule 2J Adjustments'!$A28)</f>
        <v>0</v>
      </c>
      <c r="H28" s="303">
        <f t="shared" si="0"/>
        <v>0</v>
      </c>
      <c r="I28" s="68">
        <f>IFERROR(F28*'As-Filed Schedule 1'!$E$103,0)</f>
        <v>0</v>
      </c>
      <c r="J28" s="304">
        <f>IFERROR(H28*'Adjusted Schedule 1'!$E$104,0)</f>
        <v>0</v>
      </c>
      <c r="K28" s="68">
        <f t="shared" si="1"/>
        <v>0</v>
      </c>
      <c r="L28" s="304">
        <f t="shared" si="2"/>
        <v>0</v>
      </c>
      <c r="N28" s="114">
        <f>'As-Filed Schedule 2J'!J28</f>
        <v>0</v>
      </c>
      <c r="O28" s="307">
        <f>SUMIFS(Adjustments!$G:$G,Adjustments!$H:$H,"2J",Adjustments!$I:$I,'Schedule 2J Adjustments'!$N$12,Adjustments!$J:$J,'Schedule 2J Adjustments'!$A28)</f>
        <v>0</v>
      </c>
      <c r="P28" s="303">
        <f t="shared" si="3"/>
        <v>0</v>
      </c>
      <c r="Q28" s="68">
        <f>IFERROR(N28*'As-Filed Schedule 1'!$E$103,0)</f>
        <v>0</v>
      </c>
      <c r="R28" s="68">
        <f>IFERROR(P28*'Adjusted Schedule 1'!$E$104,0)</f>
        <v>0</v>
      </c>
      <c r="S28" s="68">
        <f t="shared" si="4"/>
        <v>0</v>
      </c>
      <c r="T28" s="304">
        <f t="shared" si="5"/>
        <v>0</v>
      </c>
      <c r="V28" s="117">
        <f>'As-Filed Schedule 2J'!N28</f>
        <v>0</v>
      </c>
      <c r="W28" s="307">
        <f>SUMIFS(Adjustments!$G:$G,Adjustments!$H:$H,"2J",Adjustments!$I:$I,'Schedule 2J Adjustments'!$V$12,Adjustments!$J:$J,'Schedule 2J Adjustments'!$A28)</f>
        <v>0</v>
      </c>
      <c r="X28" s="303">
        <f t="shared" si="6"/>
        <v>0</v>
      </c>
      <c r="Y28" s="117">
        <f>'As-Filed Schedule 2J'!O28</f>
        <v>0</v>
      </c>
      <c r="Z28" s="307">
        <f>SUMIFS(Adjustments!$G:$G,Adjustments!$H:$H,"2J",Adjustments!$I:$I,'Schedule 2J Adjustments'!$Y$12,Adjustments!$J:$J,'Schedule 2J Adjustments'!$A28)</f>
        <v>0</v>
      </c>
      <c r="AA28" s="303">
        <f t="shared" si="7"/>
        <v>0</v>
      </c>
    </row>
    <row r="29" spans="1:27" x14ac:dyDescent="0.35">
      <c r="A29" s="24">
        <v>15</v>
      </c>
      <c r="B29" s="565" t="str">
        <f>IF('As-Filed Schedule 2J'!B29:D29=0,"",'As-Filed Schedule 2J'!B29:D29)</f>
        <v/>
      </c>
      <c r="C29" s="565"/>
      <c r="D29" s="565"/>
      <c r="F29" s="114">
        <f>'As-Filed Schedule 2J'!F29</f>
        <v>0</v>
      </c>
      <c r="G29" s="307">
        <f>SUMIFS(Adjustments!$G:$G,Adjustments!$H:$H,"2J",Adjustments!$I:$I,'Schedule 2J Adjustments'!$F$12,Adjustments!$J:$J,'Schedule 2J Adjustments'!$A29)</f>
        <v>0</v>
      </c>
      <c r="H29" s="303">
        <f t="shared" si="0"/>
        <v>0</v>
      </c>
      <c r="I29" s="68">
        <f>IFERROR(F29*'As-Filed Schedule 1'!$E$103,0)</f>
        <v>0</v>
      </c>
      <c r="J29" s="304">
        <f>IFERROR(H29*'Adjusted Schedule 1'!$E$104,0)</f>
        <v>0</v>
      </c>
      <c r="K29" s="68">
        <f t="shared" si="1"/>
        <v>0</v>
      </c>
      <c r="L29" s="304">
        <f t="shared" si="2"/>
        <v>0</v>
      </c>
      <c r="N29" s="114">
        <f>'As-Filed Schedule 2J'!J29</f>
        <v>0</v>
      </c>
      <c r="O29" s="307">
        <f>SUMIFS(Adjustments!$G:$G,Adjustments!$H:$H,"2J",Adjustments!$I:$I,'Schedule 2J Adjustments'!$N$12,Adjustments!$J:$J,'Schedule 2J Adjustments'!$A29)</f>
        <v>0</v>
      </c>
      <c r="P29" s="303">
        <f t="shared" si="3"/>
        <v>0</v>
      </c>
      <c r="Q29" s="68">
        <f>IFERROR(N29*'As-Filed Schedule 1'!$E$103,0)</f>
        <v>0</v>
      </c>
      <c r="R29" s="68">
        <f>IFERROR(P29*'Adjusted Schedule 1'!$E$104,0)</f>
        <v>0</v>
      </c>
      <c r="S29" s="68">
        <f t="shared" si="4"/>
        <v>0</v>
      </c>
      <c r="T29" s="304">
        <f t="shared" si="5"/>
        <v>0</v>
      </c>
      <c r="V29" s="117">
        <f>'As-Filed Schedule 2J'!N29</f>
        <v>0</v>
      </c>
      <c r="W29" s="307">
        <f>SUMIFS(Adjustments!$G:$G,Adjustments!$H:$H,"2J",Adjustments!$I:$I,'Schedule 2J Adjustments'!$V$12,Adjustments!$J:$J,'Schedule 2J Adjustments'!$A29)</f>
        <v>0</v>
      </c>
      <c r="X29" s="303">
        <f t="shared" si="6"/>
        <v>0</v>
      </c>
      <c r="Y29" s="117">
        <f>'As-Filed Schedule 2J'!O29</f>
        <v>0</v>
      </c>
      <c r="Z29" s="307">
        <f>SUMIFS(Adjustments!$G:$G,Adjustments!$H:$H,"2J",Adjustments!$I:$I,'Schedule 2J Adjustments'!$Y$12,Adjustments!$J:$J,'Schedule 2J Adjustments'!$A29)</f>
        <v>0</v>
      </c>
      <c r="AA29" s="303">
        <f t="shared" si="7"/>
        <v>0</v>
      </c>
    </row>
    <row r="30" spans="1:27" x14ac:dyDescent="0.35">
      <c r="A30" s="24">
        <v>16</v>
      </c>
      <c r="B30" s="565" t="str">
        <f>IF('As-Filed Schedule 2J'!B30:D30=0,"",'As-Filed Schedule 2J'!B30:D30)</f>
        <v/>
      </c>
      <c r="C30" s="565"/>
      <c r="D30" s="565"/>
      <c r="F30" s="114">
        <f>'As-Filed Schedule 2J'!F30</f>
        <v>0</v>
      </c>
      <c r="G30" s="307">
        <f>SUMIFS(Adjustments!$G:$G,Adjustments!$H:$H,"2J",Adjustments!$I:$I,'Schedule 2J Adjustments'!$F$12,Adjustments!$J:$J,'Schedule 2J Adjustments'!$A30)</f>
        <v>0</v>
      </c>
      <c r="H30" s="303">
        <f t="shared" si="0"/>
        <v>0</v>
      </c>
      <c r="I30" s="68">
        <f>IFERROR(F30*'As-Filed Schedule 1'!$E$103,0)</f>
        <v>0</v>
      </c>
      <c r="J30" s="304">
        <f>IFERROR(H30*'Adjusted Schedule 1'!$E$104,0)</f>
        <v>0</v>
      </c>
      <c r="K30" s="68">
        <f t="shared" si="1"/>
        <v>0</v>
      </c>
      <c r="L30" s="304">
        <f t="shared" si="2"/>
        <v>0</v>
      </c>
      <c r="N30" s="114">
        <f>'As-Filed Schedule 2J'!J30</f>
        <v>0</v>
      </c>
      <c r="O30" s="307">
        <f>SUMIFS(Adjustments!$G:$G,Adjustments!$H:$H,"2J",Adjustments!$I:$I,'Schedule 2J Adjustments'!$N$12,Adjustments!$J:$J,'Schedule 2J Adjustments'!$A30)</f>
        <v>0</v>
      </c>
      <c r="P30" s="303">
        <f t="shared" si="3"/>
        <v>0</v>
      </c>
      <c r="Q30" s="68">
        <f>IFERROR(N30*'As-Filed Schedule 1'!$E$103,0)</f>
        <v>0</v>
      </c>
      <c r="R30" s="68">
        <f>IFERROR(P30*'Adjusted Schedule 1'!$E$104,0)</f>
        <v>0</v>
      </c>
      <c r="S30" s="68">
        <f t="shared" si="4"/>
        <v>0</v>
      </c>
      <c r="T30" s="304">
        <f t="shared" si="5"/>
        <v>0</v>
      </c>
      <c r="V30" s="117">
        <f>'As-Filed Schedule 2J'!N30</f>
        <v>0</v>
      </c>
      <c r="W30" s="307">
        <f>SUMIFS(Adjustments!$G:$G,Adjustments!$H:$H,"2J",Adjustments!$I:$I,'Schedule 2J Adjustments'!$V$12,Adjustments!$J:$J,'Schedule 2J Adjustments'!$A30)</f>
        <v>0</v>
      </c>
      <c r="X30" s="303">
        <f t="shared" si="6"/>
        <v>0</v>
      </c>
      <c r="Y30" s="117">
        <f>'As-Filed Schedule 2J'!O30</f>
        <v>0</v>
      </c>
      <c r="Z30" s="307">
        <f>SUMIFS(Adjustments!$G:$G,Adjustments!$H:$H,"2J",Adjustments!$I:$I,'Schedule 2J Adjustments'!$Y$12,Adjustments!$J:$J,'Schedule 2J Adjustments'!$A30)</f>
        <v>0</v>
      </c>
      <c r="AA30" s="303">
        <f t="shared" si="7"/>
        <v>0</v>
      </c>
    </row>
    <row r="31" spans="1:27" x14ac:dyDescent="0.35">
      <c r="A31" s="24">
        <v>17</v>
      </c>
      <c r="B31" s="565" t="str">
        <f>IF('As-Filed Schedule 2J'!B31:D31=0,"",'As-Filed Schedule 2J'!B31:D31)</f>
        <v/>
      </c>
      <c r="C31" s="565"/>
      <c r="D31" s="565"/>
      <c r="F31" s="114">
        <f>'As-Filed Schedule 2J'!F31</f>
        <v>0</v>
      </c>
      <c r="G31" s="307">
        <f>SUMIFS(Adjustments!$G:$G,Adjustments!$H:$H,"2J",Adjustments!$I:$I,'Schedule 2J Adjustments'!$F$12,Adjustments!$J:$J,'Schedule 2J Adjustments'!$A31)</f>
        <v>0</v>
      </c>
      <c r="H31" s="303">
        <f t="shared" si="0"/>
        <v>0</v>
      </c>
      <c r="I31" s="68">
        <f>IFERROR(F31*'As-Filed Schedule 1'!$E$103,0)</f>
        <v>0</v>
      </c>
      <c r="J31" s="304">
        <f>IFERROR(H31*'Adjusted Schedule 1'!$E$104,0)</f>
        <v>0</v>
      </c>
      <c r="K31" s="68">
        <f t="shared" si="1"/>
        <v>0</v>
      </c>
      <c r="L31" s="304">
        <f t="shared" si="2"/>
        <v>0</v>
      </c>
      <c r="N31" s="114">
        <f>'As-Filed Schedule 2J'!J31</f>
        <v>0</v>
      </c>
      <c r="O31" s="307">
        <f>SUMIFS(Adjustments!$G:$G,Adjustments!$H:$H,"2J",Adjustments!$I:$I,'Schedule 2J Adjustments'!$N$12,Adjustments!$J:$J,'Schedule 2J Adjustments'!$A31)</f>
        <v>0</v>
      </c>
      <c r="P31" s="303">
        <f t="shared" si="3"/>
        <v>0</v>
      </c>
      <c r="Q31" s="68">
        <f>IFERROR(N31*'As-Filed Schedule 1'!$E$103,0)</f>
        <v>0</v>
      </c>
      <c r="R31" s="68">
        <f>IFERROR(P31*'Adjusted Schedule 1'!$E$104,0)</f>
        <v>0</v>
      </c>
      <c r="S31" s="68">
        <f t="shared" si="4"/>
        <v>0</v>
      </c>
      <c r="T31" s="304">
        <f t="shared" si="5"/>
        <v>0</v>
      </c>
      <c r="V31" s="117">
        <f>'As-Filed Schedule 2J'!N31</f>
        <v>0</v>
      </c>
      <c r="W31" s="307">
        <f>SUMIFS(Adjustments!$G:$G,Adjustments!$H:$H,"2J",Adjustments!$I:$I,'Schedule 2J Adjustments'!$V$12,Adjustments!$J:$J,'Schedule 2J Adjustments'!$A31)</f>
        <v>0</v>
      </c>
      <c r="X31" s="303">
        <f t="shared" si="6"/>
        <v>0</v>
      </c>
      <c r="Y31" s="117">
        <f>'As-Filed Schedule 2J'!O31</f>
        <v>0</v>
      </c>
      <c r="Z31" s="307">
        <f>SUMIFS(Adjustments!$G:$G,Adjustments!$H:$H,"2J",Adjustments!$I:$I,'Schedule 2J Adjustments'!$Y$12,Adjustments!$J:$J,'Schedule 2J Adjustments'!$A31)</f>
        <v>0</v>
      </c>
      <c r="AA31" s="303">
        <f t="shared" si="7"/>
        <v>0</v>
      </c>
    </row>
    <row r="32" spans="1:27" x14ac:dyDescent="0.35">
      <c r="A32" s="24">
        <v>18</v>
      </c>
      <c r="B32" s="565" t="str">
        <f>IF('As-Filed Schedule 2J'!B32:D32=0,"",'As-Filed Schedule 2J'!B32:D32)</f>
        <v/>
      </c>
      <c r="C32" s="565"/>
      <c r="D32" s="565"/>
      <c r="F32" s="114">
        <f>'As-Filed Schedule 2J'!F32</f>
        <v>0</v>
      </c>
      <c r="G32" s="307">
        <f>SUMIFS(Adjustments!$G:$G,Adjustments!$H:$H,"2J",Adjustments!$I:$I,'Schedule 2J Adjustments'!$F$12,Adjustments!$J:$J,'Schedule 2J Adjustments'!$A32)</f>
        <v>0</v>
      </c>
      <c r="H32" s="303">
        <f t="shared" si="0"/>
        <v>0</v>
      </c>
      <c r="I32" s="68">
        <f>IFERROR(F32*'As-Filed Schedule 1'!$E$103,0)</f>
        <v>0</v>
      </c>
      <c r="J32" s="304">
        <f>IFERROR(H32*'Adjusted Schedule 1'!$E$104,0)</f>
        <v>0</v>
      </c>
      <c r="K32" s="68">
        <f t="shared" si="1"/>
        <v>0</v>
      </c>
      <c r="L32" s="304">
        <f t="shared" si="2"/>
        <v>0</v>
      </c>
      <c r="N32" s="114">
        <f>'As-Filed Schedule 2J'!J32</f>
        <v>0</v>
      </c>
      <c r="O32" s="307">
        <f>SUMIFS(Adjustments!$G:$G,Adjustments!$H:$H,"2J",Adjustments!$I:$I,'Schedule 2J Adjustments'!$N$12,Adjustments!$J:$J,'Schedule 2J Adjustments'!$A32)</f>
        <v>0</v>
      </c>
      <c r="P32" s="303">
        <f t="shared" si="3"/>
        <v>0</v>
      </c>
      <c r="Q32" s="68">
        <f>IFERROR(N32*'As-Filed Schedule 1'!$E$103,0)</f>
        <v>0</v>
      </c>
      <c r="R32" s="68">
        <f>IFERROR(P32*'Adjusted Schedule 1'!$E$104,0)</f>
        <v>0</v>
      </c>
      <c r="S32" s="68">
        <f t="shared" si="4"/>
        <v>0</v>
      </c>
      <c r="T32" s="304">
        <f t="shared" si="5"/>
        <v>0</v>
      </c>
      <c r="V32" s="117">
        <f>'As-Filed Schedule 2J'!N32</f>
        <v>0</v>
      </c>
      <c r="W32" s="307">
        <f>SUMIFS(Adjustments!$G:$G,Adjustments!$H:$H,"2J",Adjustments!$I:$I,'Schedule 2J Adjustments'!$V$12,Adjustments!$J:$J,'Schedule 2J Adjustments'!$A32)</f>
        <v>0</v>
      </c>
      <c r="X32" s="303">
        <f t="shared" si="6"/>
        <v>0</v>
      </c>
      <c r="Y32" s="117">
        <f>'As-Filed Schedule 2J'!O32</f>
        <v>0</v>
      </c>
      <c r="Z32" s="307">
        <f>SUMIFS(Adjustments!$G:$G,Adjustments!$H:$H,"2J",Adjustments!$I:$I,'Schedule 2J Adjustments'!$Y$12,Adjustments!$J:$J,'Schedule 2J Adjustments'!$A32)</f>
        <v>0</v>
      </c>
      <c r="AA32" s="303">
        <f t="shared" si="7"/>
        <v>0</v>
      </c>
    </row>
    <row r="33" spans="1:27" x14ac:dyDescent="0.35">
      <c r="A33" s="24">
        <v>19</v>
      </c>
      <c r="B33" s="565" t="str">
        <f>IF('As-Filed Schedule 2J'!B33:D33=0,"",'As-Filed Schedule 2J'!B33:D33)</f>
        <v/>
      </c>
      <c r="C33" s="565"/>
      <c r="D33" s="565"/>
      <c r="F33" s="114">
        <f>'As-Filed Schedule 2J'!F33</f>
        <v>0</v>
      </c>
      <c r="G33" s="307">
        <f>SUMIFS(Adjustments!$G:$G,Adjustments!$H:$H,"2J",Adjustments!$I:$I,'Schedule 2J Adjustments'!$F$12,Adjustments!$J:$J,'Schedule 2J Adjustments'!$A33)</f>
        <v>0</v>
      </c>
      <c r="H33" s="303">
        <f t="shared" si="0"/>
        <v>0</v>
      </c>
      <c r="I33" s="68">
        <f>IFERROR(F33*'As-Filed Schedule 1'!$E$103,0)</f>
        <v>0</v>
      </c>
      <c r="J33" s="304">
        <f>IFERROR(H33*'Adjusted Schedule 1'!$E$104,0)</f>
        <v>0</v>
      </c>
      <c r="K33" s="68">
        <f t="shared" si="1"/>
        <v>0</v>
      </c>
      <c r="L33" s="304">
        <f t="shared" si="2"/>
        <v>0</v>
      </c>
      <c r="N33" s="114">
        <f>'As-Filed Schedule 2J'!J33</f>
        <v>0</v>
      </c>
      <c r="O33" s="307">
        <f>SUMIFS(Adjustments!$G:$G,Adjustments!$H:$H,"2J",Adjustments!$I:$I,'Schedule 2J Adjustments'!$N$12,Adjustments!$J:$J,'Schedule 2J Adjustments'!$A33)</f>
        <v>0</v>
      </c>
      <c r="P33" s="303">
        <f t="shared" si="3"/>
        <v>0</v>
      </c>
      <c r="Q33" s="68">
        <f>IFERROR(N33*'As-Filed Schedule 1'!$E$103,0)</f>
        <v>0</v>
      </c>
      <c r="R33" s="68">
        <f>IFERROR(P33*'Adjusted Schedule 1'!$E$104,0)</f>
        <v>0</v>
      </c>
      <c r="S33" s="68">
        <f t="shared" si="4"/>
        <v>0</v>
      </c>
      <c r="T33" s="304">
        <f t="shared" si="5"/>
        <v>0</v>
      </c>
      <c r="V33" s="117">
        <f>'As-Filed Schedule 2J'!N33</f>
        <v>0</v>
      </c>
      <c r="W33" s="307">
        <f>SUMIFS(Adjustments!$G:$G,Adjustments!$H:$H,"2J",Adjustments!$I:$I,'Schedule 2J Adjustments'!$V$12,Adjustments!$J:$J,'Schedule 2J Adjustments'!$A33)</f>
        <v>0</v>
      </c>
      <c r="X33" s="303">
        <f t="shared" si="6"/>
        <v>0</v>
      </c>
      <c r="Y33" s="117">
        <f>'As-Filed Schedule 2J'!O33</f>
        <v>0</v>
      </c>
      <c r="Z33" s="307">
        <f>SUMIFS(Adjustments!$G:$G,Adjustments!$H:$H,"2J",Adjustments!$I:$I,'Schedule 2J Adjustments'!$Y$12,Adjustments!$J:$J,'Schedule 2J Adjustments'!$A33)</f>
        <v>0</v>
      </c>
      <c r="AA33" s="303">
        <f t="shared" si="7"/>
        <v>0</v>
      </c>
    </row>
    <row r="34" spans="1:27" x14ac:dyDescent="0.35">
      <c r="A34" s="24">
        <v>20</v>
      </c>
      <c r="B34" s="565" t="str">
        <f>IF('As-Filed Schedule 2J'!B34:D34=0,"",'As-Filed Schedule 2J'!B34:D34)</f>
        <v/>
      </c>
      <c r="C34" s="565"/>
      <c r="D34" s="565"/>
      <c r="F34" s="114">
        <f>'As-Filed Schedule 2J'!F34</f>
        <v>0</v>
      </c>
      <c r="G34" s="307">
        <f>SUMIFS(Adjustments!$G:$G,Adjustments!$H:$H,"2J",Adjustments!$I:$I,'Schedule 2J Adjustments'!$F$12,Adjustments!$J:$J,'Schedule 2J Adjustments'!$A34)</f>
        <v>0</v>
      </c>
      <c r="H34" s="303">
        <f t="shared" si="0"/>
        <v>0</v>
      </c>
      <c r="I34" s="68">
        <f>IFERROR(F34*'As-Filed Schedule 1'!$E$103,0)</f>
        <v>0</v>
      </c>
      <c r="J34" s="304">
        <f>IFERROR(H34*'Adjusted Schedule 1'!$E$104,0)</f>
        <v>0</v>
      </c>
      <c r="K34" s="68">
        <f t="shared" si="1"/>
        <v>0</v>
      </c>
      <c r="L34" s="304">
        <f t="shared" si="2"/>
        <v>0</v>
      </c>
      <c r="N34" s="114">
        <f>'As-Filed Schedule 2J'!J34</f>
        <v>0</v>
      </c>
      <c r="O34" s="307">
        <f>SUMIFS(Adjustments!$G:$G,Adjustments!$H:$H,"2J",Adjustments!$I:$I,'Schedule 2J Adjustments'!$N$12,Adjustments!$J:$J,'Schedule 2J Adjustments'!$A34)</f>
        <v>0</v>
      </c>
      <c r="P34" s="303">
        <f t="shared" si="3"/>
        <v>0</v>
      </c>
      <c r="Q34" s="68">
        <f>IFERROR(N34*'As-Filed Schedule 1'!$E$103,0)</f>
        <v>0</v>
      </c>
      <c r="R34" s="68">
        <f>IFERROR(P34*'Adjusted Schedule 1'!$E$104,0)</f>
        <v>0</v>
      </c>
      <c r="S34" s="68">
        <f t="shared" si="4"/>
        <v>0</v>
      </c>
      <c r="T34" s="304">
        <f t="shared" si="5"/>
        <v>0</v>
      </c>
      <c r="V34" s="117">
        <f>'As-Filed Schedule 2J'!N34</f>
        <v>0</v>
      </c>
      <c r="W34" s="307">
        <f>SUMIFS(Adjustments!$G:$G,Adjustments!$H:$H,"2J",Adjustments!$I:$I,'Schedule 2J Adjustments'!$V$12,Adjustments!$J:$J,'Schedule 2J Adjustments'!$A34)</f>
        <v>0</v>
      </c>
      <c r="X34" s="303">
        <f t="shared" si="6"/>
        <v>0</v>
      </c>
      <c r="Y34" s="117">
        <f>'As-Filed Schedule 2J'!O34</f>
        <v>0</v>
      </c>
      <c r="Z34" s="307">
        <f>SUMIFS(Adjustments!$G:$G,Adjustments!$H:$H,"2J",Adjustments!$I:$I,'Schedule 2J Adjustments'!$Y$12,Adjustments!$J:$J,'Schedule 2J Adjustments'!$A34)</f>
        <v>0</v>
      </c>
      <c r="AA34" s="303">
        <f t="shared" si="7"/>
        <v>0</v>
      </c>
    </row>
    <row r="35" spans="1:27" x14ac:dyDescent="0.35">
      <c r="A35" s="24">
        <v>21</v>
      </c>
      <c r="B35" s="565" t="str">
        <f>IF('As-Filed Schedule 2J'!B35:D35=0,"",'As-Filed Schedule 2J'!B35:D35)</f>
        <v/>
      </c>
      <c r="C35" s="565"/>
      <c r="D35" s="565"/>
      <c r="F35" s="114">
        <f>'As-Filed Schedule 2J'!F35</f>
        <v>0</v>
      </c>
      <c r="G35" s="307">
        <f>SUMIFS(Adjustments!$G:$G,Adjustments!$H:$H,"2J",Adjustments!$I:$I,'Schedule 2J Adjustments'!$F$12,Adjustments!$J:$J,'Schedule 2J Adjustments'!$A35)</f>
        <v>0</v>
      </c>
      <c r="H35" s="303">
        <f t="shared" si="0"/>
        <v>0</v>
      </c>
      <c r="I35" s="68">
        <f>IFERROR(F35*'As-Filed Schedule 1'!$E$103,0)</f>
        <v>0</v>
      </c>
      <c r="J35" s="304">
        <f>IFERROR(H35*'Adjusted Schedule 1'!$E$104,0)</f>
        <v>0</v>
      </c>
      <c r="K35" s="68">
        <f t="shared" si="1"/>
        <v>0</v>
      </c>
      <c r="L35" s="304">
        <f t="shared" si="2"/>
        <v>0</v>
      </c>
      <c r="N35" s="114">
        <f>'As-Filed Schedule 2J'!J35</f>
        <v>0</v>
      </c>
      <c r="O35" s="307">
        <f>SUMIFS(Adjustments!$G:$G,Adjustments!$H:$H,"2J",Adjustments!$I:$I,'Schedule 2J Adjustments'!$N$12,Adjustments!$J:$J,'Schedule 2J Adjustments'!$A35)</f>
        <v>0</v>
      </c>
      <c r="P35" s="303">
        <f t="shared" si="3"/>
        <v>0</v>
      </c>
      <c r="Q35" s="68">
        <f>IFERROR(N35*'As-Filed Schedule 1'!$E$103,0)</f>
        <v>0</v>
      </c>
      <c r="R35" s="68">
        <f>IFERROR(P35*'Adjusted Schedule 1'!$E$104,0)</f>
        <v>0</v>
      </c>
      <c r="S35" s="68">
        <f t="shared" si="4"/>
        <v>0</v>
      </c>
      <c r="T35" s="304">
        <f t="shared" si="5"/>
        <v>0</v>
      </c>
      <c r="V35" s="117">
        <f>'As-Filed Schedule 2J'!N35</f>
        <v>0</v>
      </c>
      <c r="W35" s="307">
        <f>SUMIFS(Adjustments!$G:$G,Adjustments!$H:$H,"2J",Adjustments!$I:$I,'Schedule 2J Adjustments'!$V$12,Adjustments!$J:$J,'Schedule 2J Adjustments'!$A35)</f>
        <v>0</v>
      </c>
      <c r="X35" s="303">
        <f t="shared" si="6"/>
        <v>0</v>
      </c>
      <c r="Y35" s="117">
        <f>'As-Filed Schedule 2J'!O35</f>
        <v>0</v>
      </c>
      <c r="Z35" s="307">
        <f>SUMIFS(Adjustments!$G:$G,Adjustments!$H:$H,"2J",Adjustments!$I:$I,'Schedule 2J Adjustments'!$Y$12,Adjustments!$J:$J,'Schedule 2J Adjustments'!$A35)</f>
        <v>0</v>
      </c>
      <c r="AA35" s="303">
        <f t="shared" si="7"/>
        <v>0</v>
      </c>
    </row>
    <row r="36" spans="1:27" x14ac:dyDescent="0.35">
      <c r="A36" s="24">
        <v>22</v>
      </c>
      <c r="B36" s="565" t="str">
        <f>IF('As-Filed Schedule 2J'!B36:D36=0,"",'As-Filed Schedule 2J'!B36:D36)</f>
        <v/>
      </c>
      <c r="C36" s="565"/>
      <c r="D36" s="565"/>
      <c r="F36" s="114">
        <f>'As-Filed Schedule 2J'!F36</f>
        <v>0</v>
      </c>
      <c r="G36" s="307">
        <f>SUMIFS(Adjustments!$G:$G,Adjustments!$H:$H,"2J",Adjustments!$I:$I,'Schedule 2J Adjustments'!$F$12,Adjustments!$J:$J,'Schedule 2J Adjustments'!$A36)</f>
        <v>0</v>
      </c>
      <c r="H36" s="303">
        <f t="shared" si="0"/>
        <v>0</v>
      </c>
      <c r="I36" s="68">
        <f>IFERROR(F36*'As-Filed Schedule 1'!$E$103,0)</f>
        <v>0</v>
      </c>
      <c r="J36" s="304">
        <f>IFERROR(H36*'Adjusted Schedule 1'!$E$104,0)</f>
        <v>0</v>
      </c>
      <c r="K36" s="68">
        <f t="shared" si="1"/>
        <v>0</v>
      </c>
      <c r="L36" s="304">
        <f t="shared" si="2"/>
        <v>0</v>
      </c>
      <c r="N36" s="114">
        <f>'As-Filed Schedule 2J'!J36</f>
        <v>0</v>
      </c>
      <c r="O36" s="307">
        <f>SUMIFS(Adjustments!$G:$G,Adjustments!$H:$H,"2J",Adjustments!$I:$I,'Schedule 2J Adjustments'!$N$12,Adjustments!$J:$J,'Schedule 2J Adjustments'!$A36)</f>
        <v>0</v>
      </c>
      <c r="P36" s="303">
        <f t="shared" si="3"/>
        <v>0</v>
      </c>
      <c r="Q36" s="68">
        <f>IFERROR(N36*'As-Filed Schedule 1'!$E$103,0)</f>
        <v>0</v>
      </c>
      <c r="R36" s="68">
        <f>IFERROR(P36*'Adjusted Schedule 1'!$E$104,0)</f>
        <v>0</v>
      </c>
      <c r="S36" s="68">
        <f t="shared" si="4"/>
        <v>0</v>
      </c>
      <c r="T36" s="304">
        <f t="shared" si="5"/>
        <v>0</v>
      </c>
      <c r="V36" s="117">
        <f>'As-Filed Schedule 2J'!N36</f>
        <v>0</v>
      </c>
      <c r="W36" s="307">
        <f>SUMIFS(Adjustments!$G:$G,Adjustments!$H:$H,"2J",Adjustments!$I:$I,'Schedule 2J Adjustments'!$V$12,Adjustments!$J:$J,'Schedule 2J Adjustments'!$A36)</f>
        <v>0</v>
      </c>
      <c r="X36" s="303">
        <f t="shared" si="6"/>
        <v>0</v>
      </c>
      <c r="Y36" s="117">
        <f>'As-Filed Schedule 2J'!O36</f>
        <v>0</v>
      </c>
      <c r="Z36" s="307">
        <f>SUMIFS(Adjustments!$G:$G,Adjustments!$H:$H,"2J",Adjustments!$I:$I,'Schedule 2J Adjustments'!$Y$12,Adjustments!$J:$J,'Schedule 2J Adjustments'!$A36)</f>
        <v>0</v>
      </c>
      <c r="AA36" s="303">
        <f t="shared" si="7"/>
        <v>0</v>
      </c>
    </row>
    <row r="37" spans="1:27" x14ac:dyDescent="0.35">
      <c r="A37" s="24">
        <v>23</v>
      </c>
      <c r="B37" s="565" t="str">
        <f>IF('As-Filed Schedule 2J'!B37:D37=0,"",'As-Filed Schedule 2J'!B37:D37)</f>
        <v/>
      </c>
      <c r="C37" s="565"/>
      <c r="D37" s="565"/>
      <c r="F37" s="114">
        <f>'As-Filed Schedule 2J'!F37</f>
        <v>0</v>
      </c>
      <c r="G37" s="307">
        <f>SUMIFS(Adjustments!$G:$G,Adjustments!$H:$H,"2J",Adjustments!$I:$I,'Schedule 2J Adjustments'!$F$12,Adjustments!$J:$J,'Schedule 2J Adjustments'!$A37)</f>
        <v>0</v>
      </c>
      <c r="H37" s="303">
        <f t="shared" si="0"/>
        <v>0</v>
      </c>
      <c r="I37" s="68">
        <f>IFERROR(F37*'As-Filed Schedule 1'!$E$103,0)</f>
        <v>0</v>
      </c>
      <c r="J37" s="304">
        <f>IFERROR(H37*'Adjusted Schedule 1'!$E$104,0)</f>
        <v>0</v>
      </c>
      <c r="K37" s="68">
        <f t="shared" si="1"/>
        <v>0</v>
      </c>
      <c r="L37" s="304">
        <f t="shared" si="2"/>
        <v>0</v>
      </c>
      <c r="N37" s="114">
        <f>'As-Filed Schedule 2J'!J37</f>
        <v>0</v>
      </c>
      <c r="O37" s="307">
        <f>SUMIFS(Adjustments!$G:$G,Adjustments!$H:$H,"2J",Adjustments!$I:$I,'Schedule 2J Adjustments'!$N$12,Adjustments!$J:$J,'Schedule 2J Adjustments'!$A37)</f>
        <v>0</v>
      </c>
      <c r="P37" s="303">
        <f t="shared" si="3"/>
        <v>0</v>
      </c>
      <c r="Q37" s="68">
        <f>IFERROR(N37*'As-Filed Schedule 1'!$E$103,0)</f>
        <v>0</v>
      </c>
      <c r="R37" s="68">
        <f>IFERROR(P37*'Adjusted Schedule 1'!$E$104,0)</f>
        <v>0</v>
      </c>
      <c r="S37" s="68">
        <f t="shared" si="4"/>
        <v>0</v>
      </c>
      <c r="T37" s="304">
        <f t="shared" si="5"/>
        <v>0</v>
      </c>
      <c r="V37" s="117">
        <f>'As-Filed Schedule 2J'!N37</f>
        <v>0</v>
      </c>
      <c r="W37" s="307">
        <f>SUMIFS(Adjustments!$G:$G,Adjustments!$H:$H,"2J",Adjustments!$I:$I,'Schedule 2J Adjustments'!$V$12,Adjustments!$J:$J,'Schedule 2J Adjustments'!$A37)</f>
        <v>0</v>
      </c>
      <c r="X37" s="303">
        <f t="shared" si="6"/>
        <v>0</v>
      </c>
      <c r="Y37" s="117">
        <f>'As-Filed Schedule 2J'!O37</f>
        <v>0</v>
      </c>
      <c r="Z37" s="307">
        <f>SUMIFS(Adjustments!$G:$G,Adjustments!$H:$H,"2J",Adjustments!$I:$I,'Schedule 2J Adjustments'!$Y$12,Adjustments!$J:$J,'Schedule 2J Adjustments'!$A37)</f>
        <v>0</v>
      </c>
      <c r="AA37" s="303">
        <f t="shared" si="7"/>
        <v>0</v>
      </c>
    </row>
    <row r="38" spans="1:27" x14ac:dyDescent="0.35">
      <c r="A38" s="24">
        <v>24</v>
      </c>
      <c r="B38" s="565" t="str">
        <f>IF('As-Filed Schedule 2J'!B38:D38=0,"",'As-Filed Schedule 2J'!B38:D38)</f>
        <v/>
      </c>
      <c r="C38" s="565"/>
      <c r="D38" s="565"/>
      <c r="F38" s="114">
        <f>'As-Filed Schedule 2J'!F38</f>
        <v>0</v>
      </c>
      <c r="G38" s="307">
        <f>SUMIFS(Adjustments!$G:$G,Adjustments!$H:$H,"2J",Adjustments!$I:$I,'Schedule 2J Adjustments'!$F$12,Adjustments!$J:$J,'Schedule 2J Adjustments'!$A38)</f>
        <v>0</v>
      </c>
      <c r="H38" s="303">
        <f t="shared" si="0"/>
        <v>0</v>
      </c>
      <c r="I38" s="68">
        <f>IFERROR(F38*'As-Filed Schedule 1'!$E$103,0)</f>
        <v>0</v>
      </c>
      <c r="J38" s="304">
        <f>IFERROR(H38*'Adjusted Schedule 1'!$E$104,0)</f>
        <v>0</v>
      </c>
      <c r="K38" s="68">
        <f t="shared" si="1"/>
        <v>0</v>
      </c>
      <c r="L38" s="304">
        <f t="shared" si="2"/>
        <v>0</v>
      </c>
      <c r="N38" s="114">
        <f>'As-Filed Schedule 2J'!J38</f>
        <v>0</v>
      </c>
      <c r="O38" s="307">
        <f>SUMIFS(Adjustments!$G:$G,Adjustments!$H:$H,"2J",Adjustments!$I:$I,'Schedule 2J Adjustments'!$N$12,Adjustments!$J:$J,'Schedule 2J Adjustments'!$A38)</f>
        <v>0</v>
      </c>
      <c r="P38" s="303">
        <f t="shared" si="3"/>
        <v>0</v>
      </c>
      <c r="Q38" s="68">
        <f>IFERROR(N38*'As-Filed Schedule 1'!$E$103,0)</f>
        <v>0</v>
      </c>
      <c r="R38" s="68">
        <f>IFERROR(P38*'Adjusted Schedule 1'!$E$104,0)</f>
        <v>0</v>
      </c>
      <c r="S38" s="68">
        <f t="shared" si="4"/>
        <v>0</v>
      </c>
      <c r="T38" s="304">
        <f t="shared" si="5"/>
        <v>0</v>
      </c>
      <c r="V38" s="117">
        <f>'As-Filed Schedule 2J'!N38</f>
        <v>0</v>
      </c>
      <c r="W38" s="307">
        <f>SUMIFS(Adjustments!$G:$G,Adjustments!$H:$H,"2J",Adjustments!$I:$I,'Schedule 2J Adjustments'!$V$12,Adjustments!$J:$J,'Schedule 2J Adjustments'!$A38)</f>
        <v>0</v>
      </c>
      <c r="X38" s="303">
        <f t="shared" si="6"/>
        <v>0</v>
      </c>
      <c r="Y38" s="117">
        <f>'As-Filed Schedule 2J'!O38</f>
        <v>0</v>
      </c>
      <c r="Z38" s="307">
        <f>SUMIFS(Adjustments!$G:$G,Adjustments!$H:$H,"2J",Adjustments!$I:$I,'Schedule 2J Adjustments'!$Y$12,Adjustments!$J:$J,'Schedule 2J Adjustments'!$A38)</f>
        <v>0</v>
      </c>
      <c r="AA38" s="303">
        <f t="shared" si="7"/>
        <v>0</v>
      </c>
    </row>
    <row r="39" spans="1:27" x14ac:dyDescent="0.35">
      <c r="A39" s="24">
        <v>25</v>
      </c>
      <c r="B39" s="565" t="str">
        <f>IF('As-Filed Schedule 2J'!B39:D39=0,"",'As-Filed Schedule 2J'!B39:D39)</f>
        <v/>
      </c>
      <c r="C39" s="565"/>
      <c r="D39" s="565"/>
      <c r="F39" s="114">
        <f>'As-Filed Schedule 2J'!F39</f>
        <v>0</v>
      </c>
      <c r="G39" s="307">
        <f>SUMIFS(Adjustments!$G:$G,Adjustments!$H:$H,"2J",Adjustments!$I:$I,'Schedule 2J Adjustments'!$F$12,Adjustments!$J:$J,'Schedule 2J Adjustments'!$A39)</f>
        <v>0</v>
      </c>
      <c r="H39" s="303">
        <f t="shared" si="0"/>
        <v>0</v>
      </c>
      <c r="I39" s="68">
        <f>IFERROR(F39*'As-Filed Schedule 1'!$E$103,0)</f>
        <v>0</v>
      </c>
      <c r="J39" s="304">
        <f>IFERROR(H39*'Adjusted Schedule 1'!$E$104,0)</f>
        <v>0</v>
      </c>
      <c r="K39" s="68">
        <f t="shared" si="1"/>
        <v>0</v>
      </c>
      <c r="L39" s="304">
        <f t="shared" si="2"/>
        <v>0</v>
      </c>
      <c r="N39" s="114">
        <f>'As-Filed Schedule 2J'!J39</f>
        <v>0</v>
      </c>
      <c r="O39" s="307">
        <f>SUMIFS(Adjustments!$G:$G,Adjustments!$H:$H,"2J",Adjustments!$I:$I,'Schedule 2J Adjustments'!$N$12,Adjustments!$J:$J,'Schedule 2J Adjustments'!$A39)</f>
        <v>0</v>
      </c>
      <c r="P39" s="303">
        <f t="shared" si="3"/>
        <v>0</v>
      </c>
      <c r="Q39" s="68">
        <f>IFERROR(N39*'As-Filed Schedule 1'!$E$103,0)</f>
        <v>0</v>
      </c>
      <c r="R39" s="68">
        <f>IFERROR(P39*'Adjusted Schedule 1'!$E$104,0)</f>
        <v>0</v>
      </c>
      <c r="S39" s="68">
        <f t="shared" si="4"/>
        <v>0</v>
      </c>
      <c r="T39" s="304">
        <f t="shared" si="5"/>
        <v>0</v>
      </c>
      <c r="V39" s="117">
        <f>'As-Filed Schedule 2J'!N39</f>
        <v>0</v>
      </c>
      <c r="W39" s="307">
        <f>SUMIFS(Adjustments!$G:$G,Adjustments!$H:$H,"2J",Adjustments!$I:$I,'Schedule 2J Adjustments'!$V$12,Adjustments!$J:$J,'Schedule 2J Adjustments'!$A39)</f>
        <v>0</v>
      </c>
      <c r="X39" s="303">
        <f t="shared" si="6"/>
        <v>0</v>
      </c>
      <c r="Y39" s="117">
        <f>'As-Filed Schedule 2J'!O39</f>
        <v>0</v>
      </c>
      <c r="Z39" s="307">
        <f>SUMIFS(Adjustments!$G:$G,Adjustments!$H:$H,"2J",Adjustments!$I:$I,'Schedule 2J Adjustments'!$Y$12,Adjustments!$J:$J,'Schedule 2J Adjustments'!$A39)</f>
        <v>0</v>
      </c>
      <c r="AA39" s="303">
        <f t="shared" si="7"/>
        <v>0</v>
      </c>
    </row>
    <row r="40" spans="1:27" x14ac:dyDescent="0.35">
      <c r="A40" s="24">
        <v>26</v>
      </c>
      <c r="B40" s="565" t="str">
        <f>IF('As-Filed Schedule 2J'!B40:D40=0,"",'As-Filed Schedule 2J'!B40:D40)</f>
        <v/>
      </c>
      <c r="C40" s="565"/>
      <c r="D40" s="565"/>
      <c r="F40" s="114">
        <f>'As-Filed Schedule 2J'!F40</f>
        <v>0</v>
      </c>
      <c r="G40" s="307">
        <f>SUMIFS(Adjustments!$G:$G,Adjustments!$H:$H,"2J",Adjustments!$I:$I,'Schedule 2J Adjustments'!$F$12,Adjustments!$J:$J,'Schedule 2J Adjustments'!$A40)</f>
        <v>0</v>
      </c>
      <c r="H40" s="303">
        <f t="shared" si="0"/>
        <v>0</v>
      </c>
      <c r="I40" s="68">
        <f>IFERROR(F40*'As-Filed Schedule 1'!$E$103,0)</f>
        <v>0</v>
      </c>
      <c r="J40" s="304">
        <f>IFERROR(H40*'Adjusted Schedule 1'!$E$104,0)</f>
        <v>0</v>
      </c>
      <c r="K40" s="68">
        <f t="shared" si="1"/>
        <v>0</v>
      </c>
      <c r="L40" s="304">
        <f t="shared" si="2"/>
        <v>0</v>
      </c>
      <c r="N40" s="114">
        <f>'As-Filed Schedule 2J'!J40</f>
        <v>0</v>
      </c>
      <c r="O40" s="307">
        <f>SUMIFS(Adjustments!$G:$G,Adjustments!$H:$H,"2J",Adjustments!$I:$I,'Schedule 2J Adjustments'!$N$12,Adjustments!$J:$J,'Schedule 2J Adjustments'!$A40)</f>
        <v>0</v>
      </c>
      <c r="P40" s="303">
        <f t="shared" si="3"/>
        <v>0</v>
      </c>
      <c r="Q40" s="68">
        <f>IFERROR(N40*'As-Filed Schedule 1'!$E$103,0)</f>
        <v>0</v>
      </c>
      <c r="R40" s="68">
        <f>IFERROR(P40*'Adjusted Schedule 1'!$E$104,0)</f>
        <v>0</v>
      </c>
      <c r="S40" s="68">
        <f t="shared" si="4"/>
        <v>0</v>
      </c>
      <c r="T40" s="304">
        <f t="shared" si="5"/>
        <v>0</v>
      </c>
      <c r="V40" s="117">
        <f>'As-Filed Schedule 2J'!N40</f>
        <v>0</v>
      </c>
      <c r="W40" s="307">
        <f>SUMIFS(Adjustments!$G:$G,Adjustments!$H:$H,"2J",Adjustments!$I:$I,'Schedule 2J Adjustments'!$V$12,Adjustments!$J:$J,'Schedule 2J Adjustments'!$A40)</f>
        <v>0</v>
      </c>
      <c r="X40" s="303">
        <f t="shared" si="6"/>
        <v>0</v>
      </c>
      <c r="Y40" s="117">
        <f>'As-Filed Schedule 2J'!O40</f>
        <v>0</v>
      </c>
      <c r="Z40" s="307">
        <f>SUMIFS(Adjustments!$G:$G,Adjustments!$H:$H,"2J",Adjustments!$I:$I,'Schedule 2J Adjustments'!$Y$12,Adjustments!$J:$J,'Schedule 2J Adjustments'!$A40)</f>
        <v>0</v>
      </c>
      <c r="AA40" s="303">
        <f t="shared" si="7"/>
        <v>0</v>
      </c>
    </row>
    <row r="41" spans="1:27" x14ac:dyDescent="0.35">
      <c r="A41" s="24">
        <v>27</v>
      </c>
      <c r="B41" s="565" t="str">
        <f>IF('As-Filed Schedule 2J'!B41:D41=0,"",'As-Filed Schedule 2J'!B41:D41)</f>
        <v/>
      </c>
      <c r="C41" s="565"/>
      <c r="D41" s="565"/>
      <c r="F41" s="114">
        <f>'As-Filed Schedule 2J'!F41</f>
        <v>0</v>
      </c>
      <c r="G41" s="307">
        <f>SUMIFS(Adjustments!$G:$G,Adjustments!$H:$H,"2J",Adjustments!$I:$I,'Schedule 2J Adjustments'!$F$12,Adjustments!$J:$J,'Schedule 2J Adjustments'!$A41)</f>
        <v>0</v>
      </c>
      <c r="H41" s="303">
        <f t="shared" si="0"/>
        <v>0</v>
      </c>
      <c r="I41" s="68">
        <f>IFERROR(F41*'As-Filed Schedule 1'!$E$103,0)</f>
        <v>0</v>
      </c>
      <c r="J41" s="304">
        <f>IFERROR(H41*'Adjusted Schedule 1'!$E$104,0)</f>
        <v>0</v>
      </c>
      <c r="K41" s="68">
        <f t="shared" si="1"/>
        <v>0</v>
      </c>
      <c r="L41" s="304">
        <f t="shared" si="2"/>
        <v>0</v>
      </c>
      <c r="N41" s="114">
        <f>'As-Filed Schedule 2J'!J41</f>
        <v>0</v>
      </c>
      <c r="O41" s="307">
        <f>SUMIFS(Adjustments!$G:$G,Adjustments!$H:$H,"2J",Adjustments!$I:$I,'Schedule 2J Adjustments'!$N$12,Adjustments!$J:$J,'Schedule 2J Adjustments'!$A41)</f>
        <v>0</v>
      </c>
      <c r="P41" s="303">
        <f t="shared" si="3"/>
        <v>0</v>
      </c>
      <c r="Q41" s="68">
        <f>IFERROR(N41*'As-Filed Schedule 1'!$E$103,0)</f>
        <v>0</v>
      </c>
      <c r="R41" s="68">
        <f>IFERROR(P41*'Adjusted Schedule 1'!$E$104,0)</f>
        <v>0</v>
      </c>
      <c r="S41" s="68">
        <f t="shared" si="4"/>
        <v>0</v>
      </c>
      <c r="T41" s="304">
        <f t="shared" si="5"/>
        <v>0</v>
      </c>
      <c r="V41" s="117">
        <f>'As-Filed Schedule 2J'!N41</f>
        <v>0</v>
      </c>
      <c r="W41" s="307">
        <f>SUMIFS(Adjustments!$G:$G,Adjustments!$H:$H,"2J",Adjustments!$I:$I,'Schedule 2J Adjustments'!$V$12,Adjustments!$J:$J,'Schedule 2J Adjustments'!$A41)</f>
        <v>0</v>
      </c>
      <c r="X41" s="303">
        <f t="shared" si="6"/>
        <v>0</v>
      </c>
      <c r="Y41" s="117">
        <f>'As-Filed Schedule 2J'!O41</f>
        <v>0</v>
      </c>
      <c r="Z41" s="307">
        <f>SUMIFS(Adjustments!$G:$G,Adjustments!$H:$H,"2J",Adjustments!$I:$I,'Schedule 2J Adjustments'!$Y$12,Adjustments!$J:$J,'Schedule 2J Adjustments'!$A41)</f>
        <v>0</v>
      </c>
      <c r="AA41" s="303">
        <f t="shared" si="7"/>
        <v>0</v>
      </c>
    </row>
    <row r="42" spans="1:27" x14ac:dyDescent="0.35">
      <c r="A42" s="24">
        <v>28</v>
      </c>
      <c r="B42" s="565" t="str">
        <f>IF('As-Filed Schedule 2J'!B42:D42=0,"",'As-Filed Schedule 2J'!B42:D42)</f>
        <v/>
      </c>
      <c r="C42" s="565"/>
      <c r="D42" s="565"/>
      <c r="F42" s="114">
        <f>'As-Filed Schedule 2J'!F42</f>
        <v>0</v>
      </c>
      <c r="G42" s="307">
        <f>SUMIFS(Adjustments!$G:$G,Adjustments!$H:$H,"2J",Adjustments!$I:$I,'Schedule 2J Adjustments'!$F$12,Adjustments!$J:$J,'Schedule 2J Adjustments'!$A42)</f>
        <v>0</v>
      </c>
      <c r="H42" s="303">
        <f t="shared" si="0"/>
        <v>0</v>
      </c>
      <c r="I42" s="68">
        <f>IFERROR(F42*'As-Filed Schedule 1'!$E$103,0)</f>
        <v>0</v>
      </c>
      <c r="J42" s="304">
        <f>IFERROR(H42*'Adjusted Schedule 1'!$E$104,0)</f>
        <v>0</v>
      </c>
      <c r="K42" s="68">
        <f t="shared" si="1"/>
        <v>0</v>
      </c>
      <c r="L42" s="304">
        <f t="shared" si="2"/>
        <v>0</v>
      </c>
      <c r="N42" s="114">
        <f>'As-Filed Schedule 2J'!J42</f>
        <v>0</v>
      </c>
      <c r="O42" s="307">
        <f>SUMIFS(Adjustments!$G:$G,Adjustments!$H:$H,"2J",Adjustments!$I:$I,'Schedule 2J Adjustments'!$N$12,Adjustments!$J:$J,'Schedule 2J Adjustments'!$A42)</f>
        <v>0</v>
      </c>
      <c r="P42" s="303">
        <f t="shared" si="3"/>
        <v>0</v>
      </c>
      <c r="Q42" s="68">
        <f>IFERROR(N42*'As-Filed Schedule 1'!$E$103,0)</f>
        <v>0</v>
      </c>
      <c r="R42" s="68">
        <f>IFERROR(P42*'Adjusted Schedule 1'!$E$104,0)</f>
        <v>0</v>
      </c>
      <c r="S42" s="68">
        <f t="shared" si="4"/>
        <v>0</v>
      </c>
      <c r="T42" s="304">
        <f t="shared" si="5"/>
        <v>0</v>
      </c>
      <c r="V42" s="117">
        <f>'As-Filed Schedule 2J'!N42</f>
        <v>0</v>
      </c>
      <c r="W42" s="307">
        <f>SUMIFS(Adjustments!$G:$G,Adjustments!$H:$H,"2J",Adjustments!$I:$I,'Schedule 2J Adjustments'!$V$12,Adjustments!$J:$J,'Schedule 2J Adjustments'!$A42)</f>
        <v>0</v>
      </c>
      <c r="X42" s="303">
        <f t="shared" si="6"/>
        <v>0</v>
      </c>
      <c r="Y42" s="117">
        <f>'As-Filed Schedule 2J'!O42</f>
        <v>0</v>
      </c>
      <c r="Z42" s="307">
        <f>SUMIFS(Adjustments!$G:$G,Adjustments!$H:$H,"2J",Adjustments!$I:$I,'Schedule 2J Adjustments'!$Y$12,Adjustments!$J:$J,'Schedule 2J Adjustments'!$A42)</f>
        <v>0</v>
      </c>
      <c r="AA42" s="303">
        <f t="shared" si="7"/>
        <v>0</v>
      </c>
    </row>
    <row r="43" spans="1:27" x14ac:dyDescent="0.35">
      <c r="A43" s="24">
        <v>29</v>
      </c>
      <c r="B43" s="565" t="str">
        <f>IF('As-Filed Schedule 2J'!B43:D43=0,"",'As-Filed Schedule 2J'!B43:D43)</f>
        <v/>
      </c>
      <c r="C43" s="565"/>
      <c r="D43" s="565"/>
      <c r="F43" s="114">
        <f>'As-Filed Schedule 2J'!F43</f>
        <v>0</v>
      </c>
      <c r="G43" s="307">
        <f>SUMIFS(Adjustments!$G:$G,Adjustments!$H:$H,"2J",Adjustments!$I:$I,'Schedule 2J Adjustments'!$F$12,Adjustments!$J:$J,'Schedule 2J Adjustments'!$A43)</f>
        <v>0</v>
      </c>
      <c r="H43" s="303">
        <f t="shared" si="0"/>
        <v>0</v>
      </c>
      <c r="I43" s="68">
        <f>IFERROR(F43*'As-Filed Schedule 1'!$E$103,0)</f>
        <v>0</v>
      </c>
      <c r="J43" s="304">
        <f>IFERROR(H43*'Adjusted Schedule 1'!$E$104,0)</f>
        <v>0</v>
      </c>
      <c r="K43" s="68">
        <f t="shared" si="1"/>
        <v>0</v>
      </c>
      <c r="L43" s="304">
        <f t="shared" si="2"/>
        <v>0</v>
      </c>
      <c r="N43" s="114">
        <f>'As-Filed Schedule 2J'!J43</f>
        <v>0</v>
      </c>
      <c r="O43" s="307">
        <f>SUMIFS(Adjustments!$G:$G,Adjustments!$H:$H,"2J",Adjustments!$I:$I,'Schedule 2J Adjustments'!$N$12,Adjustments!$J:$J,'Schedule 2J Adjustments'!$A43)</f>
        <v>0</v>
      </c>
      <c r="P43" s="303">
        <f t="shared" si="3"/>
        <v>0</v>
      </c>
      <c r="Q43" s="68">
        <f>IFERROR(N43*'As-Filed Schedule 1'!$E$103,0)</f>
        <v>0</v>
      </c>
      <c r="R43" s="68">
        <f>IFERROR(P43*'Adjusted Schedule 1'!$E$104,0)</f>
        <v>0</v>
      </c>
      <c r="S43" s="68">
        <f t="shared" si="4"/>
        <v>0</v>
      </c>
      <c r="T43" s="304">
        <f t="shared" si="5"/>
        <v>0</v>
      </c>
      <c r="V43" s="117">
        <f>'As-Filed Schedule 2J'!N43</f>
        <v>0</v>
      </c>
      <c r="W43" s="307">
        <f>SUMIFS(Adjustments!$G:$G,Adjustments!$H:$H,"2J",Adjustments!$I:$I,'Schedule 2J Adjustments'!$V$12,Adjustments!$J:$J,'Schedule 2J Adjustments'!$A43)</f>
        <v>0</v>
      </c>
      <c r="X43" s="303">
        <f t="shared" si="6"/>
        <v>0</v>
      </c>
      <c r="Y43" s="117">
        <f>'As-Filed Schedule 2J'!O43</f>
        <v>0</v>
      </c>
      <c r="Z43" s="307">
        <f>SUMIFS(Adjustments!$G:$G,Adjustments!$H:$H,"2J",Adjustments!$I:$I,'Schedule 2J Adjustments'!$Y$12,Adjustments!$J:$J,'Schedule 2J Adjustments'!$A43)</f>
        <v>0</v>
      </c>
      <c r="AA43" s="303">
        <f t="shared" si="7"/>
        <v>0</v>
      </c>
    </row>
    <row r="44" spans="1:27" x14ac:dyDescent="0.35">
      <c r="A44" s="24">
        <v>30</v>
      </c>
      <c r="B44" s="565" t="str">
        <f>IF('As-Filed Schedule 2J'!B44:D44=0,"",'As-Filed Schedule 2J'!B44:D44)</f>
        <v/>
      </c>
      <c r="C44" s="565"/>
      <c r="D44" s="565"/>
      <c r="F44" s="114">
        <f>'As-Filed Schedule 2J'!F44</f>
        <v>0</v>
      </c>
      <c r="G44" s="307">
        <f>SUMIFS(Adjustments!$G:$G,Adjustments!$H:$H,"2J",Adjustments!$I:$I,'Schedule 2J Adjustments'!$F$12,Adjustments!$J:$J,'Schedule 2J Adjustments'!$A44)</f>
        <v>0</v>
      </c>
      <c r="H44" s="303">
        <f t="shared" si="0"/>
        <v>0</v>
      </c>
      <c r="I44" s="68">
        <f>IFERROR(F44*'As-Filed Schedule 1'!$E$103,0)</f>
        <v>0</v>
      </c>
      <c r="J44" s="304">
        <f>IFERROR(H44*'Adjusted Schedule 1'!$E$104,0)</f>
        <v>0</v>
      </c>
      <c r="K44" s="68">
        <f t="shared" si="1"/>
        <v>0</v>
      </c>
      <c r="L44" s="304">
        <f t="shared" si="2"/>
        <v>0</v>
      </c>
      <c r="N44" s="114">
        <f>'As-Filed Schedule 2J'!J44</f>
        <v>0</v>
      </c>
      <c r="O44" s="307">
        <f>SUMIFS(Adjustments!$G:$G,Adjustments!$H:$H,"2J",Adjustments!$I:$I,'Schedule 2J Adjustments'!$N$12,Adjustments!$J:$J,'Schedule 2J Adjustments'!$A44)</f>
        <v>0</v>
      </c>
      <c r="P44" s="303">
        <f t="shared" si="3"/>
        <v>0</v>
      </c>
      <c r="Q44" s="68">
        <f>IFERROR(N44*'As-Filed Schedule 1'!$E$103,0)</f>
        <v>0</v>
      </c>
      <c r="R44" s="68">
        <f>IFERROR(P44*'Adjusted Schedule 1'!$E$104,0)</f>
        <v>0</v>
      </c>
      <c r="S44" s="68">
        <f t="shared" si="4"/>
        <v>0</v>
      </c>
      <c r="T44" s="304">
        <f t="shared" si="5"/>
        <v>0</v>
      </c>
      <c r="V44" s="117">
        <f>'As-Filed Schedule 2J'!N44</f>
        <v>0</v>
      </c>
      <c r="W44" s="307">
        <f>SUMIFS(Adjustments!$G:$G,Adjustments!$H:$H,"2J",Adjustments!$I:$I,'Schedule 2J Adjustments'!$V$12,Adjustments!$J:$J,'Schedule 2J Adjustments'!$A44)</f>
        <v>0</v>
      </c>
      <c r="X44" s="303">
        <f t="shared" si="6"/>
        <v>0</v>
      </c>
      <c r="Y44" s="117">
        <f>'As-Filed Schedule 2J'!O44</f>
        <v>0</v>
      </c>
      <c r="Z44" s="307">
        <f>SUMIFS(Adjustments!$G:$G,Adjustments!$H:$H,"2J",Adjustments!$I:$I,'Schedule 2J Adjustments'!$Y$12,Adjustments!$J:$J,'Schedule 2J Adjustments'!$A44)</f>
        <v>0</v>
      </c>
      <c r="AA44" s="303">
        <f t="shared" si="7"/>
        <v>0</v>
      </c>
    </row>
    <row r="45" spans="1:27" x14ac:dyDescent="0.35">
      <c r="A45" s="24">
        <v>31</v>
      </c>
      <c r="B45" s="565" t="str">
        <f>IF('As-Filed Schedule 2J'!B45:D45=0,"",'As-Filed Schedule 2J'!B45:D45)</f>
        <v/>
      </c>
      <c r="C45" s="565"/>
      <c r="D45" s="565"/>
      <c r="F45" s="114">
        <f>'As-Filed Schedule 2J'!F45</f>
        <v>0</v>
      </c>
      <c r="G45" s="307">
        <f>SUMIFS(Adjustments!$G:$G,Adjustments!$H:$H,"2J",Adjustments!$I:$I,'Schedule 2J Adjustments'!$F$12,Adjustments!$J:$J,'Schedule 2J Adjustments'!$A45)</f>
        <v>0</v>
      </c>
      <c r="H45" s="303">
        <f t="shared" si="0"/>
        <v>0</v>
      </c>
      <c r="I45" s="68">
        <f>IFERROR(F45*'As-Filed Schedule 1'!$E$103,0)</f>
        <v>0</v>
      </c>
      <c r="J45" s="304">
        <f>IFERROR(H45*'Adjusted Schedule 1'!$E$104,0)</f>
        <v>0</v>
      </c>
      <c r="K45" s="68">
        <f t="shared" si="1"/>
        <v>0</v>
      </c>
      <c r="L45" s="304">
        <f t="shared" si="2"/>
        <v>0</v>
      </c>
      <c r="N45" s="114">
        <f>'As-Filed Schedule 2J'!J45</f>
        <v>0</v>
      </c>
      <c r="O45" s="307">
        <f>SUMIFS(Adjustments!$G:$G,Adjustments!$H:$H,"2J",Adjustments!$I:$I,'Schedule 2J Adjustments'!$N$12,Adjustments!$J:$J,'Schedule 2J Adjustments'!$A45)</f>
        <v>0</v>
      </c>
      <c r="P45" s="303">
        <f t="shared" si="3"/>
        <v>0</v>
      </c>
      <c r="Q45" s="68">
        <f>IFERROR(N45*'As-Filed Schedule 1'!$E$103,0)</f>
        <v>0</v>
      </c>
      <c r="R45" s="68">
        <f>IFERROR(P45*'Adjusted Schedule 1'!$E$104,0)</f>
        <v>0</v>
      </c>
      <c r="S45" s="68">
        <f t="shared" si="4"/>
        <v>0</v>
      </c>
      <c r="T45" s="304">
        <f t="shared" si="5"/>
        <v>0</v>
      </c>
      <c r="V45" s="117">
        <f>'As-Filed Schedule 2J'!N45</f>
        <v>0</v>
      </c>
      <c r="W45" s="307">
        <f>SUMIFS(Adjustments!$G:$G,Adjustments!$H:$H,"2J",Adjustments!$I:$I,'Schedule 2J Adjustments'!$V$12,Adjustments!$J:$J,'Schedule 2J Adjustments'!$A45)</f>
        <v>0</v>
      </c>
      <c r="X45" s="303">
        <f t="shared" si="6"/>
        <v>0</v>
      </c>
      <c r="Y45" s="117">
        <f>'As-Filed Schedule 2J'!O45</f>
        <v>0</v>
      </c>
      <c r="Z45" s="307">
        <f>SUMIFS(Adjustments!$G:$G,Adjustments!$H:$H,"2J",Adjustments!$I:$I,'Schedule 2J Adjustments'!$Y$12,Adjustments!$J:$J,'Schedule 2J Adjustments'!$A45)</f>
        <v>0</v>
      </c>
      <c r="AA45" s="303">
        <f t="shared" si="7"/>
        <v>0</v>
      </c>
    </row>
    <row r="46" spans="1:27" x14ac:dyDescent="0.35">
      <c r="A46" s="24">
        <v>32</v>
      </c>
      <c r="B46" s="565" t="str">
        <f>IF('As-Filed Schedule 2J'!B46:D46=0,"",'As-Filed Schedule 2J'!B46:D46)</f>
        <v/>
      </c>
      <c r="C46" s="565"/>
      <c r="D46" s="565"/>
      <c r="F46" s="114">
        <f>'As-Filed Schedule 2J'!F46</f>
        <v>0</v>
      </c>
      <c r="G46" s="307">
        <f>SUMIFS(Adjustments!$G:$G,Adjustments!$H:$H,"2J",Adjustments!$I:$I,'Schedule 2J Adjustments'!$F$12,Adjustments!$J:$J,'Schedule 2J Adjustments'!$A46)</f>
        <v>0</v>
      </c>
      <c r="H46" s="303">
        <f t="shared" si="0"/>
        <v>0</v>
      </c>
      <c r="I46" s="68">
        <f>IFERROR(F46*'As-Filed Schedule 1'!$E$103,0)</f>
        <v>0</v>
      </c>
      <c r="J46" s="304">
        <f>IFERROR(H46*'Adjusted Schedule 1'!$E$104,0)</f>
        <v>0</v>
      </c>
      <c r="K46" s="68">
        <f t="shared" si="1"/>
        <v>0</v>
      </c>
      <c r="L46" s="304">
        <f t="shared" si="2"/>
        <v>0</v>
      </c>
      <c r="N46" s="114">
        <f>'As-Filed Schedule 2J'!J46</f>
        <v>0</v>
      </c>
      <c r="O46" s="307">
        <f>SUMIFS(Adjustments!$G:$G,Adjustments!$H:$H,"2J",Adjustments!$I:$I,'Schedule 2J Adjustments'!$N$12,Adjustments!$J:$J,'Schedule 2J Adjustments'!$A46)</f>
        <v>0</v>
      </c>
      <c r="P46" s="303">
        <f t="shared" si="3"/>
        <v>0</v>
      </c>
      <c r="Q46" s="68">
        <f>IFERROR(N46*'As-Filed Schedule 1'!$E$103,0)</f>
        <v>0</v>
      </c>
      <c r="R46" s="68">
        <f>IFERROR(P46*'Adjusted Schedule 1'!$E$104,0)</f>
        <v>0</v>
      </c>
      <c r="S46" s="68">
        <f t="shared" si="4"/>
        <v>0</v>
      </c>
      <c r="T46" s="304">
        <f t="shared" si="5"/>
        <v>0</v>
      </c>
      <c r="V46" s="117">
        <f>'As-Filed Schedule 2J'!N46</f>
        <v>0</v>
      </c>
      <c r="W46" s="307">
        <f>SUMIFS(Adjustments!$G:$G,Adjustments!$H:$H,"2J",Adjustments!$I:$I,'Schedule 2J Adjustments'!$V$12,Adjustments!$J:$J,'Schedule 2J Adjustments'!$A46)</f>
        <v>0</v>
      </c>
      <c r="X46" s="303">
        <f t="shared" si="6"/>
        <v>0</v>
      </c>
      <c r="Y46" s="117">
        <f>'As-Filed Schedule 2J'!O46</f>
        <v>0</v>
      </c>
      <c r="Z46" s="307">
        <f>SUMIFS(Adjustments!$G:$G,Adjustments!$H:$H,"2J",Adjustments!$I:$I,'Schedule 2J Adjustments'!$Y$12,Adjustments!$J:$J,'Schedule 2J Adjustments'!$A46)</f>
        <v>0</v>
      </c>
      <c r="AA46" s="303">
        <f t="shared" si="7"/>
        <v>0</v>
      </c>
    </row>
    <row r="47" spans="1:27" x14ac:dyDescent="0.35">
      <c r="A47" s="24">
        <v>33</v>
      </c>
      <c r="B47" s="565" t="str">
        <f>IF('As-Filed Schedule 2J'!B47:D47=0,"",'As-Filed Schedule 2J'!B47:D47)</f>
        <v/>
      </c>
      <c r="C47" s="565"/>
      <c r="D47" s="565"/>
      <c r="F47" s="114">
        <f>'As-Filed Schedule 2J'!F47</f>
        <v>0</v>
      </c>
      <c r="G47" s="307">
        <f>SUMIFS(Adjustments!$G:$G,Adjustments!$H:$H,"2J",Adjustments!$I:$I,'Schedule 2J Adjustments'!$F$12,Adjustments!$J:$J,'Schedule 2J Adjustments'!$A47)</f>
        <v>0</v>
      </c>
      <c r="H47" s="303">
        <f t="shared" si="0"/>
        <v>0</v>
      </c>
      <c r="I47" s="68">
        <f>IFERROR(F47*'As-Filed Schedule 1'!$E$103,0)</f>
        <v>0</v>
      </c>
      <c r="J47" s="304">
        <f>IFERROR(H47*'Adjusted Schedule 1'!$E$104,0)</f>
        <v>0</v>
      </c>
      <c r="K47" s="68">
        <f t="shared" si="1"/>
        <v>0</v>
      </c>
      <c r="L47" s="304">
        <f t="shared" si="2"/>
        <v>0</v>
      </c>
      <c r="N47" s="114">
        <f>'As-Filed Schedule 2J'!J47</f>
        <v>0</v>
      </c>
      <c r="O47" s="307">
        <f>SUMIFS(Adjustments!$G:$G,Adjustments!$H:$H,"2J",Adjustments!$I:$I,'Schedule 2J Adjustments'!$N$12,Adjustments!$J:$J,'Schedule 2J Adjustments'!$A47)</f>
        <v>0</v>
      </c>
      <c r="P47" s="303">
        <f t="shared" si="3"/>
        <v>0</v>
      </c>
      <c r="Q47" s="68">
        <f>IFERROR(N47*'As-Filed Schedule 1'!$E$103,0)</f>
        <v>0</v>
      </c>
      <c r="R47" s="68">
        <f>IFERROR(P47*'Adjusted Schedule 1'!$E$104,0)</f>
        <v>0</v>
      </c>
      <c r="S47" s="68">
        <f t="shared" si="4"/>
        <v>0</v>
      </c>
      <c r="T47" s="304">
        <f t="shared" si="5"/>
        <v>0</v>
      </c>
      <c r="V47" s="117">
        <f>'As-Filed Schedule 2J'!N47</f>
        <v>0</v>
      </c>
      <c r="W47" s="307">
        <f>SUMIFS(Adjustments!$G:$G,Adjustments!$H:$H,"2J",Adjustments!$I:$I,'Schedule 2J Adjustments'!$V$12,Adjustments!$J:$J,'Schedule 2J Adjustments'!$A47)</f>
        <v>0</v>
      </c>
      <c r="X47" s="303">
        <f t="shared" si="6"/>
        <v>0</v>
      </c>
      <c r="Y47" s="117">
        <f>'As-Filed Schedule 2J'!O47</f>
        <v>0</v>
      </c>
      <c r="Z47" s="307">
        <f>SUMIFS(Adjustments!$G:$G,Adjustments!$H:$H,"2J",Adjustments!$I:$I,'Schedule 2J Adjustments'!$Y$12,Adjustments!$J:$J,'Schedule 2J Adjustments'!$A47)</f>
        <v>0</v>
      </c>
      <c r="AA47" s="303">
        <f t="shared" si="7"/>
        <v>0</v>
      </c>
    </row>
    <row r="48" spans="1:27" x14ac:dyDescent="0.35">
      <c r="A48" s="24">
        <v>34</v>
      </c>
      <c r="B48" s="565" t="str">
        <f>IF('As-Filed Schedule 2J'!B48:D48=0,"",'As-Filed Schedule 2J'!B48:D48)</f>
        <v/>
      </c>
      <c r="C48" s="565"/>
      <c r="D48" s="565"/>
      <c r="F48" s="114">
        <f>'As-Filed Schedule 2J'!F48</f>
        <v>0</v>
      </c>
      <c r="G48" s="307">
        <f>SUMIFS(Adjustments!$G:$G,Adjustments!$H:$H,"2J",Adjustments!$I:$I,'Schedule 2J Adjustments'!$F$12,Adjustments!$J:$J,'Schedule 2J Adjustments'!$A48)</f>
        <v>0</v>
      </c>
      <c r="H48" s="303">
        <f t="shared" si="0"/>
        <v>0</v>
      </c>
      <c r="I48" s="68">
        <f>IFERROR(F48*'As-Filed Schedule 1'!$E$103,0)</f>
        <v>0</v>
      </c>
      <c r="J48" s="304">
        <f>IFERROR(H48*'Adjusted Schedule 1'!$E$104,0)</f>
        <v>0</v>
      </c>
      <c r="K48" s="68">
        <f t="shared" si="1"/>
        <v>0</v>
      </c>
      <c r="L48" s="304">
        <f t="shared" si="2"/>
        <v>0</v>
      </c>
      <c r="N48" s="114">
        <f>'As-Filed Schedule 2J'!J48</f>
        <v>0</v>
      </c>
      <c r="O48" s="307">
        <f>SUMIFS(Adjustments!$G:$G,Adjustments!$H:$H,"2J",Adjustments!$I:$I,'Schedule 2J Adjustments'!$N$12,Adjustments!$J:$J,'Schedule 2J Adjustments'!$A48)</f>
        <v>0</v>
      </c>
      <c r="P48" s="303">
        <f t="shared" si="3"/>
        <v>0</v>
      </c>
      <c r="Q48" s="68">
        <f>IFERROR(N48*'As-Filed Schedule 1'!$E$103,0)</f>
        <v>0</v>
      </c>
      <c r="R48" s="68">
        <f>IFERROR(P48*'Adjusted Schedule 1'!$E$104,0)</f>
        <v>0</v>
      </c>
      <c r="S48" s="68">
        <f t="shared" si="4"/>
        <v>0</v>
      </c>
      <c r="T48" s="304">
        <f t="shared" si="5"/>
        <v>0</v>
      </c>
      <c r="V48" s="117">
        <f>'As-Filed Schedule 2J'!N48</f>
        <v>0</v>
      </c>
      <c r="W48" s="307">
        <f>SUMIFS(Adjustments!$G:$G,Adjustments!$H:$H,"2J",Adjustments!$I:$I,'Schedule 2J Adjustments'!$V$12,Adjustments!$J:$J,'Schedule 2J Adjustments'!$A48)</f>
        <v>0</v>
      </c>
      <c r="X48" s="303">
        <f t="shared" si="6"/>
        <v>0</v>
      </c>
      <c r="Y48" s="117">
        <f>'As-Filed Schedule 2J'!O48</f>
        <v>0</v>
      </c>
      <c r="Z48" s="307">
        <f>SUMIFS(Adjustments!$G:$G,Adjustments!$H:$H,"2J",Adjustments!$I:$I,'Schedule 2J Adjustments'!$Y$12,Adjustments!$J:$J,'Schedule 2J Adjustments'!$A48)</f>
        <v>0</v>
      </c>
      <c r="AA48" s="303">
        <f t="shared" si="7"/>
        <v>0</v>
      </c>
    </row>
    <row r="49" spans="1:27" x14ac:dyDescent="0.35">
      <c r="A49" s="24">
        <v>35</v>
      </c>
      <c r="B49" s="565" t="str">
        <f>IF('As-Filed Schedule 2J'!B49:D49=0,"",'As-Filed Schedule 2J'!B49:D49)</f>
        <v/>
      </c>
      <c r="C49" s="565"/>
      <c r="D49" s="565"/>
      <c r="F49" s="114">
        <f>'As-Filed Schedule 2J'!F49</f>
        <v>0</v>
      </c>
      <c r="G49" s="307">
        <f>SUMIFS(Adjustments!$G:$G,Adjustments!$H:$H,"2J",Adjustments!$I:$I,'Schedule 2J Adjustments'!$F$12,Adjustments!$J:$J,'Schedule 2J Adjustments'!$A49)</f>
        <v>0</v>
      </c>
      <c r="H49" s="303">
        <f t="shared" si="0"/>
        <v>0</v>
      </c>
      <c r="I49" s="68">
        <f>IFERROR(F49*'As-Filed Schedule 1'!$E$103,0)</f>
        <v>0</v>
      </c>
      <c r="J49" s="304">
        <f>IFERROR(H49*'Adjusted Schedule 1'!$E$104,0)</f>
        <v>0</v>
      </c>
      <c r="K49" s="68">
        <f t="shared" si="1"/>
        <v>0</v>
      </c>
      <c r="L49" s="304">
        <f t="shared" si="2"/>
        <v>0</v>
      </c>
      <c r="N49" s="114">
        <f>'As-Filed Schedule 2J'!J49</f>
        <v>0</v>
      </c>
      <c r="O49" s="307">
        <f>SUMIFS(Adjustments!$G:$G,Adjustments!$H:$H,"2J",Adjustments!$I:$I,'Schedule 2J Adjustments'!$N$12,Adjustments!$J:$J,'Schedule 2J Adjustments'!$A49)</f>
        <v>0</v>
      </c>
      <c r="P49" s="303">
        <f t="shared" si="3"/>
        <v>0</v>
      </c>
      <c r="Q49" s="68">
        <f>IFERROR(N49*'As-Filed Schedule 1'!$E$103,0)</f>
        <v>0</v>
      </c>
      <c r="R49" s="68">
        <f>IFERROR(P49*'Adjusted Schedule 1'!$E$104,0)</f>
        <v>0</v>
      </c>
      <c r="S49" s="68">
        <f t="shared" si="4"/>
        <v>0</v>
      </c>
      <c r="T49" s="304">
        <f t="shared" si="5"/>
        <v>0</v>
      </c>
      <c r="V49" s="117">
        <f>'As-Filed Schedule 2J'!N49</f>
        <v>0</v>
      </c>
      <c r="W49" s="307">
        <f>SUMIFS(Adjustments!$G:$G,Adjustments!$H:$H,"2J",Adjustments!$I:$I,'Schedule 2J Adjustments'!$V$12,Adjustments!$J:$J,'Schedule 2J Adjustments'!$A49)</f>
        <v>0</v>
      </c>
      <c r="X49" s="303">
        <f t="shared" si="6"/>
        <v>0</v>
      </c>
      <c r="Y49" s="117">
        <f>'As-Filed Schedule 2J'!O49</f>
        <v>0</v>
      </c>
      <c r="Z49" s="307">
        <f>SUMIFS(Adjustments!$G:$G,Adjustments!$H:$H,"2J",Adjustments!$I:$I,'Schedule 2J Adjustments'!$Y$12,Adjustments!$J:$J,'Schedule 2J Adjustments'!$A49)</f>
        <v>0</v>
      </c>
      <c r="AA49" s="303">
        <f t="shared" si="7"/>
        <v>0</v>
      </c>
    </row>
    <row r="50" spans="1:27" x14ac:dyDescent="0.35">
      <c r="A50" s="24">
        <v>36</v>
      </c>
      <c r="B50" s="565" t="str">
        <f>IF('As-Filed Schedule 2J'!B50:D50=0,"",'As-Filed Schedule 2J'!B50:D50)</f>
        <v/>
      </c>
      <c r="C50" s="565"/>
      <c r="D50" s="565"/>
      <c r="F50" s="114">
        <f>'As-Filed Schedule 2J'!F50</f>
        <v>0</v>
      </c>
      <c r="G50" s="307">
        <f>SUMIFS(Adjustments!$G:$G,Adjustments!$H:$H,"2J",Adjustments!$I:$I,'Schedule 2J Adjustments'!$F$12,Adjustments!$J:$J,'Schedule 2J Adjustments'!$A50)</f>
        <v>0</v>
      </c>
      <c r="H50" s="303">
        <f t="shared" si="0"/>
        <v>0</v>
      </c>
      <c r="I50" s="68">
        <f>IFERROR(F50*'As-Filed Schedule 1'!$E$103,0)</f>
        <v>0</v>
      </c>
      <c r="J50" s="304">
        <f>IFERROR(H50*'Adjusted Schedule 1'!$E$104,0)</f>
        <v>0</v>
      </c>
      <c r="K50" s="68">
        <f t="shared" si="1"/>
        <v>0</v>
      </c>
      <c r="L50" s="304">
        <f t="shared" si="2"/>
        <v>0</v>
      </c>
      <c r="N50" s="114">
        <f>'As-Filed Schedule 2J'!J50</f>
        <v>0</v>
      </c>
      <c r="O50" s="307">
        <f>SUMIFS(Adjustments!$G:$G,Adjustments!$H:$H,"2J",Adjustments!$I:$I,'Schedule 2J Adjustments'!$N$12,Adjustments!$J:$J,'Schedule 2J Adjustments'!$A50)</f>
        <v>0</v>
      </c>
      <c r="P50" s="303">
        <f t="shared" si="3"/>
        <v>0</v>
      </c>
      <c r="Q50" s="68">
        <f>IFERROR(N50*'As-Filed Schedule 1'!$E$103,0)</f>
        <v>0</v>
      </c>
      <c r="R50" s="68">
        <f>IFERROR(P50*'Adjusted Schedule 1'!$E$104,0)</f>
        <v>0</v>
      </c>
      <c r="S50" s="68">
        <f t="shared" si="4"/>
        <v>0</v>
      </c>
      <c r="T50" s="304">
        <f t="shared" si="5"/>
        <v>0</v>
      </c>
      <c r="V50" s="117">
        <f>'As-Filed Schedule 2J'!N50</f>
        <v>0</v>
      </c>
      <c r="W50" s="307">
        <f>SUMIFS(Adjustments!$G:$G,Adjustments!$H:$H,"2J",Adjustments!$I:$I,'Schedule 2J Adjustments'!$V$12,Adjustments!$J:$J,'Schedule 2J Adjustments'!$A50)</f>
        <v>0</v>
      </c>
      <c r="X50" s="303">
        <f t="shared" si="6"/>
        <v>0</v>
      </c>
      <c r="Y50" s="117">
        <f>'As-Filed Schedule 2J'!O50</f>
        <v>0</v>
      </c>
      <c r="Z50" s="307">
        <f>SUMIFS(Adjustments!$G:$G,Adjustments!$H:$H,"2J",Adjustments!$I:$I,'Schedule 2J Adjustments'!$Y$12,Adjustments!$J:$J,'Schedule 2J Adjustments'!$A50)</f>
        <v>0</v>
      </c>
      <c r="AA50" s="303">
        <f t="shared" si="7"/>
        <v>0</v>
      </c>
    </row>
    <row r="51" spans="1:27" x14ac:dyDescent="0.35">
      <c r="A51" s="24">
        <v>37</v>
      </c>
      <c r="B51" s="565" t="str">
        <f>IF('As-Filed Schedule 2J'!B51:D51=0,"",'As-Filed Schedule 2J'!B51:D51)</f>
        <v/>
      </c>
      <c r="C51" s="565"/>
      <c r="D51" s="565"/>
      <c r="F51" s="114">
        <f>'As-Filed Schedule 2J'!F51</f>
        <v>0</v>
      </c>
      <c r="G51" s="307">
        <f>SUMIFS(Adjustments!$G:$G,Adjustments!$H:$H,"2J",Adjustments!$I:$I,'Schedule 2J Adjustments'!$F$12,Adjustments!$J:$J,'Schedule 2J Adjustments'!$A51)</f>
        <v>0</v>
      </c>
      <c r="H51" s="303">
        <f t="shared" si="0"/>
        <v>0</v>
      </c>
      <c r="I51" s="68">
        <f>IFERROR(F51*'As-Filed Schedule 1'!$E$103,0)</f>
        <v>0</v>
      </c>
      <c r="J51" s="304">
        <f>IFERROR(H51*'Adjusted Schedule 1'!$E$104,0)</f>
        <v>0</v>
      </c>
      <c r="K51" s="68">
        <f t="shared" si="1"/>
        <v>0</v>
      </c>
      <c r="L51" s="304">
        <f t="shared" si="2"/>
        <v>0</v>
      </c>
      <c r="N51" s="114">
        <f>'As-Filed Schedule 2J'!J51</f>
        <v>0</v>
      </c>
      <c r="O51" s="307">
        <f>SUMIFS(Adjustments!$G:$G,Adjustments!$H:$H,"2J",Adjustments!$I:$I,'Schedule 2J Adjustments'!$N$12,Adjustments!$J:$J,'Schedule 2J Adjustments'!$A51)</f>
        <v>0</v>
      </c>
      <c r="P51" s="303">
        <f t="shared" si="3"/>
        <v>0</v>
      </c>
      <c r="Q51" s="68">
        <f>IFERROR(N51*'As-Filed Schedule 1'!$E$103,0)</f>
        <v>0</v>
      </c>
      <c r="R51" s="68">
        <f>IFERROR(P51*'Adjusted Schedule 1'!$E$104,0)</f>
        <v>0</v>
      </c>
      <c r="S51" s="68">
        <f t="shared" si="4"/>
        <v>0</v>
      </c>
      <c r="T51" s="304">
        <f t="shared" si="5"/>
        <v>0</v>
      </c>
      <c r="V51" s="117">
        <f>'As-Filed Schedule 2J'!N51</f>
        <v>0</v>
      </c>
      <c r="W51" s="307">
        <f>SUMIFS(Adjustments!$G:$G,Adjustments!$H:$H,"2J",Adjustments!$I:$I,'Schedule 2J Adjustments'!$V$12,Adjustments!$J:$J,'Schedule 2J Adjustments'!$A51)</f>
        <v>0</v>
      </c>
      <c r="X51" s="303">
        <f t="shared" si="6"/>
        <v>0</v>
      </c>
      <c r="Y51" s="117">
        <f>'As-Filed Schedule 2J'!O51</f>
        <v>0</v>
      </c>
      <c r="Z51" s="307">
        <f>SUMIFS(Adjustments!$G:$G,Adjustments!$H:$H,"2J",Adjustments!$I:$I,'Schedule 2J Adjustments'!$Y$12,Adjustments!$J:$J,'Schedule 2J Adjustments'!$A51)</f>
        <v>0</v>
      </c>
      <c r="AA51" s="303">
        <f t="shared" si="7"/>
        <v>0</v>
      </c>
    </row>
    <row r="52" spans="1:27" x14ac:dyDescent="0.35">
      <c r="A52" s="24">
        <v>38</v>
      </c>
      <c r="B52" s="565" t="str">
        <f>IF('As-Filed Schedule 2J'!B52:D52=0,"",'As-Filed Schedule 2J'!B52:D52)</f>
        <v/>
      </c>
      <c r="C52" s="565"/>
      <c r="D52" s="565"/>
      <c r="F52" s="114">
        <f>'As-Filed Schedule 2J'!F52</f>
        <v>0</v>
      </c>
      <c r="G52" s="307">
        <f>SUMIFS(Adjustments!$G:$G,Adjustments!$H:$H,"2J",Adjustments!$I:$I,'Schedule 2J Adjustments'!$F$12,Adjustments!$J:$J,'Schedule 2J Adjustments'!$A52)</f>
        <v>0</v>
      </c>
      <c r="H52" s="303">
        <f t="shared" si="0"/>
        <v>0</v>
      </c>
      <c r="I52" s="68">
        <f>IFERROR(F52*'As-Filed Schedule 1'!$E$103,0)</f>
        <v>0</v>
      </c>
      <c r="J52" s="304">
        <f>IFERROR(H52*'Adjusted Schedule 1'!$E$104,0)</f>
        <v>0</v>
      </c>
      <c r="K52" s="68">
        <f t="shared" si="1"/>
        <v>0</v>
      </c>
      <c r="L52" s="304">
        <f t="shared" si="2"/>
        <v>0</v>
      </c>
      <c r="N52" s="114">
        <f>'As-Filed Schedule 2J'!J52</f>
        <v>0</v>
      </c>
      <c r="O52" s="307">
        <f>SUMIFS(Adjustments!$G:$G,Adjustments!$H:$H,"2J",Adjustments!$I:$I,'Schedule 2J Adjustments'!$N$12,Adjustments!$J:$J,'Schedule 2J Adjustments'!$A52)</f>
        <v>0</v>
      </c>
      <c r="P52" s="303">
        <f t="shared" si="3"/>
        <v>0</v>
      </c>
      <c r="Q52" s="68">
        <f>IFERROR(N52*'As-Filed Schedule 1'!$E$103,0)</f>
        <v>0</v>
      </c>
      <c r="R52" s="68">
        <f>IFERROR(P52*'Adjusted Schedule 1'!$E$104,0)</f>
        <v>0</v>
      </c>
      <c r="S52" s="68">
        <f t="shared" si="4"/>
        <v>0</v>
      </c>
      <c r="T52" s="304">
        <f t="shared" si="5"/>
        <v>0</v>
      </c>
      <c r="V52" s="117">
        <f>'As-Filed Schedule 2J'!N52</f>
        <v>0</v>
      </c>
      <c r="W52" s="307">
        <f>SUMIFS(Adjustments!$G:$G,Adjustments!$H:$H,"2J",Adjustments!$I:$I,'Schedule 2J Adjustments'!$V$12,Adjustments!$J:$J,'Schedule 2J Adjustments'!$A52)</f>
        <v>0</v>
      </c>
      <c r="X52" s="303">
        <f t="shared" si="6"/>
        <v>0</v>
      </c>
      <c r="Y52" s="117">
        <f>'As-Filed Schedule 2J'!O52</f>
        <v>0</v>
      </c>
      <c r="Z52" s="307">
        <f>SUMIFS(Adjustments!$G:$G,Adjustments!$H:$H,"2J",Adjustments!$I:$I,'Schedule 2J Adjustments'!$Y$12,Adjustments!$J:$J,'Schedule 2J Adjustments'!$A52)</f>
        <v>0</v>
      </c>
      <c r="AA52" s="303">
        <f t="shared" si="7"/>
        <v>0</v>
      </c>
    </row>
    <row r="53" spans="1:27" x14ac:dyDescent="0.35">
      <c r="A53" s="24">
        <v>39</v>
      </c>
      <c r="B53" s="565" t="str">
        <f>IF('As-Filed Schedule 2J'!B53:D53=0,"",'As-Filed Schedule 2J'!B53:D53)</f>
        <v/>
      </c>
      <c r="C53" s="565"/>
      <c r="D53" s="565"/>
      <c r="F53" s="114">
        <f>'As-Filed Schedule 2J'!F53</f>
        <v>0</v>
      </c>
      <c r="G53" s="307">
        <f>SUMIFS(Adjustments!$G:$G,Adjustments!$H:$H,"2J",Adjustments!$I:$I,'Schedule 2J Adjustments'!$F$12,Adjustments!$J:$J,'Schedule 2J Adjustments'!$A53)</f>
        <v>0</v>
      </c>
      <c r="H53" s="303">
        <f t="shared" si="0"/>
        <v>0</v>
      </c>
      <c r="I53" s="68">
        <f>IFERROR(F53*'As-Filed Schedule 1'!$E$103,0)</f>
        <v>0</v>
      </c>
      <c r="J53" s="304">
        <f>IFERROR(H53*'Adjusted Schedule 1'!$E$104,0)</f>
        <v>0</v>
      </c>
      <c r="K53" s="68">
        <f t="shared" si="1"/>
        <v>0</v>
      </c>
      <c r="L53" s="304">
        <f t="shared" si="2"/>
        <v>0</v>
      </c>
      <c r="N53" s="114">
        <f>'As-Filed Schedule 2J'!J53</f>
        <v>0</v>
      </c>
      <c r="O53" s="307">
        <f>SUMIFS(Adjustments!$G:$G,Adjustments!$H:$H,"2J",Adjustments!$I:$I,'Schedule 2J Adjustments'!$N$12,Adjustments!$J:$J,'Schedule 2J Adjustments'!$A53)</f>
        <v>0</v>
      </c>
      <c r="P53" s="303">
        <f t="shared" si="3"/>
        <v>0</v>
      </c>
      <c r="Q53" s="68">
        <f>IFERROR(N53*'As-Filed Schedule 1'!$E$103,0)</f>
        <v>0</v>
      </c>
      <c r="R53" s="68">
        <f>IFERROR(P53*'Adjusted Schedule 1'!$E$104,0)</f>
        <v>0</v>
      </c>
      <c r="S53" s="68">
        <f t="shared" si="4"/>
        <v>0</v>
      </c>
      <c r="T53" s="304">
        <f t="shared" si="5"/>
        <v>0</v>
      </c>
      <c r="V53" s="117">
        <f>'As-Filed Schedule 2J'!N53</f>
        <v>0</v>
      </c>
      <c r="W53" s="307">
        <f>SUMIFS(Adjustments!$G:$G,Adjustments!$H:$H,"2J",Adjustments!$I:$I,'Schedule 2J Adjustments'!$V$12,Adjustments!$J:$J,'Schedule 2J Adjustments'!$A53)</f>
        <v>0</v>
      </c>
      <c r="X53" s="303">
        <f t="shared" si="6"/>
        <v>0</v>
      </c>
      <c r="Y53" s="117">
        <f>'As-Filed Schedule 2J'!O53</f>
        <v>0</v>
      </c>
      <c r="Z53" s="307">
        <f>SUMIFS(Adjustments!$G:$G,Adjustments!$H:$H,"2J",Adjustments!$I:$I,'Schedule 2J Adjustments'!$Y$12,Adjustments!$J:$J,'Schedule 2J Adjustments'!$A53)</f>
        <v>0</v>
      </c>
      <c r="AA53" s="303">
        <f t="shared" si="7"/>
        <v>0</v>
      </c>
    </row>
    <row r="54" spans="1:27" x14ac:dyDescent="0.35">
      <c r="A54" s="24">
        <v>40</v>
      </c>
      <c r="B54" s="565" t="str">
        <f>IF('As-Filed Schedule 2J'!B54:D54=0,"",'As-Filed Schedule 2J'!B54:D54)</f>
        <v/>
      </c>
      <c r="C54" s="565"/>
      <c r="D54" s="565"/>
      <c r="F54" s="114">
        <f>'As-Filed Schedule 2J'!F54</f>
        <v>0</v>
      </c>
      <c r="G54" s="307">
        <f>SUMIFS(Adjustments!$G:$G,Adjustments!$H:$H,"2J",Adjustments!$I:$I,'Schedule 2J Adjustments'!$F$12,Adjustments!$J:$J,'Schedule 2J Adjustments'!$A54)</f>
        <v>0</v>
      </c>
      <c r="H54" s="303">
        <f t="shared" si="0"/>
        <v>0</v>
      </c>
      <c r="I54" s="68">
        <f>IFERROR(F54*'As-Filed Schedule 1'!$E$103,0)</f>
        <v>0</v>
      </c>
      <c r="J54" s="304">
        <f>IFERROR(H54*'Adjusted Schedule 1'!$E$104,0)</f>
        <v>0</v>
      </c>
      <c r="K54" s="68">
        <f t="shared" si="1"/>
        <v>0</v>
      </c>
      <c r="L54" s="304">
        <f t="shared" si="2"/>
        <v>0</v>
      </c>
      <c r="N54" s="114">
        <f>'As-Filed Schedule 2J'!J54</f>
        <v>0</v>
      </c>
      <c r="O54" s="307">
        <f>SUMIFS(Adjustments!$G:$G,Adjustments!$H:$H,"2J",Adjustments!$I:$I,'Schedule 2J Adjustments'!$N$12,Adjustments!$J:$J,'Schedule 2J Adjustments'!$A54)</f>
        <v>0</v>
      </c>
      <c r="P54" s="303">
        <f t="shared" si="3"/>
        <v>0</v>
      </c>
      <c r="Q54" s="68">
        <f>IFERROR(N54*'As-Filed Schedule 1'!$E$103,0)</f>
        <v>0</v>
      </c>
      <c r="R54" s="68">
        <f>IFERROR(P54*'Adjusted Schedule 1'!$E$104,0)</f>
        <v>0</v>
      </c>
      <c r="S54" s="68">
        <f t="shared" si="4"/>
        <v>0</v>
      </c>
      <c r="T54" s="304">
        <f t="shared" si="5"/>
        <v>0</v>
      </c>
      <c r="V54" s="117">
        <f>'As-Filed Schedule 2J'!N54</f>
        <v>0</v>
      </c>
      <c r="W54" s="307">
        <f>SUMIFS(Adjustments!$G:$G,Adjustments!$H:$H,"2J",Adjustments!$I:$I,'Schedule 2J Adjustments'!$V$12,Adjustments!$J:$J,'Schedule 2J Adjustments'!$A54)</f>
        <v>0</v>
      </c>
      <c r="X54" s="303">
        <f t="shared" si="6"/>
        <v>0</v>
      </c>
      <c r="Y54" s="117">
        <f>'As-Filed Schedule 2J'!O54</f>
        <v>0</v>
      </c>
      <c r="Z54" s="307">
        <f>SUMIFS(Adjustments!$G:$G,Adjustments!$H:$H,"2J",Adjustments!$I:$I,'Schedule 2J Adjustments'!$Y$12,Adjustments!$J:$J,'Schedule 2J Adjustments'!$A54)</f>
        <v>0</v>
      </c>
      <c r="AA54" s="303">
        <f t="shared" si="7"/>
        <v>0</v>
      </c>
    </row>
    <row r="55" spans="1:27" x14ac:dyDescent="0.35">
      <c r="A55" s="24">
        <v>41</v>
      </c>
      <c r="B55" s="565" t="str">
        <f>IF('As-Filed Schedule 2J'!B55:D55=0,"",'As-Filed Schedule 2J'!B55:D55)</f>
        <v/>
      </c>
      <c r="C55" s="565"/>
      <c r="D55" s="565"/>
      <c r="F55" s="114">
        <f>'As-Filed Schedule 2J'!F55</f>
        <v>0</v>
      </c>
      <c r="G55" s="307">
        <f>SUMIFS(Adjustments!$G:$G,Adjustments!$H:$H,"2J",Adjustments!$I:$I,'Schedule 2J Adjustments'!$F$12,Adjustments!$J:$J,'Schedule 2J Adjustments'!$A55)</f>
        <v>0</v>
      </c>
      <c r="H55" s="303">
        <f t="shared" si="0"/>
        <v>0</v>
      </c>
      <c r="I55" s="68">
        <f>IFERROR(F55*'As-Filed Schedule 1'!$E$103,0)</f>
        <v>0</v>
      </c>
      <c r="J55" s="304">
        <f>IFERROR(H55*'Adjusted Schedule 1'!$E$104,0)</f>
        <v>0</v>
      </c>
      <c r="K55" s="68">
        <f t="shared" si="1"/>
        <v>0</v>
      </c>
      <c r="L55" s="304">
        <f t="shared" si="2"/>
        <v>0</v>
      </c>
      <c r="N55" s="114">
        <f>'As-Filed Schedule 2J'!J55</f>
        <v>0</v>
      </c>
      <c r="O55" s="307">
        <f>SUMIFS(Adjustments!$G:$G,Adjustments!$H:$H,"2J",Adjustments!$I:$I,'Schedule 2J Adjustments'!$N$12,Adjustments!$J:$J,'Schedule 2J Adjustments'!$A55)</f>
        <v>0</v>
      </c>
      <c r="P55" s="303">
        <f t="shared" si="3"/>
        <v>0</v>
      </c>
      <c r="Q55" s="68">
        <f>IFERROR(N55*'As-Filed Schedule 1'!$E$103,0)</f>
        <v>0</v>
      </c>
      <c r="R55" s="68">
        <f>IFERROR(P55*'Adjusted Schedule 1'!$E$104,0)</f>
        <v>0</v>
      </c>
      <c r="S55" s="68">
        <f t="shared" si="4"/>
        <v>0</v>
      </c>
      <c r="T55" s="304">
        <f t="shared" si="5"/>
        <v>0</v>
      </c>
      <c r="V55" s="117">
        <f>'As-Filed Schedule 2J'!N55</f>
        <v>0</v>
      </c>
      <c r="W55" s="307">
        <f>SUMIFS(Adjustments!$G:$G,Adjustments!$H:$H,"2J",Adjustments!$I:$I,'Schedule 2J Adjustments'!$V$12,Adjustments!$J:$J,'Schedule 2J Adjustments'!$A55)</f>
        <v>0</v>
      </c>
      <c r="X55" s="303">
        <f t="shared" si="6"/>
        <v>0</v>
      </c>
      <c r="Y55" s="117">
        <f>'As-Filed Schedule 2J'!O55</f>
        <v>0</v>
      </c>
      <c r="Z55" s="307">
        <f>SUMIFS(Adjustments!$G:$G,Adjustments!$H:$H,"2J",Adjustments!$I:$I,'Schedule 2J Adjustments'!$Y$12,Adjustments!$J:$J,'Schedule 2J Adjustments'!$A55)</f>
        <v>0</v>
      </c>
      <c r="AA55" s="303">
        <f t="shared" si="7"/>
        <v>0</v>
      </c>
    </row>
    <row r="56" spans="1:27" x14ac:dyDescent="0.35">
      <c r="A56" s="24">
        <v>42</v>
      </c>
      <c r="B56" s="565" t="str">
        <f>IF('As-Filed Schedule 2J'!B56:D56=0,"",'As-Filed Schedule 2J'!B56:D56)</f>
        <v/>
      </c>
      <c r="C56" s="565"/>
      <c r="D56" s="565"/>
      <c r="F56" s="114">
        <f>'As-Filed Schedule 2J'!F56</f>
        <v>0</v>
      </c>
      <c r="G56" s="307">
        <f>SUMIFS(Adjustments!$G:$G,Adjustments!$H:$H,"2J",Adjustments!$I:$I,'Schedule 2J Adjustments'!$F$12,Adjustments!$J:$J,'Schedule 2J Adjustments'!$A56)</f>
        <v>0</v>
      </c>
      <c r="H56" s="303">
        <f t="shared" si="0"/>
        <v>0</v>
      </c>
      <c r="I56" s="68">
        <f>IFERROR(F56*'As-Filed Schedule 1'!$E$103,0)</f>
        <v>0</v>
      </c>
      <c r="J56" s="304">
        <f>IFERROR(H56*'Adjusted Schedule 1'!$E$104,0)</f>
        <v>0</v>
      </c>
      <c r="K56" s="68">
        <f t="shared" si="1"/>
        <v>0</v>
      </c>
      <c r="L56" s="304">
        <f t="shared" si="2"/>
        <v>0</v>
      </c>
      <c r="N56" s="114">
        <f>'As-Filed Schedule 2J'!J56</f>
        <v>0</v>
      </c>
      <c r="O56" s="307">
        <f>SUMIFS(Adjustments!$G:$G,Adjustments!$H:$H,"2J",Adjustments!$I:$I,'Schedule 2J Adjustments'!$N$12,Adjustments!$J:$J,'Schedule 2J Adjustments'!$A56)</f>
        <v>0</v>
      </c>
      <c r="P56" s="303">
        <f t="shared" si="3"/>
        <v>0</v>
      </c>
      <c r="Q56" s="68">
        <f>IFERROR(N56*'As-Filed Schedule 1'!$E$103,0)</f>
        <v>0</v>
      </c>
      <c r="R56" s="68">
        <f>IFERROR(P56*'Adjusted Schedule 1'!$E$104,0)</f>
        <v>0</v>
      </c>
      <c r="S56" s="68">
        <f t="shared" si="4"/>
        <v>0</v>
      </c>
      <c r="T56" s="304">
        <f t="shared" si="5"/>
        <v>0</v>
      </c>
      <c r="V56" s="117">
        <f>'As-Filed Schedule 2J'!N56</f>
        <v>0</v>
      </c>
      <c r="W56" s="307">
        <f>SUMIFS(Adjustments!$G:$G,Adjustments!$H:$H,"2J",Adjustments!$I:$I,'Schedule 2J Adjustments'!$V$12,Adjustments!$J:$J,'Schedule 2J Adjustments'!$A56)</f>
        <v>0</v>
      </c>
      <c r="X56" s="303">
        <f t="shared" si="6"/>
        <v>0</v>
      </c>
      <c r="Y56" s="117">
        <f>'As-Filed Schedule 2J'!O56</f>
        <v>0</v>
      </c>
      <c r="Z56" s="307">
        <f>SUMIFS(Adjustments!$G:$G,Adjustments!$H:$H,"2J",Adjustments!$I:$I,'Schedule 2J Adjustments'!$Y$12,Adjustments!$J:$J,'Schedule 2J Adjustments'!$A56)</f>
        <v>0</v>
      </c>
      <c r="AA56" s="303">
        <f t="shared" si="7"/>
        <v>0</v>
      </c>
    </row>
    <row r="57" spans="1:27" x14ac:dyDescent="0.35">
      <c r="A57" s="24">
        <v>43</v>
      </c>
      <c r="B57" s="565" t="str">
        <f>IF('As-Filed Schedule 2J'!B57:D57=0,"",'As-Filed Schedule 2J'!B57:D57)</f>
        <v/>
      </c>
      <c r="C57" s="565"/>
      <c r="D57" s="565"/>
      <c r="F57" s="114">
        <f>'As-Filed Schedule 2J'!F57</f>
        <v>0</v>
      </c>
      <c r="G57" s="307">
        <f>SUMIFS(Adjustments!$G:$G,Adjustments!$H:$H,"2J",Adjustments!$I:$I,'Schedule 2J Adjustments'!$F$12,Adjustments!$J:$J,'Schedule 2J Adjustments'!$A57)</f>
        <v>0</v>
      </c>
      <c r="H57" s="303">
        <f t="shared" si="0"/>
        <v>0</v>
      </c>
      <c r="I57" s="68">
        <f>IFERROR(F57*'As-Filed Schedule 1'!$E$103,0)</f>
        <v>0</v>
      </c>
      <c r="J57" s="304">
        <f>IFERROR(H57*'Adjusted Schedule 1'!$E$104,0)</f>
        <v>0</v>
      </c>
      <c r="K57" s="68">
        <f t="shared" si="1"/>
        <v>0</v>
      </c>
      <c r="L57" s="304">
        <f t="shared" si="2"/>
        <v>0</v>
      </c>
      <c r="N57" s="114">
        <f>'As-Filed Schedule 2J'!J57</f>
        <v>0</v>
      </c>
      <c r="O57" s="307">
        <f>SUMIFS(Adjustments!$G:$G,Adjustments!$H:$H,"2J",Adjustments!$I:$I,'Schedule 2J Adjustments'!$N$12,Adjustments!$J:$J,'Schedule 2J Adjustments'!$A57)</f>
        <v>0</v>
      </c>
      <c r="P57" s="303">
        <f t="shared" si="3"/>
        <v>0</v>
      </c>
      <c r="Q57" s="68">
        <f>IFERROR(N57*'As-Filed Schedule 1'!$E$103,0)</f>
        <v>0</v>
      </c>
      <c r="R57" s="68">
        <f>IFERROR(P57*'Adjusted Schedule 1'!$E$104,0)</f>
        <v>0</v>
      </c>
      <c r="S57" s="68">
        <f t="shared" si="4"/>
        <v>0</v>
      </c>
      <c r="T57" s="304">
        <f t="shared" si="5"/>
        <v>0</v>
      </c>
      <c r="V57" s="117">
        <f>'As-Filed Schedule 2J'!N57</f>
        <v>0</v>
      </c>
      <c r="W57" s="307">
        <f>SUMIFS(Adjustments!$G:$G,Adjustments!$H:$H,"2J",Adjustments!$I:$I,'Schedule 2J Adjustments'!$V$12,Adjustments!$J:$J,'Schedule 2J Adjustments'!$A57)</f>
        <v>0</v>
      </c>
      <c r="X57" s="303">
        <f t="shared" si="6"/>
        <v>0</v>
      </c>
      <c r="Y57" s="117">
        <f>'As-Filed Schedule 2J'!O57</f>
        <v>0</v>
      </c>
      <c r="Z57" s="307">
        <f>SUMIFS(Adjustments!$G:$G,Adjustments!$H:$H,"2J",Adjustments!$I:$I,'Schedule 2J Adjustments'!$Y$12,Adjustments!$J:$J,'Schedule 2J Adjustments'!$A57)</f>
        <v>0</v>
      </c>
      <c r="AA57" s="303">
        <f t="shared" si="7"/>
        <v>0</v>
      </c>
    </row>
    <row r="58" spans="1:27" x14ac:dyDescent="0.35">
      <c r="A58" s="24">
        <v>44</v>
      </c>
      <c r="B58" s="565" t="str">
        <f>IF('As-Filed Schedule 2J'!B58:D58=0,"",'As-Filed Schedule 2J'!B58:D58)</f>
        <v/>
      </c>
      <c r="C58" s="565"/>
      <c r="D58" s="565"/>
      <c r="F58" s="114">
        <f>'As-Filed Schedule 2J'!F58</f>
        <v>0</v>
      </c>
      <c r="G58" s="307">
        <f>SUMIFS(Adjustments!$G:$G,Adjustments!$H:$H,"2J",Adjustments!$I:$I,'Schedule 2J Adjustments'!$F$12,Adjustments!$J:$J,'Schedule 2J Adjustments'!$A58)</f>
        <v>0</v>
      </c>
      <c r="H58" s="303">
        <f t="shared" si="0"/>
        <v>0</v>
      </c>
      <c r="I58" s="68">
        <f>IFERROR(F58*'As-Filed Schedule 1'!$E$103,0)</f>
        <v>0</v>
      </c>
      <c r="J58" s="304">
        <f>IFERROR(H58*'Adjusted Schedule 1'!$E$104,0)</f>
        <v>0</v>
      </c>
      <c r="K58" s="68">
        <f t="shared" si="1"/>
        <v>0</v>
      </c>
      <c r="L58" s="304">
        <f t="shared" si="2"/>
        <v>0</v>
      </c>
      <c r="N58" s="114">
        <f>'As-Filed Schedule 2J'!J58</f>
        <v>0</v>
      </c>
      <c r="O58" s="307">
        <f>SUMIFS(Adjustments!$G:$G,Adjustments!$H:$H,"2J",Adjustments!$I:$I,'Schedule 2J Adjustments'!$N$12,Adjustments!$J:$J,'Schedule 2J Adjustments'!$A58)</f>
        <v>0</v>
      </c>
      <c r="P58" s="303">
        <f t="shared" si="3"/>
        <v>0</v>
      </c>
      <c r="Q58" s="68">
        <f>IFERROR(N58*'As-Filed Schedule 1'!$E$103,0)</f>
        <v>0</v>
      </c>
      <c r="R58" s="68">
        <f>IFERROR(P58*'Adjusted Schedule 1'!$E$104,0)</f>
        <v>0</v>
      </c>
      <c r="S58" s="68">
        <f t="shared" si="4"/>
        <v>0</v>
      </c>
      <c r="T58" s="304">
        <f t="shared" si="5"/>
        <v>0</v>
      </c>
      <c r="V58" s="117">
        <f>'As-Filed Schedule 2J'!N58</f>
        <v>0</v>
      </c>
      <c r="W58" s="307">
        <f>SUMIFS(Adjustments!$G:$G,Adjustments!$H:$H,"2J",Adjustments!$I:$I,'Schedule 2J Adjustments'!$V$12,Adjustments!$J:$J,'Schedule 2J Adjustments'!$A58)</f>
        <v>0</v>
      </c>
      <c r="X58" s="303">
        <f t="shared" si="6"/>
        <v>0</v>
      </c>
      <c r="Y58" s="117">
        <f>'As-Filed Schedule 2J'!O58</f>
        <v>0</v>
      </c>
      <c r="Z58" s="307">
        <f>SUMIFS(Adjustments!$G:$G,Adjustments!$H:$H,"2J",Adjustments!$I:$I,'Schedule 2J Adjustments'!$Y$12,Adjustments!$J:$J,'Schedule 2J Adjustments'!$A58)</f>
        <v>0</v>
      </c>
      <c r="AA58" s="303">
        <f t="shared" si="7"/>
        <v>0</v>
      </c>
    </row>
    <row r="59" spans="1:27" x14ac:dyDescent="0.35">
      <c r="A59" s="24">
        <v>45</v>
      </c>
      <c r="B59" s="565" t="str">
        <f>IF('As-Filed Schedule 2J'!B59:D59=0,"",'As-Filed Schedule 2J'!B59:D59)</f>
        <v/>
      </c>
      <c r="C59" s="565"/>
      <c r="D59" s="565"/>
      <c r="F59" s="114">
        <f>'As-Filed Schedule 2J'!F59</f>
        <v>0</v>
      </c>
      <c r="G59" s="307">
        <f>SUMIFS(Adjustments!$G:$G,Adjustments!$H:$H,"2J",Adjustments!$I:$I,'Schedule 2J Adjustments'!$F$12,Adjustments!$J:$J,'Schedule 2J Adjustments'!$A59)</f>
        <v>0</v>
      </c>
      <c r="H59" s="303">
        <f t="shared" si="0"/>
        <v>0</v>
      </c>
      <c r="I59" s="68">
        <f>IFERROR(F59*'As-Filed Schedule 1'!$E$103,0)</f>
        <v>0</v>
      </c>
      <c r="J59" s="304">
        <f>IFERROR(H59*'Adjusted Schedule 1'!$E$104,0)</f>
        <v>0</v>
      </c>
      <c r="K59" s="68">
        <f t="shared" si="1"/>
        <v>0</v>
      </c>
      <c r="L59" s="304">
        <f t="shared" si="2"/>
        <v>0</v>
      </c>
      <c r="N59" s="114">
        <f>'As-Filed Schedule 2J'!J59</f>
        <v>0</v>
      </c>
      <c r="O59" s="307">
        <f>SUMIFS(Adjustments!$G:$G,Adjustments!$H:$H,"2J",Adjustments!$I:$I,'Schedule 2J Adjustments'!$N$12,Adjustments!$J:$J,'Schedule 2J Adjustments'!$A59)</f>
        <v>0</v>
      </c>
      <c r="P59" s="303">
        <f t="shared" si="3"/>
        <v>0</v>
      </c>
      <c r="Q59" s="68">
        <f>IFERROR(N59*'As-Filed Schedule 1'!$E$103,0)</f>
        <v>0</v>
      </c>
      <c r="R59" s="68">
        <f>IFERROR(P59*'Adjusted Schedule 1'!$E$104,0)</f>
        <v>0</v>
      </c>
      <c r="S59" s="68">
        <f t="shared" si="4"/>
        <v>0</v>
      </c>
      <c r="T59" s="304">
        <f t="shared" si="5"/>
        <v>0</v>
      </c>
      <c r="V59" s="117">
        <f>'As-Filed Schedule 2J'!N59</f>
        <v>0</v>
      </c>
      <c r="W59" s="307">
        <f>SUMIFS(Adjustments!$G:$G,Adjustments!$H:$H,"2J",Adjustments!$I:$I,'Schedule 2J Adjustments'!$V$12,Adjustments!$J:$J,'Schedule 2J Adjustments'!$A59)</f>
        <v>0</v>
      </c>
      <c r="X59" s="303">
        <f t="shared" si="6"/>
        <v>0</v>
      </c>
      <c r="Y59" s="117">
        <f>'As-Filed Schedule 2J'!O59</f>
        <v>0</v>
      </c>
      <c r="Z59" s="307">
        <f>SUMIFS(Adjustments!$G:$G,Adjustments!$H:$H,"2J",Adjustments!$I:$I,'Schedule 2J Adjustments'!$Y$12,Adjustments!$J:$J,'Schedule 2J Adjustments'!$A59)</f>
        <v>0</v>
      </c>
      <c r="AA59" s="303">
        <f t="shared" si="7"/>
        <v>0</v>
      </c>
    </row>
    <row r="60" spans="1:27" x14ac:dyDescent="0.35">
      <c r="A60" s="24">
        <v>46</v>
      </c>
      <c r="B60" s="565" t="str">
        <f>IF('As-Filed Schedule 2J'!B60:D60=0,"",'As-Filed Schedule 2J'!B60:D60)</f>
        <v/>
      </c>
      <c r="C60" s="565"/>
      <c r="D60" s="565"/>
      <c r="F60" s="114">
        <f>'As-Filed Schedule 2J'!F60</f>
        <v>0</v>
      </c>
      <c r="G60" s="307">
        <f>SUMIFS(Adjustments!$G:$G,Adjustments!$H:$H,"2J",Adjustments!$I:$I,'Schedule 2J Adjustments'!$F$12,Adjustments!$J:$J,'Schedule 2J Adjustments'!$A60)</f>
        <v>0</v>
      </c>
      <c r="H60" s="303">
        <f t="shared" si="0"/>
        <v>0</v>
      </c>
      <c r="I60" s="68">
        <f>IFERROR(F60*'As-Filed Schedule 1'!$E$103,0)</f>
        <v>0</v>
      </c>
      <c r="J60" s="304">
        <f>IFERROR(H60*'Adjusted Schedule 1'!$E$104,0)</f>
        <v>0</v>
      </c>
      <c r="K60" s="68">
        <f t="shared" si="1"/>
        <v>0</v>
      </c>
      <c r="L60" s="304">
        <f t="shared" si="2"/>
        <v>0</v>
      </c>
      <c r="N60" s="114">
        <f>'As-Filed Schedule 2J'!J60</f>
        <v>0</v>
      </c>
      <c r="O60" s="307">
        <f>SUMIFS(Adjustments!$G:$G,Adjustments!$H:$H,"2J",Adjustments!$I:$I,'Schedule 2J Adjustments'!$N$12,Adjustments!$J:$J,'Schedule 2J Adjustments'!$A60)</f>
        <v>0</v>
      </c>
      <c r="P60" s="303">
        <f t="shared" si="3"/>
        <v>0</v>
      </c>
      <c r="Q60" s="68">
        <f>IFERROR(N60*'As-Filed Schedule 1'!$E$103,0)</f>
        <v>0</v>
      </c>
      <c r="R60" s="68">
        <f>IFERROR(P60*'Adjusted Schedule 1'!$E$104,0)</f>
        <v>0</v>
      </c>
      <c r="S60" s="68">
        <f t="shared" si="4"/>
        <v>0</v>
      </c>
      <c r="T60" s="304">
        <f t="shared" si="5"/>
        <v>0</v>
      </c>
      <c r="V60" s="117">
        <f>'As-Filed Schedule 2J'!N60</f>
        <v>0</v>
      </c>
      <c r="W60" s="307">
        <f>SUMIFS(Adjustments!$G:$G,Adjustments!$H:$H,"2J",Adjustments!$I:$I,'Schedule 2J Adjustments'!$V$12,Adjustments!$J:$J,'Schedule 2J Adjustments'!$A60)</f>
        <v>0</v>
      </c>
      <c r="X60" s="303">
        <f t="shared" si="6"/>
        <v>0</v>
      </c>
      <c r="Y60" s="117">
        <f>'As-Filed Schedule 2J'!O60</f>
        <v>0</v>
      </c>
      <c r="Z60" s="307">
        <f>SUMIFS(Adjustments!$G:$G,Adjustments!$H:$H,"2J",Adjustments!$I:$I,'Schedule 2J Adjustments'!$Y$12,Adjustments!$J:$J,'Schedule 2J Adjustments'!$A60)</f>
        <v>0</v>
      </c>
      <c r="AA60" s="303">
        <f t="shared" si="7"/>
        <v>0</v>
      </c>
    </row>
    <row r="61" spans="1:27" x14ac:dyDescent="0.35">
      <c r="A61" s="24">
        <v>47</v>
      </c>
      <c r="B61" s="565" t="str">
        <f>IF('As-Filed Schedule 2J'!B61:D61=0,"",'As-Filed Schedule 2J'!B61:D61)</f>
        <v/>
      </c>
      <c r="C61" s="565"/>
      <c r="D61" s="565"/>
      <c r="F61" s="114">
        <f>'As-Filed Schedule 2J'!F61</f>
        <v>0</v>
      </c>
      <c r="G61" s="307">
        <f>SUMIFS(Adjustments!$G:$G,Adjustments!$H:$H,"2J",Adjustments!$I:$I,'Schedule 2J Adjustments'!$F$12,Adjustments!$J:$J,'Schedule 2J Adjustments'!$A61)</f>
        <v>0</v>
      </c>
      <c r="H61" s="303">
        <f t="shared" si="0"/>
        <v>0</v>
      </c>
      <c r="I61" s="68">
        <f>IFERROR(F61*'As-Filed Schedule 1'!$E$103,0)</f>
        <v>0</v>
      </c>
      <c r="J61" s="304">
        <f>IFERROR(H61*'Adjusted Schedule 1'!$E$104,0)</f>
        <v>0</v>
      </c>
      <c r="K61" s="68">
        <f t="shared" si="1"/>
        <v>0</v>
      </c>
      <c r="L61" s="304">
        <f t="shared" si="2"/>
        <v>0</v>
      </c>
      <c r="N61" s="114">
        <f>'As-Filed Schedule 2J'!J61</f>
        <v>0</v>
      </c>
      <c r="O61" s="307">
        <f>SUMIFS(Adjustments!$G:$G,Adjustments!$H:$H,"2J",Adjustments!$I:$I,'Schedule 2J Adjustments'!$N$12,Adjustments!$J:$J,'Schedule 2J Adjustments'!$A61)</f>
        <v>0</v>
      </c>
      <c r="P61" s="303">
        <f t="shared" si="3"/>
        <v>0</v>
      </c>
      <c r="Q61" s="68">
        <f>IFERROR(N61*'As-Filed Schedule 1'!$E$103,0)</f>
        <v>0</v>
      </c>
      <c r="R61" s="68">
        <f>IFERROR(P61*'Adjusted Schedule 1'!$E$104,0)</f>
        <v>0</v>
      </c>
      <c r="S61" s="68">
        <f t="shared" si="4"/>
        <v>0</v>
      </c>
      <c r="T61" s="304">
        <f t="shared" si="5"/>
        <v>0</v>
      </c>
      <c r="V61" s="117">
        <f>'As-Filed Schedule 2J'!N61</f>
        <v>0</v>
      </c>
      <c r="W61" s="307">
        <f>SUMIFS(Adjustments!$G:$G,Adjustments!$H:$H,"2J",Adjustments!$I:$I,'Schedule 2J Adjustments'!$V$12,Adjustments!$J:$J,'Schedule 2J Adjustments'!$A61)</f>
        <v>0</v>
      </c>
      <c r="X61" s="303">
        <f t="shared" si="6"/>
        <v>0</v>
      </c>
      <c r="Y61" s="117">
        <f>'As-Filed Schedule 2J'!O61</f>
        <v>0</v>
      </c>
      <c r="Z61" s="307">
        <f>SUMIFS(Adjustments!$G:$G,Adjustments!$H:$H,"2J",Adjustments!$I:$I,'Schedule 2J Adjustments'!$Y$12,Adjustments!$J:$J,'Schedule 2J Adjustments'!$A61)</f>
        <v>0</v>
      </c>
      <c r="AA61" s="303">
        <f t="shared" si="7"/>
        <v>0</v>
      </c>
    </row>
    <row r="62" spans="1:27" x14ac:dyDescent="0.35">
      <c r="A62" s="24">
        <v>48</v>
      </c>
      <c r="B62" s="565" t="str">
        <f>IF('As-Filed Schedule 2J'!B62:D62=0,"",'As-Filed Schedule 2J'!B62:D62)</f>
        <v/>
      </c>
      <c r="C62" s="565"/>
      <c r="D62" s="565"/>
      <c r="F62" s="114">
        <f>'As-Filed Schedule 2J'!F62</f>
        <v>0</v>
      </c>
      <c r="G62" s="307">
        <f>SUMIFS(Adjustments!$G:$G,Adjustments!$H:$H,"2J",Adjustments!$I:$I,'Schedule 2J Adjustments'!$F$12,Adjustments!$J:$J,'Schedule 2J Adjustments'!$A62)</f>
        <v>0</v>
      </c>
      <c r="H62" s="303">
        <f t="shared" si="0"/>
        <v>0</v>
      </c>
      <c r="I62" s="68">
        <f>IFERROR(F62*'As-Filed Schedule 1'!$E$103,0)</f>
        <v>0</v>
      </c>
      <c r="J62" s="304">
        <f>IFERROR(H62*'Adjusted Schedule 1'!$E$104,0)</f>
        <v>0</v>
      </c>
      <c r="K62" s="68">
        <f t="shared" si="1"/>
        <v>0</v>
      </c>
      <c r="L62" s="304">
        <f t="shared" si="2"/>
        <v>0</v>
      </c>
      <c r="N62" s="114">
        <f>'As-Filed Schedule 2J'!J62</f>
        <v>0</v>
      </c>
      <c r="O62" s="307">
        <f>SUMIFS(Adjustments!$G:$G,Adjustments!$H:$H,"2J",Adjustments!$I:$I,'Schedule 2J Adjustments'!$N$12,Adjustments!$J:$J,'Schedule 2J Adjustments'!$A62)</f>
        <v>0</v>
      </c>
      <c r="P62" s="303">
        <f t="shared" si="3"/>
        <v>0</v>
      </c>
      <c r="Q62" s="68">
        <f>IFERROR(N62*'As-Filed Schedule 1'!$E$103,0)</f>
        <v>0</v>
      </c>
      <c r="R62" s="68">
        <f>IFERROR(P62*'Adjusted Schedule 1'!$E$104,0)</f>
        <v>0</v>
      </c>
      <c r="S62" s="68">
        <f t="shared" si="4"/>
        <v>0</v>
      </c>
      <c r="T62" s="304">
        <f t="shared" si="5"/>
        <v>0</v>
      </c>
      <c r="V62" s="117">
        <f>'As-Filed Schedule 2J'!N62</f>
        <v>0</v>
      </c>
      <c r="W62" s="307">
        <f>SUMIFS(Adjustments!$G:$G,Adjustments!$H:$H,"2J",Adjustments!$I:$I,'Schedule 2J Adjustments'!$V$12,Adjustments!$J:$J,'Schedule 2J Adjustments'!$A62)</f>
        <v>0</v>
      </c>
      <c r="X62" s="303">
        <f t="shared" si="6"/>
        <v>0</v>
      </c>
      <c r="Y62" s="117">
        <f>'As-Filed Schedule 2J'!O62</f>
        <v>0</v>
      </c>
      <c r="Z62" s="307">
        <f>SUMIFS(Adjustments!$G:$G,Adjustments!$H:$H,"2J",Adjustments!$I:$I,'Schedule 2J Adjustments'!$Y$12,Adjustments!$J:$J,'Schedule 2J Adjustments'!$A62)</f>
        <v>0</v>
      </c>
      <c r="AA62" s="303">
        <f t="shared" si="7"/>
        <v>0</v>
      </c>
    </row>
    <row r="63" spans="1:27" x14ac:dyDescent="0.35">
      <c r="A63" s="24">
        <v>49</v>
      </c>
      <c r="B63" s="565" t="str">
        <f>IF('As-Filed Schedule 2J'!B63:D63=0,"",'As-Filed Schedule 2J'!B63:D63)</f>
        <v/>
      </c>
      <c r="C63" s="565"/>
      <c r="D63" s="565"/>
      <c r="F63" s="114">
        <f>'As-Filed Schedule 2J'!F63</f>
        <v>0</v>
      </c>
      <c r="G63" s="307">
        <f>SUMIFS(Adjustments!$G:$G,Adjustments!$H:$H,"2J",Adjustments!$I:$I,'Schedule 2J Adjustments'!$F$12,Adjustments!$J:$J,'Schedule 2J Adjustments'!$A63)</f>
        <v>0</v>
      </c>
      <c r="H63" s="303">
        <f t="shared" si="0"/>
        <v>0</v>
      </c>
      <c r="I63" s="68">
        <f>IFERROR(F63*'As-Filed Schedule 1'!$E$103,0)</f>
        <v>0</v>
      </c>
      <c r="J63" s="304">
        <f>IFERROR(H63*'Adjusted Schedule 1'!$E$104,0)</f>
        <v>0</v>
      </c>
      <c r="K63" s="68">
        <f t="shared" si="1"/>
        <v>0</v>
      </c>
      <c r="L63" s="304">
        <f t="shared" si="2"/>
        <v>0</v>
      </c>
      <c r="N63" s="114">
        <f>'As-Filed Schedule 2J'!J63</f>
        <v>0</v>
      </c>
      <c r="O63" s="307">
        <f>SUMIFS(Adjustments!$G:$G,Adjustments!$H:$H,"2J",Adjustments!$I:$I,'Schedule 2J Adjustments'!$N$12,Adjustments!$J:$J,'Schedule 2J Adjustments'!$A63)</f>
        <v>0</v>
      </c>
      <c r="P63" s="303">
        <f t="shared" si="3"/>
        <v>0</v>
      </c>
      <c r="Q63" s="68">
        <f>IFERROR(N63*'As-Filed Schedule 1'!$E$103,0)</f>
        <v>0</v>
      </c>
      <c r="R63" s="68">
        <f>IFERROR(P63*'Adjusted Schedule 1'!$E$104,0)</f>
        <v>0</v>
      </c>
      <c r="S63" s="68">
        <f t="shared" si="4"/>
        <v>0</v>
      </c>
      <c r="T63" s="304">
        <f t="shared" si="5"/>
        <v>0</v>
      </c>
      <c r="V63" s="117">
        <f>'As-Filed Schedule 2J'!N63</f>
        <v>0</v>
      </c>
      <c r="W63" s="307">
        <f>SUMIFS(Adjustments!$G:$G,Adjustments!$H:$H,"2J",Adjustments!$I:$I,'Schedule 2J Adjustments'!$V$12,Adjustments!$J:$J,'Schedule 2J Adjustments'!$A63)</f>
        <v>0</v>
      </c>
      <c r="X63" s="303">
        <f t="shared" si="6"/>
        <v>0</v>
      </c>
      <c r="Y63" s="117">
        <f>'As-Filed Schedule 2J'!O63</f>
        <v>0</v>
      </c>
      <c r="Z63" s="307">
        <f>SUMIFS(Adjustments!$G:$G,Adjustments!$H:$H,"2J",Adjustments!$I:$I,'Schedule 2J Adjustments'!$Y$12,Adjustments!$J:$J,'Schedule 2J Adjustments'!$A63)</f>
        <v>0</v>
      </c>
      <c r="AA63" s="303">
        <f t="shared" si="7"/>
        <v>0</v>
      </c>
    </row>
    <row r="64" spans="1:27" x14ac:dyDescent="0.35">
      <c r="A64" s="24">
        <v>50</v>
      </c>
      <c r="B64" s="565" t="str">
        <f>IF('As-Filed Schedule 2J'!B64:D64=0,"",'As-Filed Schedule 2J'!B64:D64)</f>
        <v/>
      </c>
      <c r="C64" s="565"/>
      <c r="D64" s="565"/>
      <c r="F64" s="114">
        <f>'As-Filed Schedule 2J'!F64</f>
        <v>0</v>
      </c>
      <c r="G64" s="307">
        <f>SUMIFS(Adjustments!$G:$G,Adjustments!$H:$H,"2J",Adjustments!$I:$I,'Schedule 2J Adjustments'!$F$12,Adjustments!$J:$J,'Schedule 2J Adjustments'!$A64)</f>
        <v>0</v>
      </c>
      <c r="H64" s="303">
        <f t="shared" si="0"/>
        <v>0</v>
      </c>
      <c r="I64" s="68">
        <f>IFERROR(F64*'As-Filed Schedule 1'!$E$103,0)</f>
        <v>0</v>
      </c>
      <c r="J64" s="304">
        <f>IFERROR(H64*'Adjusted Schedule 1'!$E$104,0)</f>
        <v>0</v>
      </c>
      <c r="K64" s="68">
        <f t="shared" si="1"/>
        <v>0</v>
      </c>
      <c r="L64" s="304">
        <f t="shared" si="2"/>
        <v>0</v>
      </c>
      <c r="N64" s="114">
        <f>'As-Filed Schedule 2J'!J64</f>
        <v>0</v>
      </c>
      <c r="O64" s="307">
        <f>SUMIFS(Adjustments!$G:$G,Adjustments!$H:$H,"2J",Adjustments!$I:$I,'Schedule 2J Adjustments'!$N$12,Adjustments!$J:$J,'Schedule 2J Adjustments'!$A64)</f>
        <v>0</v>
      </c>
      <c r="P64" s="303">
        <f t="shared" si="3"/>
        <v>0</v>
      </c>
      <c r="Q64" s="68">
        <f>IFERROR(N64*'As-Filed Schedule 1'!$E$103,0)</f>
        <v>0</v>
      </c>
      <c r="R64" s="68">
        <f>IFERROR(P64*'Adjusted Schedule 1'!$E$104,0)</f>
        <v>0</v>
      </c>
      <c r="S64" s="68">
        <f t="shared" si="4"/>
        <v>0</v>
      </c>
      <c r="T64" s="304">
        <f t="shared" si="5"/>
        <v>0</v>
      </c>
      <c r="V64" s="117">
        <f>'As-Filed Schedule 2J'!N64</f>
        <v>0</v>
      </c>
      <c r="W64" s="307">
        <f>SUMIFS(Adjustments!$G:$G,Adjustments!$H:$H,"2J",Adjustments!$I:$I,'Schedule 2J Adjustments'!$V$12,Adjustments!$J:$J,'Schedule 2J Adjustments'!$A64)</f>
        <v>0</v>
      </c>
      <c r="X64" s="303">
        <f t="shared" si="6"/>
        <v>0</v>
      </c>
      <c r="Y64" s="117">
        <f>'As-Filed Schedule 2J'!O64</f>
        <v>0</v>
      </c>
      <c r="Z64" s="307">
        <f>SUMIFS(Adjustments!$G:$G,Adjustments!$H:$H,"2J",Adjustments!$I:$I,'Schedule 2J Adjustments'!$Y$12,Adjustments!$J:$J,'Schedule 2J Adjustments'!$A64)</f>
        <v>0</v>
      </c>
      <c r="AA64" s="303">
        <f t="shared" si="7"/>
        <v>0</v>
      </c>
    </row>
    <row r="65" spans="1:27" x14ac:dyDescent="0.35">
      <c r="A65" s="24">
        <v>51</v>
      </c>
      <c r="B65" s="565" t="str">
        <f>IF('As-Filed Schedule 2J'!B65:D65=0,"",'As-Filed Schedule 2J'!B65:D65)</f>
        <v/>
      </c>
      <c r="C65" s="565"/>
      <c r="D65" s="565"/>
      <c r="F65" s="114">
        <f>'As-Filed Schedule 2J'!F65</f>
        <v>0</v>
      </c>
      <c r="G65" s="307">
        <f>SUMIFS(Adjustments!$G:$G,Adjustments!$H:$H,"2J",Adjustments!$I:$I,'Schedule 2J Adjustments'!$F$12,Adjustments!$J:$J,'Schedule 2J Adjustments'!$A65)</f>
        <v>0</v>
      </c>
      <c r="H65" s="303">
        <f t="shared" si="0"/>
        <v>0</v>
      </c>
      <c r="I65" s="68">
        <f>IFERROR(F65*'As-Filed Schedule 1'!$E$103,0)</f>
        <v>0</v>
      </c>
      <c r="J65" s="304">
        <f>IFERROR(H65*'Adjusted Schedule 1'!$E$104,0)</f>
        <v>0</v>
      </c>
      <c r="K65" s="68">
        <f t="shared" si="1"/>
        <v>0</v>
      </c>
      <c r="L65" s="304">
        <f t="shared" si="2"/>
        <v>0</v>
      </c>
      <c r="N65" s="114">
        <f>'As-Filed Schedule 2J'!J65</f>
        <v>0</v>
      </c>
      <c r="O65" s="307">
        <f>SUMIFS(Adjustments!$G:$G,Adjustments!$H:$H,"2J",Adjustments!$I:$I,'Schedule 2J Adjustments'!$N$12,Adjustments!$J:$J,'Schedule 2J Adjustments'!$A65)</f>
        <v>0</v>
      </c>
      <c r="P65" s="303">
        <f t="shared" si="3"/>
        <v>0</v>
      </c>
      <c r="Q65" s="68">
        <f>IFERROR(N65*'As-Filed Schedule 1'!$E$103,0)</f>
        <v>0</v>
      </c>
      <c r="R65" s="68">
        <f>IFERROR(P65*'Adjusted Schedule 1'!$E$104,0)</f>
        <v>0</v>
      </c>
      <c r="S65" s="68">
        <f t="shared" si="4"/>
        <v>0</v>
      </c>
      <c r="T65" s="304">
        <f t="shared" si="5"/>
        <v>0</v>
      </c>
      <c r="V65" s="117">
        <f>'As-Filed Schedule 2J'!N65</f>
        <v>0</v>
      </c>
      <c r="W65" s="307">
        <f>SUMIFS(Adjustments!$G:$G,Adjustments!$H:$H,"2J",Adjustments!$I:$I,'Schedule 2J Adjustments'!$V$12,Adjustments!$J:$J,'Schedule 2J Adjustments'!$A65)</f>
        <v>0</v>
      </c>
      <c r="X65" s="303">
        <f t="shared" si="6"/>
        <v>0</v>
      </c>
      <c r="Y65" s="117">
        <f>'As-Filed Schedule 2J'!O65</f>
        <v>0</v>
      </c>
      <c r="Z65" s="307">
        <f>SUMIFS(Adjustments!$G:$G,Adjustments!$H:$H,"2J",Adjustments!$I:$I,'Schedule 2J Adjustments'!$Y$12,Adjustments!$J:$J,'Schedule 2J Adjustments'!$A65)</f>
        <v>0</v>
      </c>
      <c r="AA65" s="303">
        <f t="shared" si="7"/>
        <v>0</v>
      </c>
    </row>
    <row r="66" spans="1:27" x14ac:dyDescent="0.35">
      <c r="A66" s="24">
        <v>52</v>
      </c>
      <c r="B66" s="565" t="str">
        <f>IF('As-Filed Schedule 2J'!B66:D66=0,"",'As-Filed Schedule 2J'!B66:D66)</f>
        <v/>
      </c>
      <c r="C66" s="565"/>
      <c r="D66" s="565"/>
      <c r="F66" s="114">
        <f>'As-Filed Schedule 2J'!F66</f>
        <v>0</v>
      </c>
      <c r="G66" s="307">
        <f>SUMIFS(Adjustments!$G:$G,Adjustments!$H:$H,"2J",Adjustments!$I:$I,'Schedule 2J Adjustments'!$F$12,Adjustments!$J:$J,'Schedule 2J Adjustments'!$A66)</f>
        <v>0</v>
      </c>
      <c r="H66" s="303">
        <f t="shared" si="0"/>
        <v>0</v>
      </c>
      <c r="I66" s="68">
        <f>IFERROR(F66*'As-Filed Schedule 1'!$E$103,0)</f>
        <v>0</v>
      </c>
      <c r="J66" s="304">
        <f>IFERROR(H66*'Adjusted Schedule 1'!$E$104,0)</f>
        <v>0</v>
      </c>
      <c r="K66" s="68">
        <f t="shared" si="1"/>
        <v>0</v>
      </c>
      <c r="L66" s="304">
        <f t="shared" si="2"/>
        <v>0</v>
      </c>
      <c r="N66" s="114">
        <f>'As-Filed Schedule 2J'!J66</f>
        <v>0</v>
      </c>
      <c r="O66" s="307">
        <f>SUMIFS(Adjustments!$G:$G,Adjustments!$H:$H,"2J",Adjustments!$I:$I,'Schedule 2J Adjustments'!$N$12,Adjustments!$J:$J,'Schedule 2J Adjustments'!$A66)</f>
        <v>0</v>
      </c>
      <c r="P66" s="303">
        <f t="shared" si="3"/>
        <v>0</v>
      </c>
      <c r="Q66" s="68">
        <f>IFERROR(N66*'As-Filed Schedule 1'!$E$103,0)</f>
        <v>0</v>
      </c>
      <c r="R66" s="68">
        <f>IFERROR(P66*'Adjusted Schedule 1'!$E$104,0)</f>
        <v>0</v>
      </c>
      <c r="S66" s="68">
        <f t="shared" si="4"/>
        <v>0</v>
      </c>
      <c r="T66" s="304">
        <f t="shared" si="5"/>
        <v>0</v>
      </c>
      <c r="V66" s="117">
        <f>'As-Filed Schedule 2J'!N66</f>
        <v>0</v>
      </c>
      <c r="W66" s="307">
        <f>SUMIFS(Adjustments!$G:$G,Adjustments!$H:$H,"2J",Adjustments!$I:$I,'Schedule 2J Adjustments'!$V$12,Adjustments!$J:$J,'Schedule 2J Adjustments'!$A66)</f>
        <v>0</v>
      </c>
      <c r="X66" s="303">
        <f t="shared" si="6"/>
        <v>0</v>
      </c>
      <c r="Y66" s="117">
        <f>'As-Filed Schedule 2J'!O66</f>
        <v>0</v>
      </c>
      <c r="Z66" s="307">
        <f>SUMIFS(Adjustments!$G:$G,Adjustments!$H:$H,"2J",Adjustments!$I:$I,'Schedule 2J Adjustments'!$Y$12,Adjustments!$J:$J,'Schedule 2J Adjustments'!$A66)</f>
        <v>0</v>
      </c>
      <c r="AA66" s="303">
        <f t="shared" si="7"/>
        <v>0</v>
      </c>
    </row>
    <row r="67" spans="1:27" x14ac:dyDescent="0.35">
      <c r="A67" s="24">
        <v>53</v>
      </c>
      <c r="B67" s="565" t="str">
        <f>IF('As-Filed Schedule 2J'!B67:D67=0,"",'As-Filed Schedule 2J'!B67:D67)</f>
        <v/>
      </c>
      <c r="C67" s="565"/>
      <c r="D67" s="565"/>
      <c r="F67" s="114">
        <f>'As-Filed Schedule 2J'!F67</f>
        <v>0</v>
      </c>
      <c r="G67" s="307">
        <f>SUMIFS(Adjustments!$G:$G,Adjustments!$H:$H,"2J",Adjustments!$I:$I,'Schedule 2J Adjustments'!$F$12,Adjustments!$J:$J,'Schedule 2J Adjustments'!$A67)</f>
        <v>0</v>
      </c>
      <c r="H67" s="303">
        <f t="shared" si="0"/>
        <v>0</v>
      </c>
      <c r="I67" s="68">
        <f>IFERROR(F67*'As-Filed Schedule 1'!$E$103,0)</f>
        <v>0</v>
      </c>
      <c r="J67" s="304">
        <f>IFERROR(H67*'Adjusted Schedule 1'!$E$104,0)</f>
        <v>0</v>
      </c>
      <c r="K67" s="68">
        <f t="shared" si="1"/>
        <v>0</v>
      </c>
      <c r="L67" s="304">
        <f t="shared" si="2"/>
        <v>0</v>
      </c>
      <c r="N67" s="114">
        <f>'As-Filed Schedule 2J'!J67</f>
        <v>0</v>
      </c>
      <c r="O67" s="307">
        <f>SUMIFS(Adjustments!$G:$G,Adjustments!$H:$H,"2J",Adjustments!$I:$I,'Schedule 2J Adjustments'!$N$12,Adjustments!$J:$J,'Schedule 2J Adjustments'!$A67)</f>
        <v>0</v>
      </c>
      <c r="P67" s="303">
        <f t="shared" si="3"/>
        <v>0</v>
      </c>
      <c r="Q67" s="68">
        <f>IFERROR(N67*'As-Filed Schedule 1'!$E$103,0)</f>
        <v>0</v>
      </c>
      <c r="R67" s="68">
        <f>IFERROR(P67*'Adjusted Schedule 1'!$E$104,0)</f>
        <v>0</v>
      </c>
      <c r="S67" s="68">
        <f t="shared" si="4"/>
        <v>0</v>
      </c>
      <c r="T67" s="304">
        <f t="shared" si="5"/>
        <v>0</v>
      </c>
      <c r="V67" s="117">
        <f>'As-Filed Schedule 2J'!N67</f>
        <v>0</v>
      </c>
      <c r="W67" s="307">
        <f>SUMIFS(Adjustments!$G:$G,Adjustments!$H:$H,"2J",Adjustments!$I:$I,'Schedule 2J Adjustments'!$V$12,Adjustments!$J:$J,'Schedule 2J Adjustments'!$A67)</f>
        <v>0</v>
      </c>
      <c r="X67" s="303">
        <f t="shared" si="6"/>
        <v>0</v>
      </c>
      <c r="Y67" s="117">
        <f>'As-Filed Schedule 2J'!O67</f>
        <v>0</v>
      </c>
      <c r="Z67" s="307">
        <f>SUMIFS(Adjustments!$G:$G,Adjustments!$H:$H,"2J",Adjustments!$I:$I,'Schedule 2J Adjustments'!$Y$12,Adjustments!$J:$J,'Schedule 2J Adjustments'!$A67)</f>
        <v>0</v>
      </c>
      <c r="AA67" s="303">
        <f t="shared" si="7"/>
        <v>0</v>
      </c>
    </row>
    <row r="68" spans="1:27" x14ac:dyDescent="0.35">
      <c r="A68" s="24">
        <v>54</v>
      </c>
      <c r="B68" s="565" t="str">
        <f>IF('As-Filed Schedule 2J'!B68:D68=0,"",'As-Filed Schedule 2J'!B68:D68)</f>
        <v/>
      </c>
      <c r="C68" s="565"/>
      <c r="D68" s="565"/>
      <c r="F68" s="114">
        <f>'As-Filed Schedule 2J'!F68</f>
        <v>0</v>
      </c>
      <c r="G68" s="307">
        <f>SUMIFS(Adjustments!$G:$G,Adjustments!$H:$H,"2J",Adjustments!$I:$I,'Schedule 2J Adjustments'!$F$12,Adjustments!$J:$J,'Schedule 2J Adjustments'!$A68)</f>
        <v>0</v>
      </c>
      <c r="H68" s="303">
        <f t="shared" si="0"/>
        <v>0</v>
      </c>
      <c r="I68" s="68">
        <f>IFERROR(F68*'As-Filed Schedule 1'!$E$103,0)</f>
        <v>0</v>
      </c>
      <c r="J68" s="304">
        <f>IFERROR(H68*'Adjusted Schedule 1'!$E$104,0)</f>
        <v>0</v>
      </c>
      <c r="K68" s="68">
        <f t="shared" si="1"/>
        <v>0</v>
      </c>
      <c r="L68" s="304">
        <f t="shared" si="2"/>
        <v>0</v>
      </c>
      <c r="N68" s="114">
        <f>'As-Filed Schedule 2J'!J68</f>
        <v>0</v>
      </c>
      <c r="O68" s="307">
        <f>SUMIFS(Adjustments!$G:$G,Adjustments!$H:$H,"2J",Adjustments!$I:$I,'Schedule 2J Adjustments'!$N$12,Adjustments!$J:$J,'Schedule 2J Adjustments'!$A68)</f>
        <v>0</v>
      </c>
      <c r="P68" s="303">
        <f t="shared" si="3"/>
        <v>0</v>
      </c>
      <c r="Q68" s="68">
        <f>IFERROR(N68*'As-Filed Schedule 1'!$E$103,0)</f>
        <v>0</v>
      </c>
      <c r="R68" s="68">
        <f>IFERROR(P68*'Adjusted Schedule 1'!$E$104,0)</f>
        <v>0</v>
      </c>
      <c r="S68" s="68">
        <f t="shared" si="4"/>
        <v>0</v>
      </c>
      <c r="T68" s="304">
        <f t="shared" si="5"/>
        <v>0</v>
      </c>
      <c r="V68" s="117">
        <f>'As-Filed Schedule 2J'!N68</f>
        <v>0</v>
      </c>
      <c r="W68" s="307">
        <f>SUMIFS(Adjustments!$G:$G,Adjustments!$H:$H,"2J",Adjustments!$I:$I,'Schedule 2J Adjustments'!$V$12,Adjustments!$J:$J,'Schedule 2J Adjustments'!$A68)</f>
        <v>0</v>
      </c>
      <c r="X68" s="303">
        <f t="shared" si="6"/>
        <v>0</v>
      </c>
      <c r="Y68" s="117">
        <f>'As-Filed Schedule 2J'!O68</f>
        <v>0</v>
      </c>
      <c r="Z68" s="307">
        <f>SUMIFS(Adjustments!$G:$G,Adjustments!$H:$H,"2J",Adjustments!$I:$I,'Schedule 2J Adjustments'!$Y$12,Adjustments!$J:$J,'Schedule 2J Adjustments'!$A68)</f>
        <v>0</v>
      </c>
      <c r="AA68" s="303">
        <f t="shared" si="7"/>
        <v>0</v>
      </c>
    </row>
    <row r="69" spans="1:27" x14ac:dyDescent="0.35">
      <c r="A69" s="24">
        <v>55</v>
      </c>
      <c r="B69" s="565" t="str">
        <f>IF('As-Filed Schedule 2J'!B69:D69=0,"",'As-Filed Schedule 2J'!B69:D69)</f>
        <v/>
      </c>
      <c r="C69" s="565"/>
      <c r="D69" s="565"/>
      <c r="F69" s="114">
        <f>'As-Filed Schedule 2J'!F69</f>
        <v>0</v>
      </c>
      <c r="G69" s="307">
        <f>SUMIFS(Adjustments!$G:$G,Adjustments!$H:$H,"2J",Adjustments!$I:$I,'Schedule 2J Adjustments'!$F$12,Adjustments!$J:$J,'Schedule 2J Adjustments'!$A69)</f>
        <v>0</v>
      </c>
      <c r="H69" s="303">
        <f t="shared" si="0"/>
        <v>0</v>
      </c>
      <c r="I69" s="68">
        <f>IFERROR(F69*'As-Filed Schedule 1'!$E$103,0)</f>
        <v>0</v>
      </c>
      <c r="J69" s="304">
        <f>IFERROR(H69*'Adjusted Schedule 1'!$E$104,0)</f>
        <v>0</v>
      </c>
      <c r="K69" s="68">
        <f t="shared" si="1"/>
        <v>0</v>
      </c>
      <c r="L69" s="304">
        <f t="shared" si="2"/>
        <v>0</v>
      </c>
      <c r="N69" s="114">
        <f>'As-Filed Schedule 2J'!J69</f>
        <v>0</v>
      </c>
      <c r="O69" s="307">
        <f>SUMIFS(Adjustments!$G:$G,Adjustments!$H:$H,"2J",Adjustments!$I:$I,'Schedule 2J Adjustments'!$N$12,Adjustments!$J:$J,'Schedule 2J Adjustments'!$A69)</f>
        <v>0</v>
      </c>
      <c r="P69" s="303">
        <f t="shared" si="3"/>
        <v>0</v>
      </c>
      <c r="Q69" s="68">
        <f>IFERROR(N69*'As-Filed Schedule 1'!$E$103,0)</f>
        <v>0</v>
      </c>
      <c r="R69" s="68">
        <f>IFERROR(P69*'Adjusted Schedule 1'!$E$104,0)</f>
        <v>0</v>
      </c>
      <c r="S69" s="68">
        <f t="shared" si="4"/>
        <v>0</v>
      </c>
      <c r="T69" s="304">
        <f t="shared" si="5"/>
        <v>0</v>
      </c>
      <c r="V69" s="117">
        <f>'As-Filed Schedule 2J'!N69</f>
        <v>0</v>
      </c>
      <c r="W69" s="307">
        <f>SUMIFS(Adjustments!$G:$G,Adjustments!$H:$H,"2J",Adjustments!$I:$I,'Schedule 2J Adjustments'!$V$12,Adjustments!$J:$J,'Schedule 2J Adjustments'!$A69)</f>
        <v>0</v>
      </c>
      <c r="X69" s="303">
        <f t="shared" si="6"/>
        <v>0</v>
      </c>
      <c r="Y69" s="117">
        <f>'As-Filed Schedule 2J'!O69</f>
        <v>0</v>
      </c>
      <c r="Z69" s="307">
        <f>SUMIFS(Adjustments!$G:$G,Adjustments!$H:$H,"2J",Adjustments!$I:$I,'Schedule 2J Adjustments'!$Y$12,Adjustments!$J:$J,'Schedule 2J Adjustments'!$A69)</f>
        <v>0</v>
      </c>
      <c r="AA69" s="303">
        <f t="shared" si="7"/>
        <v>0</v>
      </c>
    </row>
    <row r="70" spans="1:27" x14ac:dyDescent="0.35">
      <c r="A70" s="24">
        <v>56</v>
      </c>
      <c r="B70" s="565" t="str">
        <f>IF('As-Filed Schedule 2J'!B70:D70=0,"",'As-Filed Schedule 2J'!B70:D70)</f>
        <v/>
      </c>
      <c r="C70" s="565"/>
      <c r="D70" s="565"/>
      <c r="F70" s="114">
        <f>'As-Filed Schedule 2J'!F70</f>
        <v>0</v>
      </c>
      <c r="G70" s="307">
        <f>SUMIFS(Adjustments!$G:$G,Adjustments!$H:$H,"2J",Adjustments!$I:$I,'Schedule 2J Adjustments'!$F$12,Adjustments!$J:$J,'Schedule 2J Adjustments'!$A70)</f>
        <v>0</v>
      </c>
      <c r="H70" s="303">
        <f t="shared" si="0"/>
        <v>0</v>
      </c>
      <c r="I70" s="68">
        <f>IFERROR(F70*'As-Filed Schedule 1'!$E$103,0)</f>
        <v>0</v>
      </c>
      <c r="J70" s="304">
        <f>IFERROR(H70*'Adjusted Schedule 1'!$E$104,0)</f>
        <v>0</v>
      </c>
      <c r="K70" s="68">
        <f t="shared" si="1"/>
        <v>0</v>
      </c>
      <c r="L70" s="304">
        <f t="shared" si="2"/>
        <v>0</v>
      </c>
      <c r="N70" s="114">
        <f>'As-Filed Schedule 2J'!J70</f>
        <v>0</v>
      </c>
      <c r="O70" s="307">
        <f>SUMIFS(Adjustments!$G:$G,Adjustments!$H:$H,"2J",Adjustments!$I:$I,'Schedule 2J Adjustments'!$N$12,Adjustments!$J:$J,'Schedule 2J Adjustments'!$A70)</f>
        <v>0</v>
      </c>
      <c r="P70" s="303">
        <f t="shared" si="3"/>
        <v>0</v>
      </c>
      <c r="Q70" s="68">
        <f>IFERROR(N70*'As-Filed Schedule 1'!$E$103,0)</f>
        <v>0</v>
      </c>
      <c r="R70" s="68">
        <f>IFERROR(P70*'Adjusted Schedule 1'!$E$104,0)</f>
        <v>0</v>
      </c>
      <c r="S70" s="68">
        <f t="shared" si="4"/>
        <v>0</v>
      </c>
      <c r="T70" s="304">
        <f t="shared" si="5"/>
        <v>0</v>
      </c>
      <c r="V70" s="117">
        <f>'As-Filed Schedule 2J'!N70</f>
        <v>0</v>
      </c>
      <c r="W70" s="307">
        <f>SUMIFS(Adjustments!$G:$G,Adjustments!$H:$H,"2J",Adjustments!$I:$I,'Schedule 2J Adjustments'!$V$12,Adjustments!$J:$J,'Schedule 2J Adjustments'!$A70)</f>
        <v>0</v>
      </c>
      <c r="X70" s="303">
        <f t="shared" si="6"/>
        <v>0</v>
      </c>
      <c r="Y70" s="117">
        <f>'As-Filed Schedule 2J'!O70</f>
        <v>0</v>
      </c>
      <c r="Z70" s="307">
        <f>SUMIFS(Adjustments!$G:$G,Adjustments!$H:$H,"2J",Adjustments!$I:$I,'Schedule 2J Adjustments'!$Y$12,Adjustments!$J:$J,'Schedule 2J Adjustments'!$A70)</f>
        <v>0</v>
      </c>
      <c r="AA70" s="303">
        <f t="shared" si="7"/>
        <v>0</v>
      </c>
    </row>
    <row r="71" spans="1:27" x14ac:dyDescent="0.35">
      <c r="A71" s="24">
        <v>57</v>
      </c>
      <c r="B71" s="565" t="str">
        <f>IF('As-Filed Schedule 2J'!B71:D71=0,"",'As-Filed Schedule 2J'!B71:D71)</f>
        <v/>
      </c>
      <c r="C71" s="565"/>
      <c r="D71" s="565"/>
      <c r="F71" s="114">
        <f>'As-Filed Schedule 2J'!F71</f>
        <v>0</v>
      </c>
      <c r="G71" s="307">
        <f>SUMIFS(Adjustments!$G:$G,Adjustments!$H:$H,"2J",Adjustments!$I:$I,'Schedule 2J Adjustments'!$F$12,Adjustments!$J:$J,'Schedule 2J Adjustments'!$A71)</f>
        <v>0</v>
      </c>
      <c r="H71" s="303">
        <f t="shared" si="0"/>
        <v>0</v>
      </c>
      <c r="I71" s="68">
        <f>IFERROR(F71*'As-Filed Schedule 1'!$E$103,0)</f>
        <v>0</v>
      </c>
      <c r="J71" s="304">
        <f>IFERROR(H71*'Adjusted Schedule 1'!$E$104,0)</f>
        <v>0</v>
      </c>
      <c r="K71" s="68">
        <f t="shared" si="1"/>
        <v>0</v>
      </c>
      <c r="L71" s="304">
        <f t="shared" si="2"/>
        <v>0</v>
      </c>
      <c r="N71" s="114">
        <f>'As-Filed Schedule 2J'!J71</f>
        <v>0</v>
      </c>
      <c r="O71" s="307">
        <f>SUMIFS(Adjustments!$G:$G,Adjustments!$H:$H,"2J",Adjustments!$I:$I,'Schedule 2J Adjustments'!$N$12,Adjustments!$J:$J,'Schedule 2J Adjustments'!$A71)</f>
        <v>0</v>
      </c>
      <c r="P71" s="303">
        <f t="shared" si="3"/>
        <v>0</v>
      </c>
      <c r="Q71" s="68">
        <f>IFERROR(N71*'As-Filed Schedule 1'!$E$103,0)</f>
        <v>0</v>
      </c>
      <c r="R71" s="68">
        <f>IFERROR(P71*'Adjusted Schedule 1'!$E$104,0)</f>
        <v>0</v>
      </c>
      <c r="S71" s="68">
        <f t="shared" si="4"/>
        <v>0</v>
      </c>
      <c r="T71" s="304">
        <f t="shared" si="5"/>
        <v>0</v>
      </c>
      <c r="V71" s="117">
        <f>'As-Filed Schedule 2J'!N71</f>
        <v>0</v>
      </c>
      <c r="W71" s="307">
        <f>SUMIFS(Adjustments!$G:$G,Adjustments!$H:$H,"2J",Adjustments!$I:$I,'Schedule 2J Adjustments'!$V$12,Adjustments!$J:$J,'Schedule 2J Adjustments'!$A71)</f>
        <v>0</v>
      </c>
      <c r="X71" s="303">
        <f t="shared" si="6"/>
        <v>0</v>
      </c>
      <c r="Y71" s="117">
        <f>'As-Filed Schedule 2J'!O71</f>
        <v>0</v>
      </c>
      <c r="Z71" s="307">
        <f>SUMIFS(Adjustments!$G:$G,Adjustments!$H:$H,"2J",Adjustments!$I:$I,'Schedule 2J Adjustments'!$Y$12,Adjustments!$J:$J,'Schedule 2J Adjustments'!$A71)</f>
        <v>0</v>
      </c>
      <c r="AA71" s="303">
        <f t="shared" si="7"/>
        <v>0</v>
      </c>
    </row>
    <row r="72" spans="1:27" x14ac:dyDescent="0.35">
      <c r="A72" s="24">
        <v>58</v>
      </c>
      <c r="B72" s="565" t="str">
        <f>IF('As-Filed Schedule 2J'!B72:D72=0,"",'As-Filed Schedule 2J'!B72:D72)</f>
        <v/>
      </c>
      <c r="C72" s="565"/>
      <c r="D72" s="565"/>
      <c r="F72" s="114">
        <f>'As-Filed Schedule 2J'!F72</f>
        <v>0</v>
      </c>
      <c r="G72" s="307">
        <f>SUMIFS(Adjustments!$G:$G,Adjustments!$H:$H,"2J",Adjustments!$I:$I,'Schedule 2J Adjustments'!$F$12,Adjustments!$J:$J,'Schedule 2J Adjustments'!$A72)</f>
        <v>0</v>
      </c>
      <c r="H72" s="303">
        <f t="shared" si="0"/>
        <v>0</v>
      </c>
      <c r="I72" s="68">
        <f>IFERROR(F72*'As-Filed Schedule 1'!$E$103,0)</f>
        <v>0</v>
      </c>
      <c r="J72" s="304">
        <f>IFERROR(H72*'Adjusted Schedule 1'!$E$104,0)</f>
        <v>0</v>
      </c>
      <c r="K72" s="68">
        <f t="shared" si="1"/>
        <v>0</v>
      </c>
      <c r="L72" s="304">
        <f t="shared" si="2"/>
        <v>0</v>
      </c>
      <c r="N72" s="114">
        <f>'As-Filed Schedule 2J'!J72</f>
        <v>0</v>
      </c>
      <c r="O72" s="307">
        <f>SUMIFS(Adjustments!$G:$G,Adjustments!$H:$H,"2J",Adjustments!$I:$I,'Schedule 2J Adjustments'!$N$12,Adjustments!$J:$J,'Schedule 2J Adjustments'!$A72)</f>
        <v>0</v>
      </c>
      <c r="P72" s="303">
        <f t="shared" si="3"/>
        <v>0</v>
      </c>
      <c r="Q72" s="68">
        <f>IFERROR(N72*'As-Filed Schedule 1'!$E$103,0)</f>
        <v>0</v>
      </c>
      <c r="R72" s="68">
        <f>IFERROR(P72*'Adjusted Schedule 1'!$E$104,0)</f>
        <v>0</v>
      </c>
      <c r="S72" s="68">
        <f t="shared" si="4"/>
        <v>0</v>
      </c>
      <c r="T72" s="304">
        <f t="shared" si="5"/>
        <v>0</v>
      </c>
      <c r="V72" s="117">
        <f>'As-Filed Schedule 2J'!N72</f>
        <v>0</v>
      </c>
      <c r="W72" s="307">
        <f>SUMIFS(Adjustments!$G:$G,Adjustments!$H:$H,"2J",Adjustments!$I:$I,'Schedule 2J Adjustments'!$V$12,Adjustments!$J:$J,'Schedule 2J Adjustments'!$A72)</f>
        <v>0</v>
      </c>
      <c r="X72" s="303">
        <f t="shared" si="6"/>
        <v>0</v>
      </c>
      <c r="Y72" s="117">
        <f>'As-Filed Schedule 2J'!O72</f>
        <v>0</v>
      </c>
      <c r="Z72" s="307">
        <f>SUMIFS(Adjustments!$G:$G,Adjustments!$H:$H,"2J",Adjustments!$I:$I,'Schedule 2J Adjustments'!$Y$12,Adjustments!$J:$J,'Schedule 2J Adjustments'!$A72)</f>
        <v>0</v>
      </c>
      <c r="AA72" s="303">
        <f t="shared" si="7"/>
        <v>0</v>
      </c>
    </row>
    <row r="73" spans="1:27" x14ac:dyDescent="0.35">
      <c r="A73" s="24">
        <v>59</v>
      </c>
      <c r="F73" s="18">
        <f>SUM(F15:F72)</f>
        <v>0</v>
      </c>
      <c r="G73" s="18">
        <f>SUM(G15:G72)</f>
        <v>0</v>
      </c>
      <c r="H73" s="18">
        <f t="shared" ref="H73:K73" si="8">SUM(H15:H72)</f>
        <v>0</v>
      </c>
      <c r="I73" s="18">
        <f t="shared" si="8"/>
        <v>0</v>
      </c>
      <c r="J73" s="304">
        <f>IFERROR(H73*'Adjusted Schedule 1'!$E$104,0)</f>
        <v>0</v>
      </c>
      <c r="K73" s="18">
        <f t="shared" si="8"/>
        <v>0</v>
      </c>
      <c r="L73" s="305">
        <f t="shared" ref="L73" si="9">SUM(L15:L72)</f>
        <v>0</v>
      </c>
      <c r="N73" s="18">
        <f>SUM(N15:N72)</f>
        <v>0</v>
      </c>
      <c r="O73" s="18">
        <f t="shared" ref="O73:S73" si="10">SUM(O15:O72)</f>
        <v>0</v>
      </c>
      <c r="P73" s="18">
        <f t="shared" si="10"/>
        <v>0</v>
      </c>
      <c r="Q73" s="18">
        <f t="shared" si="10"/>
        <v>0</v>
      </c>
      <c r="R73" s="18">
        <f t="shared" si="10"/>
        <v>0</v>
      </c>
      <c r="S73" s="18">
        <f t="shared" si="10"/>
        <v>0</v>
      </c>
      <c r="T73" s="305">
        <f>SUM(T15:T72)</f>
        <v>0</v>
      </c>
      <c r="Y73" s="83" t="s">
        <v>313</v>
      </c>
      <c r="Z73" s="325"/>
      <c r="AA73" s="322"/>
    </row>
    <row r="74" spans="1:27" ht="15" thickBot="1" x14ac:dyDescent="0.4">
      <c r="K74" s="37" t="s">
        <v>257</v>
      </c>
      <c r="L74" s="318" t="s">
        <v>257</v>
      </c>
      <c r="S74" s="37" t="s">
        <v>258</v>
      </c>
      <c r="T74" s="318" t="s">
        <v>258</v>
      </c>
    </row>
    <row r="75" spans="1:27" s="72" customFormat="1" ht="16" thickBot="1" x14ac:dyDescent="0.4">
      <c r="A75" s="24">
        <v>60</v>
      </c>
      <c r="B75" s="73" t="s">
        <v>817</v>
      </c>
      <c r="F75" s="75">
        <f>K73+S73</f>
        <v>0</v>
      </c>
      <c r="G75"/>
      <c r="H75" s="75">
        <f>L73+T73</f>
        <v>0</v>
      </c>
      <c r="I75" s="74"/>
      <c r="J75" s="319"/>
      <c r="K75" s="74"/>
      <c r="L75" s="319"/>
      <c r="N75" s="74"/>
      <c r="O75" s="326"/>
      <c r="P75" s="319"/>
      <c r="Q75" s="74"/>
      <c r="R75" s="319"/>
      <c r="T75" s="321"/>
      <c r="W75" s="324"/>
      <c r="X75" s="321"/>
      <c r="Z75" s="324"/>
      <c r="AA75" s="321"/>
    </row>
  </sheetData>
  <sheetProtection sheet="1" objects="1" scenarios="1"/>
  <dataConsolidate/>
  <customSheetViews>
    <customSheetView guid="{17302493-42B1-4877-869E-E424A97AE78B}" state="hidden" topLeftCell="T1">
      <selection activeCell="F17" sqref="F17"/>
      <pageMargins left="0.7" right="0.7" top="0.75" bottom="0.75" header="0.3" footer="0.3"/>
    </customSheetView>
    <customSheetView guid="{5C0BA3A5-859C-46C2-B685-44D9A90065E4}" topLeftCell="T1">
      <selection activeCell="F8" sqref="F8"/>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AA75"/>
  <sheetViews>
    <sheetView topLeftCell="V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53"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53"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53" customWidth="1"/>
    <col min="24" max="24" width="13.26953125" style="48" customWidth="1"/>
    <col min="25" max="25" width="12" customWidth="1"/>
    <col min="26" max="26" width="16.1796875" style="253" customWidth="1"/>
    <col min="27" max="27" width="12" style="48" customWidth="1"/>
  </cols>
  <sheetData>
    <row r="1" spans="1:27" ht="26" x14ac:dyDescent="0.6">
      <c r="A1" s="3" t="s">
        <v>777</v>
      </c>
    </row>
    <row r="2" spans="1:27" ht="21" x14ac:dyDescent="0.5">
      <c r="A2" s="2" t="s">
        <v>775</v>
      </c>
    </row>
    <row r="3" spans="1:27" ht="25" customHeight="1" x14ac:dyDescent="0.5">
      <c r="A3" s="546" t="s">
        <v>848</v>
      </c>
      <c r="B3" s="546"/>
      <c r="C3" s="546"/>
      <c r="D3" s="546"/>
      <c r="E3" s="546"/>
      <c r="F3" s="546"/>
      <c r="G3" s="546"/>
      <c r="H3" s="546"/>
      <c r="I3" s="546"/>
      <c r="J3" s="546"/>
      <c r="K3" s="546"/>
      <c r="L3" s="315"/>
    </row>
    <row r="5" spans="1:27" x14ac:dyDescent="0.35">
      <c r="A5" s="1" t="s">
        <v>776</v>
      </c>
      <c r="C5" s="414" t="str">
        <f>Results!$C$6</f>
        <v>WellPower</v>
      </c>
    </row>
    <row r="6" spans="1:27" x14ac:dyDescent="0.35">
      <c r="A6" s="1" t="s">
        <v>0</v>
      </c>
      <c r="C6" s="35">
        <f>Results!$C$7</f>
        <v>45473</v>
      </c>
      <c r="F6" s="35"/>
      <c r="G6" s="313"/>
      <c r="H6" s="60"/>
    </row>
    <row r="8" spans="1:27" x14ac:dyDescent="0.35">
      <c r="A8" s="1" t="s">
        <v>253</v>
      </c>
      <c r="B8" s="1" t="s">
        <v>831</v>
      </c>
      <c r="C8" s="1"/>
      <c r="F8" s="116" t="str">
        <f>'As-Filed Schedule 2K'!F8</f>
        <v>Yes/No</v>
      </c>
      <c r="G8" s="41" t="s">
        <v>259</v>
      </c>
    </row>
    <row r="10" spans="1:27" x14ac:dyDescent="0.35">
      <c r="A10" s="1" t="s">
        <v>254</v>
      </c>
      <c r="B10" s="1" t="s">
        <v>256</v>
      </c>
      <c r="C10" s="1"/>
    </row>
    <row r="12" spans="1:27" x14ac:dyDescent="0.35">
      <c r="B12" s="560">
        <v>1</v>
      </c>
      <c r="C12" s="560"/>
      <c r="D12" s="560"/>
      <c r="F12" s="23">
        <v>2</v>
      </c>
      <c r="G12" s="248" t="s">
        <v>550</v>
      </c>
      <c r="H12" s="249" t="s">
        <v>551</v>
      </c>
      <c r="I12" s="23">
        <v>3</v>
      </c>
      <c r="J12" s="249" t="s">
        <v>555</v>
      </c>
      <c r="K12" s="23">
        <v>4</v>
      </c>
      <c r="L12" s="249" t="s">
        <v>559</v>
      </c>
      <c r="N12" s="23">
        <v>5</v>
      </c>
      <c r="O12" s="248" t="s">
        <v>560</v>
      </c>
      <c r="P12" s="249" t="s">
        <v>561</v>
      </c>
      <c r="Q12" s="23">
        <v>6</v>
      </c>
      <c r="R12" s="249" t="s">
        <v>565</v>
      </c>
      <c r="S12" s="23">
        <v>7</v>
      </c>
      <c r="T12" s="249" t="s">
        <v>569</v>
      </c>
      <c r="V12" s="23">
        <v>8</v>
      </c>
      <c r="W12" s="248" t="s">
        <v>610</v>
      </c>
      <c r="X12" s="249" t="s">
        <v>623</v>
      </c>
      <c r="Y12" s="23">
        <v>9</v>
      </c>
      <c r="Z12" s="248" t="s">
        <v>612</v>
      </c>
      <c r="AA12" s="249" t="s">
        <v>613</v>
      </c>
    </row>
    <row r="13" spans="1:27" ht="15" customHeight="1" x14ac:dyDescent="0.35">
      <c r="B13" s="561" t="s">
        <v>255</v>
      </c>
      <c r="C13" s="561"/>
      <c r="D13" s="561"/>
      <c r="F13" s="563" t="s">
        <v>261</v>
      </c>
      <c r="G13" s="568"/>
      <c r="H13" s="568"/>
      <c r="I13" s="568"/>
      <c r="J13" s="568"/>
      <c r="K13" s="568"/>
      <c r="L13" s="564"/>
      <c r="N13" s="563" t="s">
        <v>262</v>
      </c>
      <c r="O13" s="568"/>
      <c r="P13" s="568"/>
      <c r="Q13" s="568"/>
      <c r="R13" s="568"/>
      <c r="S13" s="568"/>
      <c r="T13" s="564"/>
      <c r="V13" s="562" t="s">
        <v>250</v>
      </c>
      <c r="W13" s="621" t="s">
        <v>614</v>
      </c>
      <c r="X13" s="622" t="s">
        <v>615</v>
      </c>
      <c r="Y13" s="562" t="s">
        <v>312</v>
      </c>
      <c r="Z13" s="621" t="s">
        <v>624</v>
      </c>
      <c r="AA13" s="622" t="s">
        <v>625</v>
      </c>
    </row>
    <row r="14" spans="1:27" ht="55.5" customHeight="1" x14ac:dyDescent="0.35">
      <c r="B14" s="561"/>
      <c r="C14" s="561"/>
      <c r="D14" s="561"/>
      <c r="E14" s="48"/>
      <c r="F14" s="10" t="s">
        <v>214</v>
      </c>
      <c r="G14" s="250" t="s">
        <v>603</v>
      </c>
      <c r="H14" s="251" t="s">
        <v>604</v>
      </c>
      <c r="I14" s="142" t="s">
        <v>493</v>
      </c>
      <c r="J14" s="251" t="s">
        <v>607</v>
      </c>
      <c r="K14" s="142" t="s">
        <v>215</v>
      </c>
      <c r="L14" s="251" t="s">
        <v>609</v>
      </c>
      <c r="M14" s="48"/>
      <c r="N14" s="142" t="s">
        <v>214</v>
      </c>
      <c r="O14" s="250" t="s">
        <v>603</v>
      </c>
      <c r="P14" s="251" t="s">
        <v>604</v>
      </c>
      <c r="Q14" s="142" t="s">
        <v>493</v>
      </c>
      <c r="R14" s="251" t="s">
        <v>607</v>
      </c>
      <c r="S14" s="10" t="s">
        <v>215</v>
      </c>
      <c r="T14" s="251" t="s">
        <v>609</v>
      </c>
      <c r="U14" s="48"/>
      <c r="V14" s="562"/>
      <c r="W14" s="621"/>
      <c r="X14" s="622"/>
      <c r="Y14" s="562"/>
      <c r="Z14" s="621"/>
      <c r="AA14" s="622"/>
    </row>
    <row r="15" spans="1:27" x14ac:dyDescent="0.35">
      <c r="A15" s="24">
        <v>1</v>
      </c>
      <c r="B15" s="565" t="str">
        <f>IF('As-Filed Schedule 2K'!B15:D15=0,"",'As-Filed Schedule 2K'!B15:D15)</f>
        <v/>
      </c>
      <c r="C15" s="565"/>
      <c r="D15" s="565"/>
      <c r="F15" s="114">
        <f>'As-Filed Schedule 2K'!F15</f>
        <v>0</v>
      </c>
      <c r="G15" s="307">
        <f>SUMIFS(Adjustments!$G:$G,Adjustments!$H:$H,"2K",Adjustments!$I:$I,'Schedule 2K Adjustments'!$F$12,Adjustments!$J:$J,'Schedule 2K Adjustments'!$A15)</f>
        <v>0</v>
      </c>
      <c r="H15" s="303">
        <f>SUM(F15:G15)</f>
        <v>0</v>
      </c>
      <c r="I15" s="68">
        <f>IFERROR(F15*'As-Filed Schedule 1'!$E$103,0)</f>
        <v>0</v>
      </c>
      <c r="J15" s="304">
        <f>IFERROR(H15*'Adjusted Schedule 1'!$E$104,0)</f>
        <v>0</v>
      </c>
      <c r="K15" s="68">
        <f>SUM(F15,I15)</f>
        <v>0</v>
      </c>
      <c r="L15" s="304">
        <f>SUM(H15,J15)</f>
        <v>0</v>
      </c>
      <c r="N15" s="114">
        <f>'As-Filed Schedule 2K'!J15</f>
        <v>0</v>
      </c>
      <c r="O15" s="307">
        <f>SUMIFS(Adjustments!$G:$G,Adjustments!$H:$H,"2K",Adjustments!$I:$I,'Schedule 2K Adjustments'!$N$12,Adjustments!$J:$J,'Schedule 2K Adjustments'!$A15)</f>
        <v>0</v>
      </c>
      <c r="P15" s="303">
        <f>SUM(N15:O15)</f>
        <v>0</v>
      </c>
      <c r="Q15" s="68">
        <f>IFERROR(N15*'As-Filed Schedule 1'!$E$103,0)</f>
        <v>0</v>
      </c>
      <c r="R15" s="68">
        <f>IFERROR(P15*'Adjusted Schedule 1'!$E$104,0)</f>
        <v>0</v>
      </c>
      <c r="S15" s="68">
        <f>SUM(N15,Q15)</f>
        <v>0</v>
      </c>
      <c r="T15" s="304">
        <f>SUM(P15,R15)</f>
        <v>0</v>
      </c>
      <c r="V15" s="117">
        <f>'As-Filed Schedule 2K'!N15</f>
        <v>0</v>
      </c>
      <c r="W15" s="307">
        <f>SUMIFS(Adjustments!$G:$G,Adjustments!$H:$H,"2K",Adjustments!$I:$I,'Schedule 2K Adjustments'!$V$12,Adjustments!$J:$J,'Schedule 2K Adjustments'!$A15)</f>
        <v>0</v>
      </c>
      <c r="X15" s="303">
        <f>SUM(V15:W15)</f>
        <v>0</v>
      </c>
      <c r="Y15" s="117">
        <f>'As-Filed Schedule 2K'!O15</f>
        <v>0</v>
      </c>
      <c r="Z15" s="307">
        <f>SUMIFS(Adjustments!$G:$G,Adjustments!$H:$H,"2K",Adjustments!$I:$I,'Schedule 2K Adjustments'!$Y$12,Adjustments!$J:$J,'Schedule 2K Adjustments'!$A15)</f>
        <v>0</v>
      </c>
      <c r="AA15" s="303">
        <f>SUM(Y15:Z15)</f>
        <v>0</v>
      </c>
    </row>
    <row r="16" spans="1:27" x14ac:dyDescent="0.35">
      <c r="A16" s="24">
        <v>2</v>
      </c>
      <c r="B16" s="565" t="str">
        <f>IF('As-Filed Schedule 2K'!B16:D16=0,"",'As-Filed Schedule 2K'!B16:D16)</f>
        <v/>
      </c>
      <c r="C16" s="565"/>
      <c r="D16" s="565"/>
      <c r="F16" s="114">
        <f>'As-Filed Schedule 2K'!F16</f>
        <v>0</v>
      </c>
      <c r="G16" s="307">
        <f>SUMIFS(Adjustments!$G:$G,Adjustments!$H:$H,"2K",Adjustments!$I:$I,'Schedule 2K Adjustments'!$F$12,Adjustments!$J:$J,'Schedule 2K Adjustments'!$A16)</f>
        <v>0</v>
      </c>
      <c r="H16" s="303">
        <f t="shared" ref="H16:H72" si="0">SUM(F16:G16)</f>
        <v>0</v>
      </c>
      <c r="I16" s="68">
        <f>IFERROR(F16*'As-Filed Schedule 1'!$E$103,0)</f>
        <v>0</v>
      </c>
      <c r="J16" s="304">
        <f>IFERROR(H16*'Adjusted Schedule 1'!$E$104,0)</f>
        <v>0</v>
      </c>
      <c r="K16" s="68">
        <f t="shared" ref="K16:K72" si="1">SUM(F16,I16)</f>
        <v>0</v>
      </c>
      <c r="L16" s="304">
        <f t="shared" ref="L16:L72" si="2">SUM(H16,J16)</f>
        <v>0</v>
      </c>
      <c r="N16" s="114">
        <f>'As-Filed Schedule 2K'!J16</f>
        <v>0</v>
      </c>
      <c r="O16" s="307">
        <f>SUMIFS(Adjustments!$G:$G,Adjustments!$H:$H,"2K",Adjustments!$I:$I,'Schedule 2K Adjustments'!$N$12,Adjustments!$J:$J,'Schedule 2K Adjustments'!$A16)</f>
        <v>0</v>
      </c>
      <c r="P16" s="303">
        <f t="shared" ref="P16:P72" si="3">SUM(N16:O16)</f>
        <v>0</v>
      </c>
      <c r="Q16" s="68">
        <f>IFERROR(N16*'As-Filed Schedule 1'!$E$103,0)</f>
        <v>0</v>
      </c>
      <c r="R16" s="68">
        <f>IFERROR(P16*'Adjusted Schedule 1'!$E$104,0)</f>
        <v>0</v>
      </c>
      <c r="S16" s="68">
        <f t="shared" ref="S16:S72" si="4">SUM(N16,Q16)</f>
        <v>0</v>
      </c>
      <c r="T16" s="304">
        <f t="shared" ref="T16:T72" si="5">SUM(P16,R16)</f>
        <v>0</v>
      </c>
      <c r="V16" s="117">
        <f>'As-Filed Schedule 2K'!N16</f>
        <v>0</v>
      </c>
      <c r="W16" s="307">
        <f>SUMIFS(Adjustments!$G:$G,Adjustments!$H:$H,"2K",Adjustments!$I:$I,'Schedule 2K Adjustments'!$V$12,Adjustments!$J:$J,'Schedule 2K Adjustments'!$A16)</f>
        <v>0</v>
      </c>
      <c r="X16" s="303">
        <f t="shared" ref="X16:X72" si="6">SUM(V16:W16)</f>
        <v>0</v>
      </c>
      <c r="Y16" s="117">
        <f>'As-Filed Schedule 2K'!O16</f>
        <v>0</v>
      </c>
      <c r="Z16" s="307">
        <f>SUMIFS(Adjustments!$G:$G,Adjustments!$H:$H,"2K",Adjustments!$I:$I,'Schedule 2K Adjustments'!$Y$12,Adjustments!$J:$J,'Schedule 2K Adjustments'!$A16)</f>
        <v>0</v>
      </c>
      <c r="AA16" s="303">
        <f t="shared" ref="AA16:AA72" si="7">SUM(Y16:Z16)</f>
        <v>0</v>
      </c>
    </row>
    <row r="17" spans="1:27" x14ac:dyDescent="0.35">
      <c r="A17" s="24">
        <v>3</v>
      </c>
      <c r="B17" s="565" t="str">
        <f>IF('As-Filed Schedule 2K'!B17:D17=0,"",'As-Filed Schedule 2K'!B17:D17)</f>
        <v/>
      </c>
      <c r="C17" s="565"/>
      <c r="D17" s="565"/>
      <c r="F17" s="114">
        <f>'As-Filed Schedule 2K'!F17</f>
        <v>0</v>
      </c>
      <c r="G17" s="307">
        <f>SUMIFS(Adjustments!$G:$G,Adjustments!$H:$H,"2K",Adjustments!$I:$I,'Schedule 2K Adjustments'!$F$12,Adjustments!$J:$J,'Schedule 2K Adjustments'!$A17)</f>
        <v>0</v>
      </c>
      <c r="H17" s="303">
        <f t="shared" si="0"/>
        <v>0</v>
      </c>
      <c r="I17" s="68">
        <f>IFERROR(F17*'As-Filed Schedule 1'!$E$103,0)</f>
        <v>0</v>
      </c>
      <c r="J17" s="304">
        <f>IFERROR(H17*'Adjusted Schedule 1'!$E$104,0)</f>
        <v>0</v>
      </c>
      <c r="K17" s="68">
        <f t="shared" si="1"/>
        <v>0</v>
      </c>
      <c r="L17" s="304">
        <f t="shared" si="2"/>
        <v>0</v>
      </c>
      <c r="N17" s="114">
        <f>'As-Filed Schedule 2K'!J17</f>
        <v>0</v>
      </c>
      <c r="O17" s="307">
        <f>SUMIFS(Adjustments!$G:$G,Adjustments!$H:$H,"2K",Adjustments!$I:$I,'Schedule 2K Adjustments'!$N$12,Adjustments!$J:$J,'Schedule 2K Adjustments'!$A17)</f>
        <v>0</v>
      </c>
      <c r="P17" s="303">
        <f t="shared" si="3"/>
        <v>0</v>
      </c>
      <c r="Q17" s="68">
        <f>IFERROR(N17*'As-Filed Schedule 1'!$E$103,0)</f>
        <v>0</v>
      </c>
      <c r="R17" s="68">
        <f>IFERROR(P17*'Adjusted Schedule 1'!$E$104,0)</f>
        <v>0</v>
      </c>
      <c r="S17" s="68">
        <f t="shared" si="4"/>
        <v>0</v>
      </c>
      <c r="T17" s="304">
        <f t="shared" si="5"/>
        <v>0</v>
      </c>
      <c r="V17" s="117">
        <f>'As-Filed Schedule 2K'!N17</f>
        <v>0</v>
      </c>
      <c r="W17" s="307">
        <f>SUMIFS(Adjustments!$G:$G,Adjustments!$H:$H,"2K",Adjustments!$I:$I,'Schedule 2K Adjustments'!$V$12,Adjustments!$J:$J,'Schedule 2K Adjustments'!$A17)</f>
        <v>0</v>
      </c>
      <c r="X17" s="303">
        <f t="shared" si="6"/>
        <v>0</v>
      </c>
      <c r="Y17" s="117">
        <f>'As-Filed Schedule 2K'!O17</f>
        <v>0</v>
      </c>
      <c r="Z17" s="307">
        <f>SUMIFS(Adjustments!$G:$G,Adjustments!$H:$H,"2K",Adjustments!$I:$I,'Schedule 2K Adjustments'!$Y$12,Adjustments!$J:$J,'Schedule 2K Adjustments'!$A17)</f>
        <v>0</v>
      </c>
      <c r="AA17" s="303">
        <f t="shared" si="7"/>
        <v>0</v>
      </c>
    </row>
    <row r="18" spans="1:27" x14ac:dyDescent="0.35">
      <c r="A18" s="24">
        <v>4</v>
      </c>
      <c r="B18" s="565" t="str">
        <f>IF('As-Filed Schedule 2K'!B18:D18=0,"",'As-Filed Schedule 2K'!B18:D18)</f>
        <v/>
      </c>
      <c r="C18" s="565"/>
      <c r="D18" s="565"/>
      <c r="F18" s="114">
        <f>'As-Filed Schedule 2K'!F18</f>
        <v>0</v>
      </c>
      <c r="G18" s="307">
        <f>SUMIFS(Adjustments!$G:$G,Adjustments!$H:$H,"2K",Adjustments!$I:$I,'Schedule 2K Adjustments'!$F$12,Adjustments!$J:$J,'Schedule 2K Adjustments'!$A18)</f>
        <v>0</v>
      </c>
      <c r="H18" s="303">
        <f t="shared" si="0"/>
        <v>0</v>
      </c>
      <c r="I18" s="68">
        <f>IFERROR(F18*'As-Filed Schedule 1'!$E$103,0)</f>
        <v>0</v>
      </c>
      <c r="J18" s="304">
        <f>IFERROR(H18*'Adjusted Schedule 1'!$E$104,0)</f>
        <v>0</v>
      </c>
      <c r="K18" s="68">
        <f>SUM(F18,I18)</f>
        <v>0</v>
      </c>
      <c r="L18" s="304">
        <f>SUM(H18,J18)</f>
        <v>0</v>
      </c>
      <c r="N18" s="114">
        <f>'As-Filed Schedule 2K'!J18</f>
        <v>0</v>
      </c>
      <c r="O18" s="307">
        <f>SUMIFS(Adjustments!$G:$G,Adjustments!$H:$H,"2K",Adjustments!$I:$I,'Schedule 2K Adjustments'!$N$12,Adjustments!$J:$J,'Schedule 2K Adjustments'!$A18)</f>
        <v>0</v>
      </c>
      <c r="P18" s="303">
        <f t="shared" si="3"/>
        <v>0</v>
      </c>
      <c r="Q18" s="68">
        <f>IFERROR(N18*'As-Filed Schedule 1'!$E$103,0)</f>
        <v>0</v>
      </c>
      <c r="R18" s="68">
        <f>IFERROR(P18*'Adjusted Schedule 1'!$E$104,0)</f>
        <v>0</v>
      </c>
      <c r="S18" s="68">
        <f t="shared" si="4"/>
        <v>0</v>
      </c>
      <c r="T18" s="304">
        <f t="shared" si="5"/>
        <v>0</v>
      </c>
      <c r="V18" s="117">
        <f>'As-Filed Schedule 2K'!N18</f>
        <v>0</v>
      </c>
      <c r="W18" s="307">
        <f>SUMIFS(Adjustments!$G:$G,Adjustments!$H:$H,"2K",Adjustments!$I:$I,'Schedule 2K Adjustments'!$V$12,Adjustments!$J:$J,'Schedule 2K Adjustments'!$A18)</f>
        <v>0</v>
      </c>
      <c r="X18" s="303">
        <f t="shared" si="6"/>
        <v>0</v>
      </c>
      <c r="Y18" s="117">
        <f>'As-Filed Schedule 2K'!O18</f>
        <v>0</v>
      </c>
      <c r="Z18" s="307">
        <f>SUMIFS(Adjustments!$G:$G,Adjustments!$H:$H,"2K",Adjustments!$I:$I,'Schedule 2K Adjustments'!$Y$12,Adjustments!$J:$J,'Schedule 2K Adjustments'!$A18)</f>
        <v>0</v>
      </c>
      <c r="AA18" s="303">
        <f t="shared" si="7"/>
        <v>0</v>
      </c>
    </row>
    <row r="19" spans="1:27" x14ac:dyDescent="0.35">
      <c r="A19" s="24">
        <v>5</v>
      </c>
      <c r="B19" s="565" t="str">
        <f>IF('As-Filed Schedule 2K'!B19:D19=0,"",'As-Filed Schedule 2K'!B19:D19)</f>
        <v/>
      </c>
      <c r="C19" s="565"/>
      <c r="D19" s="565"/>
      <c r="F19" s="114">
        <f>'As-Filed Schedule 2K'!F19</f>
        <v>0</v>
      </c>
      <c r="G19" s="307">
        <f>SUMIFS(Adjustments!$G:$G,Adjustments!$H:$H,"2K",Adjustments!$I:$I,'Schedule 2K Adjustments'!$F$12,Adjustments!$J:$J,'Schedule 2K Adjustments'!$A19)</f>
        <v>0</v>
      </c>
      <c r="H19" s="303">
        <f t="shared" si="0"/>
        <v>0</v>
      </c>
      <c r="I19" s="68">
        <f>IFERROR(F19*'As-Filed Schedule 1'!$E$103,0)</f>
        <v>0</v>
      </c>
      <c r="J19" s="304">
        <f>IFERROR(H19*'Adjusted Schedule 1'!$E$104,0)</f>
        <v>0</v>
      </c>
      <c r="K19" s="68">
        <f t="shared" si="1"/>
        <v>0</v>
      </c>
      <c r="L19" s="304">
        <f>SUM(H19,J19)</f>
        <v>0</v>
      </c>
      <c r="N19" s="114">
        <f>'As-Filed Schedule 2K'!J19</f>
        <v>0</v>
      </c>
      <c r="O19" s="307">
        <f>SUMIFS(Adjustments!$G:$G,Adjustments!$H:$H,"2K",Adjustments!$I:$I,'Schedule 2K Adjustments'!$N$12,Adjustments!$J:$J,'Schedule 2K Adjustments'!$A19)</f>
        <v>0</v>
      </c>
      <c r="P19" s="303">
        <f t="shared" si="3"/>
        <v>0</v>
      </c>
      <c r="Q19" s="68">
        <f>IFERROR(N19*'As-Filed Schedule 1'!$E$103,0)</f>
        <v>0</v>
      </c>
      <c r="R19" s="68">
        <f>IFERROR(P19*'Adjusted Schedule 1'!$E$104,0)</f>
        <v>0</v>
      </c>
      <c r="S19" s="68">
        <f t="shared" si="4"/>
        <v>0</v>
      </c>
      <c r="T19" s="304">
        <f t="shared" si="5"/>
        <v>0</v>
      </c>
      <c r="V19" s="117">
        <f>'As-Filed Schedule 2K'!N19</f>
        <v>0</v>
      </c>
      <c r="W19" s="307">
        <f>SUMIFS(Adjustments!$G:$G,Adjustments!$H:$H,"2K",Adjustments!$I:$I,'Schedule 2K Adjustments'!$V$12,Adjustments!$J:$J,'Schedule 2K Adjustments'!$A19)</f>
        <v>0</v>
      </c>
      <c r="X19" s="303">
        <f t="shared" si="6"/>
        <v>0</v>
      </c>
      <c r="Y19" s="117">
        <f>'As-Filed Schedule 2K'!O19</f>
        <v>0</v>
      </c>
      <c r="Z19" s="307">
        <f>SUMIFS(Adjustments!$G:$G,Adjustments!$H:$H,"2K",Adjustments!$I:$I,'Schedule 2K Adjustments'!$Y$12,Adjustments!$J:$J,'Schedule 2K Adjustments'!$A19)</f>
        <v>0</v>
      </c>
      <c r="AA19" s="303">
        <f t="shared" si="7"/>
        <v>0</v>
      </c>
    </row>
    <row r="20" spans="1:27" x14ac:dyDescent="0.35">
      <c r="A20" s="24">
        <v>6</v>
      </c>
      <c r="B20" s="565" t="str">
        <f>IF('As-Filed Schedule 2K'!B20:D20=0,"",'As-Filed Schedule 2K'!B20:D20)</f>
        <v/>
      </c>
      <c r="C20" s="565"/>
      <c r="D20" s="565"/>
      <c r="F20" s="114">
        <f>'As-Filed Schedule 2K'!F20</f>
        <v>0</v>
      </c>
      <c r="G20" s="307">
        <f>SUMIFS(Adjustments!$G:$G,Adjustments!$H:$H,"2K",Adjustments!$I:$I,'Schedule 2K Adjustments'!$F$12,Adjustments!$J:$J,'Schedule 2K Adjustments'!$A20)</f>
        <v>0</v>
      </c>
      <c r="H20" s="303">
        <f t="shared" si="0"/>
        <v>0</v>
      </c>
      <c r="I20" s="68">
        <f>IFERROR(F20*'As-Filed Schedule 1'!$E$103,0)</f>
        <v>0</v>
      </c>
      <c r="J20" s="304">
        <f>IFERROR(H20*'Adjusted Schedule 1'!$E$104,0)</f>
        <v>0</v>
      </c>
      <c r="K20" s="68">
        <f>SUM(F20,I20)</f>
        <v>0</v>
      </c>
      <c r="L20" s="304">
        <f t="shared" si="2"/>
        <v>0</v>
      </c>
      <c r="N20" s="114">
        <f>'As-Filed Schedule 2K'!J20</f>
        <v>0</v>
      </c>
      <c r="O20" s="307">
        <f>SUMIFS(Adjustments!$G:$G,Adjustments!$H:$H,"2K",Adjustments!$I:$I,'Schedule 2K Adjustments'!$N$12,Adjustments!$J:$J,'Schedule 2K Adjustments'!$A20)</f>
        <v>0</v>
      </c>
      <c r="P20" s="303">
        <f t="shared" si="3"/>
        <v>0</v>
      </c>
      <c r="Q20" s="68">
        <f>IFERROR(N20*'As-Filed Schedule 1'!$E$103,0)</f>
        <v>0</v>
      </c>
      <c r="R20" s="68">
        <f>IFERROR(P20*'Adjusted Schedule 1'!$E$104,0)</f>
        <v>0</v>
      </c>
      <c r="S20" s="68">
        <f t="shared" si="4"/>
        <v>0</v>
      </c>
      <c r="T20" s="304">
        <f t="shared" si="5"/>
        <v>0</v>
      </c>
      <c r="V20" s="117">
        <f>'As-Filed Schedule 2K'!N20</f>
        <v>0</v>
      </c>
      <c r="W20" s="307">
        <f>SUMIFS(Adjustments!$G:$G,Adjustments!$H:$H,"2K",Adjustments!$I:$I,'Schedule 2K Adjustments'!$V$12,Adjustments!$J:$J,'Schedule 2K Adjustments'!$A20)</f>
        <v>0</v>
      </c>
      <c r="X20" s="303">
        <f t="shared" si="6"/>
        <v>0</v>
      </c>
      <c r="Y20" s="117">
        <f>'As-Filed Schedule 2K'!O20</f>
        <v>0</v>
      </c>
      <c r="Z20" s="307">
        <f>SUMIFS(Adjustments!$G:$G,Adjustments!$H:$H,"2K",Adjustments!$I:$I,'Schedule 2K Adjustments'!$Y$12,Adjustments!$J:$J,'Schedule 2K Adjustments'!$A20)</f>
        <v>0</v>
      </c>
      <c r="AA20" s="303">
        <f t="shared" si="7"/>
        <v>0</v>
      </c>
    </row>
    <row r="21" spans="1:27" x14ac:dyDescent="0.35">
      <c r="A21" s="24">
        <v>7</v>
      </c>
      <c r="B21" s="565" t="str">
        <f>IF('As-Filed Schedule 2K'!B21:D21=0,"",'As-Filed Schedule 2K'!B21:D21)</f>
        <v/>
      </c>
      <c r="C21" s="565"/>
      <c r="D21" s="565"/>
      <c r="F21" s="114">
        <f>'As-Filed Schedule 2K'!F21</f>
        <v>0</v>
      </c>
      <c r="G21" s="307">
        <f>SUMIFS(Adjustments!$G:$G,Adjustments!$H:$H,"2K",Adjustments!$I:$I,'Schedule 2K Adjustments'!$F$12,Adjustments!$J:$J,'Schedule 2K Adjustments'!$A21)</f>
        <v>0</v>
      </c>
      <c r="H21" s="303">
        <f t="shared" si="0"/>
        <v>0</v>
      </c>
      <c r="I21" s="68">
        <f>IFERROR(F21*'As-Filed Schedule 1'!$E$103,0)</f>
        <v>0</v>
      </c>
      <c r="J21" s="304">
        <f>IFERROR(H21*'Adjusted Schedule 1'!$E$104,0)</f>
        <v>0</v>
      </c>
      <c r="K21" s="68">
        <f t="shared" si="1"/>
        <v>0</v>
      </c>
      <c r="L21" s="304">
        <f t="shared" si="2"/>
        <v>0</v>
      </c>
      <c r="N21" s="114">
        <f>'As-Filed Schedule 2K'!J21</f>
        <v>0</v>
      </c>
      <c r="O21" s="307">
        <f>SUMIFS(Adjustments!$G:$G,Adjustments!$H:$H,"2K",Adjustments!$I:$I,'Schedule 2K Adjustments'!$N$12,Adjustments!$J:$J,'Schedule 2K Adjustments'!$A21)</f>
        <v>0</v>
      </c>
      <c r="P21" s="303">
        <f t="shared" si="3"/>
        <v>0</v>
      </c>
      <c r="Q21" s="68">
        <f>IFERROR(N21*'As-Filed Schedule 1'!$E$103,0)</f>
        <v>0</v>
      </c>
      <c r="R21" s="68">
        <f>IFERROR(P21*'Adjusted Schedule 1'!$E$104,0)</f>
        <v>0</v>
      </c>
      <c r="S21" s="68">
        <f>SUM(N21,Q21)</f>
        <v>0</v>
      </c>
      <c r="T21" s="304">
        <f>SUM(P21,R21)</f>
        <v>0</v>
      </c>
      <c r="V21" s="117">
        <f>'As-Filed Schedule 2K'!N21</f>
        <v>0</v>
      </c>
      <c r="W21" s="307">
        <f>SUMIFS(Adjustments!$G:$G,Adjustments!$H:$H,"2K",Adjustments!$I:$I,'Schedule 2K Adjustments'!$V$12,Adjustments!$J:$J,'Schedule 2K Adjustments'!$A21)</f>
        <v>0</v>
      </c>
      <c r="X21" s="303">
        <f t="shared" si="6"/>
        <v>0</v>
      </c>
      <c r="Y21" s="117">
        <f>'As-Filed Schedule 2K'!O21</f>
        <v>0</v>
      </c>
      <c r="Z21" s="307">
        <f>SUMIFS(Adjustments!$G:$G,Adjustments!$H:$H,"2K",Adjustments!$I:$I,'Schedule 2K Adjustments'!$Y$12,Adjustments!$J:$J,'Schedule 2K Adjustments'!$A21)</f>
        <v>0</v>
      </c>
      <c r="AA21" s="303">
        <f t="shared" si="7"/>
        <v>0</v>
      </c>
    </row>
    <row r="22" spans="1:27" x14ac:dyDescent="0.35">
      <c r="A22" s="24">
        <v>8</v>
      </c>
      <c r="B22" s="565" t="str">
        <f>IF('As-Filed Schedule 2K'!B22:D22=0,"",'As-Filed Schedule 2K'!B22:D22)</f>
        <v/>
      </c>
      <c r="C22" s="565"/>
      <c r="D22" s="565"/>
      <c r="F22" s="114">
        <f>'As-Filed Schedule 2K'!F22</f>
        <v>0</v>
      </c>
      <c r="G22" s="307">
        <f>SUMIFS(Adjustments!$G:$G,Adjustments!$H:$H,"2K",Adjustments!$I:$I,'Schedule 2K Adjustments'!$F$12,Adjustments!$J:$J,'Schedule 2K Adjustments'!$A22)</f>
        <v>0</v>
      </c>
      <c r="H22" s="303">
        <f t="shared" si="0"/>
        <v>0</v>
      </c>
      <c r="I22" s="68">
        <f>IFERROR(F22*'As-Filed Schedule 1'!$E$103,0)</f>
        <v>0</v>
      </c>
      <c r="J22" s="304">
        <f>IFERROR(H22*'Adjusted Schedule 1'!$E$104,0)</f>
        <v>0</v>
      </c>
      <c r="K22" s="68">
        <f t="shared" si="1"/>
        <v>0</v>
      </c>
      <c r="L22" s="304">
        <f t="shared" si="2"/>
        <v>0</v>
      </c>
      <c r="N22" s="114">
        <f>'As-Filed Schedule 2K'!J22</f>
        <v>0</v>
      </c>
      <c r="O22" s="307">
        <f>SUMIFS(Adjustments!$G:$G,Adjustments!$H:$H,"2K",Adjustments!$I:$I,'Schedule 2K Adjustments'!$N$12,Adjustments!$J:$J,'Schedule 2K Adjustments'!$A22)</f>
        <v>0</v>
      </c>
      <c r="P22" s="303">
        <f t="shared" si="3"/>
        <v>0</v>
      </c>
      <c r="Q22" s="68">
        <f>IFERROR(N22*'As-Filed Schedule 1'!$E$103,0)</f>
        <v>0</v>
      </c>
      <c r="R22" s="68">
        <f>IFERROR(P22*'Adjusted Schedule 1'!$E$104,0)</f>
        <v>0</v>
      </c>
      <c r="S22" s="68">
        <f t="shared" si="4"/>
        <v>0</v>
      </c>
      <c r="T22" s="304">
        <f t="shared" si="5"/>
        <v>0</v>
      </c>
      <c r="V22" s="117">
        <f>'As-Filed Schedule 2K'!N22</f>
        <v>0</v>
      </c>
      <c r="W22" s="307">
        <f>SUMIFS(Adjustments!$G:$G,Adjustments!$H:$H,"2K",Adjustments!$I:$I,'Schedule 2K Adjustments'!$V$12,Adjustments!$J:$J,'Schedule 2K Adjustments'!$A22)</f>
        <v>0</v>
      </c>
      <c r="X22" s="303">
        <f t="shared" si="6"/>
        <v>0</v>
      </c>
      <c r="Y22" s="117">
        <f>'As-Filed Schedule 2K'!O22</f>
        <v>0</v>
      </c>
      <c r="Z22" s="307">
        <f>SUMIFS(Adjustments!$G:$G,Adjustments!$H:$H,"2K",Adjustments!$I:$I,'Schedule 2K Adjustments'!$Y$12,Adjustments!$J:$J,'Schedule 2K Adjustments'!$A22)</f>
        <v>0</v>
      </c>
      <c r="AA22" s="303">
        <f t="shared" si="7"/>
        <v>0</v>
      </c>
    </row>
    <row r="23" spans="1:27" x14ac:dyDescent="0.35">
      <c r="A23" s="24">
        <v>9</v>
      </c>
      <c r="B23" s="565" t="str">
        <f>IF('As-Filed Schedule 2K'!B23:D23=0,"",'As-Filed Schedule 2K'!B23:D23)</f>
        <v/>
      </c>
      <c r="C23" s="565"/>
      <c r="D23" s="565"/>
      <c r="F23" s="114">
        <f>'As-Filed Schedule 2K'!F23</f>
        <v>0</v>
      </c>
      <c r="G23" s="307">
        <f>SUMIFS(Adjustments!$G:$G,Adjustments!$H:$H,"2K",Adjustments!$I:$I,'Schedule 2K Adjustments'!$F$12,Adjustments!$J:$J,'Schedule 2K Adjustments'!$A23)</f>
        <v>0</v>
      </c>
      <c r="H23" s="303">
        <f t="shared" si="0"/>
        <v>0</v>
      </c>
      <c r="I23" s="68">
        <f>IFERROR(F23*'As-Filed Schedule 1'!$E$103,0)</f>
        <v>0</v>
      </c>
      <c r="J23" s="304">
        <f>IFERROR(H23*'Adjusted Schedule 1'!$E$104,0)</f>
        <v>0</v>
      </c>
      <c r="K23" s="68">
        <f t="shared" si="1"/>
        <v>0</v>
      </c>
      <c r="L23" s="304">
        <f t="shared" si="2"/>
        <v>0</v>
      </c>
      <c r="N23" s="114">
        <f>'As-Filed Schedule 2K'!J23</f>
        <v>0</v>
      </c>
      <c r="O23" s="307">
        <f>SUMIFS(Adjustments!$G:$G,Adjustments!$H:$H,"2K",Adjustments!$I:$I,'Schedule 2K Adjustments'!$N$12,Adjustments!$J:$J,'Schedule 2K Adjustments'!$A23)</f>
        <v>0</v>
      </c>
      <c r="P23" s="303">
        <f t="shared" si="3"/>
        <v>0</v>
      </c>
      <c r="Q23" s="68">
        <f>IFERROR(N23*'As-Filed Schedule 1'!$E$103,0)</f>
        <v>0</v>
      </c>
      <c r="R23" s="68">
        <f>IFERROR(P23*'Adjusted Schedule 1'!$E$104,0)</f>
        <v>0</v>
      </c>
      <c r="S23" s="68">
        <f t="shared" si="4"/>
        <v>0</v>
      </c>
      <c r="T23" s="304">
        <f t="shared" si="5"/>
        <v>0</v>
      </c>
      <c r="V23" s="117">
        <f>'As-Filed Schedule 2K'!N23</f>
        <v>0</v>
      </c>
      <c r="W23" s="307">
        <f>SUMIFS(Adjustments!$G:$G,Adjustments!$H:$H,"2K",Adjustments!$I:$I,'Schedule 2K Adjustments'!$V$12,Adjustments!$J:$J,'Schedule 2K Adjustments'!$A23)</f>
        <v>0</v>
      </c>
      <c r="X23" s="303">
        <f t="shared" si="6"/>
        <v>0</v>
      </c>
      <c r="Y23" s="117">
        <f>'As-Filed Schedule 2K'!O23</f>
        <v>0</v>
      </c>
      <c r="Z23" s="307">
        <f>SUMIFS(Adjustments!$G:$G,Adjustments!$H:$H,"2K",Adjustments!$I:$I,'Schedule 2K Adjustments'!$Y$12,Adjustments!$J:$J,'Schedule 2K Adjustments'!$A23)</f>
        <v>0</v>
      </c>
      <c r="AA23" s="303">
        <f t="shared" si="7"/>
        <v>0</v>
      </c>
    </row>
    <row r="24" spans="1:27" x14ac:dyDescent="0.35">
      <c r="A24" s="24">
        <v>10</v>
      </c>
      <c r="B24" s="565" t="str">
        <f>IF('As-Filed Schedule 2K'!B24:D24=0,"",'As-Filed Schedule 2K'!B24:D24)</f>
        <v/>
      </c>
      <c r="C24" s="565"/>
      <c r="D24" s="565"/>
      <c r="F24" s="114">
        <f>'As-Filed Schedule 2K'!F24</f>
        <v>0</v>
      </c>
      <c r="G24" s="307">
        <f>SUMIFS(Adjustments!$G:$G,Adjustments!$H:$H,"2K",Adjustments!$I:$I,'Schedule 2K Adjustments'!$F$12,Adjustments!$J:$J,'Schedule 2K Adjustments'!$A24)</f>
        <v>0</v>
      </c>
      <c r="H24" s="303">
        <f t="shared" si="0"/>
        <v>0</v>
      </c>
      <c r="I24" s="68">
        <f>IFERROR(F24*'As-Filed Schedule 1'!$E$103,0)</f>
        <v>0</v>
      </c>
      <c r="J24" s="304">
        <f>IFERROR(H24*'Adjusted Schedule 1'!$E$104,0)</f>
        <v>0</v>
      </c>
      <c r="K24" s="68">
        <f t="shared" si="1"/>
        <v>0</v>
      </c>
      <c r="L24" s="304">
        <f t="shared" si="2"/>
        <v>0</v>
      </c>
      <c r="N24" s="114">
        <f>'As-Filed Schedule 2K'!J24</f>
        <v>0</v>
      </c>
      <c r="O24" s="307">
        <f>SUMIFS(Adjustments!$G:$G,Adjustments!$H:$H,"2K",Adjustments!$I:$I,'Schedule 2K Adjustments'!$N$12,Adjustments!$J:$J,'Schedule 2K Adjustments'!$A24)</f>
        <v>0</v>
      </c>
      <c r="P24" s="303">
        <f t="shared" si="3"/>
        <v>0</v>
      </c>
      <c r="Q24" s="68">
        <f>IFERROR(N24*'As-Filed Schedule 1'!$E$103,0)</f>
        <v>0</v>
      </c>
      <c r="R24" s="68">
        <f>IFERROR(P24*'Adjusted Schedule 1'!$E$104,0)</f>
        <v>0</v>
      </c>
      <c r="S24" s="68">
        <f t="shared" si="4"/>
        <v>0</v>
      </c>
      <c r="T24" s="304">
        <f t="shared" si="5"/>
        <v>0</v>
      </c>
      <c r="V24" s="117">
        <f>'As-Filed Schedule 2K'!N24</f>
        <v>0</v>
      </c>
      <c r="W24" s="307">
        <f>SUMIFS(Adjustments!$G:$G,Adjustments!$H:$H,"2K",Adjustments!$I:$I,'Schedule 2K Adjustments'!$V$12,Adjustments!$J:$J,'Schedule 2K Adjustments'!$A24)</f>
        <v>0</v>
      </c>
      <c r="X24" s="303">
        <f t="shared" si="6"/>
        <v>0</v>
      </c>
      <c r="Y24" s="117">
        <f>'As-Filed Schedule 2K'!O24</f>
        <v>0</v>
      </c>
      <c r="Z24" s="307">
        <f>SUMIFS(Adjustments!$G:$G,Adjustments!$H:$H,"2K",Adjustments!$I:$I,'Schedule 2K Adjustments'!$Y$12,Adjustments!$J:$J,'Schedule 2K Adjustments'!$A24)</f>
        <v>0</v>
      </c>
      <c r="AA24" s="303">
        <f t="shared" si="7"/>
        <v>0</v>
      </c>
    </row>
    <row r="25" spans="1:27" x14ac:dyDescent="0.35">
      <c r="A25" s="24">
        <v>11</v>
      </c>
      <c r="B25" s="565" t="str">
        <f>IF('As-Filed Schedule 2K'!B25:D25=0,"",'As-Filed Schedule 2K'!B25:D25)</f>
        <v/>
      </c>
      <c r="C25" s="565"/>
      <c r="D25" s="565"/>
      <c r="F25" s="114">
        <f>'As-Filed Schedule 2K'!F25</f>
        <v>0</v>
      </c>
      <c r="G25" s="307">
        <f>SUMIFS(Adjustments!$G:$G,Adjustments!$H:$H,"2K",Adjustments!$I:$I,'Schedule 2K Adjustments'!$F$12,Adjustments!$J:$J,'Schedule 2K Adjustments'!$A25)</f>
        <v>0</v>
      </c>
      <c r="H25" s="303">
        <f t="shared" si="0"/>
        <v>0</v>
      </c>
      <c r="I25" s="68">
        <f>IFERROR(F25*'As-Filed Schedule 1'!$E$103,0)</f>
        <v>0</v>
      </c>
      <c r="J25" s="304">
        <f>IFERROR(H25*'Adjusted Schedule 1'!$E$104,0)</f>
        <v>0</v>
      </c>
      <c r="K25" s="68">
        <f t="shared" si="1"/>
        <v>0</v>
      </c>
      <c r="L25" s="304">
        <f t="shared" si="2"/>
        <v>0</v>
      </c>
      <c r="N25" s="114">
        <f>'As-Filed Schedule 2K'!J25</f>
        <v>0</v>
      </c>
      <c r="O25" s="307">
        <f>SUMIFS(Adjustments!$G:$G,Adjustments!$H:$H,"2K",Adjustments!$I:$I,'Schedule 2K Adjustments'!$N$12,Adjustments!$J:$J,'Schedule 2K Adjustments'!$A25)</f>
        <v>0</v>
      </c>
      <c r="P25" s="303">
        <f t="shared" si="3"/>
        <v>0</v>
      </c>
      <c r="Q25" s="68">
        <f>IFERROR(N25*'As-Filed Schedule 1'!$E$103,0)</f>
        <v>0</v>
      </c>
      <c r="R25" s="68">
        <f>IFERROR(P25*'Adjusted Schedule 1'!$E$104,0)</f>
        <v>0</v>
      </c>
      <c r="S25" s="68">
        <f t="shared" si="4"/>
        <v>0</v>
      </c>
      <c r="T25" s="304">
        <f t="shared" si="5"/>
        <v>0</v>
      </c>
      <c r="V25" s="117">
        <f>'As-Filed Schedule 2K'!N25</f>
        <v>0</v>
      </c>
      <c r="W25" s="307">
        <f>SUMIFS(Adjustments!$G:$G,Adjustments!$H:$H,"2K",Adjustments!$I:$I,'Schedule 2K Adjustments'!$V$12,Adjustments!$J:$J,'Schedule 2K Adjustments'!$A25)</f>
        <v>0</v>
      </c>
      <c r="X25" s="303">
        <f t="shared" si="6"/>
        <v>0</v>
      </c>
      <c r="Y25" s="117">
        <f>'As-Filed Schedule 2K'!O25</f>
        <v>0</v>
      </c>
      <c r="Z25" s="307">
        <f>SUMIFS(Adjustments!$G:$G,Adjustments!$H:$H,"2K",Adjustments!$I:$I,'Schedule 2K Adjustments'!$Y$12,Adjustments!$J:$J,'Schedule 2K Adjustments'!$A25)</f>
        <v>0</v>
      </c>
      <c r="AA25" s="303">
        <f t="shared" si="7"/>
        <v>0</v>
      </c>
    </row>
    <row r="26" spans="1:27" x14ac:dyDescent="0.35">
      <c r="A26" s="24">
        <v>12</v>
      </c>
      <c r="B26" s="565" t="str">
        <f>IF('As-Filed Schedule 2K'!B26:D26=0,"",'As-Filed Schedule 2K'!B26:D26)</f>
        <v/>
      </c>
      <c r="C26" s="565"/>
      <c r="D26" s="565"/>
      <c r="F26" s="114">
        <f>'As-Filed Schedule 2K'!F26</f>
        <v>0</v>
      </c>
      <c r="G26" s="307">
        <f>SUMIFS(Adjustments!$G:$G,Adjustments!$H:$H,"2K",Adjustments!$I:$I,'Schedule 2K Adjustments'!$F$12,Adjustments!$J:$J,'Schedule 2K Adjustments'!$A26)</f>
        <v>0</v>
      </c>
      <c r="H26" s="303">
        <f t="shared" si="0"/>
        <v>0</v>
      </c>
      <c r="I26" s="68">
        <f>IFERROR(F26*'As-Filed Schedule 1'!$E$103,0)</f>
        <v>0</v>
      </c>
      <c r="J26" s="304">
        <f>IFERROR(H26*'Adjusted Schedule 1'!$E$104,0)</f>
        <v>0</v>
      </c>
      <c r="K26" s="68">
        <f t="shared" si="1"/>
        <v>0</v>
      </c>
      <c r="L26" s="304">
        <f t="shared" si="2"/>
        <v>0</v>
      </c>
      <c r="N26" s="114">
        <f>'As-Filed Schedule 2K'!J26</f>
        <v>0</v>
      </c>
      <c r="O26" s="307">
        <f>SUMIFS(Adjustments!$G:$G,Adjustments!$H:$H,"2K",Adjustments!$I:$I,'Schedule 2K Adjustments'!$N$12,Adjustments!$J:$J,'Schedule 2K Adjustments'!$A26)</f>
        <v>0</v>
      </c>
      <c r="P26" s="303">
        <f t="shared" si="3"/>
        <v>0</v>
      </c>
      <c r="Q26" s="68">
        <f>IFERROR(N26*'As-Filed Schedule 1'!$E$103,0)</f>
        <v>0</v>
      </c>
      <c r="R26" s="68">
        <f>IFERROR(P26*'Adjusted Schedule 1'!$E$104,0)</f>
        <v>0</v>
      </c>
      <c r="S26" s="68">
        <f t="shared" si="4"/>
        <v>0</v>
      </c>
      <c r="T26" s="304">
        <f t="shared" si="5"/>
        <v>0</v>
      </c>
      <c r="V26" s="117">
        <f>'As-Filed Schedule 2K'!N26</f>
        <v>0</v>
      </c>
      <c r="W26" s="307">
        <f>SUMIFS(Adjustments!$G:$G,Adjustments!$H:$H,"2K",Adjustments!$I:$I,'Schedule 2K Adjustments'!$V$12,Adjustments!$J:$J,'Schedule 2K Adjustments'!$A26)</f>
        <v>0</v>
      </c>
      <c r="X26" s="303">
        <f t="shared" si="6"/>
        <v>0</v>
      </c>
      <c r="Y26" s="117">
        <f>'As-Filed Schedule 2K'!O26</f>
        <v>0</v>
      </c>
      <c r="Z26" s="307">
        <f>SUMIFS(Adjustments!$G:$G,Adjustments!$H:$H,"2K",Adjustments!$I:$I,'Schedule 2K Adjustments'!$Y$12,Adjustments!$J:$J,'Schedule 2K Adjustments'!$A26)</f>
        <v>0</v>
      </c>
      <c r="AA26" s="303">
        <f t="shared" si="7"/>
        <v>0</v>
      </c>
    </row>
    <row r="27" spans="1:27" x14ac:dyDescent="0.35">
      <c r="A27" s="24">
        <v>13</v>
      </c>
      <c r="B27" s="565" t="str">
        <f>IF('As-Filed Schedule 2K'!B27:D27=0,"",'As-Filed Schedule 2K'!B27:D27)</f>
        <v/>
      </c>
      <c r="C27" s="565"/>
      <c r="D27" s="565"/>
      <c r="F27" s="114">
        <f>'As-Filed Schedule 2K'!F27</f>
        <v>0</v>
      </c>
      <c r="G27" s="307">
        <f>SUMIFS(Adjustments!$G:$G,Adjustments!$H:$H,"2K",Adjustments!$I:$I,'Schedule 2K Adjustments'!$F$12,Adjustments!$J:$J,'Schedule 2K Adjustments'!$A27)</f>
        <v>0</v>
      </c>
      <c r="H27" s="303">
        <f t="shared" si="0"/>
        <v>0</v>
      </c>
      <c r="I27" s="68">
        <f>IFERROR(F27*'As-Filed Schedule 1'!$E$103,0)</f>
        <v>0</v>
      </c>
      <c r="J27" s="304">
        <f>IFERROR(H27*'Adjusted Schedule 1'!$E$104,0)</f>
        <v>0</v>
      </c>
      <c r="K27" s="68">
        <f t="shared" si="1"/>
        <v>0</v>
      </c>
      <c r="L27" s="304">
        <f t="shared" si="2"/>
        <v>0</v>
      </c>
      <c r="N27" s="114">
        <f>'As-Filed Schedule 2K'!J27</f>
        <v>0</v>
      </c>
      <c r="O27" s="307">
        <f>SUMIFS(Adjustments!$G:$G,Adjustments!$H:$H,"2K",Adjustments!$I:$I,'Schedule 2K Adjustments'!$N$12,Adjustments!$J:$J,'Schedule 2K Adjustments'!$A27)</f>
        <v>0</v>
      </c>
      <c r="P27" s="303">
        <f t="shared" si="3"/>
        <v>0</v>
      </c>
      <c r="Q27" s="68">
        <f>IFERROR(N27*'As-Filed Schedule 1'!$E$103,0)</f>
        <v>0</v>
      </c>
      <c r="R27" s="68">
        <f>IFERROR(P27*'Adjusted Schedule 1'!$E$104,0)</f>
        <v>0</v>
      </c>
      <c r="S27" s="68">
        <f t="shared" si="4"/>
        <v>0</v>
      </c>
      <c r="T27" s="304">
        <f t="shared" si="5"/>
        <v>0</v>
      </c>
      <c r="V27" s="117">
        <f>'As-Filed Schedule 2K'!N27</f>
        <v>0</v>
      </c>
      <c r="W27" s="307">
        <f>SUMIFS(Adjustments!$G:$G,Adjustments!$H:$H,"2K",Adjustments!$I:$I,'Schedule 2K Adjustments'!$V$12,Adjustments!$J:$J,'Schedule 2K Adjustments'!$A27)</f>
        <v>0</v>
      </c>
      <c r="X27" s="303">
        <f t="shared" si="6"/>
        <v>0</v>
      </c>
      <c r="Y27" s="117">
        <f>'As-Filed Schedule 2K'!O27</f>
        <v>0</v>
      </c>
      <c r="Z27" s="307">
        <f>SUMIFS(Adjustments!$G:$G,Adjustments!$H:$H,"2K",Adjustments!$I:$I,'Schedule 2K Adjustments'!$Y$12,Adjustments!$J:$J,'Schedule 2K Adjustments'!$A27)</f>
        <v>0</v>
      </c>
      <c r="AA27" s="303">
        <f t="shared" si="7"/>
        <v>0</v>
      </c>
    </row>
    <row r="28" spans="1:27" x14ac:dyDescent="0.35">
      <c r="A28" s="24">
        <v>14</v>
      </c>
      <c r="B28" s="565" t="str">
        <f>IF('As-Filed Schedule 2K'!B28:D28=0,"",'As-Filed Schedule 2K'!B28:D28)</f>
        <v/>
      </c>
      <c r="C28" s="565"/>
      <c r="D28" s="565"/>
      <c r="F28" s="114">
        <f>'As-Filed Schedule 2K'!F28</f>
        <v>0</v>
      </c>
      <c r="G28" s="307">
        <f>SUMIFS(Adjustments!$G:$G,Adjustments!$H:$H,"2K",Adjustments!$I:$I,'Schedule 2K Adjustments'!$F$12,Adjustments!$J:$J,'Schedule 2K Adjustments'!$A28)</f>
        <v>0</v>
      </c>
      <c r="H28" s="303">
        <f t="shared" si="0"/>
        <v>0</v>
      </c>
      <c r="I28" s="68">
        <f>IFERROR(F28*'As-Filed Schedule 1'!$E$103,0)</f>
        <v>0</v>
      </c>
      <c r="J28" s="304">
        <f>IFERROR(H28*'Adjusted Schedule 1'!$E$104,0)</f>
        <v>0</v>
      </c>
      <c r="K28" s="68">
        <f t="shared" si="1"/>
        <v>0</v>
      </c>
      <c r="L28" s="304">
        <f t="shared" si="2"/>
        <v>0</v>
      </c>
      <c r="N28" s="114">
        <f>'As-Filed Schedule 2K'!J28</f>
        <v>0</v>
      </c>
      <c r="O28" s="307">
        <f>SUMIFS(Adjustments!$G:$G,Adjustments!$H:$H,"2K",Adjustments!$I:$I,'Schedule 2K Adjustments'!$N$12,Adjustments!$J:$J,'Schedule 2K Adjustments'!$A28)</f>
        <v>0</v>
      </c>
      <c r="P28" s="303">
        <f t="shared" si="3"/>
        <v>0</v>
      </c>
      <c r="Q28" s="68">
        <f>IFERROR(N28*'As-Filed Schedule 1'!$E$103,0)</f>
        <v>0</v>
      </c>
      <c r="R28" s="68">
        <f>IFERROR(P28*'Adjusted Schedule 1'!$E$104,0)</f>
        <v>0</v>
      </c>
      <c r="S28" s="68">
        <f t="shared" si="4"/>
        <v>0</v>
      </c>
      <c r="T28" s="304">
        <f t="shared" si="5"/>
        <v>0</v>
      </c>
      <c r="V28" s="117">
        <f>'As-Filed Schedule 2K'!N28</f>
        <v>0</v>
      </c>
      <c r="W28" s="307">
        <f>SUMIFS(Adjustments!$G:$G,Adjustments!$H:$H,"2K",Adjustments!$I:$I,'Schedule 2K Adjustments'!$V$12,Adjustments!$J:$J,'Schedule 2K Adjustments'!$A28)</f>
        <v>0</v>
      </c>
      <c r="X28" s="303">
        <f t="shared" si="6"/>
        <v>0</v>
      </c>
      <c r="Y28" s="117">
        <f>'As-Filed Schedule 2K'!O28</f>
        <v>0</v>
      </c>
      <c r="Z28" s="307">
        <f>SUMIFS(Adjustments!$G:$G,Adjustments!$H:$H,"2K",Adjustments!$I:$I,'Schedule 2K Adjustments'!$Y$12,Adjustments!$J:$J,'Schedule 2K Adjustments'!$A28)</f>
        <v>0</v>
      </c>
      <c r="AA28" s="303">
        <f t="shared" si="7"/>
        <v>0</v>
      </c>
    </row>
    <row r="29" spans="1:27" x14ac:dyDescent="0.35">
      <c r="A29" s="24">
        <v>15</v>
      </c>
      <c r="B29" s="565" t="str">
        <f>IF('As-Filed Schedule 2K'!B29:D29=0,"",'As-Filed Schedule 2K'!B29:D29)</f>
        <v/>
      </c>
      <c r="C29" s="565"/>
      <c r="D29" s="565"/>
      <c r="F29" s="114">
        <f>'As-Filed Schedule 2K'!F29</f>
        <v>0</v>
      </c>
      <c r="G29" s="307">
        <f>SUMIFS(Adjustments!$G:$G,Adjustments!$H:$H,"2K",Adjustments!$I:$I,'Schedule 2K Adjustments'!$F$12,Adjustments!$J:$J,'Schedule 2K Adjustments'!$A29)</f>
        <v>0</v>
      </c>
      <c r="H29" s="303">
        <f t="shared" si="0"/>
        <v>0</v>
      </c>
      <c r="I29" s="68">
        <f>IFERROR(F29*'As-Filed Schedule 1'!$E$103,0)</f>
        <v>0</v>
      </c>
      <c r="J29" s="304">
        <f>IFERROR(H29*'Adjusted Schedule 1'!$E$104,0)</f>
        <v>0</v>
      </c>
      <c r="K29" s="68">
        <f t="shared" si="1"/>
        <v>0</v>
      </c>
      <c r="L29" s="304">
        <f t="shared" si="2"/>
        <v>0</v>
      </c>
      <c r="N29" s="114">
        <f>'As-Filed Schedule 2K'!J29</f>
        <v>0</v>
      </c>
      <c r="O29" s="307">
        <f>SUMIFS(Adjustments!$G:$G,Adjustments!$H:$H,"2K",Adjustments!$I:$I,'Schedule 2K Adjustments'!$N$12,Adjustments!$J:$J,'Schedule 2K Adjustments'!$A29)</f>
        <v>0</v>
      </c>
      <c r="P29" s="303">
        <f t="shared" si="3"/>
        <v>0</v>
      </c>
      <c r="Q29" s="68">
        <f>IFERROR(N29*'As-Filed Schedule 1'!$E$103,0)</f>
        <v>0</v>
      </c>
      <c r="R29" s="68">
        <f>IFERROR(P29*'Adjusted Schedule 1'!$E$104,0)</f>
        <v>0</v>
      </c>
      <c r="S29" s="68">
        <f t="shared" si="4"/>
        <v>0</v>
      </c>
      <c r="T29" s="304">
        <f t="shared" si="5"/>
        <v>0</v>
      </c>
      <c r="V29" s="117">
        <f>'As-Filed Schedule 2K'!N29</f>
        <v>0</v>
      </c>
      <c r="W29" s="307">
        <f>SUMIFS(Adjustments!$G:$G,Adjustments!$H:$H,"2K",Adjustments!$I:$I,'Schedule 2K Adjustments'!$V$12,Adjustments!$J:$J,'Schedule 2K Adjustments'!$A29)</f>
        <v>0</v>
      </c>
      <c r="X29" s="303">
        <f t="shared" si="6"/>
        <v>0</v>
      </c>
      <c r="Y29" s="117">
        <f>'As-Filed Schedule 2K'!O29</f>
        <v>0</v>
      </c>
      <c r="Z29" s="307">
        <f>SUMIFS(Adjustments!$G:$G,Adjustments!$H:$H,"2K",Adjustments!$I:$I,'Schedule 2K Adjustments'!$Y$12,Adjustments!$J:$J,'Schedule 2K Adjustments'!$A29)</f>
        <v>0</v>
      </c>
      <c r="AA29" s="303">
        <f t="shared" si="7"/>
        <v>0</v>
      </c>
    </row>
    <row r="30" spans="1:27" x14ac:dyDescent="0.35">
      <c r="A30" s="24">
        <v>16</v>
      </c>
      <c r="B30" s="565" t="str">
        <f>IF('As-Filed Schedule 2K'!B30:D30=0,"",'As-Filed Schedule 2K'!B30:D30)</f>
        <v/>
      </c>
      <c r="C30" s="565"/>
      <c r="D30" s="565"/>
      <c r="F30" s="114">
        <f>'As-Filed Schedule 2K'!F30</f>
        <v>0</v>
      </c>
      <c r="G30" s="307">
        <f>SUMIFS(Adjustments!$G:$G,Adjustments!$H:$H,"2K",Adjustments!$I:$I,'Schedule 2K Adjustments'!$F$12,Adjustments!$J:$J,'Schedule 2K Adjustments'!$A30)</f>
        <v>0</v>
      </c>
      <c r="H30" s="303">
        <f t="shared" si="0"/>
        <v>0</v>
      </c>
      <c r="I30" s="68">
        <f>IFERROR(F30*'As-Filed Schedule 1'!$E$103,0)</f>
        <v>0</v>
      </c>
      <c r="J30" s="304">
        <f>IFERROR(H30*'Adjusted Schedule 1'!$E$104,0)</f>
        <v>0</v>
      </c>
      <c r="K30" s="68">
        <f t="shared" si="1"/>
        <v>0</v>
      </c>
      <c r="L30" s="304">
        <f t="shared" si="2"/>
        <v>0</v>
      </c>
      <c r="N30" s="114">
        <f>'As-Filed Schedule 2K'!J30</f>
        <v>0</v>
      </c>
      <c r="O30" s="307">
        <f>SUMIFS(Adjustments!$G:$G,Adjustments!$H:$H,"2K",Adjustments!$I:$I,'Schedule 2K Adjustments'!$N$12,Adjustments!$J:$J,'Schedule 2K Adjustments'!$A30)</f>
        <v>0</v>
      </c>
      <c r="P30" s="303">
        <f t="shared" si="3"/>
        <v>0</v>
      </c>
      <c r="Q30" s="68">
        <f>IFERROR(N30*'As-Filed Schedule 1'!$E$103,0)</f>
        <v>0</v>
      </c>
      <c r="R30" s="68">
        <f>IFERROR(P30*'Adjusted Schedule 1'!$E$104,0)</f>
        <v>0</v>
      </c>
      <c r="S30" s="68">
        <f t="shared" si="4"/>
        <v>0</v>
      </c>
      <c r="T30" s="304">
        <f t="shared" si="5"/>
        <v>0</v>
      </c>
      <c r="V30" s="117">
        <f>'As-Filed Schedule 2K'!N30</f>
        <v>0</v>
      </c>
      <c r="W30" s="307">
        <f>SUMIFS(Adjustments!$G:$G,Adjustments!$H:$H,"2K",Adjustments!$I:$I,'Schedule 2K Adjustments'!$V$12,Adjustments!$J:$J,'Schedule 2K Adjustments'!$A30)</f>
        <v>0</v>
      </c>
      <c r="X30" s="303">
        <f t="shared" si="6"/>
        <v>0</v>
      </c>
      <c r="Y30" s="117">
        <f>'As-Filed Schedule 2K'!O30</f>
        <v>0</v>
      </c>
      <c r="Z30" s="307">
        <f>SUMIFS(Adjustments!$G:$G,Adjustments!$H:$H,"2K",Adjustments!$I:$I,'Schedule 2K Adjustments'!$Y$12,Adjustments!$J:$J,'Schedule 2K Adjustments'!$A30)</f>
        <v>0</v>
      </c>
      <c r="AA30" s="303">
        <f t="shared" si="7"/>
        <v>0</v>
      </c>
    </row>
    <row r="31" spans="1:27" x14ac:dyDescent="0.35">
      <c r="A31" s="24">
        <v>17</v>
      </c>
      <c r="B31" s="565" t="str">
        <f>IF('As-Filed Schedule 2K'!B31:D31=0,"",'As-Filed Schedule 2K'!B31:D31)</f>
        <v/>
      </c>
      <c r="C31" s="565"/>
      <c r="D31" s="565"/>
      <c r="F31" s="114">
        <f>'As-Filed Schedule 2K'!F31</f>
        <v>0</v>
      </c>
      <c r="G31" s="307">
        <f>SUMIFS(Adjustments!$G:$G,Adjustments!$H:$H,"2K",Adjustments!$I:$I,'Schedule 2K Adjustments'!$F$12,Adjustments!$J:$J,'Schedule 2K Adjustments'!$A31)</f>
        <v>0</v>
      </c>
      <c r="H31" s="303">
        <f t="shared" si="0"/>
        <v>0</v>
      </c>
      <c r="I31" s="68">
        <f>IFERROR(F31*'As-Filed Schedule 1'!$E$103,0)</f>
        <v>0</v>
      </c>
      <c r="J31" s="304">
        <f>IFERROR(H31*'Adjusted Schedule 1'!$E$104,0)</f>
        <v>0</v>
      </c>
      <c r="K31" s="68">
        <f t="shared" si="1"/>
        <v>0</v>
      </c>
      <c r="L31" s="304">
        <f t="shared" si="2"/>
        <v>0</v>
      </c>
      <c r="N31" s="114">
        <f>'As-Filed Schedule 2K'!J31</f>
        <v>0</v>
      </c>
      <c r="O31" s="307">
        <f>SUMIFS(Adjustments!$G:$G,Adjustments!$H:$H,"2K",Adjustments!$I:$I,'Schedule 2K Adjustments'!$N$12,Adjustments!$J:$J,'Schedule 2K Adjustments'!$A31)</f>
        <v>0</v>
      </c>
      <c r="P31" s="303">
        <f t="shared" si="3"/>
        <v>0</v>
      </c>
      <c r="Q31" s="68">
        <f>IFERROR(N31*'As-Filed Schedule 1'!$E$103,0)</f>
        <v>0</v>
      </c>
      <c r="R31" s="68">
        <f>IFERROR(P31*'Adjusted Schedule 1'!$E$104,0)</f>
        <v>0</v>
      </c>
      <c r="S31" s="68">
        <f t="shared" si="4"/>
        <v>0</v>
      </c>
      <c r="T31" s="304">
        <f t="shared" si="5"/>
        <v>0</v>
      </c>
      <c r="V31" s="117">
        <f>'As-Filed Schedule 2K'!N31</f>
        <v>0</v>
      </c>
      <c r="W31" s="307">
        <f>SUMIFS(Adjustments!$G:$G,Adjustments!$H:$H,"2K",Adjustments!$I:$I,'Schedule 2K Adjustments'!$V$12,Adjustments!$J:$J,'Schedule 2K Adjustments'!$A31)</f>
        <v>0</v>
      </c>
      <c r="X31" s="303">
        <f t="shared" si="6"/>
        <v>0</v>
      </c>
      <c r="Y31" s="117">
        <f>'As-Filed Schedule 2K'!O31</f>
        <v>0</v>
      </c>
      <c r="Z31" s="307">
        <f>SUMIFS(Adjustments!$G:$G,Adjustments!$H:$H,"2K",Adjustments!$I:$I,'Schedule 2K Adjustments'!$Y$12,Adjustments!$J:$J,'Schedule 2K Adjustments'!$A31)</f>
        <v>0</v>
      </c>
      <c r="AA31" s="303">
        <f t="shared" si="7"/>
        <v>0</v>
      </c>
    </row>
    <row r="32" spans="1:27" x14ac:dyDescent="0.35">
      <c r="A32" s="24">
        <v>18</v>
      </c>
      <c r="B32" s="565" t="str">
        <f>IF('As-Filed Schedule 2K'!B32:D32=0,"",'As-Filed Schedule 2K'!B32:D32)</f>
        <v/>
      </c>
      <c r="C32" s="565"/>
      <c r="D32" s="565"/>
      <c r="F32" s="114">
        <f>'As-Filed Schedule 2K'!F32</f>
        <v>0</v>
      </c>
      <c r="G32" s="307">
        <f>SUMIFS(Adjustments!$G:$G,Adjustments!$H:$H,"2K",Adjustments!$I:$I,'Schedule 2K Adjustments'!$F$12,Adjustments!$J:$J,'Schedule 2K Adjustments'!$A32)</f>
        <v>0</v>
      </c>
      <c r="H32" s="303">
        <f t="shared" si="0"/>
        <v>0</v>
      </c>
      <c r="I32" s="68">
        <f>IFERROR(F32*'As-Filed Schedule 1'!$E$103,0)</f>
        <v>0</v>
      </c>
      <c r="J32" s="304">
        <f>IFERROR(H32*'Adjusted Schedule 1'!$E$104,0)</f>
        <v>0</v>
      </c>
      <c r="K32" s="68">
        <f t="shared" si="1"/>
        <v>0</v>
      </c>
      <c r="L32" s="304">
        <f t="shared" si="2"/>
        <v>0</v>
      </c>
      <c r="N32" s="114">
        <f>'As-Filed Schedule 2K'!J32</f>
        <v>0</v>
      </c>
      <c r="O32" s="307">
        <f>SUMIFS(Adjustments!$G:$G,Adjustments!$H:$H,"2K",Adjustments!$I:$I,'Schedule 2K Adjustments'!$N$12,Adjustments!$J:$J,'Schedule 2K Adjustments'!$A32)</f>
        <v>0</v>
      </c>
      <c r="P32" s="303">
        <f t="shared" si="3"/>
        <v>0</v>
      </c>
      <c r="Q32" s="68">
        <f>IFERROR(N32*'As-Filed Schedule 1'!$E$103,0)</f>
        <v>0</v>
      </c>
      <c r="R32" s="68">
        <f>IFERROR(P32*'Adjusted Schedule 1'!$E$104,0)</f>
        <v>0</v>
      </c>
      <c r="S32" s="68">
        <f t="shared" si="4"/>
        <v>0</v>
      </c>
      <c r="T32" s="304">
        <f t="shared" si="5"/>
        <v>0</v>
      </c>
      <c r="V32" s="117">
        <f>'As-Filed Schedule 2K'!N32</f>
        <v>0</v>
      </c>
      <c r="W32" s="307">
        <f>SUMIFS(Adjustments!$G:$G,Adjustments!$H:$H,"2K",Adjustments!$I:$I,'Schedule 2K Adjustments'!$V$12,Adjustments!$J:$J,'Schedule 2K Adjustments'!$A32)</f>
        <v>0</v>
      </c>
      <c r="X32" s="303">
        <f t="shared" si="6"/>
        <v>0</v>
      </c>
      <c r="Y32" s="117">
        <f>'As-Filed Schedule 2K'!O32</f>
        <v>0</v>
      </c>
      <c r="Z32" s="307">
        <f>SUMIFS(Adjustments!$G:$G,Adjustments!$H:$H,"2K",Adjustments!$I:$I,'Schedule 2K Adjustments'!$Y$12,Adjustments!$J:$J,'Schedule 2K Adjustments'!$A32)</f>
        <v>0</v>
      </c>
      <c r="AA32" s="303">
        <f t="shared" si="7"/>
        <v>0</v>
      </c>
    </row>
    <row r="33" spans="1:27" x14ac:dyDescent="0.35">
      <c r="A33" s="24">
        <v>19</v>
      </c>
      <c r="B33" s="565" t="str">
        <f>IF('As-Filed Schedule 2K'!B33:D33=0,"",'As-Filed Schedule 2K'!B33:D33)</f>
        <v/>
      </c>
      <c r="C33" s="565"/>
      <c r="D33" s="565"/>
      <c r="F33" s="114">
        <f>'As-Filed Schedule 2K'!F33</f>
        <v>0</v>
      </c>
      <c r="G33" s="307">
        <f>SUMIFS(Adjustments!$G:$G,Adjustments!$H:$H,"2K",Adjustments!$I:$I,'Schedule 2K Adjustments'!$F$12,Adjustments!$J:$J,'Schedule 2K Adjustments'!$A33)</f>
        <v>0</v>
      </c>
      <c r="H33" s="303">
        <f t="shared" si="0"/>
        <v>0</v>
      </c>
      <c r="I33" s="68">
        <f>IFERROR(F33*'As-Filed Schedule 1'!$E$103,0)</f>
        <v>0</v>
      </c>
      <c r="J33" s="304">
        <f>IFERROR(H33*'Adjusted Schedule 1'!$E$104,0)</f>
        <v>0</v>
      </c>
      <c r="K33" s="68">
        <f t="shared" si="1"/>
        <v>0</v>
      </c>
      <c r="L33" s="304">
        <f t="shared" si="2"/>
        <v>0</v>
      </c>
      <c r="N33" s="114">
        <f>'As-Filed Schedule 2K'!J33</f>
        <v>0</v>
      </c>
      <c r="O33" s="307">
        <f>SUMIFS(Adjustments!$G:$G,Adjustments!$H:$H,"2K",Adjustments!$I:$I,'Schedule 2K Adjustments'!$N$12,Adjustments!$J:$J,'Schedule 2K Adjustments'!$A33)</f>
        <v>0</v>
      </c>
      <c r="P33" s="303">
        <f t="shared" si="3"/>
        <v>0</v>
      </c>
      <c r="Q33" s="68">
        <f>IFERROR(N33*'As-Filed Schedule 1'!$E$103,0)</f>
        <v>0</v>
      </c>
      <c r="R33" s="68">
        <f>IFERROR(P33*'Adjusted Schedule 1'!$E$104,0)</f>
        <v>0</v>
      </c>
      <c r="S33" s="68">
        <f t="shared" si="4"/>
        <v>0</v>
      </c>
      <c r="T33" s="304">
        <f t="shared" si="5"/>
        <v>0</v>
      </c>
      <c r="V33" s="117">
        <f>'As-Filed Schedule 2K'!N33</f>
        <v>0</v>
      </c>
      <c r="W33" s="307">
        <f>SUMIFS(Adjustments!$G:$G,Adjustments!$H:$H,"2K",Adjustments!$I:$I,'Schedule 2K Adjustments'!$V$12,Adjustments!$J:$J,'Schedule 2K Adjustments'!$A33)</f>
        <v>0</v>
      </c>
      <c r="X33" s="303">
        <f t="shared" si="6"/>
        <v>0</v>
      </c>
      <c r="Y33" s="117">
        <f>'As-Filed Schedule 2K'!O33</f>
        <v>0</v>
      </c>
      <c r="Z33" s="307">
        <f>SUMIFS(Adjustments!$G:$G,Adjustments!$H:$H,"2K",Adjustments!$I:$I,'Schedule 2K Adjustments'!$Y$12,Adjustments!$J:$J,'Schedule 2K Adjustments'!$A33)</f>
        <v>0</v>
      </c>
      <c r="AA33" s="303">
        <f t="shared" si="7"/>
        <v>0</v>
      </c>
    </row>
    <row r="34" spans="1:27" x14ac:dyDescent="0.35">
      <c r="A34" s="24">
        <v>20</v>
      </c>
      <c r="B34" s="565" t="str">
        <f>IF('As-Filed Schedule 2K'!B34:D34=0,"",'As-Filed Schedule 2K'!B34:D34)</f>
        <v/>
      </c>
      <c r="C34" s="565"/>
      <c r="D34" s="565"/>
      <c r="F34" s="114">
        <f>'As-Filed Schedule 2K'!F34</f>
        <v>0</v>
      </c>
      <c r="G34" s="307">
        <f>SUMIFS(Adjustments!$G:$G,Adjustments!$H:$H,"2K",Adjustments!$I:$I,'Schedule 2K Adjustments'!$F$12,Adjustments!$J:$J,'Schedule 2K Adjustments'!$A34)</f>
        <v>0</v>
      </c>
      <c r="H34" s="303">
        <f t="shared" si="0"/>
        <v>0</v>
      </c>
      <c r="I34" s="68">
        <f>IFERROR(F34*'As-Filed Schedule 1'!$E$103,0)</f>
        <v>0</v>
      </c>
      <c r="J34" s="304">
        <f>IFERROR(H34*'Adjusted Schedule 1'!$E$104,0)</f>
        <v>0</v>
      </c>
      <c r="K34" s="68">
        <f t="shared" si="1"/>
        <v>0</v>
      </c>
      <c r="L34" s="304">
        <f t="shared" si="2"/>
        <v>0</v>
      </c>
      <c r="N34" s="114">
        <f>'As-Filed Schedule 2K'!J34</f>
        <v>0</v>
      </c>
      <c r="O34" s="307">
        <f>SUMIFS(Adjustments!$G:$G,Adjustments!$H:$H,"2K",Adjustments!$I:$I,'Schedule 2K Adjustments'!$N$12,Adjustments!$J:$J,'Schedule 2K Adjustments'!$A34)</f>
        <v>0</v>
      </c>
      <c r="P34" s="303">
        <f t="shared" si="3"/>
        <v>0</v>
      </c>
      <c r="Q34" s="68">
        <f>IFERROR(N34*'As-Filed Schedule 1'!$E$103,0)</f>
        <v>0</v>
      </c>
      <c r="R34" s="68">
        <f>IFERROR(P34*'Adjusted Schedule 1'!$E$104,0)</f>
        <v>0</v>
      </c>
      <c r="S34" s="68">
        <f t="shared" si="4"/>
        <v>0</v>
      </c>
      <c r="T34" s="304">
        <f t="shared" si="5"/>
        <v>0</v>
      </c>
      <c r="V34" s="117">
        <f>'As-Filed Schedule 2K'!N34</f>
        <v>0</v>
      </c>
      <c r="W34" s="307">
        <f>SUMIFS(Adjustments!$G:$G,Adjustments!$H:$H,"2K",Adjustments!$I:$I,'Schedule 2K Adjustments'!$V$12,Adjustments!$J:$J,'Schedule 2K Adjustments'!$A34)</f>
        <v>0</v>
      </c>
      <c r="X34" s="303">
        <f t="shared" si="6"/>
        <v>0</v>
      </c>
      <c r="Y34" s="117">
        <f>'As-Filed Schedule 2K'!O34</f>
        <v>0</v>
      </c>
      <c r="Z34" s="307">
        <f>SUMIFS(Adjustments!$G:$G,Adjustments!$H:$H,"2K",Adjustments!$I:$I,'Schedule 2K Adjustments'!$Y$12,Adjustments!$J:$J,'Schedule 2K Adjustments'!$A34)</f>
        <v>0</v>
      </c>
      <c r="AA34" s="303">
        <f t="shared" si="7"/>
        <v>0</v>
      </c>
    </row>
    <row r="35" spans="1:27" x14ac:dyDescent="0.35">
      <c r="A35" s="24">
        <v>21</v>
      </c>
      <c r="B35" s="565" t="str">
        <f>IF('As-Filed Schedule 2K'!B35:D35=0,"",'As-Filed Schedule 2K'!B35:D35)</f>
        <v/>
      </c>
      <c r="C35" s="565"/>
      <c r="D35" s="565"/>
      <c r="F35" s="114">
        <f>'As-Filed Schedule 2K'!F35</f>
        <v>0</v>
      </c>
      <c r="G35" s="307">
        <f>SUMIFS(Adjustments!$G:$G,Adjustments!$H:$H,"2K",Adjustments!$I:$I,'Schedule 2K Adjustments'!$F$12,Adjustments!$J:$J,'Schedule 2K Adjustments'!$A35)</f>
        <v>0</v>
      </c>
      <c r="H35" s="303">
        <f t="shared" si="0"/>
        <v>0</v>
      </c>
      <c r="I35" s="68">
        <f>IFERROR(F35*'As-Filed Schedule 1'!$E$103,0)</f>
        <v>0</v>
      </c>
      <c r="J35" s="304">
        <f>IFERROR(H35*'Adjusted Schedule 1'!$E$104,0)</f>
        <v>0</v>
      </c>
      <c r="K35" s="68">
        <f t="shared" si="1"/>
        <v>0</v>
      </c>
      <c r="L35" s="304">
        <f t="shared" si="2"/>
        <v>0</v>
      </c>
      <c r="N35" s="114">
        <f>'As-Filed Schedule 2K'!J35</f>
        <v>0</v>
      </c>
      <c r="O35" s="307">
        <f>SUMIFS(Adjustments!$G:$G,Adjustments!$H:$H,"2K",Adjustments!$I:$I,'Schedule 2K Adjustments'!$N$12,Adjustments!$J:$J,'Schedule 2K Adjustments'!$A35)</f>
        <v>0</v>
      </c>
      <c r="P35" s="303">
        <f t="shared" si="3"/>
        <v>0</v>
      </c>
      <c r="Q35" s="68">
        <f>IFERROR(N35*'As-Filed Schedule 1'!$E$103,0)</f>
        <v>0</v>
      </c>
      <c r="R35" s="68">
        <f>IFERROR(P35*'Adjusted Schedule 1'!$E$104,0)</f>
        <v>0</v>
      </c>
      <c r="S35" s="68">
        <f t="shared" si="4"/>
        <v>0</v>
      </c>
      <c r="T35" s="304">
        <f t="shared" si="5"/>
        <v>0</v>
      </c>
      <c r="V35" s="117">
        <f>'As-Filed Schedule 2K'!N35</f>
        <v>0</v>
      </c>
      <c r="W35" s="307">
        <f>SUMIFS(Adjustments!$G:$G,Adjustments!$H:$H,"2K",Adjustments!$I:$I,'Schedule 2K Adjustments'!$V$12,Adjustments!$J:$J,'Schedule 2K Adjustments'!$A35)</f>
        <v>0</v>
      </c>
      <c r="X35" s="303">
        <f t="shared" si="6"/>
        <v>0</v>
      </c>
      <c r="Y35" s="117">
        <f>'As-Filed Schedule 2K'!O35</f>
        <v>0</v>
      </c>
      <c r="Z35" s="307">
        <f>SUMIFS(Adjustments!$G:$G,Adjustments!$H:$H,"2K",Adjustments!$I:$I,'Schedule 2K Adjustments'!$Y$12,Adjustments!$J:$J,'Schedule 2K Adjustments'!$A35)</f>
        <v>0</v>
      </c>
      <c r="AA35" s="303">
        <f t="shared" si="7"/>
        <v>0</v>
      </c>
    </row>
    <row r="36" spans="1:27" x14ac:dyDescent="0.35">
      <c r="A36" s="24">
        <v>22</v>
      </c>
      <c r="B36" s="565" t="str">
        <f>IF('As-Filed Schedule 2K'!B36:D36=0,"",'As-Filed Schedule 2K'!B36:D36)</f>
        <v/>
      </c>
      <c r="C36" s="565"/>
      <c r="D36" s="565"/>
      <c r="F36" s="114">
        <f>'As-Filed Schedule 2K'!F36</f>
        <v>0</v>
      </c>
      <c r="G36" s="307">
        <f>SUMIFS(Adjustments!$G:$G,Adjustments!$H:$H,"2K",Adjustments!$I:$I,'Schedule 2K Adjustments'!$F$12,Adjustments!$J:$J,'Schedule 2K Adjustments'!$A36)</f>
        <v>0</v>
      </c>
      <c r="H36" s="303">
        <f t="shared" si="0"/>
        <v>0</v>
      </c>
      <c r="I36" s="68">
        <f>IFERROR(F36*'As-Filed Schedule 1'!$E$103,0)</f>
        <v>0</v>
      </c>
      <c r="J36" s="304">
        <f>IFERROR(H36*'Adjusted Schedule 1'!$E$104,0)</f>
        <v>0</v>
      </c>
      <c r="K36" s="68">
        <f t="shared" si="1"/>
        <v>0</v>
      </c>
      <c r="L36" s="304">
        <f t="shared" si="2"/>
        <v>0</v>
      </c>
      <c r="N36" s="114">
        <f>'As-Filed Schedule 2K'!J36</f>
        <v>0</v>
      </c>
      <c r="O36" s="307">
        <f>SUMIFS(Adjustments!$G:$G,Adjustments!$H:$H,"2K",Adjustments!$I:$I,'Schedule 2K Adjustments'!$N$12,Adjustments!$J:$J,'Schedule 2K Adjustments'!$A36)</f>
        <v>0</v>
      </c>
      <c r="P36" s="303">
        <f t="shared" si="3"/>
        <v>0</v>
      </c>
      <c r="Q36" s="68">
        <f>IFERROR(N36*'As-Filed Schedule 1'!$E$103,0)</f>
        <v>0</v>
      </c>
      <c r="R36" s="68">
        <f>IFERROR(P36*'Adjusted Schedule 1'!$E$104,0)</f>
        <v>0</v>
      </c>
      <c r="S36" s="68">
        <f t="shared" si="4"/>
        <v>0</v>
      </c>
      <c r="T36" s="304">
        <f t="shared" si="5"/>
        <v>0</v>
      </c>
      <c r="V36" s="117">
        <f>'As-Filed Schedule 2K'!N36</f>
        <v>0</v>
      </c>
      <c r="W36" s="307">
        <f>SUMIFS(Adjustments!$G:$G,Adjustments!$H:$H,"2K",Adjustments!$I:$I,'Schedule 2K Adjustments'!$V$12,Adjustments!$J:$J,'Schedule 2K Adjustments'!$A36)</f>
        <v>0</v>
      </c>
      <c r="X36" s="303">
        <f t="shared" si="6"/>
        <v>0</v>
      </c>
      <c r="Y36" s="117">
        <f>'As-Filed Schedule 2K'!O36</f>
        <v>0</v>
      </c>
      <c r="Z36" s="307">
        <f>SUMIFS(Adjustments!$G:$G,Adjustments!$H:$H,"2K",Adjustments!$I:$I,'Schedule 2K Adjustments'!$Y$12,Adjustments!$J:$J,'Schedule 2K Adjustments'!$A36)</f>
        <v>0</v>
      </c>
      <c r="AA36" s="303">
        <f t="shared" si="7"/>
        <v>0</v>
      </c>
    </row>
    <row r="37" spans="1:27" x14ac:dyDescent="0.35">
      <c r="A37" s="24">
        <v>23</v>
      </c>
      <c r="B37" s="565" t="str">
        <f>IF('As-Filed Schedule 2K'!B37:D37=0,"",'As-Filed Schedule 2K'!B37:D37)</f>
        <v/>
      </c>
      <c r="C37" s="565"/>
      <c r="D37" s="565"/>
      <c r="F37" s="114">
        <f>'As-Filed Schedule 2K'!F37</f>
        <v>0</v>
      </c>
      <c r="G37" s="307">
        <f>SUMIFS(Adjustments!$G:$G,Adjustments!$H:$H,"2K",Adjustments!$I:$I,'Schedule 2K Adjustments'!$F$12,Adjustments!$J:$J,'Schedule 2K Adjustments'!$A37)</f>
        <v>0</v>
      </c>
      <c r="H37" s="303">
        <f t="shared" si="0"/>
        <v>0</v>
      </c>
      <c r="I37" s="68">
        <f>IFERROR(F37*'As-Filed Schedule 1'!$E$103,0)</f>
        <v>0</v>
      </c>
      <c r="J37" s="304">
        <f>IFERROR(H37*'Adjusted Schedule 1'!$E$104,0)</f>
        <v>0</v>
      </c>
      <c r="K37" s="68">
        <f t="shared" si="1"/>
        <v>0</v>
      </c>
      <c r="L37" s="304">
        <f t="shared" si="2"/>
        <v>0</v>
      </c>
      <c r="N37" s="114">
        <f>'As-Filed Schedule 2K'!J37</f>
        <v>0</v>
      </c>
      <c r="O37" s="307">
        <f>SUMIFS(Adjustments!$G:$G,Adjustments!$H:$H,"2K",Adjustments!$I:$I,'Schedule 2K Adjustments'!$N$12,Adjustments!$J:$J,'Schedule 2K Adjustments'!$A37)</f>
        <v>0</v>
      </c>
      <c r="P37" s="303">
        <f t="shared" si="3"/>
        <v>0</v>
      </c>
      <c r="Q37" s="68">
        <f>IFERROR(N37*'As-Filed Schedule 1'!$E$103,0)</f>
        <v>0</v>
      </c>
      <c r="R37" s="68">
        <f>IFERROR(P37*'Adjusted Schedule 1'!$E$104,0)</f>
        <v>0</v>
      </c>
      <c r="S37" s="68">
        <f t="shared" si="4"/>
        <v>0</v>
      </c>
      <c r="T37" s="304">
        <f t="shared" si="5"/>
        <v>0</v>
      </c>
      <c r="V37" s="117">
        <f>'As-Filed Schedule 2K'!N37</f>
        <v>0</v>
      </c>
      <c r="W37" s="307">
        <f>SUMIFS(Adjustments!$G:$G,Adjustments!$H:$H,"2K",Adjustments!$I:$I,'Schedule 2K Adjustments'!$V$12,Adjustments!$J:$J,'Schedule 2K Adjustments'!$A37)</f>
        <v>0</v>
      </c>
      <c r="X37" s="303">
        <f t="shared" si="6"/>
        <v>0</v>
      </c>
      <c r="Y37" s="117">
        <f>'As-Filed Schedule 2K'!O37</f>
        <v>0</v>
      </c>
      <c r="Z37" s="307">
        <f>SUMIFS(Adjustments!$G:$G,Adjustments!$H:$H,"2K",Adjustments!$I:$I,'Schedule 2K Adjustments'!$Y$12,Adjustments!$J:$J,'Schedule 2K Adjustments'!$A37)</f>
        <v>0</v>
      </c>
      <c r="AA37" s="303">
        <f t="shared" si="7"/>
        <v>0</v>
      </c>
    </row>
    <row r="38" spans="1:27" x14ac:dyDescent="0.35">
      <c r="A38" s="24">
        <v>24</v>
      </c>
      <c r="B38" s="565" t="str">
        <f>IF('As-Filed Schedule 2K'!B38:D38=0,"",'As-Filed Schedule 2K'!B38:D38)</f>
        <v/>
      </c>
      <c r="C38" s="565"/>
      <c r="D38" s="565"/>
      <c r="F38" s="114">
        <f>'As-Filed Schedule 2K'!F38</f>
        <v>0</v>
      </c>
      <c r="G38" s="307">
        <f>SUMIFS(Adjustments!$G:$G,Adjustments!$H:$H,"2K",Adjustments!$I:$I,'Schedule 2K Adjustments'!$F$12,Adjustments!$J:$J,'Schedule 2K Adjustments'!$A38)</f>
        <v>0</v>
      </c>
      <c r="H38" s="303">
        <f t="shared" si="0"/>
        <v>0</v>
      </c>
      <c r="I38" s="68">
        <f>IFERROR(F38*'As-Filed Schedule 1'!$E$103,0)</f>
        <v>0</v>
      </c>
      <c r="J38" s="304">
        <f>IFERROR(H38*'Adjusted Schedule 1'!$E$104,0)</f>
        <v>0</v>
      </c>
      <c r="K38" s="68">
        <f t="shared" si="1"/>
        <v>0</v>
      </c>
      <c r="L38" s="304">
        <f t="shared" si="2"/>
        <v>0</v>
      </c>
      <c r="N38" s="114">
        <f>'As-Filed Schedule 2K'!J38</f>
        <v>0</v>
      </c>
      <c r="O38" s="307">
        <f>SUMIFS(Adjustments!$G:$G,Adjustments!$H:$H,"2K",Adjustments!$I:$I,'Schedule 2K Adjustments'!$N$12,Adjustments!$J:$J,'Schedule 2K Adjustments'!$A38)</f>
        <v>0</v>
      </c>
      <c r="P38" s="303">
        <f t="shared" si="3"/>
        <v>0</v>
      </c>
      <c r="Q38" s="68">
        <f>IFERROR(N38*'As-Filed Schedule 1'!$E$103,0)</f>
        <v>0</v>
      </c>
      <c r="R38" s="68">
        <f>IFERROR(P38*'Adjusted Schedule 1'!$E$104,0)</f>
        <v>0</v>
      </c>
      <c r="S38" s="68">
        <f t="shared" si="4"/>
        <v>0</v>
      </c>
      <c r="T38" s="304">
        <f t="shared" si="5"/>
        <v>0</v>
      </c>
      <c r="V38" s="117">
        <f>'As-Filed Schedule 2K'!N38</f>
        <v>0</v>
      </c>
      <c r="W38" s="307">
        <f>SUMIFS(Adjustments!$G:$G,Adjustments!$H:$H,"2K",Adjustments!$I:$I,'Schedule 2K Adjustments'!$V$12,Adjustments!$J:$J,'Schedule 2K Adjustments'!$A38)</f>
        <v>0</v>
      </c>
      <c r="X38" s="303">
        <f t="shared" si="6"/>
        <v>0</v>
      </c>
      <c r="Y38" s="117">
        <f>'As-Filed Schedule 2K'!O38</f>
        <v>0</v>
      </c>
      <c r="Z38" s="307">
        <f>SUMIFS(Adjustments!$G:$G,Adjustments!$H:$H,"2K",Adjustments!$I:$I,'Schedule 2K Adjustments'!$Y$12,Adjustments!$J:$J,'Schedule 2K Adjustments'!$A38)</f>
        <v>0</v>
      </c>
      <c r="AA38" s="303">
        <f t="shared" si="7"/>
        <v>0</v>
      </c>
    </row>
    <row r="39" spans="1:27" x14ac:dyDescent="0.35">
      <c r="A39" s="24">
        <v>25</v>
      </c>
      <c r="B39" s="565" t="str">
        <f>IF('As-Filed Schedule 2K'!B39:D39=0,"",'As-Filed Schedule 2K'!B39:D39)</f>
        <v/>
      </c>
      <c r="C39" s="565"/>
      <c r="D39" s="565"/>
      <c r="F39" s="114">
        <f>'As-Filed Schedule 2K'!F39</f>
        <v>0</v>
      </c>
      <c r="G39" s="307">
        <f>SUMIFS(Adjustments!$G:$G,Adjustments!$H:$H,"2K",Adjustments!$I:$I,'Schedule 2K Adjustments'!$F$12,Adjustments!$J:$J,'Schedule 2K Adjustments'!$A39)</f>
        <v>0</v>
      </c>
      <c r="H39" s="303">
        <f t="shared" si="0"/>
        <v>0</v>
      </c>
      <c r="I39" s="68">
        <f>IFERROR(F39*'As-Filed Schedule 1'!$E$103,0)</f>
        <v>0</v>
      </c>
      <c r="J39" s="304">
        <f>IFERROR(H39*'Adjusted Schedule 1'!$E$104,0)</f>
        <v>0</v>
      </c>
      <c r="K39" s="68">
        <f t="shared" si="1"/>
        <v>0</v>
      </c>
      <c r="L39" s="304">
        <f t="shared" si="2"/>
        <v>0</v>
      </c>
      <c r="N39" s="114">
        <f>'As-Filed Schedule 2K'!J39</f>
        <v>0</v>
      </c>
      <c r="O39" s="307">
        <f>SUMIFS(Adjustments!$G:$G,Adjustments!$H:$H,"2K",Adjustments!$I:$I,'Schedule 2K Adjustments'!$N$12,Adjustments!$J:$J,'Schedule 2K Adjustments'!$A39)</f>
        <v>0</v>
      </c>
      <c r="P39" s="303">
        <f t="shared" si="3"/>
        <v>0</v>
      </c>
      <c r="Q39" s="68">
        <f>IFERROR(N39*'As-Filed Schedule 1'!$E$103,0)</f>
        <v>0</v>
      </c>
      <c r="R39" s="68">
        <f>IFERROR(P39*'Adjusted Schedule 1'!$E$104,0)</f>
        <v>0</v>
      </c>
      <c r="S39" s="68">
        <f t="shared" si="4"/>
        <v>0</v>
      </c>
      <c r="T39" s="304">
        <f t="shared" si="5"/>
        <v>0</v>
      </c>
      <c r="V39" s="117">
        <f>'As-Filed Schedule 2K'!N39</f>
        <v>0</v>
      </c>
      <c r="W39" s="307">
        <f>SUMIFS(Adjustments!$G:$G,Adjustments!$H:$H,"2K",Adjustments!$I:$I,'Schedule 2K Adjustments'!$V$12,Adjustments!$J:$J,'Schedule 2K Adjustments'!$A39)</f>
        <v>0</v>
      </c>
      <c r="X39" s="303">
        <f t="shared" si="6"/>
        <v>0</v>
      </c>
      <c r="Y39" s="117">
        <f>'As-Filed Schedule 2K'!O39</f>
        <v>0</v>
      </c>
      <c r="Z39" s="307">
        <f>SUMIFS(Adjustments!$G:$G,Adjustments!$H:$H,"2K",Adjustments!$I:$I,'Schedule 2K Adjustments'!$Y$12,Adjustments!$J:$J,'Schedule 2K Adjustments'!$A39)</f>
        <v>0</v>
      </c>
      <c r="AA39" s="303">
        <f t="shared" si="7"/>
        <v>0</v>
      </c>
    </row>
    <row r="40" spans="1:27" x14ac:dyDescent="0.35">
      <c r="A40" s="24">
        <v>26</v>
      </c>
      <c r="B40" s="565" t="str">
        <f>IF('As-Filed Schedule 2K'!B40:D40=0,"",'As-Filed Schedule 2K'!B40:D40)</f>
        <v/>
      </c>
      <c r="C40" s="565"/>
      <c r="D40" s="565"/>
      <c r="F40" s="114">
        <f>'As-Filed Schedule 2K'!F40</f>
        <v>0</v>
      </c>
      <c r="G40" s="307">
        <f>SUMIFS(Adjustments!$G:$G,Adjustments!$H:$H,"2K",Adjustments!$I:$I,'Schedule 2K Adjustments'!$F$12,Adjustments!$J:$J,'Schedule 2K Adjustments'!$A40)</f>
        <v>0</v>
      </c>
      <c r="H40" s="303">
        <f t="shared" si="0"/>
        <v>0</v>
      </c>
      <c r="I40" s="68">
        <f>IFERROR(F40*'As-Filed Schedule 1'!$E$103,0)</f>
        <v>0</v>
      </c>
      <c r="J40" s="304">
        <f>IFERROR(H40*'Adjusted Schedule 1'!$E$104,0)</f>
        <v>0</v>
      </c>
      <c r="K40" s="68">
        <f t="shared" si="1"/>
        <v>0</v>
      </c>
      <c r="L40" s="304">
        <f t="shared" si="2"/>
        <v>0</v>
      </c>
      <c r="N40" s="114">
        <f>'As-Filed Schedule 2K'!J40</f>
        <v>0</v>
      </c>
      <c r="O40" s="307">
        <f>SUMIFS(Adjustments!$G:$G,Adjustments!$H:$H,"2K",Adjustments!$I:$I,'Schedule 2K Adjustments'!$N$12,Adjustments!$J:$J,'Schedule 2K Adjustments'!$A40)</f>
        <v>0</v>
      </c>
      <c r="P40" s="303">
        <f t="shared" si="3"/>
        <v>0</v>
      </c>
      <c r="Q40" s="68">
        <f>IFERROR(N40*'As-Filed Schedule 1'!$E$103,0)</f>
        <v>0</v>
      </c>
      <c r="R40" s="68">
        <f>IFERROR(P40*'Adjusted Schedule 1'!$E$104,0)</f>
        <v>0</v>
      </c>
      <c r="S40" s="68">
        <f t="shared" si="4"/>
        <v>0</v>
      </c>
      <c r="T40" s="304">
        <f t="shared" si="5"/>
        <v>0</v>
      </c>
      <c r="V40" s="117">
        <f>'As-Filed Schedule 2K'!N40</f>
        <v>0</v>
      </c>
      <c r="W40" s="307">
        <f>SUMIFS(Adjustments!$G:$G,Adjustments!$H:$H,"2K",Adjustments!$I:$I,'Schedule 2K Adjustments'!$V$12,Adjustments!$J:$J,'Schedule 2K Adjustments'!$A40)</f>
        <v>0</v>
      </c>
      <c r="X40" s="303">
        <f t="shared" si="6"/>
        <v>0</v>
      </c>
      <c r="Y40" s="117">
        <f>'As-Filed Schedule 2K'!O40</f>
        <v>0</v>
      </c>
      <c r="Z40" s="307">
        <f>SUMIFS(Adjustments!$G:$G,Adjustments!$H:$H,"2K",Adjustments!$I:$I,'Schedule 2K Adjustments'!$Y$12,Adjustments!$J:$J,'Schedule 2K Adjustments'!$A40)</f>
        <v>0</v>
      </c>
      <c r="AA40" s="303">
        <f t="shared" si="7"/>
        <v>0</v>
      </c>
    </row>
    <row r="41" spans="1:27" x14ac:dyDescent="0.35">
      <c r="A41" s="24">
        <v>27</v>
      </c>
      <c r="B41" s="565" t="str">
        <f>IF('As-Filed Schedule 2K'!B41:D41=0,"",'As-Filed Schedule 2K'!B41:D41)</f>
        <v/>
      </c>
      <c r="C41" s="565"/>
      <c r="D41" s="565"/>
      <c r="F41" s="114">
        <f>'As-Filed Schedule 2K'!F41</f>
        <v>0</v>
      </c>
      <c r="G41" s="307">
        <f>SUMIFS(Adjustments!$G:$G,Adjustments!$H:$H,"2K",Adjustments!$I:$I,'Schedule 2K Adjustments'!$F$12,Adjustments!$J:$J,'Schedule 2K Adjustments'!$A41)</f>
        <v>0</v>
      </c>
      <c r="H41" s="303">
        <f t="shared" si="0"/>
        <v>0</v>
      </c>
      <c r="I41" s="68">
        <f>IFERROR(F41*'As-Filed Schedule 1'!$E$103,0)</f>
        <v>0</v>
      </c>
      <c r="J41" s="304">
        <f>IFERROR(H41*'Adjusted Schedule 1'!$E$104,0)</f>
        <v>0</v>
      </c>
      <c r="K41" s="68">
        <f t="shared" si="1"/>
        <v>0</v>
      </c>
      <c r="L41" s="304">
        <f t="shared" si="2"/>
        <v>0</v>
      </c>
      <c r="N41" s="114">
        <f>'As-Filed Schedule 2K'!J41</f>
        <v>0</v>
      </c>
      <c r="O41" s="307">
        <f>SUMIFS(Adjustments!$G:$G,Adjustments!$H:$H,"2K",Adjustments!$I:$I,'Schedule 2K Adjustments'!$N$12,Adjustments!$J:$J,'Schedule 2K Adjustments'!$A41)</f>
        <v>0</v>
      </c>
      <c r="P41" s="303">
        <f t="shared" si="3"/>
        <v>0</v>
      </c>
      <c r="Q41" s="68">
        <f>IFERROR(N41*'As-Filed Schedule 1'!$E$103,0)</f>
        <v>0</v>
      </c>
      <c r="R41" s="68">
        <f>IFERROR(P41*'Adjusted Schedule 1'!$E$104,0)</f>
        <v>0</v>
      </c>
      <c r="S41" s="68">
        <f t="shared" si="4"/>
        <v>0</v>
      </c>
      <c r="T41" s="304">
        <f t="shared" si="5"/>
        <v>0</v>
      </c>
      <c r="V41" s="117">
        <f>'As-Filed Schedule 2K'!N41</f>
        <v>0</v>
      </c>
      <c r="W41" s="307">
        <f>SUMIFS(Adjustments!$G:$G,Adjustments!$H:$H,"2K",Adjustments!$I:$I,'Schedule 2K Adjustments'!$V$12,Adjustments!$J:$J,'Schedule 2K Adjustments'!$A41)</f>
        <v>0</v>
      </c>
      <c r="X41" s="303">
        <f t="shared" si="6"/>
        <v>0</v>
      </c>
      <c r="Y41" s="117">
        <f>'As-Filed Schedule 2K'!O41</f>
        <v>0</v>
      </c>
      <c r="Z41" s="307">
        <f>SUMIFS(Adjustments!$G:$G,Adjustments!$H:$H,"2K",Adjustments!$I:$I,'Schedule 2K Adjustments'!$Y$12,Adjustments!$J:$J,'Schedule 2K Adjustments'!$A41)</f>
        <v>0</v>
      </c>
      <c r="AA41" s="303">
        <f t="shared" si="7"/>
        <v>0</v>
      </c>
    </row>
    <row r="42" spans="1:27" x14ac:dyDescent="0.35">
      <c r="A42" s="24">
        <v>28</v>
      </c>
      <c r="B42" s="565" t="str">
        <f>IF('As-Filed Schedule 2K'!B42:D42=0,"",'As-Filed Schedule 2K'!B42:D42)</f>
        <v/>
      </c>
      <c r="C42" s="565"/>
      <c r="D42" s="565"/>
      <c r="F42" s="114">
        <f>'As-Filed Schedule 2K'!F42</f>
        <v>0</v>
      </c>
      <c r="G42" s="307">
        <f>SUMIFS(Adjustments!$G:$G,Adjustments!$H:$H,"2K",Adjustments!$I:$I,'Schedule 2K Adjustments'!$F$12,Adjustments!$J:$J,'Schedule 2K Adjustments'!$A42)</f>
        <v>0</v>
      </c>
      <c r="H42" s="303">
        <f t="shared" si="0"/>
        <v>0</v>
      </c>
      <c r="I42" s="68">
        <f>IFERROR(F42*'As-Filed Schedule 1'!$E$103,0)</f>
        <v>0</v>
      </c>
      <c r="J42" s="304">
        <f>IFERROR(H42*'Adjusted Schedule 1'!$E$104,0)</f>
        <v>0</v>
      </c>
      <c r="K42" s="68">
        <f t="shared" si="1"/>
        <v>0</v>
      </c>
      <c r="L42" s="304">
        <f t="shared" si="2"/>
        <v>0</v>
      </c>
      <c r="N42" s="114">
        <f>'As-Filed Schedule 2K'!J42</f>
        <v>0</v>
      </c>
      <c r="O42" s="307">
        <f>SUMIFS(Adjustments!$G:$G,Adjustments!$H:$H,"2K",Adjustments!$I:$I,'Schedule 2K Adjustments'!$N$12,Adjustments!$J:$J,'Schedule 2K Adjustments'!$A42)</f>
        <v>0</v>
      </c>
      <c r="P42" s="303">
        <f t="shared" si="3"/>
        <v>0</v>
      </c>
      <c r="Q42" s="68">
        <f>IFERROR(N42*'As-Filed Schedule 1'!$E$103,0)</f>
        <v>0</v>
      </c>
      <c r="R42" s="68">
        <f>IFERROR(P42*'Adjusted Schedule 1'!$E$104,0)</f>
        <v>0</v>
      </c>
      <c r="S42" s="68">
        <f t="shared" si="4"/>
        <v>0</v>
      </c>
      <c r="T42" s="304">
        <f t="shared" si="5"/>
        <v>0</v>
      </c>
      <c r="V42" s="117">
        <f>'As-Filed Schedule 2K'!N42</f>
        <v>0</v>
      </c>
      <c r="W42" s="307">
        <f>SUMIFS(Adjustments!$G:$G,Adjustments!$H:$H,"2K",Adjustments!$I:$I,'Schedule 2K Adjustments'!$V$12,Adjustments!$J:$J,'Schedule 2K Adjustments'!$A42)</f>
        <v>0</v>
      </c>
      <c r="X42" s="303">
        <f t="shared" si="6"/>
        <v>0</v>
      </c>
      <c r="Y42" s="117">
        <f>'As-Filed Schedule 2K'!O42</f>
        <v>0</v>
      </c>
      <c r="Z42" s="307">
        <f>SUMIFS(Adjustments!$G:$G,Adjustments!$H:$H,"2K",Adjustments!$I:$I,'Schedule 2K Adjustments'!$Y$12,Adjustments!$J:$J,'Schedule 2K Adjustments'!$A42)</f>
        <v>0</v>
      </c>
      <c r="AA42" s="303">
        <f t="shared" si="7"/>
        <v>0</v>
      </c>
    </row>
    <row r="43" spans="1:27" x14ac:dyDescent="0.35">
      <c r="A43" s="24">
        <v>29</v>
      </c>
      <c r="B43" s="565" t="str">
        <f>IF('As-Filed Schedule 2K'!B43:D43=0,"",'As-Filed Schedule 2K'!B43:D43)</f>
        <v/>
      </c>
      <c r="C43" s="565"/>
      <c r="D43" s="565"/>
      <c r="F43" s="114">
        <f>'As-Filed Schedule 2K'!F43</f>
        <v>0</v>
      </c>
      <c r="G43" s="307">
        <f>SUMIFS(Adjustments!$G:$G,Adjustments!$H:$H,"2K",Adjustments!$I:$I,'Schedule 2K Adjustments'!$F$12,Adjustments!$J:$J,'Schedule 2K Adjustments'!$A43)</f>
        <v>0</v>
      </c>
      <c r="H43" s="303">
        <f t="shared" si="0"/>
        <v>0</v>
      </c>
      <c r="I43" s="68">
        <f>IFERROR(F43*'As-Filed Schedule 1'!$E$103,0)</f>
        <v>0</v>
      </c>
      <c r="J43" s="304">
        <f>IFERROR(H43*'Adjusted Schedule 1'!$E$104,0)</f>
        <v>0</v>
      </c>
      <c r="K43" s="68">
        <f t="shared" si="1"/>
        <v>0</v>
      </c>
      <c r="L43" s="304">
        <f t="shared" si="2"/>
        <v>0</v>
      </c>
      <c r="N43" s="114">
        <f>'As-Filed Schedule 2K'!J43</f>
        <v>0</v>
      </c>
      <c r="O43" s="307">
        <f>SUMIFS(Adjustments!$G:$G,Adjustments!$H:$H,"2K",Adjustments!$I:$I,'Schedule 2K Adjustments'!$N$12,Adjustments!$J:$J,'Schedule 2K Adjustments'!$A43)</f>
        <v>0</v>
      </c>
      <c r="P43" s="303">
        <f t="shared" si="3"/>
        <v>0</v>
      </c>
      <c r="Q43" s="68">
        <f>IFERROR(N43*'As-Filed Schedule 1'!$E$103,0)</f>
        <v>0</v>
      </c>
      <c r="R43" s="68">
        <f>IFERROR(P43*'Adjusted Schedule 1'!$E$104,0)</f>
        <v>0</v>
      </c>
      <c r="S43" s="68">
        <f t="shared" si="4"/>
        <v>0</v>
      </c>
      <c r="T43" s="304">
        <f t="shared" si="5"/>
        <v>0</v>
      </c>
      <c r="V43" s="117">
        <f>'As-Filed Schedule 2K'!N43</f>
        <v>0</v>
      </c>
      <c r="W43" s="307">
        <f>SUMIFS(Adjustments!$G:$G,Adjustments!$H:$H,"2K",Adjustments!$I:$I,'Schedule 2K Adjustments'!$V$12,Adjustments!$J:$J,'Schedule 2K Adjustments'!$A43)</f>
        <v>0</v>
      </c>
      <c r="X43" s="303">
        <f t="shared" si="6"/>
        <v>0</v>
      </c>
      <c r="Y43" s="117">
        <f>'As-Filed Schedule 2K'!O43</f>
        <v>0</v>
      </c>
      <c r="Z43" s="307">
        <f>SUMIFS(Adjustments!$G:$G,Adjustments!$H:$H,"2K",Adjustments!$I:$I,'Schedule 2K Adjustments'!$Y$12,Adjustments!$J:$J,'Schedule 2K Adjustments'!$A43)</f>
        <v>0</v>
      </c>
      <c r="AA43" s="303">
        <f t="shared" si="7"/>
        <v>0</v>
      </c>
    </row>
    <row r="44" spans="1:27" x14ac:dyDescent="0.35">
      <c r="A44" s="24">
        <v>30</v>
      </c>
      <c r="B44" s="565" t="str">
        <f>IF('As-Filed Schedule 2K'!B44:D44=0,"",'As-Filed Schedule 2K'!B44:D44)</f>
        <v/>
      </c>
      <c r="C44" s="565"/>
      <c r="D44" s="565"/>
      <c r="F44" s="114">
        <f>'As-Filed Schedule 2K'!F44</f>
        <v>0</v>
      </c>
      <c r="G44" s="307">
        <f>SUMIFS(Adjustments!$G:$G,Adjustments!$H:$H,"2K",Adjustments!$I:$I,'Schedule 2K Adjustments'!$F$12,Adjustments!$J:$J,'Schedule 2K Adjustments'!$A44)</f>
        <v>0</v>
      </c>
      <c r="H44" s="303">
        <f t="shared" si="0"/>
        <v>0</v>
      </c>
      <c r="I44" s="68">
        <f>IFERROR(F44*'As-Filed Schedule 1'!$E$103,0)</f>
        <v>0</v>
      </c>
      <c r="J44" s="304">
        <f>IFERROR(H44*'Adjusted Schedule 1'!$E$104,0)</f>
        <v>0</v>
      </c>
      <c r="K44" s="68">
        <f t="shared" si="1"/>
        <v>0</v>
      </c>
      <c r="L44" s="304">
        <f t="shared" si="2"/>
        <v>0</v>
      </c>
      <c r="N44" s="114">
        <f>'As-Filed Schedule 2K'!J44</f>
        <v>0</v>
      </c>
      <c r="O44" s="307">
        <f>SUMIFS(Adjustments!$G:$G,Adjustments!$H:$H,"2K",Adjustments!$I:$I,'Schedule 2K Adjustments'!$N$12,Adjustments!$J:$J,'Schedule 2K Adjustments'!$A44)</f>
        <v>0</v>
      </c>
      <c r="P44" s="303">
        <f t="shared" si="3"/>
        <v>0</v>
      </c>
      <c r="Q44" s="68">
        <f>IFERROR(N44*'As-Filed Schedule 1'!$E$103,0)</f>
        <v>0</v>
      </c>
      <c r="R44" s="68">
        <f>IFERROR(P44*'Adjusted Schedule 1'!$E$104,0)</f>
        <v>0</v>
      </c>
      <c r="S44" s="68">
        <f t="shared" si="4"/>
        <v>0</v>
      </c>
      <c r="T44" s="304">
        <f t="shared" si="5"/>
        <v>0</v>
      </c>
      <c r="V44" s="117">
        <f>'As-Filed Schedule 2K'!N44</f>
        <v>0</v>
      </c>
      <c r="W44" s="307">
        <f>SUMIFS(Adjustments!$G:$G,Adjustments!$H:$H,"2K",Adjustments!$I:$I,'Schedule 2K Adjustments'!$V$12,Adjustments!$J:$J,'Schedule 2K Adjustments'!$A44)</f>
        <v>0</v>
      </c>
      <c r="X44" s="303">
        <f t="shared" si="6"/>
        <v>0</v>
      </c>
      <c r="Y44" s="117">
        <f>'As-Filed Schedule 2K'!O44</f>
        <v>0</v>
      </c>
      <c r="Z44" s="307">
        <f>SUMIFS(Adjustments!$G:$G,Adjustments!$H:$H,"2K",Adjustments!$I:$I,'Schedule 2K Adjustments'!$Y$12,Adjustments!$J:$J,'Schedule 2K Adjustments'!$A44)</f>
        <v>0</v>
      </c>
      <c r="AA44" s="303">
        <f t="shared" si="7"/>
        <v>0</v>
      </c>
    </row>
    <row r="45" spans="1:27" x14ac:dyDescent="0.35">
      <c r="A45" s="24">
        <v>31</v>
      </c>
      <c r="B45" s="565" t="str">
        <f>IF('As-Filed Schedule 2K'!B45:D45=0,"",'As-Filed Schedule 2K'!B45:D45)</f>
        <v/>
      </c>
      <c r="C45" s="565"/>
      <c r="D45" s="565"/>
      <c r="F45" s="114">
        <f>'As-Filed Schedule 2K'!F45</f>
        <v>0</v>
      </c>
      <c r="G45" s="307">
        <f>SUMIFS(Adjustments!$G:$G,Adjustments!$H:$H,"2K",Adjustments!$I:$I,'Schedule 2K Adjustments'!$F$12,Adjustments!$J:$J,'Schedule 2K Adjustments'!$A45)</f>
        <v>0</v>
      </c>
      <c r="H45" s="303">
        <f t="shared" si="0"/>
        <v>0</v>
      </c>
      <c r="I45" s="68">
        <f>IFERROR(F45*'As-Filed Schedule 1'!$E$103,0)</f>
        <v>0</v>
      </c>
      <c r="J45" s="304">
        <f>IFERROR(H45*'Adjusted Schedule 1'!$E$104,0)</f>
        <v>0</v>
      </c>
      <c r="K45" s="68">
        <f t="shared" si="1"/>
        <v>0</v>
      </c>
      <c r="L45" s="304">
        <f t="shared" si="2"/>
        <v>0</v>
      </c>
      <c r="N45" s="114">
        <f>'As-Filed Schedule 2K'!J45</f>
        <v>0</v>
      </c>
      <c r="O45" s="307">
        <f>SUMIFS(Adjustments!$G:$G,Adjustments!$H:$H,"2K",Adjustments!$I:$I,'Schedule 2K Adjustments'!$N$12,Adjustments!$J:$J,'Schedule 2K Adjustments'!$A45)</f>
        <v>0</v>
      </c>
      <c r="P45" s="303">
        <f t="shared" si="3"/>
        <v>0</v>
      </c>
      <c r="Q45" s="68">
        <f>IFERROR(N45*'As-Filed Schedule 1'!$E$103,0)</f>
        <v>0</v>
      </c>
      <c r="R45" s="68">
        <f>IFERROR(P45*'Adjusted Schedule 1'!$E$104,0)</f>
        <v>0</v>
      </c>
      <c r="S45" s="68">
        <f t="shared" si="4"/>
        <v>0</v>
      </c>
      <c r="T45" s="304">
        <f t="shared" si="5"/>
        <v>0</v>
      </c>
      <c r="V45" s="117">
        <f>'As-Filed Schedule 2K'!N45</f>
        <v>0</v>
      </c>
      <c r="W45" s="307">
        <f>SUMIFS(Adjustments!$G:$G,Adjustments!$H:$H,"2K",Adjustments!$I:$I,'Schedule 2K Adjustments'!$V$12,Adjustments!$J:$J,'Schedule 2K Adjustments'!$A45)</f>
        <v>0</v>
      </c>
      <c r="X45" s="303">
        <f t="shared" si="6"/>
        <v>0</v>
      </c>
      <c r="Y45" s="117">
        <f>'As-Filed Schedule 2K'!O45</f>
        <v>0</v>
      </c>
      <c r="Z45" s="307">
        <f>SUMIFS(Adjustments!$G:$G,Adjustments!$H:$H,"2K",Adjustments!$I:$I,'Schedule 2K Adjustments'!$Y$12,Adjustments!$J:$J,'Schedule 2K Adjustments'!$A45)</f>
        <v>0</v>
      </c>
      <c r="AA45" s="303">
        <f t="shared" si="7"/>
        <v>0</v>
      </c>
    </row>
    <row r="46" spans="1:27" x14ac:dyDescent="0.35">
      <c r="A46" s="24">
        <v>32</v>
      </c>
      <c r="B46" s="565" t="str">
        <f>IF('As-Filed Schedule 2K'!B46:D46=0,"",'As-Filed Schedule 2K'!B46:D46)</f>
        <v/>
      </c>
      <c r="C46" s="565"/>
      <c r="D46" s="565"/>
      <c r="F46" s="114">
        <f>'As-Filed Schedule 2K'!F46</f>
        <v>0</v>
      </c>
      <c r="G46" s="307">
        <f>SUMIFS(Adjustments!$G:$G,Adjustments!$H:$H,"2K",Adjustments!$I:$I,'Schedule 2K Adjustments'!$F$12,Adjustments!$J:$J,'Schedule 2K Adjustments'!$A46)</f>
        <v>0</v>
      </c>
      <c r="H46" s="303">
        <f t="shared" si="0"/>
        <v>0</v>
      </c>
      <c r="I46" s="68">
        <f>IFERROR(F46*'As-Filed Schedule 1'!$E$103,0)</f>
        <v>0</v>
      </c>
      <c r="J46" s="304">
        <f>IFERROR(H46*'Adjusted Schedule 1'!$E$104,0)</f>
        <v>0</v>
      </c>
      <c r="K46" s="68">
        <f t="shared" si="1"/>
        <v>0</v>
      </c>
      <c r="L46" s="304">
        <f t="shared" si="2"/>
        <v>0</v>
      </c>
      <c r="N46" s="114">
        <f>'As-Filed Schedule 2K'!J46</f>
        <v>0</v>
      </c>
      <c r="O46" s="307">
        <f>SUMIFS(Adjustments!$G:$G,Adjustments!$H:$H,"2K",Adjustments!$I:$I,'Schedule 2K Adjustments'!$N$12,Adjustments!$J:$J,'Schedule 2K Adjustments'!$A46)</f>
        <v>0</v>
      </c>
      <c r="P46" s="303">
        <f t="shared" si="3"/>
        <v>0</v>
      </c>
      <c r="Q46" s="68">
        <f>IFERROR(N46*'As-Filed Schedule 1'!$E$103,0)</f>
        <v>0</v>
      </c>
      <c r="R46" s="68">
        <f>IFERROR(P46*'Adjusted Schedule 1'!$E$104,0)</f>
        <v>0</v>
      </c>
      <c r="S46" s="68">
        <f t="shared" si="4"/>
        <v>0</v>
      </c>
      <c r="T46" s="304">
        <f t="shared" si="5"/>
        <v>0</v>
      </c>
      <c r="V46" s="117">
        <f>'As-Filed Schedule 2K'!N46</f>
        <v>0</v>
      </c>
      <c r="W46" s="307">
        <f>SUMIFS(Adjustments!$G:$G,Adjustments!$H:$H,"2K",Adjustments!$I:$I,'Schedule 2K Adjustments'!$V$12,Adjustments!$J:$J,'Schedule 2K Adjustments'!$A46)</f>
        <v>0</v>
      </c>
      <c r="X46" s="303">
        <f t="shared" si="6"/>
        <v>0</v>
      </c>
      <c r="Y46" s="117">
        <f>'As-Filed Schedule 2K'!O46</f>
        <v>0</v>
      </c>
      <c r="Z46" s="307">
        <f>SUMIFS(Adjustments!$G:$G,Adjustments!$H:$H,"2K",Adjustments!$I:$I,'Schedule 2K Adjustments'!$Y$12,Adjustments!$J:$J,'Schedule 2K Adjustments'!$A46)</f>
        <v>0</v>
      </c>
      <c r="AA46" s="303">
        <f t="shared" si="7"/>
        <v>0</v>
      </c>
    </row>
    <row r="47" spans="1:27" x14ac:dyDescent="0.35">
      <c r="A47" s="24">
        <v>33</v>
      </c>
      <c r="B47" s="565" t="str">
        <f>IF('As-Filed Schedule 2K'!B47:D47=0,"",'As-Filed Schedule 2K'!B47:D47)</f>
        <v/>
      </c>
      <c r="C47" s="565"/>
      <c r="D47" s="565"/>
      <c r="F47" s="114">
        <f>'As-Filed Schedule 2K'!F47</f>
        <v>0</v>
      </c>
      <c r="G47" s="307">
        <f>SUMIFS(Adjustments!$G:$G,Adjustments!$H:$H,"2K",Adjustments!$I:$I,'Schedule 2K Adjustments'!$F$12,Adjustments!$J:$J,'Schedule 2K Adjustments'!$A47)</f>
        <v>0</v>
      </c>
      <c r="H47" s="303">
        <f t="shared" si="0"/>
        <v>0</v>
      </c>
      <c r="I47" s="68">
        <f>IFERROR(F47*'As-Filed Schedule 1'!$E$103,0)</f>
        <v>0</v>
      </c>
      <c r="J47" s="304">
        <f>IFERROR(H47*'Adjusted Schedule 1'!$E$104,0)</f>
        <v>0</v>
      </c>
      <c r="K47" s="68">
        <f t="shared" si="1"/>
        <v>0</v>
      </c>
      <c r="L47" s="304">
        <f t="shared" si="2"/>
        <v>0</v>
      </c>
      <c r="N47" s="114">
        <f>'As-Filed Schedule 2K'!J47</f>
        <v>0</v>
      </c>
      <c r="O47" s="307">
        <f>SUMIFS(Adjustments!$G:$G,Adjustments!$H:$H,"2K",Adjustments!$I:$I,'Schedule 2K Adjustments'!$N$12,Adjustments!$J:$J,'Schedule 2K Adjustments'!$A47)</f>
        <v>0</v>
      </c>
      <c r="P47" s="303">
        <f t="shared" si="3"/>
        <v>0</v>
      </c>
      <c r="Q47" s="68">
        <f>IFERROR(N47*'As-Filed Schedule 1'!$E$103,0)</f>
        <v>0</v>
      </c>
      <c r="R47" s="68">
        <f>IFERROR(P47*'Adjusted Schedule 1'!$E$104,0)</f>
        <v>0</v>
      </c>
      <c r="S47" s="68">
        <f t="shared" si="4"/>
        <v>0</v>
      </c>
      <c r="T47" s="304">
        <f t="shared" si="5"/>
        <v>0</v>
      </c>
      <c r="V47" s="117">
        <f>'As-Filed Schedule 2K'!N47</f>
        <v>0</v>
      </c>
      <c r="W47" s="307">
        <f>SUMIFS(Adjustments!$G:$G,Adjustments!$H:$H,"2K",Adjustments!$I:$I,'Schedule 2K Adjustments'!$V$12,Adjustments!$J:$J,'Schedule 2K Adjustments'!$A47)</f>
        <v>0</v>
      </c>
      <c r="X47" s="303">
        <f t="shared" si="6"/>
        <v>0</v>
      </c>
      <c r="Y47" s="117">
        <f>'As-Filed Schedule 2K'!O47</f>
        <v>0</v>
      </c>
      <c r="Z47" s="307">
        <f>SUMIFS(Adjustments!$G:$G,Adjustments!$H:$H,"2K",Adjustments!$I:$I,'Schedule 2K Adjustments'!$Y$12,Adjustments!$J:$J,'Schedule 2K Adjustments'!$A47)</f>
        <v>0</v>
      </c>
      <c r="AA47" s="303">
        <f t="shared" si="7"/>
        <v>0</v>
      </c>
    </row>
    <row r="48" spans="1:27" x14ac:dyDescent="0.35">
      <c r="A48" s="24">
        <v>34</v>
      </c>
      <c r="B48" s="565" t="str">
        <f>IF('As-Filed Schedule 2K'!B48:D48=0,"",'As-Filed Schedule 2K'!B48:D48)</f>
        <v/>
      </c>
      <c r="C48" s="565"/>
      <c r="D48" s="565"/>
      <c r="F48" s="114">
        <f>'As-Filed Schedule 2K'!F48</f>
        <v>0</v>
      </c>
      <c r="G48" s="307">
        <f>SUMIFS(Adjustments!$G:$G,Adjustments!$H:$H,"2K",Adjustments!$I:$I,'Schedule 2K Adjustments'!$F$12,Adjustments!$J:$J,'Schedule 2K Adjustments'!$A48)</f>
        <v>0</v>
      </c>
      <c r="H48" s="303">
        <f t="shared" si="0"/>
        <v>0</v>
      </c>
      <c r="I48" s="68">
        <f>IFERROR(F48*'As-Filed Schedule 1'!$E$103,0)</f>
        <v>0</v>
      </c>
      <c r="J48" s="304">
        <f>IFERROR(H48*'Adjusted Schedule 1'!$E$104,0)</f>
        <v>0</v>
      </c>
      <c r="K48" s="68">
        <f t="shared" si="1"/>
        <v>0</v>
      </c>
      <c r="L48" s="304">
        <f t="shared" si="2"/>
        <v>0</v>
      </c>
      <c r="N48" s="114">
        <f>'As-Filed Schedule 2K'!J48</f>
        <v>0</v>
      </c>
      <c r="O48" s="307">
        <f>SUMIFS(Adjustments!$G:$G,Adjustments!$H:$H,"2K",Adjustments!$I:$I,'Schedule 2K Adjustments'!$N$12,Adjustments!$J:$J,'Schedule 2K Adjustments'!$A48)</f>
        <v>0</v>
      </c>
      <c r="P48" s="303">
        <f t="shared" si="3"/>
        <v>0</v>
      </c>
      <c r="Q48" s="68">
        <f>IFERROR(N48*'As-Filed Schedule 1'!$E$103,0)</f>
        <v>0</v>
      </c>
      <c r="R48" s="68">
        <f>IFERROR(P48*'Adjusted Schedule 1'!$E$104,0)</f>
        <v>0</v>
      </c>
      <c r="S48" s="68">
        <f t="shared" si="4"/>
        <v>0</v>
      </c>
      <c r="T48" s="304">
        <f t="shared" si="5"/>
        <v>0</v>
      </c>
      <c r="V48" s="117">
        <f>'As-Filed Schedule 2K'!N48</f>
        <v>0</v>
      </c>
      <c r="W48" s="307">
        <f>SUMIFS(Adjustments!$G:$G,Adjustments!$H:$H,"2K",Adjustments!$I:$I,'Schedule 2K Adjustments'!$V$12,Adjustments!$J:$J,'Schedule 2K Adjustments'!$A48)</f>
        <v>0</v>
      </c>
      <c r="X48" s="303">
        <f t="shared" si="6"/>
        <v>0</v>
      </c>
      <c r="Y48" s="117">
        <f>'As-Filed Schedule 2K'!O48</f>
        <v>0</v>
      </c>
      <c r="Z48" s="307">
        <f>SUMIFS(Adjustments!$G:$G,Adjustments!$H:$H,"2K",Adjustments!$I:$I,'Schedule 2K Adjustments'!$Y$12,Adjustments!$J:$J,'Schedule 2K Adjustments'!$A48)</f>
        <v>0</v>
      </c>
      <c r="AA48" s="303">
        <f t="shared" si="7"/>
        <v>0</v>
      </c>
    </row>
    <row r="49" spans="1:27" x14ac:dyDescent="0.35">
      <c r="A49" s="24">
        <v>35</v>
      </c>
      <c r="B49" s="565" t="str">
        <f>IF('As-Filed Schedule 2K'!B49:D49=0,"",'As-Filed Schedule 2K'!B49:D49)</f>
        <v/>
      </c>
      <c r="C49" s="565"/>
      <c r="D49" s="565"/>
      <c r="F49" s="114">
        <f>'As-Filed Schedule 2K'!F49</f>
        <v>0</v>
      </c>
      <c r="G49" s="307">
        <f>SUMIFS(Adjustments!$G:$G,Adjustments!$H:$H,"2K",Adjustments!$I:$I,'Schedule 2K Adjustments'!$F$12,Adjustments!$J:$J,'Schedule 2K Adjustments'!$A49)</f>
        <v>0</v>
      </c>
      <c r="H49" s="303">
        <f t="shared" si="0"/>
        <v>0</v>
      </c>
      <c r="I49" s="68">
        <f>IFERROR(F49*'As-Filed Schedule 1'!$E$103,0)</f>
        <v>0</v>
      </c>
      <c r="J49" s="304">
        <f>IFERROR(H49*'Adjusted Schedule 1'!$E$104,0)</f>
        <v>0</v>
      </c>
      <c r="K49" s="68">
        <f t="shared" si="1"/>
        <v>0</v>
      </c>
      <c r="L49" s="304">
        <f t="shared" si="2"/>
        <v>0</v>
      </c>
      <c r="N49" s="114">
        <f>'As-Filed Schedule 2K'!J49</f>
        <v>0</v>
      </c>
      <c r="O49" s="307">
        <f>SUMIFS(Adjustments!$G:$G,Adjustments!$H:$H,"2K",Adjustments!$I:$I,'Schedule 2K Adjustments'!$N$12,Adjustments!$J:$J,'Schedule 2K Adjustments'!$A49)</f>
        <v>0</v>
      </c>
      <c r="P49" s="303">
        <f t="shared" si="3"/>
        <v>0</v>
      </c>
      <c r="Q49" s="68">
        <f>IFERROR(N49*'As-Filed Schedule 1'!$E$103,0)</f>
        <v>0</v>
      </c>
      <c r="R49" s="68">
        <f>IFERROR(P49*'Adjusted Schedule 1'!$E$104,0)</f>
        <v>0</v>
      </c>
      <c r="S49" s="68">
        <f t="shared" si="4"/>
        <v>0</v>
      </c>
      <c r="T49" s="304">
        <f t="shared" si="5"/>
        <v>0</v>
      </c>
      <c r="V49" s="117">
        <f>'As-Filed Schedule 2K'!N49</f>
        <v>0</v>
      </c>
      <c r="W49" s="307">
        <f>SUMIFS(Adjustments!$G:$G,Adjustments!$H:$H,"2K",Adjustments!$I:$I,'Schedule 2K Adjustments'!$V$12,Adjustments!$J:$J,'Schedule 2K Adjustments'!$A49)</f>
        <v>0</v>
      </c>
      <c r="X49" s="303">
        <f t="shared" si="6"/>
        <v>0</v>
      </c>
      <c r="Y49" s="117">
        <f>'As-Filed Schedule 2K'!O49</f>
        <v>0</v>
      </c>
      <c r="Z49" s="307">
        <f>SUMIFS(Adjustments!$G:$G,Adjustments!$H:$H,"2K",Adjustments!$I:$I,'Schedule 2K Adjustments'!$Y$12,Adjustments!$J:$J,'Schedule 2K Adjustments'!$A49)</f>
        <v>0</v>
      </c>
      <c r="AA49" s="303">
        <f t="shared" si="7"/>
        <v>0</v>
      </c>
    </row>
    <row r="50" spans="1:27" x14ac:dyDescent="0.35">
      <c r="A50" s="24">
        <v>36</v>
      </c>
      <c r="B50" s="565" t="str">
        <f>IF('As-Filed Schedule 2K'!B50:D50=0,"",'As-Filed Schedule 2K'!B50:D50)</f>
        <v/>
      </c>
      <c r="C50" s="565"/>
      <c r="D50" s="565"/>
      <c r="F50" s="114">
        <f>'As-Filed Schedule 2K'!F50</f>
        <v>0</v>
      </c>
      <c r="G50" s="307">
        <f>SUMIFS(Adjustments!$G:$G,Adjustments!$H:$H,"2K",Adjustments!$I:$I,'Schedule 2K Adjustments'!$F$12,Adjustments!$J:$J,'Schedule 2K Adjustments'!$A50)</f>
        <v>0</v>
      </c>
      <c r="H50" s="303">
        <f t="shared" si="0"/>
        <v>0</v>
      </c>
      <c r="I50" s="68">
        <f>IFERROR(F50*'As-Filed Schedule 1'!$E$103,0)</f>
        <v>0</v>
      </c>
      <c r="J50" s="304">
        <f>IFERROR(H50*'Adjusted Schedule 1'!$E$104,0)</f>
        <v>0</v>
      </c>
      <c r="K50" s="68">
        <f t="shared" si="1"/>
        <v>0</v>
      </c>
      <c r="L50" s="304">
        <f t="shared" si="2"/>
        <v>0</v>
      </c>
      <c r="N50" s="114">
        <f>'As-Filed Schedule 2K'!J50</f>
        <v>0</v>
      </c>
      <c r="O50" s="307">
        <f>SUMIFS(Adjustments!$G:$G,Adjustments!$H:$H,"2K",Adjustments!$I:$I,'Schedule 2K Adjustments'!$N$12,Adjustments!$J:$J,'Schedule 2K Adjustments'!$A50)</f>
        <v>0</v>
      </c>
      <c r="P50" s="303">
        <f t="shared" si="3"/>
        <v>0</v>
      </c>
      <c r="Q50" s="68">
        <f>IFERROR(N50*'As-Filed Schedule 1'!$E$103,0)</f>
        <v>0</v>
      </c>
      <c r="R50" s="68">
        <f>IFERROR(P50*'Adjusted Schedule 1'!$E$104,0)</f>
        <v>0</v>
      </c>
      <c r="S50" s="68">
        <f t="shared" si="4"/>
        <v>0</v>
      </c>
      <c r="T50" s="304">
        <f t="shared" si="5"/>
        <v>0</v>
      </c>
      <c r="V50" s="117">
        <f>'As-Filed Schedule 2K'!N50</f>
        <v>0</v>
      </c>
      <c r="W50" s="307">
        <f>SUMIFS(Adjustments!$G:$G,Adjustments!$H:$H,"2K",Adjustments!$I:$I,'Schedule 2K Adjustments'!$V$12,Adjustments!$J:$J,'Schedule 2K Adjustments'!$A50)</f>
        <v>0</v>
      </c>
      <c r="X50" s="303">
        <f t="shared" si="6"/>
        <v>0</v>
      </c>
      <c r="Y50" s="117">
        <f>'As-Filed Schedule 2K'!O50</f>
        <v>0</v>
      </c>
      <c r="Z50" s="307">
        <f>SUMIFS(Adjustments!$G:$G,Adjustments!$H:$H,"2K",Adjustments!$I:$I,'Schedule 2K Adjustments'!$Y$12,Adjustments!$J:$J,'Schedule 2K Adjustments'!$A50)</f>
        <v>0</v>
      </c>
      <c r="AA50" s="303">
        <f t="shared" si="7"/>
        <v>0</v>
      </c>
    </row>
    <row r="51" spans="1:27" x14ac:dyDescent="0.35">
      <c r="A51" s="24">
        <v>37</v>
      </c>
      <c r="B51" s="565" t="str">
        <f>IF('As-Filed Schedule 2K'!B51:D51=0,"",'As-Filed Schedule 2K'!B51:D51)</f>
        <v/>
      </c>
      <c r="C51" s="565"/>
      <c r="D51" s="565"/>
      <c r="F51" s="114">
        <f>'As-Filed Schedule 2K'!F51</f>
        <v>0</v>
      </c>
      <c r="G51" s="307">
        <f>SUMIFS(Adjustments!$G:$G,Adjustments!$H:$H,"2K",Adjustments!$I:$I,'Schedule 2K Adjustments'!$F$12,Adjustments!$J:$J,'Schedule 2K Adjustments'!$A51)</f>
        <v>0</v>
      </c>
      <c r="H51" s="303">
        <f t="shared" si="0"/>
        <v>0</v>
      </c>
      <c r="I51" s="68">
        <f>IFERROR(F51*'As-Filed Schedule 1'!$E$103,0)</f>
        <v>0</v>
      </c>
      <c r="J51" s="304">
        <f>IFERROR(H51*'Adjusted Schedule 1'!$E$104,0)</f>
        <v>0</v>
      </c>
      <c r="K51" s="68">
        <f t="shared" si="1"/>
        <v>0</v>
      </c>
      <c r="L51" s="304">
        <f t="shared" si="2"/>
        <v>0</v>
      </c>
      <c r="N51" s="114">
        <f>'As-Filed Schedule 2K'!J51</f>
        <v>0</v>
      </c>
      <c r="O51" s="307">
        <f>SUMIFS(Adjustments!$G:$G,Adjustments!$H:$H,"2K",Adjustments!$I:$I,'Schedule 2K Adjustments'!$N$12,Adjustments!$J:$J,'Schedule 2K Adjustments'!$A51)</f>
        <v>0</v>
      </c>
      <c r="P51" s="303">
        <f t="shared" si="3"/>
        <v>0</v>
      </c>
      <c r="Q51" s="68">
        <f>IFERROR(N51*'As-Filed Schedule 1'!$E$103,0)</f>
        <v>0</v>
      </c>
      <c r="R51" s="68">
        <f>IFERROR(P51*'Adjusted Schedule 1'!$E$104,0)</f>
        <v>0</v>
      </c>
      <c r="S51" s="68">
        <f t="shared" si="4"/>
        <v>0</v>
      </c>
      <c r="T51" s="304">
        <f t="shared" si="5"/>
        <v>0</v>
      </c>
      <c r="V51" s="117">
        <f>'As-Filed Schedule 2K'!N51</f>
        <v>0</v>
      </c>
      <c r="W51" s="307">
        <f>SUMIFS(Adjustments!$G:$G,Adjustments!$H:$H,"2K",Adjustments!$I:$I,'Schedule 2K Adjustments'!$V$12,Adjustments!$J:$J,'Schedule 2K Adjustments'!$A51)</f>
        <v>0</v>
      </c>
      <c r="X51" s="303">
        <f t="shared" si="6"/>
        <v>0</v>
      </c>
      <c r="Y51" s="117">
        <f>'As-Filed Schedule 2K'!O51</f>
        <v>0</v>
      </c>
      <c r="Z51" s="307">
        <f>SUMIFS(Adjustments!$G:$G,Adjustments!$H:$H,"2K",Adjustments!$I:$I,'Schedule 2K Adjustments'!$Y$12,Adjustments!$J:$J,'Schedule 2K Adjustments'!$A51)</f>
        <v>0</v>
      </c>
      <c r="AA51" s="303">
        <f t="shared" si="7"/>
        <v>0</v>
      </c>
    </row>
    <row r="52" spans="1:27" x14ac:dyDescent="0.35">
      <c r="A52" s="24">
        <v>38</v>
      </c>
      <c r="B52" s="565" t="str">
        <f>IF('As-Filed Schedule 2K'!B52:D52=0,"",'As-Filed Schedule 2K'!B52:D52)</f>
        <v/>
      </c>
      <c r="C52" s="565"/>
      <c r="D52" s="565"/>
      <c r="F52" s="114">
        <f>'As-Filed Schedule 2K'!F52</f>
        <v>0</v>
      </c>
      <c r="G52" s="307">
        <f>SUMIFS(Adjustments!$G:$G,Adjustments!$H:$H,"2K",Adjustments!$I:$I,'Schedule 2K Adjustments'!$F$12,Adjustments!$J:$J,'Schedule 2K Adjustments'!$A52)</f>
        <v>0</v>
      </c>
      <c r="H52" s="303">
        <f t="shared" si="0"/>
        <v>0</v>
      </c>
      <c r="I52" s="68">
        <f>IFERROR(F52*'As-Filed Schedule 1'!$E$103,0)</f>
        <v>0</v>
      </c>
      <c r="J52" s="304">
        <f>IFERROR(H52*'Adjusted Schedule 1'!$E$104,0)</f>
        <v>0</v>
      </c>
      <c r="K52" s="68">
        <f t="shared" si="1"/>
        <v>0</v>
      </c>
      <c r="L52" s="304">
        <f t="shared" si="2"/>
        <v>0</v>
      </c>
      <c r="N52" s="114">
        <f>'As-Filed Schedule 2K'!J52</f>
        <v>0</v>
      </c>
      <c r="O52" s="307">
        <f>SUMIFS(Adjustments!$G:$G,Adjustments!$H:$H,"2K",Adjustments!$I:$I,'Schedule 2K Adjustments'!$N$12,Adjustments!$J:$J,'Schedule 2K Adjustments'!$A52)</f>
        <v>0</v>
      </c>
      <c r="P52" s="303">
        <f t="shared" si="3"/>
        <v>0</v>
      </c>
      <c r="Q52" s="68">
        <f>IFERROR(N52*'As-Filed Schedule 1'!$E$103,0)</f>
        <v>0</v>
      </c>
      <c r="R52" s="68">
        <f>IFERROR(P52*'Adjusted Schedule 1'!$E$104,0)</f>
        <v>0</v>
      </c>
      <c r="S52" s="68">
        <f t="shared" si="4"/>
        <v>0</v>
      </c>
      <c r="T52" s="304">
        <f t="shared" si="5"/>
        <v>0</v>
      </c>
      <c r="V52" s="117">
        <f>'As-Filed Schedule 2K'!N52</f>
        <v>0</v>
      </c>
      <c r="W52" s="307">
        <f>SUMIFS(Adjustments!$G:$G,Adjustments!$H:$H,"2K",Adjustments!$I:$I,'Schedule 2K Adjustments'!$V$12,Adjustments!$J:$J,'Schedule 2K Adjustments'!$A52)</f>
        <v>0</v>
      </c>
      <c r="X52" s="303">
        <f t="shared" si="6"/>
        <v>0</v>
      </c>
      <c r="Y52" s="117">
        <f>'As-Filed Schedule 2K'!O52</f>
        <v>0</v>
      </c>
      <c r="Z52" s="307">
        <f>SUMIFS(Adjustments!$G:$G,Adjustments!$H:$H,"2K",Adjustments!$I:$I,'Schedule 2K Adjustments'!$Y$12,Adjustments!$J:$J,'Schedule 2K Adjustments'!$A52)</f>
        <v>0</v>
      </c>
      <c r="AA52" s="303">
        <f t="shared" si="7"/>
        <v>0</v>
      </c>
    </row>
    <row r="53" spans="1:27" x14ac:dyDescent="0.35">
      <c r="A53" s="24">
        <v>39</v>
      </c>
      <c r="B53" s="565" t="str">
        <f>IF('As-Filed Schedule 2K'!B53:D53=0,"",'As-Filed Schedule 2K'!B53:D53)</f>
        <v/>
      </c>
      <c r="C53" s="565"/>
      <c r="D53" s="565"/>
      <c r="F53" s="114">
        <f>'As-Filed Schedule 2K'!F53</f>
        <v>0</v>
      </c>
      <c r="G53" s="307">
        <f>SUMIFS(Adjustments!$G:$G,Adjustments!$H:$H,"2K",Adjustments!$I:$I,'Schedule 2K Adjustments'!$F$12,Adjustments!$J:$J,'Schedule 2K Adjustments'!$A53)</f>
        <v>0</v>
      </c>
      <c r="H53" s="303">
        <f t="shared" si="0"/>
        <v>0</v>
      </c>
      <c r="I53" s="68">
        <f>IFERROR(F53*'As-Filed Schedule 1'!$E$103,0)</f>
        <v>0</v>
      </c>
      <c r="J53" s="304">
        <f>IFERROR(H53*'Adjusted Schedule 1'!$E$104,0)</f>
        <v>0</v>
      </c>
      <c r="K53" s="68">
        <f t="shared" si="1"/>
        <v>0</v>
      </c>
      <c r="L53" s="304">
        <f t="shared" si="2"/>
        <v>0</v>
      </c>
      <c r="N53" s="114">
        <f>'As-Filed Schedule 2K'!J53</f>
        <v>0</v>
      </c>
      <c r="O53" s="307">
        <f>SUMIFS(Adjustments!$G:$G,Adjustments!$H:$H,"2K",Adjustments!$I:$I,'Schedule 2K Adjustments'!$N$12,Adjustments!$J:$J,'Schedule 2K Adjustments'!$A53)</f>
        <v>0</v>
      </c>
      <c r="P53" s="303">
        <f t="shared" si="3"/>
        <v>0</v>
      </c>
      <c r="Q53" s="68">
        <f>IFERROR(N53*'As-Filed Schedule 1'!$E$103,0)</f>
        <v>0</v>
      </c>
      <c r="R53" s="68">
        <f>IFERROR(P53*'Adjusted Schedule 1'!$E$104,0)</f>
        <v>0</v>
      </c>
      <c r="S53" s="68">
        <f t="shared" si="4"/>
        <v>0</v>
      </c>
      <c r="T53" s="304">
        <f t="shared" si="5"/>
        <v>0</v>
      </c>
      <c r="V53" s="117">
        <f>'As-Filed Schedule 2K'!N53</f>
        <v>0</v>
      </c>
      <c r="W53" s="307">
        <f>SUMIFS(Adjustments!$G:$G,Adjustments!$H:$H,"2K",Adjustments!$I:$I,'Schedule 2K Adjustments'!$V$12,Adjustments!$J:$J,'Schedule 2K Adjustments'!$A53)</f>
        <v>0</v>
      </c>
      <c r="X53" s="303">
        <f t="shared" si="6"/>
        <v>0</v>
      </c>
      <c r="Y53" s="117">
        <f>'As-Filed Schedule 2K'!O53</f>
        <v>0</v>
      </c>
      <c r="Z53" s="307">
        <f>SUMIFS(Adjustments!$G:$G,Adjustments!$H:$H,"2K",Adjustments!$I:$I,'Schedule 2K Adjustments'!$Y$12,Adjustments!$J:$J,'Schedule 2K Adjustments'!$A53)</f>
        <v>0</v>
      </c>
      <c r="AA53" s="303">
        <f t="shared" si="7"/>
        <v>0</v>
      </c>
    </row>
    <row r="54" spans="1:27" x14ac:dyDescent="0.35">
      <c r="A54" s="24">
        <v>40</v>
      </c>
      <c r="B54" s="565" t="str">
        <f>IF('As-Filed Schedule 2K'!B54:D54=0,"",'As-Filed Schedule 2K'!B54:D54)</f>
        <v/>
      </c>
      <c r="C54" s="565"/>
      <c r="D54" s="565"/>
      <c r="F54" s="114">
        <f>'As-Filed Schedule 2K'!F54</f>
        <v>0</v>
      </c>
      <c r="G54" s="307">
        <f>SUMIFS(Adjustments!$G:$G,Adjustments!$H:$H,"2K",Adjustments!$I:$I,'Schedule 2K Adjustments'!$F$12,Adjustments!$J:$J,'Schedule 2K Adjustments'!$A54)</f>
        <v>0</v>
      </c>
      <c r="H54" s="303">
        <f t="shared" si="0"/>
        <v>0</v>
      </c>
      <c r="I54" s="68">
        <f>IFERROR(F54*'As-Filed Schedule 1'!$E$103,0)</f>
        <v>0</v>
      </c>
      <c r="J54" s="304">
        <f>IFERROR(H54*'Adjusted Schedule 1'!$E$104,0)</f>
        <v>0</v>
      </c>
      <c r="K54" s="68">
        <f t="shared" si="1"/>
        <v>0</v>
      </c>
      <c r="L54" s="304">
        <f t="shared" si="2"/>
        <v>0</v>
      </c>
      <c r="N54" s="114">
        <f>'As-Filed Schedule 2K'!J54</f>
        <v>0</v>
      </c>
      <c r="O54" s="307">
        <f>SUMIFS(Adjustments!$G:$G,Adjustments!$H:$H,"2K",Adjustments!$I:$I,'Schedule 2K Adjustments'!$N$12,Adjustments!$J:$J,'Schedule 2K Adjustments'!$A54)</f>
        <v>0</v>
      </c>
      <c r="P54" s="303">
        <f t="shared" si="3"/>
        <v>0</v>
      </c>
      <c r="Q54" s="68">
        <f>IFERROR(N54*'As-Filed Schedule 1'!$E$103,0)</f>
        <v>0</v>
      </c>
      <c r="R54" s="68">
        <f>IFERROR(P54*'Adjusted Schedule 1'!$E$104,0)</f>
        <v>0</v>
      </c>
      <c r="S54" s="68">
        <f t="shared" si="4"/>
        <v>0</v>
      </c>
      <c r="T54" s="304">
        <f t="shared" si="5"/>
        <v>0</v>
      </c>
      <c r="V54" s="117">
        <f>'As-Filed Schedule 2K'!N54</f>
        <v>0</v>
      </c>
      <c r="W54" s="307">
        <f>SUMIFS(Adjustments!$G:$G,Adjustments!$H:$H,"2K",Adjustments!$I:$I,'Schedule 2K Adjustments'!$V$12,Adjustments!$J:$J,'Schedule 2K Adjustments'!$A54)</f>
        <v>0</v>
      </c>
      <c r="X54" s="303">
        <f t="shared" si="6"/>
        <v>0</v>
      </c>
      <c r="Y54" s="117">
        <f>'As-Filed Schedule 2K'!O54</f>
        <v>0</v>
      </c>
      <c r="Z54" s="307">
        <f>SUMIFS(Adjustments!$G:$G,Adjustments!$H:$H,"2K",Adjustments!$I:$I,'Schedule 2K Adjustments'!$Y$12,Adjustments!$J:$J,'Schedule 2K Adjustments'!$A54)</f>
        <v>0</v>
      </c>
      <c r="AA54" s="303">
        <f t="shared" si="7"/>
        <v>0</v>
      </c>
    </row>
    <row r="55" spans="1:27" x14ac:dyDescent="0.35">
      <c r="A55" s="24">
        <v>41</v>
      </c>
      <c r="B55" s="565" t="str">
        <f>IF('As-Filed Schedule 2K'!B55:D55=0,"",'As-Filed Schedule 2K'!B55:D55)</f>
        <v/>
      </c>
      <c r="C55" s="565"/>
      <c r="D55" s="565"/>
      <c r="F55" s="114">
        <f>'As-Filed Schedule 2K'!F55</f>
        <v>0</v>
      </c>
      <c r="G55" s="307">
        <f>SUMIFS(Adjustments!$G:$G,Adjustments!$H:$H,"2K",Adjustments!$I:$I,'Schedule 2K Adjustments'!$F$12,Adjustments!$J:$J,'Schedule 2K Adjustments'!$A55)</f>
        <v>0</v>
      </c>
      <c r="H55" s="303">
        <f t="shared" si="0"/>
        <v>0</v>
      </c>
      <c r="I55" s="68">
        <f>IFERROR(F55*'As-Filed Schedule 1'!$E$103,0)</f>
        <v>0</v>
      </c>
      <c r="J55" s="304">
        <f>IFERROR(H55*'Adjusted Schedule 1'!$E$104,0)</f>
        <v>0</v>
      </c>
      <c r="K55" s="68">
        <f t="shared" si="1"/>
        <v>0</v>
      </c>
      <c r="L55" s="304">
        <f t="shared" si="2"/>
        <v>0</v>
      </c>
      <c r="N55" s="114">
        <f>'As-Filed Schedule 2K'!J55</f>
        <v>0</v>
      </c>
      <c r="O55" s="307">
        <f>SUMIFS(Adjustments!$G:$G,Adjustments!$H:$H,"2K",Adjustments!$I:$I,'Schedule 2K Adjustments'!$N$12,Adjustments!$J:$J,'Schedule 2K Adjustments'!$A55)</f>
        <v>0</v>
      </c>
      <c r="P55" s="303">
        <f t="shared" si="3"/>
        <v>0</v>
      </c>
      <c r="Q55" s="68">
        <f>IFERROR(N55*'As-Filed Schedule 1'!$E$103,0)</f>
        <v>0</v>
      </c>
      <c r="R55" s="68">
        <f>IFERROR(P55*'Adjusted Schedule 1'!$E$104,0)</f>
        <v>0</v>
      </c>
      <c r="S55" s="68">
        <f t="shared" si="4"/>
        <v>0</v>
      </c>
      <c r="T55" s="304">
        <f t="shared" si="5"/>
        <v>0</v>
      </c>
      <c r="V55" s="117">
        <f>'As-Filed Schedule 2K'!N55</f>
        <v>0</v>
      </c>
      <c r="W55" s="307">
        <f>SUMIFS(Adjustments!$G:$G,Adjustments!$H:$H,"2K",Adjustments!$I:$I,'Schedule 2K Adjustments'!$V$12,Adjustments!$J:$J,'Schedule 2K Adjustments'!$A55)</f>
        <v>0</v>
      </c>
      <c r="X55" s="303">
        <f t="shared" si="6"/>
        <v>0</v>
      </c>
      <c r="Y55" s="117">
        <f>'As-Filed Schedule 2K'!O55</f>
        <v>0</v>
      </c>
      <c r="Z55" s="307">
        <f>SUMIFS(Adjustments!$G:$G,Adjustments!$H:$H,"2K",Adjustments!$I:$I,'Schedule 2K Adjustments'!$Y$12,Adjustments!$J:$J,'Schedule 2K Adjustments'!$A55)</f>
        <v>0</v>
      </c>
      <c r="AA55" s="303">
        <f t="shared" si="7"/>
        <v>0</v>
      </c>
    </row>
    <row r="56" spans="1:27" x14ac:dyDescent="0.35">
      <c r="A56" s="24">
        <v>42</v>
      </c>
      <c r="B56" s="565" t="str">
        <f>IF('As-Filed Schedule 2K'!B56:D56=0,"",'As-Filed Schedule 2K'!B56:D56)</f>
        <v/>
      </c>
      <c r="C56" s="565"/>
      <c r="D56" s="565"/>
      <c r="F56" s="114">
        <f>'As-Filed Schedule 2K'!F56</f>
        <v>0</v>
      </c>
      <c r="G56" s="307">
        <f>SUMIFS(Adjustments!$G:$G,Adjustments!$H:$H,"2K",Adjustments!$I:$I,'Schedule 2K Adjustments'!$F$12,Adjustments!$J:$J,'Schedule 2K Adjustments'!$A56)</f>
        <v>0</v>
      </c>
      <c r="H56" s="303">
        <f t="shared" si="0"/>
        <v>0</v>
      </c>
      <c r="I56" s="68">
        <f>IFERROR(F56*'As-Filed Schedule 1'!$E$103,0)</f>
        <v>0</v>
      </c>
      <c r="J56" s="304">
        <f>IFERROR(H56*'Adjusted Schedule 1'!$E$104,0)</f>
        <v>0</v>
      </c>
      <c r="K56" s="68">
        <f t="shared" si="1"/>
        <v>0</v>
      </c>
      <c r="L56" s="304">
        <f t="shared" si="2"/>
        <v>0</v>
      </c>
      <c r="N56" s="114">
        <f>'As-Filed Schedule 2K'!J56</f>
        <v>0</v>
      </c>
      <c r="O56" s="307">
        <f>SUMIFS(Adjustments!$G:$G,Adjustments!$H:$H,"2K",Adjustments!$I:$I,'Schedule 2K Adjustments'!$N$12,Adjustments!$J:$J,'Schedule 2K Adjustments'!$A56)</f>
        <v>0</v>
      </c>
      <c r="P56" s="303">
        <f t="shared" si="3"/>
        <v>0</v>
      </c>
      <c r="Q56" s="68">
        <f>IFERROR(N56*'As-Filed Schedule 1'!$E$103,0)</f>
        <v>0</v>
      </c>
      <c r="R56" s="68">
        <f>IFERROR(P56*'Adjusted Schedule 1'!$E$104,0)</f>
        <v>0</v>
      </c>
      <c r="S56" s="68">
        <f t="shared" si="4"/>
        <v>0</v>
      </c>
      <c r="T56" s="304">
        <f t="shared" si="5"/>
        <v>0</v>
      </c>
      <c r="V56" s="117">
        <f>'As-Filed Schedule 2K'!N56</f>
        <v>0</v>
      </c>
      <c r="W56" s="307">
        <f>SUMIFS(Adjustments!$G:$G,Adjustments!$H:$H,"2K",Adjustments!$I:$I,'Schedule 2K Adjustments'!$V$12,Adjustments!$J:$J,'Schedule 2K Adjustments'!$A56)</f>
        <v>0</v>
      </c>
      <c r="X56" s="303">
        <f t="shared" si="6"/>
        <v>0</v>
      </c>
      <c r="Y56" s="117">
        <f>'As-Filed Schedule 2K'!O56</f>
        <v>0</v>
      </c>
      <c r="Z56" s="307">
        <f>SUMIFS(Adjustments!$G:$G,Adjustments!$H:$H,"2K",Adjustments!$I:$I,'Schedule 2K Adjustments'!$Y$12,Adjustments!$J:$J,'Schedule 2K Adjustments'!$A56)</f>
        <v>0</v>
      </c>
      <c r="AA56" s="303">
        <f t="shared" si="7"/>
        <v>0</v>
      </c>
    </row>
    <row r="57" spans="1:27" x14ac:dyDescent="0.35">
      <c r="A57" s="24">
        <v>43</v>
      </c>
      <c r="B57" s="565" t="str">
        <f>IF('As-Filed Schedule 2K'!B57:D57=0,"",'As-Filed Schedule 2K'!B57:D57)</f>
        <v/>
      </c>
      <c r="C57" s="565"/>
      <c r="D57" s="565"/>
      <c r="F57" s="114">
        <f>'As-Filed Schedule 2K'!F57</f>
        <v>0</v>
      </c>
      <c r="G57" s="307">
        <f>SUMIFS(Adjustments!$G:$G,Adjustments!$H:$H,"2K",Adjustments!$I:$I,'Schedule 2K Adjustments'!$F$12,Adjustments!$J:$J,'Schedule 2K Adjustments'!$A57)</f>
        <v>0</v>
      </c>
      <c r="H57" s="303">
        <f t="shared" si="0"/>
        <v>0</v>
      </c>
      <c r="I57" s="68">
        <f>IFERROR(F57*'As-Filed Schedule 1'!$E$103,0)</f>
        <v>0</v>
      </c>
      <c r="J57" s="304">
        <f>IFERROR(H57*'Adjusted Schedule 1'!$E$104,0)</f>
        <v>0</v>
      </c>
      <c r="K57" s="68">
        <f t="shared" si="1"/>
        <v>0</v>
      </c>
      <c r="L57" s="304">
        <f t="shared" si="2"/>
        <v>0</v>
      </c>
      <c r="N57" s="114">
        <f>'As-Filed Schedule 2K'!J57</f>
        <v>0</v>
      </c>
      <c r="O57" s="307">
        <f>SUMIFS(Adjustments!$G:$G,Adjustments!$H:$H,"2K",Adjustments!$I:$I,'Schedule 2K Adjustments'!$N$12,Adjustments!$J:$J,'Schedule 2K Adjustments'!$A57)</f>
        <v>0</v>
      </c>
      <c r="P57" s="303">
        <f t="shared" si="3"/>
        <v>0</v>
      </c>
      <c r="Q57" s="68">
        <f>IFERROR(N57*'As-Filed Schedule 1'!$E$103,0)</f>
        <v>0</v>
      </c>
      <c r="R57" s="68">
        <f>IFERROR(P57*'Adjusted Schedule 1'!$E$104,0)</f>
        <v>0</v>
      </c>
      <c r="S57" s="68">
        <f t="shared" si="4"/>
        <v>0</v>
      </c>
      <c r="T57" s="304">
        <f t="shared" si="5"/>
        <v>0</v>
      </c>
      <c r="V57" s="117">
        <f>'As-Filed Schedule 2K'!N57</f>
        <v>0</v>
      </c>
      <c r="W57" s="307">
        <f>SUMIFS(Adjustments!$G:$G,Adjustments!$H:$H,"2K",Adjustments!$I:$I,'Schedule 2K Adjustments'!$V$12,Adjustments!$J:$J,'Schedule 2K Adjustments'!$A57)</f>
        <v>0</v>
      </c>
      <c r="X57" s="303">
        <f t="shared" si="6"/>
        <v>0</v>
      </c>
      <c r="Y57" s="117">
        <f>'As-Filed Schedule 2K'!O57</f>
        <v>0</v>
      </c>
      <c r="Z57" s="307">
        <f>SUMIFS(Adjustments!$G:$G,Adjustments!$H:$H,"2K",Adjustments!$I:$I,'Schedule 2K Adjustments'!$Y$12,Adjustments!$J:$J,'Schedule 2K Adjustments'!$A57)</f>
        <v>0</v>
      </c>
      <c r="AA57" s="303">
        <f t="shared" si="7"/>
        <v>0</v>
      </c>
    </row>
    <row r="58" spans="1:27" x14ac:dyDescent="0.35">
      <c r="A58" s="24">
        <v>44</v>
      </c>
      <c r="B58" s="565" t="str">
        <f>IF('As-Filed Schedule 2K'!B58:D58=0,"",'As-Filed Schedule 2K'!B58:D58)</f>
        <v/>
      </c>
      <c r="C58" s="565"/>
      <c r="D58" s="565"/>
      <c r="F58" s="114">
        <f>'As-Filed Schedule 2K'!F58</f>
        <v>0</v>
      </c>
      <c r="G58" s="307">
        <f>SUMIFS(Adjustments!$G:$G,Adjustments!$H:$H,"2K",Adjustments!$I:$I,'Schedule 2K Adjustments'!$F$12,Adjustments!$J:$J,'Schedule 2K Adjustments'!$A58)</f>
        <v>0</v>
      </c>
      <c r="H58" s="303">
        <f t="shared" si="0"/>
        <v>0</v>
      </c>
      <c r="I58" s="68">
        <f>IFERROR(F58*'As-Filed Schedule 1'!$E$103,0)</f>
        <v>0</v>
      </c>
      <c r="J58" s="304">
        <f>IFERROR(H58*'Adjusted Schedule 1'!$E$104,0)</f>
        <v>0</v>
      </c>
      <c r="K58" s="68">
        <f t="shared" si="1"/>
        <v>0</v>
      </c>
      <c r="L58" s="304">
        <f t="shared" si="2"/>
        <v>0</v>
      </c>
      <c r="N58" s="114">
        <f>'As-Filed Schedule 2K'!J58</f>
        <v>0</v>
      </c>
      <c r="O58" s="307">
        <f>SUMIFS(Adjustments!$G:$G,Adjustments!$H:$H,"2K",Adjustments!$I:$I,'Schedule 2K Adjustments'!$N$12,Adjustments!$J:$J,'Schedule 2K Adjustments'!$A58)</f>
        <v>0</v>
      </c>
      <c r="P58" s="303">
        <f t="shared" si="3"/>
        <v>0</v>
      </c>
      <c r="Q58" s="68">
        <f>IFERROR(N58*'As-Filed Schedule 1'!$E$103,0)</f>
        <v>0</v>
      </c>
      <c r="R58" s="68">
        <f>IFERROR(P58*'Adjusted Schedule 1'!$E$104,0)</f>
        <v>0</v>
      </c>
      <c r="S58" s="68">
        <f t="shared" si="4"/>
        <v>0</v>
      </c>
      <c r="T58" s="304">
        <f t="shared" si="5"/>
        <v>0</v>
      </c>
      <c r="V58" s="117">
        <f>'As-Filed Schedule 2K'!N58</f>
        <v>0</v>
      </c>
      <c r="W58" s="307">
        <f>SUMIFS(Adjustments!$G:$G,Adjustments!$H:$H,"2K",Adjustments!$I:$I,'Schedule 2K Adjustments'!$V$12,Adjustments!$J:$J,'Schedule 2K Adjustments'!$A58)</f>
        <v>0</v>
      </c>
      <c r="X58" s="303">
        <f t="shared" si="6"/>
        <v>0</v>
      </c>
      <c r="Y58" s="117">
        <f>'As-Filed Schedule 2K'!O58</f>
        <v>0</v>
      </c>
      <c r="Z58" s="307">
        <f>SUMIFS(Adjustments!$G:$G,Adjustments!$H:$H,"2K",Adjustments!$I:$I,'Schedule 2K Adjustments'!$Y$12,Adjustments!$J:$J,'Schedule 2K Adjustments'!$A58)</f>
        <v>0</v>
      </c>
      <c r="AA58" s="303">
        <f t="shared" si="7"/>
        <v>0</v>
      </c>
    </row>
    <row r="59" spans="1:27" x14ac:dyDescent="0.35">
      <c r="A59" s="24">
        <v>45</v>
      </c>
      <c r="B59" s="565" t="str">
        <f>IF('As-Filed Schedule 2K'!B59:D59=0,"",'As-Filed Schedule 2K'!B59:D59)</f>
        <v/>
      </c>
      <c r="C59" s="565"/>
      <c r="D59" s="565"/>
      <c r="F59" s="114">
        <f>'As-Filed Schedule 2K'!F59</f>
        <v>0</v>
      </c>
      <c r="G59" s="307">
        <f>SUMIFS(Adjustments!$G:$G,Adjustments!$H:$H,"2K",Adjustments!$I:$I,'Schedule 2K Adjustments'!$F$12,Adjustments!$J:$J,'Schedule 2K Adjustments'!$A59)</f>
        <v>0</v>
      </c>
      <c r="H59" s="303">
        <f t="shared" si="0"/>
        <v>0</v>
      </c>
      <c r="I59" s="68">
        <f>IFERROR(F59*'As-Filed Schedule 1'!$E$103,0)</f>
        <v>0</v>
      </c>
      <c r="J59" s="304">
        <f>IFERROR(H59*'Adjusted Schedule 1'!$E$104,0)</f>
        <v>0</v>
      </c>
      <c r="K59" s="68">
        <f t="shared" si="1"/>
        <v>0</v>
      </c>
      <c r="L59" s="304">
        <f t="shared" si="2"/>
        <v>0</v>
      </c>
      <c r="N59" s="114">
        <f>'As-Filed Schedule 2K'!J59</f>
        <v>0</v>
      </c>
      <c r="O59" s="307">
        <f>SUMIFS(Adjustments!$G:$G,Adjustments!$H:$H,"2K",Adjustments!$I:$I,'Schedule 2K Adjustments'!$N$12,Adjustments!$J:$J,'Schedule 2K Adjustments'!$A59)</f>
        <v>0</v>
      </c>
      <c r="P59" s="303">
        <f t="shared" si="3"/>
        <v>0</v>
      </c>
      <c r="Q59" s="68">
        <f>IFERROR(N59*'As-Filed Schedule 1'!$E$103,0)</f>
        <v>0</v>
      </c>
      <c r="R59" s="68">
        <f>IFERROR(P59*'Adjusted Schedule 1'!$E$104,0)</f>
        <v>0</v>
      </c>
      <c r="S59" s="68">
        <f t="shared" si="4"/>
        <v>0</v>
      </c>
      <c r="T59" s="304">
        <f t="shared" si="5"/>
        <v>0</v>
      </c>
      <c r="V59" s="117">
        <f>'As-Filed Schedule 2K'!N59</f>
        <v>0</v>
      </c>
      <c r="W59" s="307">
        <f>SUMIFS(Adjustments!$G:$G,Adjustments!$H:$H,"2K",Adjustments!$I:$I,'Schedule 2K Adjustments'!$V$12,Adjustments!$J:$J,'Schedule 2K Adjustments'!$A59)</f>
        <v>0</v>
      </c>
      <c r="X59" s="303">
        <f t="shared" si="6"/>
        <v>0</v>
      </c>
      <c r="Y59" s="117">
        <f>'As-Filed Schedule 2K'!O59</f>
        <v>0</v>
      </c>
      <c r="Z59" s="307">
        <f>SUMIFS(Adjustments!$G:$G,Adjustments!$H:$H,"2K",Adjustments!$I:$I,'Schedule 2K Adjustments'!$Y$12,Adjustments!$J:$J,'Schedule 2K Adjustments'!$A59)</f>
        <v>0</v>
      </c>
      <c r="AA59" s="303">
        <f t="shared" si="7"/>
        <v>0</v>
      </c>
    </row>
    <row r="60" spans="1:27" x14ac:dyDescent="0.35">
      <c r="A60" s="24">
        <v>46</v>
      </c>
      <c r="B60" s="565" t="str">
        <f>IF('As-Filed Schedule 2K'!B60:D60=0,"",'As-Filed Schedule 2K'!B60:D60)</f>
        <v/>
      </c>
      <c r="C60" s="565"/>
      <c r="D60" s="565"/>
      <c r="F60" s="114">
        <f>'As-Filed Schedule 2K'!F60</f>
        <v>0</v>
      </c>
      <c r="G60" s="307">
        <f>SUMIFS(Adjustments!$G:$G,Adjustments!$H:$H,"2K",Adjustments!$I:$I,'Schedule 2K Adjustments'!$F$12,Adjustments!$J:$J,'Schedule 2K Adjustments'!$A60)</f>
        <v>0</v>
      </c>
      <c r="H60" s="303">
        <f t="shared" si="0"/>
        <v>0</v>
      </c>
      <c r="I60" s="68">
        <f>IFERROR(F60*'As-Filed Schedule 1'!$E$103,0)</f>
        <v>0</v>
      </c>
      <c r="J60" s="304">
        <f>IFERROR(H60*'Adjusted Schedule 1'!$E$104,0)</f>
        <v>0</v>
      </c>
      <c r="K60" s="68">
        <f t="shared" si="1"/>
        <v>0</v>
      </c>
      <c r="L60" s="304">
        <f t="shared" si="2"/>
        <v>0</v>
      </c>
      <c r="N60" s="114">
        <f>'As-Filed Schedule 2K'!J60</f>
        <v>0</v>
      </c>
      <c r="O60" s="307">
        <f>SUMIFS(Adjustments!$G:$G,Adjustments!$H:$H,"2K",Adjustments!$I:$I,'Schedule 2K Adjustments'!$N$12,Adjustments!$J:$J,'Schedule 2K Adjustments'!$A60)</f>
        <v>0</v>
      </c>
      <c r="P60" s="303">
        <f t="shared" si="3"/>
        <v>0</v>
      </c>
      <c r="Q60" s="68">
        <f>IFERROR(N60*'As-Filed Schedule 1'!$E$103,0)</f>
        <v>0</v>
      </c>
      <c r="R60" s="68">
        <f>IFERROR(P60*'Adjusted Schedule 1'!$E$104,0)</f>
        <v>0</v>
      </c>
      <c r="S60" s="68">
        <f t="shared" si="4"/>
        <v>0</v>
      </c>
      <c r="T60" s="304">
        <f t="shared" si="5"/>
        <v>0</v>
      </c>
      <c r="V60" s="117">
        <f>'As-Filed Schedule 2K'!N60</f>
        <v>0</v>
      </c>
      <c r="W60" s="307">
        <f>SUMIFS(Adjustments!$G:$G,Adjustments!$H:$H,"2K",Adjustments!$I:$I,'Schedule 2K Adjustments'!$V$12,Adjustments!$J:$J,'Schedule 2K Adjustments'!$A60)</f>
        <v>0</v>
      </c>
      <c r="X60" s="303">
        <f t="shared" si="6"/>
        <v>0</v>
      </c>
      <c r="Y60" s="117">
        <f>'As-Filed Schedule 2K'!O60</f>
        <v>0</v>
      </c>
      <c r="Z60" s="307">
        <f>SUMIFS(Adjustments!$G:$G,Adjustments!$H:$H,"2K",Adjustments!$I:$I,'Schedule 2K Adjustments'!$Y$12,Adjustments!$J:$J,'Schedule 2K Adjustments'!$A60)</f>
        <v>0</v>
      </c>
      <c r="AA60" s="303">
        <f t="shared" si="7"/>
        <v>0</v>
      </c>
    </row>
    <row r="61" spans="1:27" x14ac:dyDescent="0.35">
      <c r="A61" s="24">
        <v>47</v>
      </c>
      <c r="B61" s="565" t="str">
        <f>IF('As-Filed Schedule 2K'!B61:D61=0,"",'As-Filed Schedule 2K'!B61:D61)</f>
        <v/>
      </c>
      <c r="C61" s="565"/>
      <c r="D61" s="565"/>
      <c r="F61" s="114">
        <f>'As-Filed Schedule 2K'!F61</f>
        <v>0</v>
      </c>
      <c r="G61" s="307">
        <f>SUMIFS(Adjustments!$G:$G,Adjustments!$H:$H,"2K",Adjustments!$I:$I,'Schedule 2K Adjustments'!$F$12,Adjustments!$J:$J,'Schedule 2K Adjustments'!$A61)</f>
        <v>0</v>
      </c>
      <c r="H61" s="303">
        <f t="shared" si="0"/>
        <v>0</v>
      </c>
      <c r="I61" s="68">
        <f>IFERROR(F61*'As-Filed Schedule 1'!$E$103,0)</f>
        <v>0</v>
      </c>
      <c r="J61" s="304">
        <f>IFERROR(H61*'Adjusted Schedule 1'!$E$104,0)</f>
        <v>0</v>
      </c>
      <c r="K61" s="68">
        <f t="shared" si="1"/>
        <v>0</v>
      </c>
      <c r="L61" s="304">
        <f t="shared" si="2"/>
        <v>0</v>
      </c>
      <c r="N61" s="114">
        <f>'As-Filed Schedule 2K'!J61</f>
        <v>0</v>
      </c>
      <c r="O61" s="307">
        <f>SUMIFS(Adjustments!$G:$G,Adjustments!$H:$H,"2K",Adjustments!$I:$I,'Schedule 2K Adjustments'!$N$12,Adjustments!$J:$J,'Schedule 2K Adjustments'!$A61)</f>
        <v>0</v>
      </c>
      <c r="P61" s="303">
        <f t="shared" si="3"/>
        <v>0</v>
      </c>
      <c r="Q61" s="68">
        <f>IFERROR(N61*'As-Filed Schedule 1'!$E$103,0)</f>
        <v>0</v>
      </c>
      <c r="R61" s="68">
        <f>IFERROR(P61*'Adjusted Schedule 1'!$E$104,0)</f>
        <v>0</v>
      </c>
      <c r="S61" s="68">
        <f t="shared" si="4"/>
        <v>0</v>
      </c>
      <c r="T61" s="304">
        <f t="shared" si="5"/>
        <v>0</v>
      </c>
      <c r="V61" s="117">
        <f>'As-Filed Schedule 2K'!N61</f>
        <v>0</v>
      </c>
      <c r="W61" s="307">
        <f>SUMIFS(Adjustments!$G:$G,Adjustments!$H:$H,"2K",Adjustments!$I:$I,'Schedule 2K Adjustments'!$V$12,Adjustments!$J:$J,'Schedule 2K Adjustments'!$A61)</f>
        <v>0</v>
      </c>
      <c r="X61" s="303">
        <f t="shared" si="6"/>
        <v>0</v>
      </c>
      <c r="Y61" s="117">
        <f>'As-Filed Schedule 2K'!O61</f>
        <v>0</v>
      </c>
      <c r="Z61" s="307">
        <f>SUMIFS(Adjustments!$G:$G,Adjustments!$H:$H,"2K",Adjustments!$I:$I,'Schedule 2K Adjustments'!$Y$12,Adjustments!$J:$J,'Schedule 2K Adjustments'!$A61)</f>
        <v>0</v>
      </c>
      <c r="AA61" s="303">
        <f t="shared" si="7"/>
        <v>0</v>
      </c>
    </row>
    <row r="62" spans="1:27" x14ac:dyDescent="0.35">
      <c r="A62" s="24">
        <v>48</v>
      </c>
      <c r="B62" s="565" t="str">
        <f>IF('As-Filed Schedule 2K'!B62:D62=0,"",'As-Filed Schedule 2K'!B62:D62)</f>
        <v/>
      </c>
      <c r="C62" s="565"/>
      <c r="D62" s="565"/>
      <c r="F62" s="114">
        <f>'As-Filed Schedule 2K'!F62</f>
        <v>0</v>
      </c>
      <c r="G62" s="307">
        <f>SUMIFS(Adjustments!$G:$G,Adjustments!$H:$H,"2K",Adjustments!$I:$I,'Schedule 2K Adjustments'!$F$12,Adjustments!$J:$J,'Schedule 2K Adjustments'!$A62)</f>
        <v>0</v>
      </c>
      <c r="H62" s="303">
        <f t="shared" si="0"/>
        <v>0</v>
      </c>
      <c r="I62" s="68">
        <f>IFERROR(F62*'As-Filed Schedule 1'!$E$103,0)</f>
        <v>0</v>
      </c>
      <c r="J62" s="304">
        <f>IFERROR(H62*'Adjusted Schedule 1'!$E$104,0)</f>
        <v>0</v>
      </c>
      <c r="K62" s="68">
        <f t="shared" si="1"/>
        <v>0</v>
      </c>
      <c r="L62" s="304">
        <f t="shared" si="2"/>
        <v>0</v>
      </c>
      <c r="N62" s="114">
        <f>'As-Filed Schedule 2K'!J62</f>
        <v>0</v>
      </c>
      <c r="O62" s="307">
        <f>SUMIFS(Adjustments!$G:$G,Adjustments!$H:$H,"2K",Adjustments!$I:$I,'Schedule 2K Adjustments'!$N$12,Adjustments!$J:$J,'Schedule 2K Adjustments'!$A62)</f>
        <v>0</v>
      </c>
      <c r="P62" s="303">
        <f t="shared" si="3"/>
        <v>0</v>
      </c>
      <c r="Q62" s="68">
        <f>IFERROR(N62*'As-Filed Schedule 1'!$E$103,0)</f>
        <v>0</v>
      </c>
      <c r="R62" s="68">
        <f>IFERROR(P62*'Adjusted Schedule 1'!$E$104,0)</f>
        <v>0</v>
      </c>
      <c r="S62" s="68">
        <f t="shared" si="4"/>
        <v>0</v>
      </c>
      <c r="T62" s="304">
        <f t="shared" si="5"/>
        <v>0</v>
      </c>
      <c r="V62" s="117">
        <f>'As-Filed Schedule 2K'!N62</f>
        <v>0</v>
      </c>
      <c r="W62" s="307">
        <f>SUMIFS(Adjustments!$G:$G,Adjustments!$H:$H,"2K",Adjustments!$I:$I,'Schedule 2K Adjustments'!$V$12,Adjustments!$J:$J,'Schedule 2K Adjustments'!$A62)</f>
        <v>0</v>
      </c>
      <c r="X62" s="303">
        <f t="shared" si="6"/>
        <v>0</v>
      </c>
      <c r="Y62" s="117">
        <f>'As-Filed Schedule 2K'!O62</f>
        <v>0</v>
      </c>
      <c r="Z62" s="307">
        <f>SUMIFS(Adjustments!$G:$G,Adjustments!$H:$H,"2K",Adjustments!$I:$I,'Schedule 2K Adjustments'!$Y$12,Adjustments!$J:$J,'Schedule 2K Adjustments'!$A62)</f>
        <v>0</v>
      </c>
      <c r="AA62" s="303">
        <f t="shared" si="7"/>
        <v>0</v>
      </c>
    </row>
    <row r="63" spans="1:27" x14ac:dyDescent="0.35">
      <c r="A63" s="24">
        <v>49</v>
      </c>
      <c r="B63" s="565" t="str">
        <f>IF('As-Filed Schedule 2K'!B63:D63=0,"",'As-Filed Schedule 2K'!B63:D63)</f>
        <v/>
      </c>
      <c r="C63" s="565"/>
      <c r="D63" s="565"/>
      <c r="F63" s="114">
        <f>'As-Filed Schedule 2K'!F63</f>
        <v>0</v>
      </c>
      <c r="G63" s="307">
        <f>SUMIFS(Adjustments!$G:$G,Adjustments!$H:$H,"2K",Adjustments!$I:$I,'Schedule 2K Adjustments'!$F$12,Adjustments!$J:$J,'Schedule 2K Adjustments'!$A63)</f>
        <v>0</v>
      </c>
      <c r="H63" s="303">
        <f t="shared" si="0"/>
        <v>0</v>
      </c>
      <c r="I63" s="68">
        <f>IFERROR(F63*'As-Filed Schedule 1'!$E$103,0)</f>
        <v>0</v>
      </c>
      <c r="J63" s="304">
        <f>IFERROR(H63*'Adjusted Schedule 1'!$E$104,0)</f>
        <v>0</v>
      </c>
      <c r="K63" s="68">
        <f t="shared" si="1"/>
        <v>0</v>
      </c>
      <c r="L63" s="304">
        <f t="shared" si="2"/>
        <v>0</v>
      </c>
      <c r="N63" s="114">
        <f>'As-Filed Schedule 2K'!J63</f>
        <v>0</v>
      </c>
      <c r="O63" s="307">
        <f>SUMIFS(Adjustments!$G:$G,Adjustments!$H:$H,"2K",Adjustments!$I:$I,'Schedule 2K Adjustments'!$N$12,Adjustments!$J:$J,'Schedule 2K Adjustments'!$A63)</f>
        <v>0</v>
      </c>
      <c r="P63" s="303">
        <f t="shared" si="3"/>
        <v>0</v>
      </c>
      <c r="Q63" s="68">
        <f>IFERROR(N63*'As-Filed Schedule 1'!$E$103,0)</f>
        <v>0</v>
      </c>
      <c r="R63" s="68">
        <f>IFERROR(P63*'Adjusted Schedule 1'!$E$104,0)</f>
        <v>0</v>
      </c>
      <c r="S63" s="68">
        <f t="shared" si="4"/>
        <v>0</v>
      </c>
      <c r="T63" s="304">
        <f t="shared" si="5"/>
        <v>0</v>
      </c>
      <c r="V63" s="117">
        <f>'As-Filed Schedule 2K'!N63</f>
        <v>0</v>
      </c>
      <c r="W63" s="307">
        <f>SUMIFS(Adjustments!$G:$G,Adjustments!$H:$H,"2K",Adjustments!$I:$I,'Schedule 2K Adjustments'!$V$12,Adjustments!$J:$J,'Schedule 2K Adjustments'!$A63)</f>
        <v>0</v>
      </c>
      <c r="X63" s="303">
        <f t="shared" si="6"/>
        <v>0</v>
      </c>
      <c r="Y63" s="117">
        <f>'As-Filed Schedule 2K'!O63</f>
        <v>0</v>
      </c>
      <c r="Z63" s="307">
        <f>SUMIFS(Adjustments!$G:$G,Adjustments!$H:$H,"2K",Adjustments!$I:$I,'Schedule 2K Adjustments'!$Y$12,Adjustments!$J:$J,'Schedule 2K Adjustments'!$A63)</f>
        <v>0</v>
      </c>
      <c r="AA63" s="303">
        <f t="shared" si="7"/>
        <v>0</v>
      </c>
    </row>
    <row r="64" spans="1:27" x14ac:dyDescent="0.35">
      <c r="A64" s="24">
        <v>50</v>
      </c>
      <c r="B64" s="565" t="str">
        <f>IF('As-Filed Schedule 2K'!B64:D64=0,"",'As-Filed Schedule 2K'!B64:D64)</f>
        <v/>
      </c>
      <c r="C64" s="565"/>
      <c r="D64" s="565"/>
      <c r="F64" s="114">
        <f>'As-Filed Schedule 2K'!F64</f>
        <v>0</v>
      </c>
      <c r="G64" s="307">
        <f>SUMIFS(Adjustments!$G:$G,Adjustments!$H:$H,"2K",Adjustments!$I:$I,'Schedule 2K Adjustments'!$F$12,Adjustments!$J:$J,'Schedule 2K Adjustments'!$A64)</f>
        <v>0</v>
      </c>
      <c r="H64" s="303">
        <f t="shared" si="0"/>
        <v>0</v>
      </c>
      <c r="I64" s="68">
        <f>IFERROR(F64*'As-Filed Schedule 1'!$E$103,0)</f>
        <v>0</v>
      </c>
      <c r="J64" s="304">
        <f>IFERROR(H64*'Adjusted Schedule 1'!$E$104,0)</f>
        <v>0</v>
      </c>
      <c r="K64" s="68">
        <f t="shared" si="1"/>
        <v>0</v>
      </c>
      <c r="L64" s="304">
        <f t="shared" si="2"/>
        <v>0</v>
      </c>
      <c r="N64" s="114">
        <f>'As-Filed Schedule 2K'!J64</f>
        <v>0</v>
      </c>
      <c r="O64" s="307">
        <f>SUMIFS(Adjustments!$G:$G,Adjustments!$H:$H,"2K",Adjustments!$I:$I,'Schedule 2K Adjustments'!$N$12,Adjustments!$J:$J,'Schedule 2K Adjustments'!$A64)</f>
        <v>0</v>
      </c>
      <c r="P64" s="303">
        <f t="shared" si="3"/>
        <v>0</v>
      </c>
      <c r="Q64" s="68">
        <f>IFERROR(N64*'As-Filed Schedule 1'!$E$103,0)</f>
        <v>0</v>
      </c>
      <c r="R64" s="68">
        <f>IFERROR(P64*'Adjusted Schedule 1'!$E$104,0)</f>
        <v>0</v>
      </c>
      <c r="S64" s="68">
        <f t="shared" si="4"/>
        <v>0</v>
      </c>
      <c r="T64" s="304">
        <f t="shared" si="5"/>
        <v>0</v>
      </c>
      <c r="V64" s="117">
        <f>'As-Filed Schedule 2K'!N64</f>
        <v>0</v>
      </c>
      <c r="W64" s="307">
        <f>SUMIFS(Adjustments!$G:$G,Adjustments!$H:$H,"2K",Adjustments!$I:$I,'Schedule 2K Adjustments'!$V$12,Adjustments!$J:$J,'Schedule 2K Adjustments'!$A64)</f>
        <v>0</v>
      </c>
      <c r="X64" s="303">
        <f t="shared" si="6"/>
        <v>0</v>
      </c>
      <c r="Y64" s="117">
        <f>'As-Filed Schedule 2K'!O64</f>
        <v>0</v>
      </c>
      <c r="Z64" s="307">
        <f>SUMIFS(Adjustments!$G:$G,Adjustments!$H:$H,"2K",Adjustments!$I:$I,'Schedule 2K Adjustments'!$Y$12,Adjustments!$J:$J,'Schedule 2K Adjustments'!$A64)</f>
        <v>0</v>
      </c>
      <c r="AA64" s="303">
        <f t="shared" si="7"/>
        <v>0</v>
      </c>
    </row>
    <row r="65" spans="1:27" x14ac:dyDescent="0.35">
      <c r="A65" s="24">
        <v>51</v>
      </c>
      <c r="B65" s="565" t="str">
        <f>IF('As-Filed Schedule 2K'!B65:D65=0,"",'As-Filed Schedule 2K'!B65:D65)</f>
        <v/>
      </c>
      <c r="C65" s="565"/>
      <c r="D65" s="565"/>
      <c r="F65" s="114">
        <f>'As-Filed Schedule 2K'!F65</f>
        <v>0</v>
      </c>
      <c r="G65" s="307">
        <f>SUMIFS(Adjustments!$G:$G,Adjustments!$H:$H,"2K",Adjustments!$I:$I,'Schedule 2K Adjustments'!$F$12,Adjustments!$J:$J,'Schedule 2K Adjustments'!$A65)</f>
        <v>0</v>
      </c>
      <c r="H65" s="303">
        <f t="shared" si="0"/>
        <v>0</v>
      </c>
      <c r="I65" s="68">
        <f>IFERROR(F65*'As-Filed Schedule 1'!$E$103,0)</f>
        <v>0</v>
      </c>
      <c r="J65" s="304">
        <f>IFERROR(H65*'Adjusted Schedule 1'!$E$104,0)</f>
        <v>0</v>
      </c>
      <c r="K65" s="68">
        <f t="shared" si="1"/>
        <v>0</v>
      </c>
      <c r="L65" s="304">
        <f t="shared" si="2"/>
        <v>0</v>
      </c>
      <c r="N65" s="114">
        <f>'As-Filed Schedule 2K'!J65</f>
        <v>0</v>
      </c>
      <c r="O65" s="307">
        <f>SUMIFS(Adjustments!$G:$G,Adjustments!$H:$H,"2K",Adjustments!$I:$I,'Schedule 2K Adjustments'!$N$12,Adjustments!$J:$J,'Schedule 2K Adjustments'!$A65)</f>
        <v>0</v>
      </c>
      <c r="P65" s="303">
        <f t="shared" si="3"/>
        <v>0</v>
      </c>
      <c r="Q65" s="68">
        <f>IFERROR(N65*'As-Filed Schedule 1'!$E$103,0)</f>
        <v>0</v>
      </c>
      <c r="R65" s="68">
        <f>IFERROR(P65*'Adjusted Schedule 1'!$E$104,0)</f>
        <v>0</v>
      </c>
      <c r="S65" s="68">
        <f t="shared" si="4"/>
        <v>0</v>
      </c>
      <c r="T65" s="304">
        <f t="shared" si="5"/>
        <v>0</v>
      </c>
      <c r="V65" s="117">
        <f>'As-Filed Schedule 2K'!N65</f>
        <v>0</v>
      </c>
      <c r="W65" s="307">
        <f>SUMIFS(Adjustments!$G:$G,Adjustments!$H:$H,"2K",Adjustments!$I:$I,'Schedule 2K Adjustments'!$V$12,Adjustments!$J:$J,'Schedule 2K Adjustments'!$A65)</f>
        <v>0</v>
      </c>
      <c r="X65" s="303">
        <f t="shared" si="6"/>
        <v>0</v>
      </c>
      <c r="Y65" s="117">
        <f>'As-Filed Schedule 2K'!O65</f>
        <v>0</v>
      </c>
      <c r="Z65" s="307">
        <f>SUMIFS(Adjustments!$G:$G,Adjustments!$H:$H,"2K",Adjustments!$I:$I,'Schedule 2K Adjustments'!$Y$12,Adjustments!$J:$J,'Schedule 2K Adjustments'!$A65)</f>
        <v>0</v>
      </c>
      <c r="AA65" s="303">
        <f t="shared" si="7"/>
        <v>0</v>
      </c>
    </row>
    <row r="66" spans="1:27" x14ac:dyDescent="0.35">
      <c r="A66" s="24">
        <v>52</v>
      </c>
      <c r="B66" s="565" t="str">
        <f>IF('As-Filed Schedule 2K'!B66:D66=0,"",'As-Filed Schedule 2K'!B66:D66)</f>
        <v/>
      </c>
      <c r="C66" s="565"/>
      <c r="D66" s="565"/>
      <c r="F66" s="114">
        <f>'As-Filed Schedule 2K'!F66</f>
        <v>0</v>
      </c>
      <c r="G66" s="307">
        <f>SUMIFS(Adjustments!$G:$G,Adjustments!$H:$H,"2K",Adjustments!$I:$I,'Schedule 2K Adjustments'!$F$12,Adjustments!$J:$J,'Schedule 2K Adjustments'!$A66)</f>
        <v>0</v>
      </c>
      <c r="H66" s="303">
        <f t="shared" si="0"/>
        <v>0</v>
      </c>
      <c r="I66" s="68">
        <f>IFERROR(F66*'As-Filed Schedule 1'!$E$103,0)</f>
        <v>0</v>
      </c>
      <c r="J66" s="304">
        <f>IFERROR(H66*'Adjusted Schedule 1'!$E$104,0)</f>
        <v>0</v>
      </c>
      <c r="K66" s="68">
        <f t="shared" si="1"/>
        <v>0</v>
      </c>
      <c r="L66" s="304">
        <f t="shared" si="2"/>
        <v>0</v>
      </c>
      <c r="N66" s="114">
        <f>'As-Filed Schedule 2K'!J66</f>
        <v>0</v>
      </c>
      <c r="O66" s="307">
        <f>SUMIFS(Adjustments!$G:$G,Adjustments!$H:$H,"2K",Adjustments!$I:$I,'Schedule 2K Adjustments'!$N$12,Adjustments!$J:$J,'Schedule 2K Adjustments'!$A66)</f>
        <v>0</v>
      </c>
      <c r="P66" s="303">
        <f t="shared" si="3"/>
        <v>0</v>
      </c>
      <c r="Q66" s="68">
        <f>IFERROR(N66*'As-Filed Schedule 1'!$E$103,0)</f>
        <v>0</v>
      </c>
      <c r="R66" s="68">
        <f>IFERROR(P66*'Adjusted Schedule 1'!$E$104,0)</f>
        <v>0</v>
      </c>
      <c r="S66" s="68">
        <f t="shared" si="4"/>
        <v>0</v>
      </c>
      <c r="T66" s="304">
        <f t="shared" si="5"/>
        <v>0</v>
      </c>
      <c r="V66" s="117">
        <f>'As-Filed Schedule 2K'!N66</f>
        <v>0</v>
      </c>
      <c r="W66" s="307">
        <f>SUMIFS(Adjustments!$G:$G,Adjustments!$H:$H,"2K",Adjustments!$I:$I,'Schedule 2K Adjustments'!$V$12,Adjustments!$J:$J,'Schedule 2K Adjustments'!$A66)</f>
        <v>0</v>
      </c>
      <c r="X66" s="303">
        <f t="shared" si="6"/>
        <v>0</v>
      </c>
      <c r="Y66" s="117">
        <f>'As-Filed Schedule 2K'!O66</f>
        <v>0</v>
      </c>
      <c r="Z66" s="307">
        <f>SUMIFS(Adjustments!$G:$G,Adjustments!$H:$H,"2K",Adjustments!$I:$I,'Schedule 2K Adjustments'!$Y$12,Adjustments!$J:$J,'Schedule 2K Adjustments'!$A66)</f>
        <v>0</v>
      </c>
      <c r="AA66" s="303">
        <f t="shared" si="7"/>
        <v>0</v>
      </c>
    </row>
    <row r="67" spans="1:27" x14ac:dyDescent="0.35">
      <c r="A67" s="24">
        <v>53</v>
      </c>
      <c r="B67" s="565" t="str">
        <f>IF('As-Filed Schedule 2K'!B67:D67=0,"",'As-Filed Schedule 2K'!B67:D67)</f>
        <v/>
      </c>
      <c r="C67" s="565"/>
      <c r="D67" s="565"/>
      <c r="F67" s="114">
        <f>'As-Filed Schedule 2K'!F67</f>
        <v>0</v>
      </c>
      <c r="G67" s="307">
        <f>SUMIFS(Adjustments!$G:$G,Adjustments!$H:$H,"2K",Adjustments!$I:$I,'Schedule 2K Adjustments'!$F$12,Adjustments!$J:$J,'Schedule 2K Adjustments'!$A67)</f>
        <v>0</v>
      </c>
      <c r="H67" s="303">
        <f t="shared" si="0"/>
        <v>0</v>
      </c>
      <c r="I67" s="68">
        <f>IFERROR(F67*'As-Filed Schedule 1'!$E$103,0)</f>
        <v>0</v>
      </c>
      <c r="J67" s="304">
        <f>IFERROR(H67*'Adjusted Schedule 1'!$E$104,0)</f>
        <v>0</v>
      </c>
      <c r="K67" s="68">
        <f t="shared" si="1"/>
        <v>0</v>
      </c>
      <c r="L67" s="304">
        <f t="shared" si="2"/>
        <v>0</v>
      </c>
      <c r="N67" s="114">
        <f>'As-Filed Schedule 2K'!J67</f>
        <v>0</v>
      </c>
      <c r="O67" s="307">
        <f>SUMIFS(Adjustments!$G:$G,Adjustments!$H:$H,"2K",Adjustments!$I:$I,'Schedule 2K Adjustments'!$N$12,Adjustments!$J:$J,'Schedule 2K Adjustments'!$A67)</f>
        <v>0</v>
      </c>
      <c r="P67" s="303">
        <f t="shared" si="3"/>
        <v>0</v>
      </c>
      <c r="Q67" s="68">
        <f>IFERROR(N67*'As-Filed Schedule 1'!$E$103,0)</f>
        <v>0</v>
      </c>
      <c r="R67" s="68">
        <f>IFERROR(P67*'Adjusted Schedule 1'!$E$104,0)</f>
        <v>0</v>
      </c>
      <c r="S67" s="68">
        <f t="shared" si="4"/>
        <v>0</v>
      </c>
      <c r="T67" s="304">
        <f t="shared" si="5"/>
        <v>0</v>
      </c>
      <c r="V67" s="117">
        <f>'As-Filed Schedule 2K'!N67</f>
        <v>0</v>
      </c>
      <c r="W67" s="307">
        <f>SUMIFS(Adjustments!$G:$G,Adjustments!$H:$H,"2K",Adjustments!$I:$I,'Schedule 2K Adjustments'!$V$12,Adjustments!$J:$J,'Schedule 2K Adjustments'!$A67)</f>
        <v>0</v>
      </c>
      <c r="X67" s="303">
        <f t="shared" si="6"/>
        <v>0</v>
      </c>
      <c r="Y67" s="117">
        <f>'As-Filed Schedule 2K'!O67</f>
        <v>0</v>
      </c>
      <c r="Z67" s="307">
        <f>SUMIFS(Adjustments!$G:$G,Adjustments!$H:$H,"2K",Adjustments!$I:$I,'Schedule 2K Adjustments'!$Y$12,Adjustments!$J:$J,'Schedule 2K Adjustments'!$A67)</f>
        <v>0</v>
      </c>
      <c r="AA67" s="303">
        <f t="shared" si="7"/>
        <v>0</v>
      </c>
    </row>
    <row r="68" spans="1:27" x14ac:dyDescent="0.35">
      <c r="A68" s="24">
        <v>54</v>
      </c>
      <c r="B68" s="565" t="str">
        <f>IF('As-Filed Schedule 2K'!B68:D68=0,"",'As-Filed Schedule 2K'!B68:D68)</f>
        <v/>
      </c>
      <c r="C68" s="565"/>
      <c r="D68" s="565"/>
      <c r="F68" s="114">
        <f>'As-Filed Schedule 2K'!F68</f>
        <v>0</v>
      </c>
      <c r="G68" s="307">
        <f>SUMIFS(Adjustments!$G:$G,Adjustments!$H:$H,"2K",Adjustments!$I:$I,'Schedule 2K Adjustments'!$F$12,Adjustments!$J:$J,'Schedule 2K Adjustments'!$A68)</f>
        <v>0</v>
      </c>
      <c r="H68" s="303">
        <f t="shared" si="0"/>
        <v>0</v>
      </c>
      <c r="I68" s="68">
        <f>IFERROR(F68*'As-Filed Schedule 1'!$E$103,0)</f>
        <v>0</v>
      </c>
      <c r="J68" s="304">
        <f>IFERROR(H68*'Adjusted Schedule 1'!$E$104,0)</f>
        <v>0</v>
      </c>
      <c r="K68" s="68">
        <f t="shared" si="1"/>
        <v>0</v>
      </c>
      <c r="L68" s="304">
        <f t="shared" si="2"/>
        <v>0</v>
      </c>
      <c r="N68" s="114">
        <f>'As-Filed Schedule 2K'!J68</f>
        <v>0</v>
      </c>
      <c r="O68" s="307">
        <f>SUMIFS(Adjustments!$G:$G,Adjustments!$H:$H,"2K",Adjustments!$I:$I,'Schedule 2K Adjustments'!$N$12,Adjustments!$J:$J,'Schedule 2K Adjustments'!$A68)</f>
        <v>0</v>
      </c>
      <c r="P68" s="303">
        <f t="shared" si="3"/>
        <v>0</v>
      </c>
      <c r="Q68" s="68">
        <f>IFERROR(N68*'As-Filed Schedule 1'!$E$103,0)</f>
        <v>0</v>
      </c>
      <c r="R68" s="68">
        <f>IFERROR(P68*'Adjusted Schedule 1'!$E$104,0)</f>
        <v>0</v>
      </c>
      <c r="S68" s="68">
        <f t="shared" si="4"/>
        <v>0</v>
      </c>
      <c r="T68" s="304">
        <f t="shared" si="5"/>
        <v>0</v>
      </c>
      <c r="V68" s="117">
        <f>'As-Filed Schedule 2K'!N68</f>
        <v>0</v>
      </c>
      <c r="W68" s="307">
        <f>SUMIFS(Adjustments!$G:$G,Adjustments!$H:$H,"2K",Adjustments!$I:$I,'Schedule 2K Adjustments'!$V$12,Adjustments!$J:$J,'Schedule 2K Adjustments'!$A68)</f>
        <v>0</v>
      </c>
      <c r="X68" s="303">
        <f t="shared" si="6"/>
        <v>0</v>
      </c>
      <c r="Y68" s="117">
        <f>'As-Filed Schedule 2K'!O68</f>
        <v>0</v>
      </c>
      <c r="Z68" s="307">
        <f>SUMIFS(Adjustments!$G:$G,Adjustments!$H:$H,"2K",Adjustments!$I:$I,'Schedule 2K Adjustments'!$Y$12,Adjustments!$J:$J,'Schedule 2K Adjustments'!$A68)</f>
        <v>0</v>
      </c>
      <c r="AA68" s="303">
        <f t="shared" si="7"/>
        <v>0</v>
      </c>
    </row>
    <row r="69" spans="1:27" x14ac:dyDescent="0.35">
      <c r="A69" s="24">
        <v>55</v>
      </c>
      <c r="B69" s="565" t="str">
        <f>IF('As-Filed Schedule 2K'!B69:D69=0,"",'As-Filed Schedule 2K'!B69:D69)</f>
        <v/>
      </c>
      <c r="C69" s="565"/>
      <c r="D69" s="565"/>
      <c r="F69" s="114">
        <f>'As-Filed Schedule 2K'!F69</f>
        <v>0</v>
      </c>
      <c r="G69" s="307">
        <f>SUMIFS(Adjustments!$G:$G,Adjustments!$H:$H,"2K",Adjustments!$I:$I,'Schedule 2K Adjustments'!$F$12,Adjustments!$J:$J,'Schedule 2K Adjustments'!$A69)</f>
        <v>0</v>
      </c>
      <c r="H69" s="303">
        <f t="shared" si="0"/>
        <v>0</v>
      </c>
      <c r="I69" s="68">
        <f>IFERROR(F69*'As-Filed Schedule 1'!$E$103,0)</f>
        <v>0</v>
      </c>
      <c r="J69" s="304">
        <f>IFERROR(H69*'Adjusted Schedule 1'!$E$104,0)</f>
        <v>0</v>
      </c>
      <c r="K69" s="68">
        <f t="shared" si="1"/>
        <v>0</v>
      </c>
      <c r="L69" s="304">
        <f t="shared" si="2"/>
        <v>0</v>
      </c>
      <c r="N69" s="114">
        <f>'As-Filed Schedule 2K'!J69</f>
        <v>0</v>
      </c>
      <c r="O69" s="307">
        <f>SUMIFS(Adjustments!$G:$G,Adjustments!$H:$H,"2K",Adjustments!$I:$I,'Schedule 2K Adjustments'!$N$12,Adjustments!$J:$J,'Schedule 2K Adjustments'!$A69)</f>
        <v>0</v>
      </c>
      <c r="P69" s="303">
        <f t="shared" si="3"/>
        <v>0</v>
      </c>
      <c r="Q69" s="68">
        <f>IFERROR(N69*'As-Filed Schedule 1'!$E$103,0)</f>
        <v>0</v>
      </c>
      <c r="R69" s="68">
        <f>IFERROR(P69*'Adjusted Schedule 1'!$E$104,0)</f>
        <v>0</v>
      </c>
      <c r="S69" s="68">
        <f t="shared" si="4"/>
        <v>0</v>
      </c>
      <c r="T69" s="304">
        <f t="shared" si="5"/>
        <v>0</v>
      </c>
      <c r="V69" s="117">
        <f>'As-Filed Schedule 2K'!N69</f>
        <v>0</v>
      </c>
      <c r="W69" s="307">
        <f>SUMIFS(Adjustments!$G:$G,Adjustments!$H:$H,"2K",Adjustments!$I:$I,'Schedule 2K Adjustments'!$V$12,Adjustments!$J:$J,'Schedule 2K Adjustments'!$A69)</f>
        <v>0</v>
      </c>
      <c r="X69" s="303">
        <f t="shared" si="6"/>
        <v>0</v>
      </c>
      <c r="Y69" s="117">
        <f>'As-Filed Schedule 2K'!O69</f>
        <v>0</v>
      </c>
      <c r="Z69" s="307">
        <f>SUMIFS(Adjustments!$G:$G,Adjustments!$H:$H,"2K",Adjustments!$I:$I,'Schedule 2K Adjustments'!$Y$12,Adjustments!$J:$J,'Schedule 2K Adjustments'!$A69)</f>
        <v>0</v>
      </c>
      <c r="AA69" s="303">
        <f t="shared" si="7"/>
        <v>0</v>
      </c>
    </row>
    <row r="70" spans="1:27" x14ac:dyDescent="0.35">
      <c r="A70" s="24">
        <v>56</v>
      </c>
      <c r="B70" s="565" t="str">
        <f>IF('As-Filed Schedule 2K'!B70:D70=0,"",'As-Filed Schedule 2K'!B70:D70)</f>
        <v/>
      </c>
      <c r="C70" s="565"/>
      <c r="D70" s="565"/>
      <c r="F70" s="114">
        <f>'As-Filed Schedule 2K'!F70</f>
        <v>0</v>
      </c>
      <c r="G70" s="307">
        <f>SUMIFS(Adjustments!$G:$G,Adjustments!$H:$H,"2K",Adjustments!$I:$I,'Schedule 2K Adjustments'!$F$12,Adjustments!$J:$J,'Schedule 2K Adjustments'!$A70)</f>
        <v>0</v>
      </c>
      <c r="H70" s="303">
        <f t="shared" si="0"/>
        <v>0</v>
      </c>
      <c r="I70" s="68">
        <f>IFERROR(F70*'As-Filed Schedule 1'!$E$103,0)</f>
        <v>0</v>
      </c>
      <c r="J70" s="304">
        <f>IFERROR(H70*'Adjusted Schedule 1'!$E$104,0)</f>
        <v>0</v>
      </c>
      <c r="K70" s="68">
        <f t="shared" si="1"/>
        <v>0</v>
      </c>
      <c r="L70" s="304">
        <f t="shared" si="2"/>
        <v>0</v>
      </c>
      <c r="N70" s="114">
        <f>'As-Filed Schedule 2K'!J70</f>
        <v>0</v>
      </c>
      <c r="O70" s="307">
        <f>SUMIFS(Adjustments!$G:$G,Adjustments!$H:$H,"2K",Adjustments!$I:$I,'Schedule 2K Adjustments'!$N$12,Adjustments!$J:$J,'Schedule 2K Adjustments'!$A70)</f>
        <v>0</v>
      </c>
      <c r="P70" s="303">
        <f t="shared" si="3"/>
        <v>0</v>
      </c>
      <c r="Q70" s="68">
        <f>IFERROR(N70*'As-Filed Schedule 1'!$E$103,0)</f>
        <v>0</v>
      </c>
      <c r="R70" s="68">
        <f>IFERROR(P70*'Adjusted Schedule 1'!$E$104,0)</f>
        <v>0</v>
      </c>
      <c r="S70" s="68">
        <f t="shared" si="4"/>
        <v>0</v>
      </c>
      <c r="T70" s="304">
        <f t="shared" si="5"/>
        <v>0</v>
      </c>
      <c r="V70" s="117">
        <f>'As-Filed Schedule 2K'!N70</f>
        <v>0</v>
      </c>
      <c r="W70" s="307">
        <f>SUMIFS(Adjustments!$G:$G,Adjustments!$H:$H,"2K",Adjustments!$I:$I,'Schedule 2K Adjustments'!$V$12,Adjustments!$J:$J,'Schedule 2K Adjustments'!$A70)</f>
        <v>0</v>
      </c>
      <c r="X70" s="303">
        <f t="shared" si="6"/>
        <v>0</v>
      </c>
      <c r="Y70" s="117">
        <f>'As-Filed Schedule 2K'!O70</f>
        <v>0</v>
      </c>
      <c r="Z70" s="307">
        <f>SUMIFS(Adjustments!$G:$G,Adjustments!$H:$H,"2K",Adjustments!$I:$I,'Schedule 2K Adjustments'!$Y$12,Adjustments!$J:$J,'Schedule 2K Adjustments'!$A70)</f>
        <v>0</v>
      </c>
      <c r="AA70" s="303">
        <f t="shared" si="7"/>
        <v>0</v>
      </c>
    </row>
    <row r="71" spans="1:27" x14ac:dyDescent="0.35">
      <c r="A71" s="24">
        <v>57</v>
      </c>
      <c r="B71" s="565" t="str">
        <f>IF('As-Filed Schedule 2K'!B71:D71=0,"",'As-Filed Schedule 2K'!B71:D71)</f>
        <v/>
      </c>
      <c r="C71" s="565"/>
      <c r="D71" s="565"/>
      <c r="F71" s="114">
        <f>'As-Filed Schedule 2K'!F71</f>
        <v>0</v>
      </c>
      <c r="G71" s="307">
        <f>SUMIFS(Adjustments!$G:$G,Adjustments!$H:$H,"2K",Adjustments!$I:$I,'Schedule 2K Adjustments'!$F$12,Adjustments!$J:$J,'Schedule 2K Adjustments'!$A71)</f>
        <v>0</v>
      </c>
      <c r="H71" s="303">
        <f t="shared" si="0"/>
        <v>0</v>
      </c>
      <c r="I71" s="68">
        <f>IFERROR(F71*'As-Filed Schedule 1'!$E$103,0)</f>
        <v>0</v>
      </c>
      <c r="J71" s="304">
        <f>IFERROR(H71*'Adjusted Schedule 1'!$E$104,0)</f>
        <v>0</v>
      </c>
      <c r="K71" s="68">
        <f t="shared" si="1"/>
        <v>0</v>
      </c>
      <c r="L71" s="304">
        <f t="shared" si="2"/>
        <v>0</v>
      </c>
      <c r="N71" s="114">
        <f>'As-Filed Schedule 2K'!J71</f>
        <v>0</v>
      </c>
      <c r="O71" s="307">
        <f>SUMIFS(Adjustments!$G:$G,Adjustments!$H:$H,"2K",Adjustments!$I:$I,'Schedule 2K Adjustments'!$N$12,Adjustments!$J:$J,'Schedule 2K Adjustments'!$A71)</f>
        <v>0</v>
      </c>
      <c r="P71" s="303">
        <f t="shared" si="3"/>
        <v>0</v>
      </c>
      <c r="Q71" s="68">
        <f>IFERROR(N71*'As-Filed Schedule 1'!$E$103,0)</f>
        <v>0</v>
      </c>
      <c r="R71" s="68">
        <f>IFERROR(P71*'Adjusted Schedule 1'!$E$104,0)</f>
        <v>0</v>
      </c>
      <c r="S71" s="68">
        <f t="shared" si="4"/>
        <v>0</v>
      </c>
      <c r="T71" s="304">
        <f t="shared" si="5"/>
        <v>0</v>
      </c>
      <c r="V71" s="117">
        <f>'As-Filed Schedule 2K'!N71</f>
        <v>0</v>
      </c>
      <c r="W71" s="307">
        <f>SUMIFS(Adjustments!$G:$G,Adjustments!$H:$H,"2K",Adjustments!$I:$I,'Schedule 2K Adjustments'!$V$12,Adjustments!$J:$J,'Schedule 2K Adjustments'!$A71)</f>
        <v>0</v>
      </c>
      <c r="X71" s="303">
        <f t="shared" si="6"/>
        <v>0</v>
      </c>
      <c r="Y71" s="117">
        <f>'As-Filed Schedule 2K'!O71</f>
        <v>0</v>
      </c>
      <c r="Z71" s="307">
        <f>SUMIFS(Adjustments!$G:$G,Adjustments!$H:$H,"2K",Adjustments!$I:$I,'Schedule 2K Adjustments'!$Y$12,Adjustments!$J:$J,'Schedule 2K Adjustments'!$A71)</f>
        <v>0</v>
      </c>
      <c r="AA71" s="303">
        <f t="shared" si="7"/>
        <v>0</v>
      </c>
    </row>
    <row r="72" spans="1:27" x14ac:dyDescent="0.35">
      <c r="A72" s="24">
        <v>58</v>
      </c>
      <c r="B72" s="565" t="str">
        <f>IF('As-Filed Schedule 2K'!B72:D72=0,"",'As-Filed Schedule 2K'!B72:D72)</f>
        <v/>
      </c>
      <c r="C72" s="565"/>
      <c r="D72" s="565"/>
      <c r="F72" s="114">
        <f>'As-Filed Schedule 2K'!F72</f>
        <v>0</v>
      </c>
      <c r="G72" s="307">
        <f>SUMIFS(Adjustments!$G:$G,Adjustments!$H:$H,"2K",Adjustments!$I:$I,'Schedule 2K Adjustments'!$F$12,Adjustments!$J:$J,'Schedule 2K Adjustments'!$A72)</f>
        <v>0</v>
      </c>
      <c r="H72" s="303">
        <f t="shared" si="0"/>
        <v>0</v>
      </c>
      <c r="I72" s="68">
        <f>IFERROR(F72*'As-Filed Schedule 1'!$E$103,0)</f>
        <v>0</v>
      </c>
      <c r="J72" s="304">
        <f>IFERROR(H72*'Adjusted Schedule 1'!$E$104,0)</f>
        <v>0</v>
      </c>
      <c r="K72" s="68">
        <f t="shared" si="1"/>
        <v>0</v>
      </c>
      <c r="L72" s="304">
        <f t="shared" si="2"/>
        <v>0</v>
      </c>
      <c r="N72" s="114">
        <f>'As-Filed Schedule 2K'!J72</f>
        <v>0</v>
      </c>
      <c r="O72" s="307">
        <f>SUMIFS(Adjustments!$G:$G,Adjustments!$H:$H,"2K",Adjustments!$I:$I,'Schedule 2K Adjustments'!$N$12,Adjustments!$J:$J,'Schedule 2K Adjustments'!$A72)</f>
        <v>0</v>
      </c>
      <c r="P72" s="303">
        <f t="shared" si="3"/>
        <v>0</v>
      </c>
      <c r="Q72" s="68">
        <f>IFERROR(N72*'As-Filed Schedule 1'!$E$103,0)</f>
        <v>0</v>
      </c>
      <c r="R72" s="68">
        <f>IFERROR(P72*'Adjusted Schedule 1'!$E$104,0)</f>
        <v>0</v>
      </c>
      <c r="S72" s="68">
        <f t="shared" si="4"/>
        <v>0</v>
      </c>
      <c r="T72" s="304">
        <f t="shared" si="5"/>
        <v>0</v>
      </c>
      <c r="V72" s="117">
        <f>'As-Filed Schedule 2K'!N72</f>
        <v>0</v>
      </c>
      <c r="W72" s="307">
        <f>SUMIFS(Adjustments!$G:$G,Adjustments!$H:$H,"2K",Adjustments!$I:$I,'Schedule 2K Adjustments'!$V$12,Adjustments!$J:$J,'Schedule 2K Adjustments'!$A72)</f>
        <v>0</v>
      </c>
      <c r="X72" s="303">
        <f t="shared" si="6"/>
        <v>0</v>
      </c>
      <c r="Y72" s="117">
        <f>'As-Filed Schedule 2K'!O72</f>
        <v>0</v>
      </c>
      <c r="Z72" s="307">
        <f>SUMIFS(Adjustments!$G:$G,Adjustments!$H:$H,"2K",Adjustments!$I:$I,'Schedule 2K Adjustments'!$Y$12,Adjustments!$J:$J,'Schedule 2K Adjustments'!$A72)</f>
        <v>0</v>
      </c>
      <c r="AA72" s="303">
        <f t="shared" si="7"/>
        <v>0</v>
      </c>
    </row>
    <row r="73" spans="1:27" x14ac:dyDescent="0.35">
      <c r="A73" s="24">
        <v>59</v>
      </c>
      <c r="F73" s="18">
        <f>SUM(F15:F72)</f>
        <v>0</v>
      </c>
      <c r="G73" s="18">
        <f>SUM(G15:G72)</f>
        <v>0</v>
      </c>
      <c r="H73" s="18">
        <f t="shared" ref="H73:K73" si="8">SUM(H15:H72)</f>
        <v>0</v>
      </c>
      <c r="I73" s="18">
        <f t="shared" si="8"/>
        <v>0</v>
      </c>
      <c r="J73" s="304">
        <f>IFERROR(H73*'Adjusted Schedule 1'!$E$104,0)</f>
        <v>0</v>
      </c>
      <c r="K73" s="18">
        <f t="shared" si="8"/>
        <v>0</v>
      </c>
      <c r="L73" s="305">
        <f t="shared" ref="L73" si="9">SUM(L15:L72)</f>
        <v>0</v>
      </c>
      <c r="N73" s="18">
        <f>SUM(N15:N72)</f>
        <v>0</v>
      </c>
      <c r="O73" s="18">
        <f t="shared" ref="O73:S73" si="10">SUM(O15:O72)</f>
        <v>0</v>
      </c>
      <c r="P73" s="18">
        <f t="shared" si="10"/>
        <v>0</v>
      </c>
      <c r="Q73" s="18">
        <f t="shared" si="10"/>
        <v>0</v>
      </c>
      <c r="R73" s="18">
        <f t="shared" si="10"/>
        <v>0</v>
      </c>
      <c r="S73" s="18">
        <f t="shared" si="10"/>
        <v>0</v>
      </c>
      <c r="T73" s="305">
        <f>SUM(T15:T72)</f>
        <v>0</v>
      </c>
      <c r="Y73" s="83" t="s">
        <v>313</v>
      </c>
      <c r="Z73" s="325"/>
      <c r="AA73" s="322"/>
    </row>
    <row r="74" spans="1:27" ht="15" thickBot="1" x14ac:dyDescent="0.4">
      <c r="K74" s="37" t="s">
        <v>257</v>
      </c>
      <c r="L74" s="318" t="s">
        <v>257</v>
      </c>
      <c r="S74" s="37" t="s">
        <v>258</v>
      </c>
      <c r="T74" s="318" t="s">
        <v>258</v>
      </c>
    </row>
    <row r="75" spans="1:27" s="72" customFormat="1" ht="16" thickBot="1" x14ac:dyDescent="0.4">
      <c r="A75" s="24">
        <v>60</v>
      </c>
      <c r="B75" s="73" t="s">
        <v>817</v>
      </c>
      <c r="F75" s="75">
        <f>K73+S73</f>
        <v>0</v>
      </c>
      <c r="G75"/>
      <c r="H75" s="75">
        <f>L73+T73</f>
        <v>0</v>
      </c>
      <c r="I75" s="74"/>
      <c r="J75" s="319"/>
      <c r="K75" s="74"/>
      <c r="L75" s="319"/>
      <c r="N75" s="74"/>
      <c r="O75" s="326"/>
      <c r="P75" s="319"/>
      <c r="Q75" s="74"/>
      <c r="R75" s="319"/>
      <c r="T75" s="321"/>
      <c r="W75" s="324"/>
      <c r="X75" s="321"/>
      <c r="Z75" s="324"/>
      <c r="AA75" s="321"/>
    </row>
  </sheetData>
  <sheetProtection sheet="1" objects="1" scenarios="1"/>
  <customSheetViews>
    <customSheetView guid="{17302493-42B1-4877-869E-E424A97AE78B}" state="hidden" topLeftCell="V1">
      <selection activeCell="F17" sqref="F17"/>
      <pageMargins left="0.7" right="0.7" top="0.75" bottom="0.75" header="0.3" footer="0.3"/>
    </customSheetView>
    <customSheetView guid="{5C0BA3A5-859C-46C2-B685-44D9A90065E4}" topLeftCell="V1">
      <selection activeCell="D8" sqref="D8"/>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AA75"/>
  <sheetViews>
    <sheetView topLeftCell="S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53"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53"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53" customWidth="1"/>
    <col min="24" max="24" width="13.26953125" style="48" customWidth="1"/>
    <col min="25" max="25" width="12" customWidth="1"/>
    <col min="26" max="26" width="16.1796875" style="253" customWidth="1"/>
    <col min="27" max="27" width="12" style="48" customWidth="1"/>
  </cols>
  <sheetData>
    <row r="1" spans="1:27" ht="26" x14ac:dyDescent="0.6">
      <c r="A1" s="3" t="s">
        <v>777</v>
      </c>
    </row>
    <row r="2" spans="1:27" ht="21" x14ac:dyDescent="0.5">
      <c r="A2" s="2" t="s">
        <v>775</v>
      </c>
    </row>
    <row r="3" spans="1:27" ht="25" customHeight="1" x14ac:dyDescent="0.5">
      <c r="A3" s="546" t="s">
        <v>849</v>
      </c>
      <c r="B3" s="546"/>
      <c r="C3" s="546"/>
      <c r="D3" s="546"/>
      <c r="E3" s="546"/>
      <c r="F3" s="546"/>
      <c r="G3" s="546"/>
      <c r="H3" s="546"/>
      <c r="I3" s="546"/>
      <c r="J3" s="546"/>
      <c r="K3" s="546"/>
      <c r="L3" s="315"/>
    </row>
    <row r="5" spans="1:27" x14ac:dyDescent="0.35">
      <c r="A5" s="1" t="s">
        <v>776</v>
      </c>
      <c r="C5" s="414" t="str">
        <f>Results!$C$6</f>
        <v>WellPower</v>
      </c>
    </row>
    <row r="6" spans="1:27" x14ac:dyDescent="0.35">
      <c r="A6" s="1" t="s">
        <v>0</v>
      </c>
      <c r="C6" s="35">
        <f>Results!$C$7</f>
        <v>45473</v>
      </c>
      <c r="F6" s="35"/>
      <c r="G6" s="313"/>
      <c r="H6" s="60"/>
    </row>
    <row r="8" spans="1:27" x14ac:dyDescent="0.35">
      <c r="A8" s="1" t="s">
        <v>253</v>
      </c>
      <c r="B8" s="1" t="s">
        <v>834</v>
      </c>
      <c r="C8" s="1"/>
      <c r="F8" s="116" t="str">
        <f>'As-Filed Schedule 2L'!F8</f>
        <v>Yes/No</v>
      </c>
      <c r="G8" s="41" t="s">
        <v>259</v>
      </c>
    </row>
    <row r="10" spans="1:27" x14ac:dyDescent="0.35">
      <c r="A10" s="1" t="s">
        <v>254</v>
      </c>
      <c r="B10" s="1" t="s">
        <v>256</v>
      </c>
      <c r="C10" s="1"/>
    </row>
    <row r="12" spans="1:27" x14ac:dyDescent="0.35">
      <c r="B12" s="560">
        <v>1</v>
      </c>
      <c r="C12" s="560"/>
      <c r="D12" s="560"/>
      <c r="F12" s="23">
        <v>2</v>
      </c>
      <c r="G12" s="248" t="s">
        <v>550</v>
      </c>
      <c r="H12" s="249" t="s">
        <v>551</v>
      </c>
      <c r="I12" s="23">
        <v>3</v>
      </c>
      <c r="J12" s="249" t="s">
        <v>555</v>
      </c>
      <c r="K12" s="23">
        <v>4</v>
      </c>
      <c r="L12" s="249" t="s">
        <v>559</v>
      </c>
      <c r="N12" s="23">
        <v>5</v>
      </c>
      <c r="O12" s="248" t="s">
        <v>560</v>
      </c>
      <c r="P12" s="249" t="s">
        <v>561</v>
      </c>
      <c r="Q12" s="23">
        <v>6</v>
      </c>
      <c r="R12" s="249" t="s">
        <v>565</v>
      </c>
      <c r="S12" s="23">
        <v>7</v>
      </c>
      <c r="T12" s="249" t="s">
        <v>569</v>
      </c>
      <c r="V12" s="23">
        <v>8</v>
      </c>
      <c r="W12" s="248" t="s">
        <v>610</v>
      </c>
      <c r="X12" s="249" t="s">
        <v>623</v>
      </c>
      <c r="Y12" s="23">
        <v>9</v>
      </c>
      <c r="Z12" s="248" t="s">
        <v>612</v>
      </c>
      <c r="AA12" s="249" t="s">
        <v>613</v>
      </c>
    </row>
    <row r="13" spans="1:27" ht="15" customHeight="1" x14ac:dyDescent="0.35">
      <c r="B13" s="561" t="s">
        <v>255</v>
      </c>
      <c r="C13" s="561"/>
      <c r="D13" s="561"/>
      <c r="F13" s="563" t="s">
        <v>261</v>
      </c>
      <c r="G13" s="568"/>
      <c r="H13" s="568"/>
      <c r="I13" s="568"/>
      <c r="J13" s="568"/>
      <c r="K13" s="568"/>
      <c r="L13" s="564"/>
      <c r="N13" s="563" t="s">
        <v>262</v>
      </c>
      <c r="O13" s="568"/>
      <c r="P13" s="568"/>
      <c r="Q13" s="568"/>
      <c r="R13" s="568"/>
      <c r="S13" s="568"/>
      <c r="T13" s="564"/>
      <c r="V13" s="562" t="s">
        <v>250</v>
      </c>
      <c r="W13" s="621" t="s">
        <v>614</v>
      </c>
      <c r="X13" s="622" t="s">
        <v>615</v>
      </c>
      <c r="Y13" s="562" t="s">
        <v>312</v>
      </c>
      <c r="Z13" s="621" t="s">
        <v>624</v>
      </c>
      <c r="AA13" s="622" t="s">
        <v>625</v>
      </c>
    </row>
    <row r="14" spans="1:27" ht="55.5" customHeight="1" x14ac:dyDescent="0.35">
      <c r="B14" s="561"/>
      <c r="C14" s="561"/>
      <c r="D14" s="561"/>
      <c r="E14" s="48"/>
      <c r="F14" s="10" t="s">
        <v>214</v>
      </c>
      <c r="G14" s="250" t="s">
        <v>603</v>
      </c>
      <c r="H14" s="251" t="s">
        <v>604</v>
      </c>
      <c r="I14" s="142" t="s">
        <v>493</v>
      </c>
      <c r="J14" s="251" t="s">
        <v>607</v>
      </c>
      <c r="K14" s="142" t="s">
        <v>215</v>
      </c>
      <c r="L14" s="251" t="s">
        <v>609</v>
      </c>
      <c r="M14" s="48"/>
      <c r="N14" s="142" t="s">
        <v>214</v>
      </c>
      <c r="O14" s="250" t="s">
        <v>603</v>
      </c>
      <c r="P14" s="251" t="s">
        <v>604</v>
      </c>
      <c r="Q14" s="142" t="s">
        <v>493</v>
      </c>
      <c r="R14" s="251" t="s">
        <v>607</v>
      </c>
      <c r="S14" s="10" t="s">
        <v>215</v>
      </c>
      <c r="T14" s="251" t="s">
        <v>609</v>
      </c>
      <c r="U14" s="48"/>
      <c r="V14" s="562"/>
      <c r="W14" s="621"/>
      <c r="X14" s="622"/>
      <c r="Y14" s="562"/>
      <c r="Z14" s="621"/>
      <c r="AA14" s="622"/>
    </row>
    <row r="15" spans="1:27" x14ac:dyDescent="0.35">
      <c r="A15" s="24">
        <v>1</v>
      </c>
      <c r="B15" s="565" t="str">
        <f>IF('As-Filed Schedule 2L'!B15:D15=0,"",'As-Filed Schedule 2L'!B15:D15)</f>
        <v/>
      </c>
      <c r="C15" s="565"/>
      <c r="D15" s="565"/>
      <c r="F15" s="114">
        <f>'As-Filed Schedule 2L'!F15</f>
        <v>0</v>
      </c>
      <c r="G15" s="307">
        <f>SUMIFS(Adjustments!$G:$G,Adjustments!$H:$H,"2L",Adjustments!$I:$I,'Schedule 2L Adjustments'!$F$12,Adjustments!$J:$J,'Schedule 2L Adjustments'!$A15)</f>
        <v>0</v>
      </c>
      <c r="H15" s="303">
        <f>SUM(F15:G15)</f>
        <v>0</v>
      </c>
      <c r="I15" s="68">
        <f>IFERROR(F15*'As-Filed Schedule 1'!$E$103,0)</f>
        <v>0</v>
      </c>
      <c r="J15" s="304">
        <f>IFERROR(H15*'Adjusted Schedule 1'!$E$104,0)</f>
        <v>0</v>
      </c>
      <c r="K15" s="68">
        <f>SUM(F15,I15)</f>
        <v>0</v>
      </c>
      <c r="L15" s="304">
        <f>SUM(H15,J15)</f>
        <v>0</v>
      </c>
      <c r="N15" s="114">
        <f>'As-Filed Schedule 2L'!J15</f>
        <v>0</v>
      </c>
      <c r="O15" s="307">
        <f>SUMIFS(Adjustments!$G:$G,Adjustments!$H:$H,"2L",Adjustments!$I:$I,'Schedule 2L Adjustments'!$N$12,Adjustments!$J:$J,'Schedule 2L Adjustments'!$A15)</f>
        <v>0</v>
      </c>
      <c r="P15" s="303">
        <f>SUM(N15:O15)</f>
        <v>0</v>
      </c>
      <c r="Q15" s="68">
        <f>IFERROR(N15*'As-Filed Schedule 1'!$E$103,0)</f>
        <v>0</v>
      </c>
      <c r="R15" s="68">
        <f>IFERROR(P15*'Adjusted Schedule 1'!$E$104,0)</f>
        <v>0</v>
      </c>
      <c r="S15" s="68">
        <f>SUM(N15,Q15)</f>
        <v>0</v>
      </c>
      <c r="T15" s="304">
        <f>SUM(P15,R15)</f>
        <v>0</v>
      </c>
      <c r="V15" s="117">
        <f>'As-Filed Schedule 2L'!N15</f>
        <v>0</v>
      </c>
      <c r="W15" s="307">
        <f>SUMIFS(Adjustments!$G:$G,Adjustments!$H:$H,"2L",Adjustments!$I:$I,'Schedule 2L Adjustments'!$V$12,Adjustments!$J:$J,'Schedule 2L Adjustments'!$A15)</f>
        <v>0</v>
      </c>
      <c r="X15" s="303">
        <f>SUM(V15:W15)</f>
        <v>0</v>
      </c>
      <c r="Y15" s="117">
        <f>'As-Filed Schedule 2L'!O15</f>
        <v>0</v>
      </c>
      <c r="Z15" s="307">
        <f>SUMIFS(Adjustments!$G:$G,Adjustments!$H:$H,"2L",Adjustments!$I:$I,'Schedule 2L Adjustments'!$Y$12,Adjustments!$J:$J,'Schedule 2L Adjustments'!$A15)</f>
        <v>0</v>
      </c>
      <c r="AA15" s="303">
        <f>SUM(Y15:Z15)</f>
        <v>0</v>
      </c>
    </row>
    <row r="16" spans="1:27" x14ac:dyDescent="0.35">
      <c r="A16" s="24">
        <v>2</v>
      </c>
      <c r="B16" s="565" t="str">
        <f>IF('As-Filed Schedule 2L'!B16:D16=0,"",'As-Filed Schedule 2L'!B16:D16)</f>
        <v/>
      </c>
      <c r="C16" s="565"/>
      <c r="D16" s="565"/>
      <c r="F16" s="114">
        <f>'As-Filed Schedule 2L'!F16</f>
        <v>0</v>
      </c>
      <c r="G16" s="307">
        <f>SUMIFS(Adjustments!$G:$G,Adjustments!$H:$H,"2L",Adjustments!$I:$I,'Schedule 2L Adjustments'!$F$12,Adjustments!$J:$J,'Schedule 2L Adjustments'!$A16)</f>
        <v>0</v>
      </c>
      <c r="H16" s="303">
        <f t="shared" ref="H16:H72" si="0">SUM(F16:G16)</f>
        <v>0</v>
      </c>
      <c r="I16" s="68">
        <f>IFERROR(F16*'As-Filed Schedule 1'!$E$103,0)</f>
        <v>0</v>
      </c>
      <c r="J16" s="304">
        <f>IFERROR(H16*'Adjusted Schedule 1'!$E$104,0)</f>
        <v>0</v>
      </c>
      <c r="K16" s="68">
        <f t="shared" ref="K16:K72" si="1">SUM(F16,I16)</f>
        <v>0</v>
      </c>
      <c r="L16" s="304">
        <f t="shared" ref="L16:L72" si="2">SUM(H16,J16)</f>
        <v>0</v>
      </c>
      <c r="N16" s="114">
        <f>'As-Filed Schedule 2L'!J16</f>
        <v>0</v>
      </c>
      <c r="O16" s="307">
        <f>SUMIFS(Adjustments!$G:$G,Adjustments!$H:$H,"2L",Adjustments!$I:$I,'Schedule 2L Adjustments'!$N$12,Adjustments!$J:$J,'Schedule 2L Adjustments'!$A16)</f>
        <v>0</v>
      </c>
      <c r="P16" s="303">
        <f t="shared" ref="P16:P72" si="3">SUM(N16:O16)</f>
        <v>0</v>
      </c>
      <c r="Q16" s="68">
        <f>IFERROR(N16*'As-Filed Schedule 1'!$E$103,0)</f>
        <v>0</v>
      </c>
      <c r="R16" s="68">
        <f>IFERROR(P16*'Adjusted Schedule 1'!$E$104,0)</f>
        <v>0</v>
      </c>
      <c r="S16" s="68">
        <f t="shared" ref="S16:S72" si="4">SUM(N16,Q16)</f>
        <v>0</v>
      </c>
      <c r="T16" s="304">
        <f t="shared" ref="T16:T72" si="5">SUM(P16,R16)</f>
        <v>0</v>
      </c>
      <c r="V16" s="117">
        <f>'As-Filed Schedule 2L'!N16</f>
        <v>0</v>
      </c>
      <c r="W16" s="307">
        <f>SUMIFS(Adjustments!$G:$G,Adjustments!$H:$H,"2L",Adjustments!$I:$I,'Schedule 2L Adjustments'!$V$12,Adjustments!$J:$J,'Schedule 2L Adjustments'!$A16)</f>
        <v>0</v>
      </c>
      <c r="X16" s="303">
        <f t="shared" ref="X16:X72" si="6">SUM(V16:W16)</f>
        <v>0</v>
      </c>
      <c r="Y16" s="117">
        <f>'As-Filed Schedule 2L'!O16</f>
        <v>0</v>
      </c>
      <c r="Z16" s="307">
        <f>SUMIFS(Adjustments!$G:$G,Adjustments!$H:$H,"2L",Adjustments!$I:$I,'Schedule 2L Adjustments'!$Y$12,Adjustments!$J:$J,'Schedule 2L Adjustments'!$A16)</f>
        <v>0</v>
      </c>
      <c r="AA16" s="303">
        <f t="shared" ref="AA16:AA72" si="7">SUM(Y16:Z16)</f>
        <v>0</v>
      </c>
    </row>
    <row r="17" spans="1:27" x14ac:dyDescent="0.35">
      <c r="A17" s="24">
        <v>3</v>
      </c>
      <c r="B17" s="565" t="str">
        <f>IF('As-Filed Schedule 2L'!B17:D17=0,"",'As-Filed Schedule 2L'!B17:D17)</f>
        <v/>
      </c>
      <c r="C17" s="565"/>
      <c r="D17" s="565"/>
      <c r="F17" s="114">
        <f>'As-Filed Schedule 2L'!F17</f>
        <v>0</v>
      </c>
      <c r="G17" s="307">
        <f>SUMIFS(Adjustments!$G:$G,Adjustments!$H:$H,"2L",Adjustments!$I:$I,'Schedule 2L Adjustments'!$F$12,Adjustments!$J:$J,'Schedule 2L Adjustments'!$A17)</f>
        <v>0</v>
      </c>
      <c r="H17" s="303">
        <f t="shared" si="0"/>
        <v>0</v>
      </c>
      <c r="I17" s="68">
        <f>IFERROR(F17*'As-Filed Schedule 1'!$E$103,0)</f>
        <v>0</v>
      </c>
      <c r="J17" s="304">
        <f>IFERROR(H17*'Adjusted Schedule 1'!$E$104,0)</f>
        <v>0</v>
      </c>
      <c r="K17" s="68">
        <f t="shared" si="1"/>
        <v>0</v>
      </c>
      <c r="L17" s="304">
        <f t="shared" si="2"/>
        <v>0</v>
      </c>
      <c r="N17" s="114">
        <f>'As-Filed Schedule 2L'!J17</f>
        <v>0</v>
      </c>
      <c r="O17" s="307">
        <f>SUMIFS(Adjustments!$G:$G,Adjustments!$H:$H,"2L",Adjustments!$I:$I,'Schedule 2L Adjustments'!$N$12,Adjustments!$J:$J,'Schedule 2L Adjustments'!$A17)</f>
        <v>0</v>
      </c>
      <c r="P17" s="303">
        <f t="shared" si="3"/>
        <v>0</v>
      </c>
      <c r="Q17" s="68">
        <f>IFERROR(N17*'As-Filed Schedule 1'!$E$103,0)</f>
        <v>0</v>
      </c>
      <c r="R17" s="68">
        <f>IFERROR(P17*'Adjusted Schedule 1'!$E$104,0)</f>
        <v>0</v>
      </c>
      <c r="S17" s="68">
        <f t="shared" si="4"/>
        <v>0</v>
      </c>
      <c r="T17" s="304">
        <f t="shared" si="5"/>
        <v>0</v>
      </c>
      <c r="V17" s="117">
        <f>'As-Filed Schedule 2L'!N17</f>
        <v>0</v>
      </c>
      <c r="W17" s="307">
        <f>SUMIFS(Adjustments!$G:$G,Adjustments!$H:$H,"2L",Adjustments!$I:$I,'Schedule 2L Adjustments'!$V$12,Adjustments!$J:$J,'Schedule 2L Adjustments'!$A17)</f>
        <v>0</v>
      </c>
      <c r="X17" s="303">
        <f t="shared" si="6"/>
        <v>0</v>
      </c>
      <c r="Y17" s="117">
        <f>'As-Filed Schedule 2L'!O17</f>
        <v>0</v>
      </c>
      <c r="Z17" s="307">
        <f>SUMIFS(Adjustments!$G:$G,Adjustments!$H:$H,"2L",Adjustments!$I:$I,'Schedule 2L Adjustments'!$Y$12,Adjustments!$J:$J,'Schedule 2L Adjustments'!$A17)</f>
        <v>0</v>
      </c>
      <c r="AA17" s="303">
        <f t="shared" si="7"/>
        <v>0</v>
      </c>
    </row>
    <row r="18" spans="1:27" x14ac:dyDescent="0.35">
      <c r="A18" s="24">
        <v>4</v>
      </c>
      <c r="B18" s="565" t="str">
        <f>IF('As-Filed Schedule 2L'!B18:D18=0,"",'As-Filed Schedule 2L'!B18:D18)</f>
        <v/>
      </c>
      <c r="C18" s="565"/>
      <c r="D18" s="565"/>
      <c r="F18" s="114">
        <f>'As-Filed Schedule 2L'!F18</f>
        <v>0</v>
      </c>
      <c r="G18" s="307">
        <f>SUMIFS(Adjustments!$G:$G,Adjustments!$H:$H,"2L",Adjustments!$I:$I,'Schedule 2L Adjustments'!$F$12,Adjustments!$J:$J,'Schedule 2L Adjustments'!$A18)</f>
        <v>0</v>
      </c>
      <c r="H18" s="303">
        <f t="shared" si="0"/>
        <v>0</v>
      </c>
      <c r="I18" s="68">
        <f>IFERROR(F18*'As-Filed Schedule 1'!$E$103,0)</f>
        <v>0</v>
      </c>
      <c r="J18" s="304">
        <f>IFERROR(H18*'Adjusted Schedule 1'!$E$104,0)</f>
        <v>0</v>
      </c>
      <c r="K18" s="68">
        <f>SUM(F18,I18)</f>
        <v>0</v>
      </c>
      <c r="L18" s="304">
        <f>SUM(H18,J18)</f>
        <v>0</v>
      </c>
      <c r="N18" s="114">
        <f>'As-Filed Schedule 2L'!J18</f>
        <v>0</v>
      </c>
      <c r="O18" s="307">
        <f>SUMIFS(Adjustments!$G:$G,Adjustments!$H:$H,"2L",Adjustments!$I:$I,'Schedule 2L Adjustments'!$N$12,Adjustments!$J:$J,'Schedule 2L Adjustments'!$A18)</f>
        <v>0</v>
      </c>
      <c r="P18" s="303">
        <f t="shared" si="3"/>
        <v>0</v>
      </c>
      <c r="Q18" s="68">
        <f>IFERROR(N18*'As-Filed Schedule 1'!$E$103,0)</f>
        <v>0</v>
      </c>
      <c r="R18" s="68">
        <f>IFERROR(P18*'Adjusted Schedule 1'!$E$104,0)</f>
        <v>0</v>
      </c>
      <c r="S18" s="68">
        <f t="shared" si="4"/>
        <v>0</v>
      </c>
      <c r="T18" s="304">
        <f t="shared" si="5"/>
        <v>0</v>
      </c>
      <c r="V18" s="117">
        <f>'As-Filed Schedule 2L'!N18</f>
        <v>0</v>
      </c>
      <c r="W18" s="307">
        <f>SUMIFS(Adjustments!$G:$G,Adjustments!$H:$H,"2L",Adjustments!$I:$I,'Schedule 2L Adjustments'!$V$12,Adjustments!$J:$J,'Schedule 2L Adjustments'!$A18)</f>
        <v>0</v>
      </c>
      <c r="X18" s="303">
        <f t="shared" si="6"/>
        <v>0</v>
      </c>
      <c r="Y18" s="117">
        <f>'As-Filed Schedule 2L'!O18</f>
        <v>0</v>
      </c>
      <c r="Z18" s="307">
        <f>SUMIFS(Adjustments!$G:$G,Adjustments!$H:$H,"2L",Adjustments!$I:$I,'Schedule 2L Adjustments'!$Y$12,Adjustments!$J:$J,'Schedule 2L Adjustments'!$A18)</f>
        <v>0</v>
      </c>
      <c r="AA18" s="303">
        <f t="shared" si="7"/>
        <v>0</v>
      </c>
    </row>
    <row r="19" spans="1:27" x14ac:dyDescent="0.35">
      <c r="A19" s="24">
        <v>5</v>
      </c>
      <c r="B19" s="565" t="str">
        <f>IF('As-Filed Schedule 2L'!B19:D19=0,"",'As-Filed Schedule 2L'!B19:D19)</f>
        <v/>
      </c>
      <c r="C19" s="565"/>
      <c r="D19" s="565"/>
      <c r="F19" s="114">
        <f>'As-Filed Schedule 2L'!F19</f>
        <v>0</v>
      </c>
      <c r="G19" s="307">
        <f>SUMIFS(Adjustments!$G:$G,Adjustments!$H:$H,"2L",Adjustments!$I:$I,'Schedule 2L Adjustments'!$F$12,Adjustments!$J:$J,'Schedule 2L Adjustments'!$A19)</f>
        <v>0</v>
      </c>
      <c r="H19" s="303">
        <f t="shared" si="0"/>
        <v>0</v>
      </c>
      <c r="I19" s="68">
        <f>IFERROR(F19*'As-Filed Schedule 1'!$E$103,0)</f>
        <v>0</v>
      </c>
      <c r="J19" s="304">
        <f>IFERROR(H19*'Adjusted Schedule 1'!$E$104,0)</f>
        <v>0</v>
      </c>
      <c r="K19" s="68">
        <f t="shared" si="1"/>
        <v>0</v>
      </c>
      <c r="L19" s="304">
        <f>SUM(H19,J19)</f>
        <v>0</v>
      </c>
      <c r="N19" s="114">
        <f>'As-Filed Schedule 2L'!J19</f>
        <v>0</v>
      </c>
      <c r="O19" s="307">
        <f>SUMIFS(Adjustments!$G:$G,Adjustments!$H:$H,"2L",Adjustments!$I:$I,'Schedule 2L Adjustments'!$N$12,Adjustments!$J:$J,'Schedule 2L Adjustments'!$A19)</f>
        <v>0</v>
      </c>
      <c r="P19" s="303">
        <f t="shared" si="3"/>
        <v>0</v>
      </c>
      <c r="Q19" s="68">
        <f>IFERROR(N19*'As-Filed Schedule 1'!$E$103,0)</f>
        <v>0</v>
      </c>
      <c r="R19" s="68">
        <f>IFERROR(P19*'Adjusted Schedule 1'!$E$104,0)</f>
        <v>0</v>
      </c>
      <c r="S19" s="68">
        <f t="shared" si="4"/>
        <v>0</v>
      </c>
      <c r="T19" s="304">
        <f t="shared" si="5"/>
        <v>0</v>
      </c>
      <c r="V19" s="117">
        <f>'As-Filed Schedule 2L'!N19</f>
        <v>0</v>
      </c>
      <c r="W19" s="307">
        <f>SUMIFS(Adjustments!$G:$G,Adjustments!$H:$H,"2L",Adjustments!$I:$I,'Schedule 2L Adjustments'!$V$12,Adjustments!$J:$J,'Schedule 2L Adjustments'!$A19)</f>
        <v>0</v>
      </c>
      <c r="X19" s="303">
        <f t="shared" si="6"/>
        <v>0</v>
      </c>
      <c r="Y19" s="117">
        <f>'As-Filed Schedule 2L'!O19</f>
        <v>0</v>
      </c>
      <c r="Z19" s="307">
        <f>SUMIFS(Adjustments!$G:$G,Adjustments!$H:$H,"2L",Adjustments!$I:$I,'Schedule 2L Adjustments'!$Y$12,Adjustments!$J:$J,'Schedule 2L Adjustments'!$A19)</f>
        <v>0</v>
      </c>
      <c r="AA19" s="303">
        <f t="shared" si="7"/>
        <v>0</v>
      </c>
    </row>
    <row r="20" spans="1:27" x14ac:dyDescent="0.35">
      <c r="A20" s="24">
        <v>6</v>
      </c>
      <c r="B20" s="565" t="str">
        <f>IF('As-Filed Schedule 2L'!B20:D20=0,"",'As-Filed Schedule 2L'!B20:D20)</f>
        <v/>
      </c>
      <c r="C20" s="565"/>
      <c r="D20" s="565"/>
      <c r="F20" s="114">
        <f>'As-Filed Schedule 2L'!F20</f>
        <v>0</v>
      </c>
      <c r="G20" s="307">
        <f>SUMIFS(Adjustments!$G:$G,Adjustments!$H:$H,"2L",Adjustments!$I:$I,'Schedule 2L Adjustments'!$F$12,Adjustments!$J:$J,'Schedule 2L Adjustments'!$A20)</f>
        <v>0</v>
      </c>
      <c r="H20" s="303">
        <f t="shared" si="0"/>
        <v>0</v>
      </c>
      <c r="I20" s="68">
        <f>IFERROR(F20*'As-Filed Schedule 1'!$E$103,0)</f>
        <v>0</v>
      </c>
      <c r="J20" s="304">
        <f>IFERROR(H20*'Adjusted Schedule 1'!$E$104,0)</f>
        <v>0</v>
      </c>
      <c r="K20" s="68">
        <f>SUM(F20,I20)</f>
        <v>0</v>
      </c>
      <c r="L20" s="304">
        <f t="shared" si="2"/>
        <v>0</v>
      </c>
      <c r="N20" s="114">
        <f>'As-Filed Schedule 2L'!J20</f>
        <v>0</v>
      </c>
      <c r="O20" s="307">
        <f>SUMIFS(Adjustments!$G:$G,Adjustments!$H:$H,"2L",Adjustments!$I:$I,'Schedule 2L Adjustments'!$N$12,Adjustments!$J:$J,'Schedule 2L Adjustments'!$A20)</f>
        <v>0</v>
      </c>
      <c r="P20" s="303">
        <f t="shared" si="3"/>
        <v>0</v>
      </c>
      <c r="Q20" s="68">
        <f>IFERROR(N20*'As-Filed Schedule 1'!$E$103,0)</f>
        <v>0</v>
      </c>
      <c r="R20" s="68">
        <f>IFERROR(P20*'Adjusted Schedule 1'!$E$104,0)</f>
        <v>0</v>
      </c>
      <c r="S20" s="68">
        <f t="shared" si="4"/>
        <v>0</v>
      </c>
      <c r="T20" s="304">
        <f t="shared" si="5"/>
        <v>0</v>
      </c>
      <c r="V20" s="117">
        <f>'As-Filed Schedule 2L'!N20</f>
        <v>0</v>
      </c>
      <c r="W20" s="307">
        <f>SUMIFS(Adjustments!$G:$G,Adjustments!$H:$H,"2L",Adjustments!$I:$I,'Schedule 2L Adjustments'!$V$12,Adjustments!$J:$J,'Schedule 2L Adjustments'!$A20)</f>
        <v>0</v>
      </c>
      <c r="X20" s="303">
        <f t="shared" si="6"/>
        <v>0</v>
      </c>
      <c r="Y20" s="117">
        <f>'As-Filed Schedule 2L'!O20</f>
        <v>0</v>
      </c>
      <c r="Z20" s="307">
        <f>SUMIFS(Adjustments!$G:$G,Adjustments!$H:$H,"2L",Adjustments!$I:$I,'Schedule 2L Adjustments'!$Y$12,Adjustments!$J:$J,'Schedule 2L Adjustments'!$A20)</f>
        <v>0</v>
      </c>
      <c r="AA20" s="303">
        <f t="shared" si="7"/>
        <v>0</v>
      </c>
    </row>
    <row r="21" spans="1:27" x14ac:dyDescent="0.35">
      <c r="A21" s="24">
        <v>7</v>
      </c>
      <c r="B21" s="565" t="str">
        <f>IF('As-Filed Schedule 2L'!B21:D21=0,"",'As-Filed Schedule 2L'!B21:D21)</f>
        <v/>
      </c>
      <c r="C21" s="565"/>
      <c r="D21" s="565"/>
      <c r="F21" s="114">
        <f>'As-Filed Schedule 2L'!F21</f>
        <v>0</v>
      </c>
      <c r="G21" s="307">
        <f>SUMIFS(Adjustments!$G:$G,Adjustments!$H:$H,"2L",Adjustments!$I:$I,'Schedule 2L Adjustments'!$F$12,Adjustments!$J:$J,'Schedule 2L Adjustments'!$A21)</f>
        <v>0</v>
      </c>
      <c r="H21" s="303">
        <f t="shared" si="0"/>
        <v>0</v>
      </c>
      <c r="I21" s="68">
        <f>IFERROR(F21*'As-Filed Schedule 1'!$E$103,0)</f>
        <v>0</v>
      </c>
      <c r="J21" s="304">
        <f>IFERROR(H21*'Adjusted Schedule 1'!$E$104,0)</f>
        <v>0</v>
      </c>
      <c r="K21" s="68">
        <f t="shared" si="1"/>
        <v>0</v>
      </c>
      <c r="L21" s="304">
        <f t="shared" si="2"/>
        <v>0</v>
      </c>
      <c r="N21" s="114">
        <f>'As-Filed Schedule 2L'!J21</f>
        <v>0</v>
      </c>
      <c r="O21" s="307">
        <f>SUMIFS(Adjustments!$G:$G,Adjustments!$H:$H,"2L",Adjustments!$I:$I,'Schedule 2L Adjustments'!$N$12,Adjustments!$J:$J,'Schedule 2L Adjustments'!$A21)</f>
        <v>0</v>
      </c>
      <c r="P21" s="303">
        <f t="shared" si="3"/>
        <v>0</v>
      </c>
      <c r="Q21" s="68">
        <f>IFERROR(N21*'As-Filed Schedule 1'!$E$103,0)</f>
        <v>0</v>
      </c>
      <c r="R21" s="68">
        <f>IFERROR(P21*'Adjusted Schedule 1'!$E$104,0)</f>
        <v>0</v>
      </c>
      <c r="S21" s="68">
        <f>SUM(N21,Q21)</f>
        <v>0</v>
      </c>
      <c r="T21" s="304">
        <f>SUM(P21,R21)</f>
        <v>0</v>
      </c>
      <c r="V21" s="117">
        <f>'As-Filed Schedule 2L'!N21</f>
        <v>0</v>
      </c>
      <c r="W21" s="307">
        <f>SUMIFS(Adjustments!$G:$G,Adjustments!$H:$H,"2L",Adjustments!$I:$I,'Schedule 2L Adjustments'!$V$12,Adjustments!$J:$J,'Schedule 2L Adjustments'!$A21)</f>
        <v>0</v>
      </c>
      <c r="X21" s="303">
        <f t="shared" si="6"/>
        <v>0</v>
      </c>
      <c r="Y21" s="117">
        <f>'As-Filed Schedule 2L'!O21</f>
        <v>0</v>
      </c>
      <c r="Z21" s="307">
        <f>SUMIFS(Adjustments!$G:$G,Adjustments!$H:$H,"2L",Adjustments!$I:$I,'Schedule 2L Adjustments'!$Y$12,Adjustments!$J:$J,'Schedule 2L Adjustments'!$A21)</f>
        <v>0</v>
      </c>
      <c r="AA21" s="303">
        <f t="shared" si="7"/>
        <v>0</v>
      </c>
    </row>
    <row r="22" spans="1:27" x14ac:dyDescent="0.35">
      <c r="A22" s="24">
        <v>8</v>
      </c>
      <c r="B22" s="565" t="str">
        <f>IF('As-Filed Schedule 2L'!B22:D22=0,"",'As-Filed Schedule 2L'!B22:D22)</f>
        <v/>
      </c>
      <c r="C22" s="565"/>
      <c r="D22" s="565"/>
      <c r="F22" s="114">
        <f>'As-Filed Schedule 2L'!F22</f>
        <v>0</v>
      </c>
      <c r="G22" s="307">
        <f>SUMIFS(Adjustments!$G:$G,Adjustments!$H:$H,"2L",Adjustments!$I:$I,'Schedule 2L Adjustments'!$F$12,Adjustments!$J:$J,'Schedule 2L Adjustments'!$A22)</f>
        <v>0</v>
      </c>
      <c r="H22" s="303">
        <f t="shared" si="0"/>
        <v>0</v>
      </c>
      <c r="I22" s="68">
        <f>IFERROR(F22*'As-Filed Schedule 1'!$E$103,0)</f>
        <v>0</v>
      </c>
      <c r="J22" s="304">
        <f>IFERROR(H22*'Adjusted Schedule 1'!$E$104,0)</f>
        <v>0</v>
      </c>
      <c r="K22" s="68">
        <f t="shared" si="1"/>
        <v>0</v>
      </c>
      <c r="L22" s="304">
        <f t="shared" si="2"/>
        <v>0</v>
      </c>
      <c r="N22" s="114">
        <f>'As-Filed Schedule 2L'!J22</f>
        <v>0</v>
      </c>
      <c r="O22" s="307">
        <f>SUMIFS(Adjustments!$G:$G,Adjustments!$H:$H,"2L",Adjustments!$I:$I,'Schedule 2L Adjustments'!$N$12,Adjustments!$J:$J,'Schedule 2L Adjustments'!$A22)</f>
        <v>0</v>
      </c>
      <c r="P22" s="303">
        <f t="shared" si="3"/>
        <v>0</v>
      </c>
      <c r="Q22" s="68">
        <f>IFERROR(N22*'As-Filed Schedule 1'!$E$103,0)</f>
        <v>0</v>
      </c>
      <c r="R22" s="68">
        <f>IFERROR(P22*'Adjusted Schedule 1'!$E$104,0)</f>
        <v>0</v>
      </c>
      <c r="S22" s="68">
        <f t="shared" si="4"/>
        <v>0</v>
      </c>
      <c r="T22" s="304">
        <f t="shared" si="5"/>
        <v>0</v>
      </c>
      <c r="V22" s="117">
        <f>'As-Filed Schedule 2L'!N22</f>
        <v>0</v>
      </c>
      <c r="W22" s="307">
        <f>SUMIFS(Adjustments!$G:$G,Adjustments!$H:$H,"2L",Adjustments!$I:$I,'Schedule 2L Adjustments'!$V$12,Adjustments!$J:$J,'Schedule 2L Adjustments'!$A22)</f>
        <v>0</v>
      </c>
      <c r="X22" s="303">
        <f t="shared" si="6"/>
        <v>0</v>
      </c>
      <c r="Y22" s="117">
        <f>'As-Filed Schedule 2L'!O22</f>
        <v>0</v>
      </c>
      <c r="Z22" s="307">
        <f>SUMIFS(Adjustments!$G:$G,Adjustments!$H:$H,"2L",Adjustments!$I:$I,'Schedule 2L Adjustments'!$Y$12,Adjustments!$J:$J,'Schedule 2L Adjustments'!$A22)</f>
        <v>0</v>
      </c>
      <c r="AA22" s="303">
        <f t="shared" si="7"/>
        <v>0</v>
      </c>
    </row>
    <row r="23" spans="1:27" x14ac:dyDescent="0.35">
      <c r="A23" s="24">
        <v>9</v>
      </c>
      <c r="B23" s="565" t="str">
        <f>IF('As-Filed Schedule 2L'!B23:D23=0,"",'As-Filed Schedule 2L'!B23:D23)</f>
        <v/>
      </c>
      <c r="C23" s="565"/>
      <c r="D23" s="565"/>
      <c r="F23" s="114">
        <f>'As-Filed Schedule 2L'!F23</f>
        <v>0</v>
      </c>
      <c r="G23" s="307">
        <f>SUMIFS(Adjustments!$G:$G,Adjustments!$H:$H,"2L",Adjustments!$I:$I,'Schedule 2L Adjustments'!$F$12,Adjustments!$J:$J,'Schedule 2L Adjustments'!$A23)</f>
        <v>0</v>
      </c>
      <c r="H23" s="303">
        <f t="shared" si="0"/>
        <v>0</v>
      </c>
      <c r="I23" s="68">
        <f>IFERROR(F23*'As-Filed Schedule 1'!$E$103,0)</f>
        <v>0</v>
      </c>
      <c r="J23" s="304">
        <f>IFERROR(H23*'Adjusted Schedule 1'!$E$104,0)</f>
        <v>0</v>
      </c>
      <c r="K23" s="68">
        <f t="shared" si="1"/>
        <v>0</v>
      </c>
      <c r="L23" s="304">
        <f t="shared" si="2"/>
        <v>0</v>
      </c>
      <c r="N23" s="114">
        <f>'As-Filed Schedule 2L'!J23</f>
        <v>0</v>
      </c>
      <c r="O23" s="307">
        <f>SUMIFS(Adjustments!$G:$G,Adjustments!$H:$H,"2L",Adjustments!$I:$I,'Schedule 2L Adjustments'!$N$12,Adjustments!$J:$J,'Schedule 2L Adjustments'!$A23)</f>
        <v>0</v>
      </c>
      <c r="P23" s="303">
        <f t="shared" si="3"/>
        <v>0</v>
      </c>
      <c r="Q23" s="68">
        <f>IFERROR(N23*'As-Filed Schedule 1'!$E$103,0)</f>
        <v>0</v>
      </c>
      <c r="R23" s="68">
        <f>IFERROR(P23*'Adjusted Schedule 1'!$E$104,0)</f>
        <v>0</v>
      </c>
      <c r="S23" s="68">
        <f t="shared" si="4"/>
        <v>0</v>
      </c>
      <c r="T23" s="304">
        <f t="shared" si="5"/>
        <v>0</v>
      </c>
      <c r="V23" s="117">
        <f>'As-Filed Schedule 2L'!N23</f>
        <v>0</v>
      </c>
      <c r="W23" s="307">
        <f>SUMIFS(Adjustments!$G:$G,Adjustments!$H:$H,"2L",Adjustments!$I:$I,'Schedule 2L Adjustments'!$V$12,Adjustments!$J:$J,'Schedule 2L Adjustments'!$A23)</f>
        <v>0</v>
      </c>
      <c r="X23" s="303">
        <f t="shared" si="6"/>
        <v>0</v>
      </c>
      <c r="Y23" s="117">
        <f>'As-Filed Schedule 2L'!O23</f>
        <v>0</v>
      </c>
      <c r="Z23" s="307">
        <f>SUMIFS(Adjustments!$G:$G,Adjustments!$H:$H,"2L",Adjustments!$I:$I,'Schedule 2L Adjustments'!$Y$12,Adjustments!$J:$J,'Schedule 2L Adjustments'!$A23)</f>
        <v>0</v>
      </c>
      <c r="AA23" s="303">
        <f t="shared" si="7"/>
        <v>0</v>
      </c>
    </row>
    <row r="24" spans="1:27" x14ac:dyDescent="0.35">
      <c r="A24" s="24">
        <v>10</v>
      </c>
      <c r="B24" s="565" t="str">
        <f>IF('As-Filed Schedule 2L'!B24:D24=0,"",'As-Filed Schedule 2L'!B24:D24)</f>
        <v/>
      </c>
      <c r="C24" s="565"/>
      <c r="D24" s="565"/>
      <c r="F24" s="114">
        <f>'As-Filed Schedule 2L'!F24</f>
        <v>0</v>
      </c>
      <c r="G24" s="307">
        <f>SUMIFS(Adjustments!$G:$G,Adjustments!$H:$H,"2L",Adjustments!$I:$I,'Schedule 2L Adjustments'!$F$12,Adjustments!$J:$J,'Schedule 2L Adjustments'!$A24)</f>
        <v>0</v>
      </c>
      <c r="H24" s="303">
        <f t="shared" si="0"/>
        <v>0</v>
      </c>
      <c r="I24" s="68">
        <f>IFERROR(F24*'As-Filed Schedule 1'!$E$103,0)</f>
        <v>0</v>
      </c>
      <c r="J24" s="304">
        <f>IFERROR(H24*'Adjusted Schedule 1'!$E$104,0)</f>
        <v>0</v>
      </c>
      <c r="K24" s="68">
        <f t="shared" si="1"/>
        <v>0</v>
      </c>
      <c r="L24" s="304">
        <f t="shared" si="2"/>
        <v>0</v>
      </c>
      <c r="N24" s="114">
        <f>'As-Filed Schedule 2L'!J24</f>
        <v>0</v>
      </c>
      <c r="O24" s="307">
        <f>SUMIFS(Adjustments!$G:$G,Adjustments!$H:$H,"2L",Adjustments!$I:$I,'Schedule 2L Adjustments'!$N$12,Adjustments!$J:$J,'Schedule 2L Adjustments'!$A24)</f>
        <v>0</v>
      </c>
      <c r="P24" s="303">
        <f t="shared" si="3"/>
        <v>0</v>
      </c>
      <c r="Q24" s="68">
        <f>IFERROR(N24*'As-Filed Schedule 1'!$E$103,0)</f>
        <v>0</v>
      </c>
      <c r="R24" s="68">
        <f>IFERROR(P24*'Adjusted Schedule 1'!$E$104,0)</f>
        <v>0</v>
      </c>
      <c r="S24" s="68">
        <f t="shared" si="4"/>
        <v>0</v>
      </c>
      <c r="T24" s="304">
        <f t="shared" si="5"/>
        <v>0</v>
      </c>
      <c r="V24" s="117">
        <f>'As-Filed Schedule 2L'!N24</f>
        <v>0</v>
      </c>
      <c r="W24" s="307">
        <f>SUMIFS(Adjustments!$G:$G,Adjustments!$H:$H,"2L",Adjustments!$I:$I,'Schedule 2L Adjustments'!$V$12,Adjustments!$J:$J,'Schedule 2L Adjustments'!$A24)</f>
        <v>0</v>
      </c>
      <c r="X24" s="303">
        <f t="shared" si="6"/>
        <v>0</v>
      </c>
      <c r="Y24" s="117">
        <f>'As-Filed Schedule 2L'!O24</f>
        <v>0</v>
      </c>
      <c r="Z24" s="307">
        <f>SUMIFS(Adjustments!$G:$G,Adjustments!$H:$H,"2L",Adjustments!$I:$I,'Schedule 2L Adjustments'!$Y$12,Adjustments!$J:$J,'Schedule 2L Adjustments'!$A24)</f>
        <v>0</v>
      </c>
      <c r="AA24" s="303">
        <f t="shared" si="7"/>
        <v>0</v>
      </c>
    </row>
    <row r="25" spans="1:27" x14ac:dyDescent="0.35">
      <c r="A25" s="24">
        <v>11</v>
      </c>
      <c r="B25" s="565" t="str">
        <f>IF('As-Filed Schedule 2L'!B25:D25=0,"",'As-Filed Schedule 2L'!B25:D25)</f>
        <v/>
      </c>
      <c r="C25" s="565"/>
      <c r="D25" s="565"/>
      <c r="F25" s="114">
        <f>'As-Filed Schedule 2L'!F25</f>
        <v>0</v>
      </c>
      <c r="G25" s="307">
        <f>SUMIFS(Adjustments!$G:$G,Adjustments!$H:$H,"2L",Adjustments!$I:$I,'Schedule 2L Adjustments'!$F$12,Adjustments!$J:$J,'Schedule 2L Adjustments'!$A25)</f>
        <v>0</v>
      </c>
      <c r="H25" s="303">
        <f t="shared" si="0"/>
        <v>0</v>
      </c>
      <c r="I25" s="68">
        <f>IFERROR(F25*'As-Filed Schedule 1'!$E$103,0)</f>
        <v>0</v>
      </c>
      <c r="J25" s="304">
        <f>IFERROR(H25*'Adjusted Schedule 1'!$E$104,0)</f>
        <v>0</v>
      </c>
      <c r="K25" s="68">
        <f t="shared" si="1"/>
        <v>0</v>
      </c>
      <c r="L25" s="304">
        <f t="shared" si="2"/>
        <v>0</v>
      </c>
      <c r="N25" s="114">
        <f>'As-Filed Schedule 2L'!J25</f>
        <v>0</v>
      </c>
      <c r="O25" s="307">
        <f>SUMIFS(Adjustments!$G:$G,Adjustments!$H:$H,"2L",Adjustments!$I:$I,'Schedule 2L Adjustments'!$N$12,Adjustments!$J:$J,'Schedule 2L Adjustments'!$A25)</f>
        <v>0</v>
      </c>
      <c r="P25" s="303">
        <f t="shared" si="3"/>
        <v>0</v>
      </c>
      <c r="Q25" s="68">
        <f>IFERROR(N25*'As-Filed Schedule 1'!$E$103,0)</f>
        <v>0</v>
      </c>
      <c r="R25" s="68">
        <f>IFERROR(P25*'Adjusted Schedule 1'!$E$104,0)</f>
        <v>0</v>
      </c>
      <c r="S25" s="68">
        <f t="shared" si="4"/>
        <v>0</v>
      </c>
      <c r="T25" s="304">
        <f t="shared" si="5"/>
        <v>0</v>
      </c>
      <c r="V25" s="117">
        <f>'As-Filed Schedule 2L'!N25</f>
        <v>0</v>
      </c>
      <c r="W25" s="307">
        <f>SUMIFS(Adjustments!$G:$G,Adjustments!$H:$H,"2L",Adjustments!$I:$I,'Schedule 2L Adjustments'!$V$12,Adjustments!$J:$J,'Schedule 2L Adjustments'!$A25)</f>
        <v>0</v>
      </c>
      <c r="X25" s="303">
        <f t="shared" si="6"/>
        <v>0</v>
      </c>
      <c r="Y25" s="117">
        <f>'As-Filed Schedule 2L'!O25</f>
        <v>0</v>
      </c>
      <c r="Z25" s="307">
        <f>SUMIFS(Adjustments!$G:$G,Adjustments!$H:$H,"2L",Adjustments!$I:$I,'Schedule 2L Adjustments'!$Y$12,Adjustments!$J:$J,'Schedule 2L Adjustments'!$A25)</f>
        <v>0</v>
      </c>
      <c r="AA25" s="303">
        <f t="shared" si="7"/>
        <v>0</v>
      </c>
    </row>
    <row r="26" spans="1:27" x14ac:dyDescent="0.35">
      <c r="A26" s="24">
        <v>12</v>
      </c>
      <c r="B26" s="565" t="str">
        <f>IF('As-Filed Schedule 2L'!B26:D26=0,"",'As-Filed Schedule 2L'!B26:D26)</f>
        <v/>
      </c>
      <c r="C26" s="565"/>
      <c r="D26" s="565"/>
      <c r="F26" s="114">
        <f>'As-Filed Schedule 2L'!F26</f>
        <v>0</v>
      </c>
      <c r="G26" s="307">
        <f>SUMIFS(Adjustments!$G:$G,Adjustments!$H:$H,"2L",Adjustments!$I:$I,'Schedule 2L Adjustments'!$F$12,Adjustments!$J:$J,'Schedule 2L Adjustments'!$A26)</f>
        <v>0</v>
      </c>
      <c r="H26" s="303">
        <f t="shared" si="0"/>
        <v>0</v>
      </c>
      <c r="I26" s="68">
        <f>IFERROR(F26*'As-Filed Schedule 1'!$E$103,0)</f>
        <v>0</v>
      </c>
      <c r="J26" s="304">
        <f>IFERROR(H26*'Adjusted Schedule 1'!$E$104,0)</f>
        <v>0</v>
      </c>
      <c r="K26" s="68">
        <f t="shared" si="1"/>
        <v>0</v>
      </c>
      <c r="L26" s="304">
        <f t="shared" si="2"/>
        <v>0</v>
      </c>
      <c r="N26" s="114">
        <f>'As-Filed Schedule 2L'!J26</f>
        <v>0</v>
      </c>
      <c r="O26" s="307">
        <f>SUMIFS(Adjustments!$G:$G,Adjustments!$H:$H,"2L",Adjustments!$I:$I,'Schedule 2L Adjustments'!$N$12,Adjustments!$J:$J,'Schedule 2L Adjustments'!$A26)</f>
        <v>0</v>
      </c>
      <c r="P26" s="303">
        <f t="shared" si="3"/>
        <v>0</v>
      </c>
      <c r="Q26" s="68">
        <f>IFERROR(N26*'As-Filed Schedule 1'!$E$103,0)</f>
        <v>0</v>
      </c>
      <c r="R26" s="68">
        <f>IFERROR(P26*'Adjusted Schedule 1'!$E$104,0)</f>
        <v>0</v>
      </c>
      <c r="S26" s="68">
        <f t="shared" si="4"/>
        <v>0</v>
      </c>
      <c r="T26" s="304">
        <f t="shared" si="5"/>
        <v>0</v>
      </c>
      <c r="V26" s="117">
        <f>'As-Filed Schedule 2L'!N26</f>
        <v>0</v>
      </c>
      <c r="W26" s="307">
        <f>SUMIFS(Adjustments!$G:$G,Adjustments!$H:$H,"2L",Adjustments!$I:$I,'Schedule 2L Adjustments'!$V$12,Adjustments!$J:$J,'Schedule 2L Adjustments'!$A26)</f>
        <v>0</v>
      </c>
      <c r="X26" s="303">
        <f t="shared" si="6"/>
        <v>0</v>
      </c>
      <c r="Y26" s="117">
        <f>'As-Filed Schedule 2L'!O26</f>
        <v>0</v>
      </c>
      <c r="Z26" s="307">
        <f>SUMIFS(Adjustments!$G:$G,Adjustments!$H:$H,"2L",Adjustments!$I:$I,'Schedule 2L Adjustments'!$Y$12,Adjustments!$J:$J,'Schedule 2L Adjustments'!$A26)</f>
        <v>0</v>
      </c>
      <c r="AA26" s="303">
        <f t="shared" si="7"/>
        <v>0</v>
      </c>
    </row>
    <row r="27" spans="1:27" x14ac:dyDescent="0.35">
      <c r="A27" s="24">
        <v>13</v>
      </c>
      <c r="B27" s="565" t="str">
        <f>IF('As-Filed Schedule 2L'!B27:D27=0,"",'As-Filed Schedule 2L'!B27:D27)</f>
        <v/>
      </c>
      <c r="C27" s="565"/>
      <c r="D27" s="565"/>
      <c r="F27" s="114">
        <f>'As-Filed Schedule 2L'!F27</f>
        <v>0</v>
      </c>
      <c r="G27" s="307">
        <f>SUMIFS(Adjustments!$G:$G,Adjustments!$H:$H,"2L",Adjustments!$I:$I,'Schedule 2L Adjustments'!$F$12,Adjustments!$J:$J,'Schedule 2L Adjustments'!$A27)</f>
        <v>0</v>
      </c>
      <c r="H27" s="303">
        <f t="shared" si="0"/>
        <v>0</v>
      </c>
      <c r="I27" s="68">
        <f>IFERROR(F27*'As-Filed Schedule 1'!$E$103,0)</f>
        <v>0</v>
      </c>
      <c r="J27" s="304">
        <f>IFERROR(H27*'Adjusted Schedule 1'!$E$104,0)</f>
        <v>0</v>
      </c>
      <c r="K27" s="68">
        <f t="shared" si="1"/>
        <v>0</v>
      </c>
      <c r="L27" s="304">
        <f t="shared" si="2"/>
        <v>0</v>
      </c>
      <c r="N27" s="114">
        <f>'As-Filed Schedule 2L'!J27</f>
        <v>0</v>
      </c>
      <c r="O27" s="307">
        <f>SUMIFS(Adjustments!$G:$G,Adjustments!$H:$H,"2L",Adjustments!$I:$I,'Schedule 2L Adjustments'!$N$12,Adjustments!$J:$J,'Schedule 2L Adjustments'!$A27)</f>
        <v>0</v>
      </c>
      <c r="P27" s="303">
        <f t="shared" si="3"/>
        <v>0</v>
      </c>
      <c r="Q27" s="68">
        <f>IFERROR(N27*'As-Filed Schedule 1'!$E$103,0)</f>
        <v>0</v>
      </c>
      <c r="R27" s="68">
        <f>IFERROR(P27*'Adjusted Schedule 1'!$E$104,0)</f>
        <v>0</v>
      </c>
      <c r="S27" s="68">
        <f t="shared" si="4"/>
        <v>0</v>
      </c>
      <c r="T27" s="304">
        <f t="shared" si="5"/>
        <v>0</v>
      </c>
      <c r="V27" s="117">
        <f>'As-Filed Schedule 2L'!N27</f>
        <v>0</v>
      </c>
      <c r="W27" s="307">
        <f>SUMIFS(Adjustments!$G:$G,Adjustments!$H:$H,"2L",Adjustments!$I:$I,'Schedule 2L Adjustments'!$V$12,Adjustments!$J:$J,'Schedule 2L Adjustments'!$A27)</f>
        <v>0</v>
      </c>
      <c r="X27" s="303">
        <f t="shared" si="6"/>
        <v>0</v>
      </c>
      <c r="Y27" s="117">
        <f>'As-Filed Schedule 2L'!O27</f>
        <v>0</v>
      </c>
      <c r="Z27" s="307">
        <f>SUMIFS(Adjustments!$G:$G,Adjustments!$H:$H,"2L",Adjustments!$I:$I,'Schedule 2L Adjustments'!$Y$12,Adjustments!$J:$J,'Schedule 2L Adjustments'!$A27)</f>
        <v>0</v>
      </c>
      <c r="AA27" s="303">
        <f t="shared" si="7"/>
        <v>0</v>
      </c>
    </row>
    <row r="28" spans="1:27" x14ac:dyDescent="0.35">
      <c r="A28" s="24">
        <v>14</v>
      </c>
      <c r="B28" s="565" t="str">
        <f>IF('As-Filed Schedule 2L'!B28:D28=0,"",'As-Filed Schedule 2L'!B28:D28)</f>
        <v/>
      </c>
      <c r="C28" s="565"/>
      <c r="D28" s="565"/>
      <c r="F28" s="114">
        <f>'As-Filed Schedule 2L'!F28</f>
        <v>0</v>
      </c>
      <c r="G28" s="307">
        <f>SUMIFS(Adjustments!$G:$G,Adjustments!$H:$H,"2L",Adjustments!$I:$I,'Schedule 2L Adjustments'!$F$12,Adjustments!$J:$J,'Schedule 2L Adjustments'!$A28)</f>
        <v>0</v>
      </c>
      <c r="H28" s="303">
        <f t="shared" si="0"/>
        <v>0</v>
      </c>
      <c r="I28" s="68">
        <f>IFERROR(F28*'As-Filed Schedule 1'!$E$103,0)</f>
        <v>0</v>
      </c>
      <c r="J28" s="304">
        <f>IFERROR(H28*'Adjusted Schedule 1'!$E$104,0)</f>
        <v>0</v>
      </c>
      <c r="K28" s="68">
        <f t="shared" si="1"/>
        <v>0</v>
      </c>
      <c r="L28" s="304">
        <f t="shared" si="2"/>
        <v>0</v>
      </c>
      <c r="N28" s="114">
        <f>'As-Filed Schedule 2L'!J28</f>
        <v>0</v>
      </c>
      <c r="O28" s="307">
        <f>SUMIFS(Adjustments!$G:$G,Adjustments!$H:$H,"2L",Adjustments!$I:$I,'Schedule 2L Adjustments'!$N$12,Adjustments!$J:$J,'Schedule 2L Adjustments'!$A28)</f>
        <v>0</v>
      </c>
      <c r="P28" s="303">
        <f t="shared" si="3"/>
        <v>0</v>
      </c>
      <c r="Q28" s="68">
        <f>IFERROR(N28*'As-Filed Schedule 1'!$E$103,0)</f>
        <v>0</v>
      </c>
      <c r="R28" s="68">
        <f>IFERROR(P28*'Adjusted Schedule 1'!$E$104,0)</f>
        <v>0</v>
      </c>
      <c r="S28" s="68">
        <f t="shared" si="4"/>
        <v>0</v>
      </c>
      <c r="T28" s="304">
        <f t="shared" si="5"/>
        <v>0</v>
      </c>
      <c r="V28" s="117">
        <f>'As-Filed Schedule 2L'!N28</f>
        <v>0</v>
      </c>
      <c r="W28" s="307">
        <f>SUMIFS(Adjustments!$G:$G,Adjustments!$H:$H,"2L",Adjustments!$I:$I,'Schedule 2L Adjustments'!$V$12,Adjustments!$J:$J,'Schedule 2L Adjustments'!$A28)</f>
        <v>0</v>
      </c>
      <c r="X28" s="303">
        <f t="shared" si="6"/>
        <v>0</v>
      </c>
      <c r="Y28" s="117">
        <f>'As-Filed Schedule 2L'!O28</f>
        <v>0</v>
      </c>
      <c r="Z28" s="307">
        <f>SUMIFS(Adjustments!$G:$G,Adjustments!$H:$H,"2L",Adjustments!$I:$I,'Schedule 2L Adjustments'!$Y$12,Adjustments!$J:$J,'Schedule 2L Adjustments'!$A28)</f>
        <v>0</v>
      </c>
      <c r="AA28" s="303">
        <f t="shared" si="7"/>
        <v>0</v>
      </c>
    </row>
    <row r="29" spans="1:27" x14ac:dyDescent="0.35">
      <c r="A29" s="24">
        <v>15</v>
      </c>
      <c r="B29" s="565" t="str">
        <f>IF('As-Filed Schedule 2L'!B29:D29=0,"",'As-Filed Schedule 2L'!B29:D29)</f>
        <v/>
      </c>
      <c r="C29" s="565"/>
      <c r="D29" s="565"/>
      <c r="F29" s="114">
        <f>'As-Filed Schedule 2L'!F29</f>
        <v>0</v>
      </c>
      <c r="G29" s="307">
        <f>SUMIFS(Adjustments!$G:$G,Adjustments!$H:$H,"2L",Adjustments!$I:$I,'Schedule 2L Adjustments'!$F$12,Adjustments!$J:$J,'Schedule 2L Adjustments'!$A29)</f>
        <v>0</v>
      </c>
      <c r="H29" s="303">
        <f t="shared" si="0"/>
        <v>0</v>
      </c>
      <c r="I29" s="68">
        <f>IFERROR(F29*'As-Filed Schedule 1'!$E$103,0)</f>
        <v>0</v>
      </c>
      <c r="J29" s="304">
        <f>IFERROR(H29*'Adjusted Schedule 1'!$E$104,0)</f>
        <v>0</v>
      </c>
      <c r="K29" s="68">
        <f t="shared" si="1"/>
        <v>0</v>
      </c>
      <c r="L29" s="304">
        <f t="shared" si="2"/>
        <v>0</v>
      </c>
      <c r="N29" s="114">
        <f>'As-Filed Schedule 2L'!J29</f>
        <v>0</v>
      </c>
      <c r="O29" s="307">
        <f>SUMIFS(Adjustments!$G:$G,Adjustments!$H:$H,"2L",Adjustments!$I:$I,'Schedule 2L Adjustments'!$N$12,Adjustments!$J:$J,'Schedule 2L Adjustments'!$A29)</f>
        <v>0</v>
      </c>
      <c r="P29" s="303">
        <f t="shared" si="3"/>
        <v>0</v>
      </c>
      <c r="Q29" s="68">
        <f>IFERROR(N29*'As-Filed Schedule 1'!$E$103,0)</f>
        <v>0</v>
      </c>
      <c r="R29" s="68">
        <f>IFERROR(P29*'Adjusted Schedule 1'!$E$104,0)</f>
        <v>0</v>
      </c>
      <c r="S29" s="68">
        <f t="shared" si="4"/>
        <v>0</v>
      </c>
      <c r="T29" s="304">
        <f t="shared" si="5"/>
        <v>0</v>
      </c>
      <c r="V29" s="117">
        <f>'As-Filed Schedule 2L'!N29</f>
        <v>0</v>
      </c>
      <c r="W29" s="307">
        <f>SUMIFS(Adjustments!$G:$G,Adjustments!$H:$H,"2L",Adjustments!$I:$I,'Schedule 2L Adjustments'!$V$12,Adjustments!$J:$J,'Schedule 2L Adjustments'!$A29)</f>
        <v>0</v>
      </c>
      <c r="X29" s="303">
        <f t="shared" si="6"/>
        <v>0</v>
      </c>
      <c r="Y29" s="117">
        <f>'As-Filed Schedule 2L'!O29</f>
        <v>0</v>
      </c>
      <c r="Z29" s="307">
        <f>SUMIFS(Adjustments!$G:$G,Adjustments!$H:$H,"2L",Adjustments!$I:$I,'Schedule 2L Adjustments'!$Y$12,Adjustments!$J:$J,'Schedule 2L Adjustments'!$A29)</f>
        <v>0</v>
      </c>
      <c r="AA29" s="303">
        <f t="shared" si="7"/>
        <v>0</v>
      </c>
    </row>
    <row r="30" spans="1:27" x14ac:dyDescent="0.35">
      <c r="A30" s="24">
        <v>16</v>
      </c>
      <c r="B30" s="565" t="str">
        <f>IF('As-Filed Schedule 2L'!B30:D30=0,"",'As-Filed Schedule 2L'!B30:D30)</f>
        <v/>
      </c>
      <c r="C30" s="565"/>
      <c r="D30" s="565"/>
      <c r="F30" s="114">
        <f>'As-Filed Schedule 2L'!F30</f>
        <v>0</v>
      </c>
      <c r="G30" s="307">
        <f>SUMIFS(Adjustments!$G:$G,Adjustments!$H:$H,"2L",Adjustments!$I:$I,'Schedule 2L Adjustments'!$F$12,Adjustments!$J:$J,'Schedule 2L Adjustments'!$A30)</f>
        <v>0</v>
      </c>
      <c r="H30" s="303">
        <f t="shared" si="0"/>
        <v>0</v>
      </c>
      <c r="I30" s="68">
        <f>IFERROR(F30*'As-Filed Schedule 1'!$E$103,0)</f>
        <v>0</v>
      </c>
      <c r="J30" s="304">
        <f>IFERROR(H30*'Adjusted Schedule 1'!$E$104,0)</f>
        <v>0</v>
      </c>
      <c r="K30" s="68">
        <f t="shared" si="1"/>
        <v>0</v>
      </c>
      <c r="L30" s="304">
        <f t="shared" si="2"/>
        <v>0</v>
      </c>
      <c r="N30" s="114">
        <f>'As-Filed Schedule 2L'!J30</f>
        <v>0</v>
      </c>
      <c r="O30" s="307">
        <f>SUMIFS(Adjustments!$G:$G,Adjustments!$H:$H,"2L",Adjustments!$I:$I,'Schedule 2L Adjustments'!$N$12,Adjustments!$J:$J,'Schedule 2L Adjustments'!$A30)</f>
        <v>0</v>
      </c>
      <c r="P30" s="303">
        <f t="shared" si="3"/>
        <v>0</v>
      </c>
      <c r="Q30" s="68">
        <f>IFERROR(N30*'As-Filed Schedule 1'!$E$103,0)</f>
        <v>0</v>
      </c>
      <c r="R30" s="68">
        <f>IFERROR(P30*'Adjusted Schedule 1'!$E$104,0)</f>
        <v>0</v>
      </c>
      <c r="S30" s="68">
        <f t="shared" si="4"/>
        <v>0</v>
      </c>
      <c r="T30" s="304">
        <f t="shared" si="5"/>
        <v>0</v>
      </c>
      <c r="V30" s="117">
        <f>'As-Filed Schedule 2L'!N30</f>
        <v>0</v>
      </c>
      <c r="W30" s="307">
        <f>SUMIFS(Adjustments!$G:$G,Adjustments!$H:$H,"2L",Adjustments!$I:$I,'Schedule 2L Adjustments'!$V$12,Adjustments!$J:$J,'Schedule 2L Adjustments'!$A30)</f>
        <v>0</v>
      </c>
      <c r="X30" s="303">
        <f t="shared" si="6"/>
        <v>0</v>
      </c>
      <c r="Y30" s="117">
        <f>'As-Filed Schedule 2L'!O30</f>
        <v>0</v>
      </c>
      <c r="Z30" s="307">
        <f>SUMIFS(Adjustments!$G:$G,Adjustments!$H:$H,"2L",Adjustments!$I:$I,'Schedule 2L Adjustments'!$Y$12,Adjustments!$J:$J,'Schedule 2L Adjustments'!$A30)</f>
        <v>0</v>
      </c>
      <c r="AA30" s="303">
        <f t="shared" si="7"/>
        <v>0</v>
      </c>
    </row>
    <row r="31" spans="1:27" x14ac:dyDescent="0.35">
      <c r="A31" s="24">
        <v>17</v>
      </c>
      <c r="B31" s="565" t="str">
        <f>IF('As-Filed Schedule 2L'!B31:D31=0,"",'As-Filed Schedule 2L'!B31:D31)</f>
        <v/>
      </c>
      <c r="C31" s="565"/>
      <c r="D31" s="565"/>
      <c r="F31" s="114">
        <f>'As-Filed Schedule 2L'!F31</f>
        <v>0</v>
      </c>
      <c r="G31" s="307">
        <f>SUMIFS(Adjustments!$G:$G,Adjustments!$H:$H,"2L",Adjustments!$I:$I,'Schedule 2L Adjustments'!$F$12,Adjustments!$J:$J,'Schedule 2L Adjustments'!$A31)</f>
        <v>0</v>
      </c>
      <c r="H31" s="303">
        <f t="shared" si="0"/>
        <v>0</v>
      </c>
      <c r="I31" s="68">
        <f>IFERROR(F31*'As-Filed Schedule 1'!$E$103,0)</f>
        <v>0</v>
      </c>
      <c r="J31" s="304">
        <f>IFERROR(H31*'Adjusted Schedule 1'!$E$104,0)</f>
        <v>0</v>
      </c>
      <c r="K31" s="68">
        <f t="shared" si="1"/>
        <v>0</v>
      </c>
      <c r="L31" s="304">
        <f t="shared" si="2"/>
        <v>0</v>
      </c>
      <c r="N31" s="114">
        <f>'As-Filed Schedule 2L'!J31</f>
        <v>0</v>
      </c>
      <c r="O31" s="307">
        <f>SUMIFS(Adjustments!$G:$G,Adjustments!$H:$H,"2L",Adjustments!$I:$I,'Schedule 2L Adjustments'!$N$12,Adjustments!$J:$J,'Schedule 2L Adjustments'!$A31)</f>
        <v>0</v>
      </c>
      <c r="P31" s="303">
        <f t="shared" si="3"/>
        <v>0</v>
      </c>
      <c r="Q31" s="68">
        <f>IFERROR(N31*'As-Filed Schedule 1'!$E$103,0)</f>
        <v>0</v>
      </c>
      <c r="R31" s="68">
        <f>IFERROR(P31*'Adjusted Schedule 1'!$E$104,0)</f>
        <v>0</v>
      </c>
      <c r="S31" s="68">
        <f t="shared" si="4"/>
        <v>0</v>
      </c>
      <c r="T31" s="304">
        <f t="shared" si="5"/>
        <v>0</v>
      </c>
      <c r="V31" s="117">
        <f>'As-Filed Schedule 2L'!N31</f>
        <v>0</v>
      </c>
      <c r="W31" s="307">
        <f>SUMIFS(Adjustments!$G:$G,Adjustments!$H:$H,"2L",Adjustments!$I:$I,'Schedule 2L Adjustments'!$V$12,Adjustments!$J:$J,'Schedule 2L Adjustments'!$A31)</f>
        <v>0</v>
      </c>
      <c r="X31" s="303">
        <f t="shared" si="6"/>
        <v>0</v>
      </c>
      <c r="Y31" s="117">
        <f>'As-Filed Schedule 2L'!O31</f>
        <v>0</v>
      </c>
      <c r="Z31" s="307">
        <f>SUMIFS(Adjustments!$G:$G,Adjustments!$H:$H,"2L",Adjustments!$I:$I,'Schedule 2L Adjustments'!$Y$12,Adjustments!$J:$J,'Schedule 2L Adjustments'!$A31)</f>
        <v>0</v>
      </c>
      <c r="AA31" s="303">
        <f t="shared" si="7"/>
        <v>0</v>
      </c>
    </row>
    <row r="32" spans="1:27" x14ac:dyDescent="0.35">
      <c r="A32" s="24">
        <v>18</v>
      </c>
      <c r="B32" s="565" t="str">
        <f>IF('As-Filed Schedule 2L'!B32:D32=0,"",'As-Filed Schedule 2L'!B32:D32)</f>
        <v/>
      </c>
      <c r="C32" s="565"/>
      <c r="D32" s="565"/>
      <c r="F32" s="114">
        <f>'As-Filed Schedule 2L'!F32</f>
        <v>0</v>
      </c>
      <c r="G32" s="307">
        <f>SUMIFS(Adjustments!$G:$G,Adjustments!$H:$H,"2L",Adjustments!$I:$I,'Schedule 2L Adjustments'!$F$12,Adjustments!$J:$J,'Schedule 2L Adjustments'!$A32)</f>
        <v>0</v>
      </c>
      <c r="H32" s="303">
        <f t="shared" si="0"/>
        <v>0</v>
      </c>
      <c r="I32" s="68">
        <f>IFERROR(F32*'As-Filed Schedule 1'!$E$103,0)</f>
        <v>0</v>
      </c>
      <c r="J32" s="304">
        <f>IFERROR(H32*'Adjusted Schedule 1'!$E$104,0)</f>
        <v>0</v>
      </c>
      <c r="K32" s="68">
        <f t="shared" si="1"/>
        <v>0</v>
      </c>
      <c r="L32" s="304">
        <f t="shared" si="2"/>
        <v>0</v>
      </c>
      <c r="N32" s="114">
        <f>'As-Filed Schedule 2L'!J32</f>
        <v>0</v>
      </c>
      <c r="O32" s="307">
        <f>SUMIFS(Adjustments!$G:$G,Adjustments!$H:$H,"2L",Adjustments!$I:$I,'Schedule 2L Adjustments'!$N$12,Adjustments!$J:$J,'Schedule 2L Adjustments'!$A32)</f>
        <v>0</v>
      </c>
      <c r="P32" s="303">
        <f t="shared" si="3"/>
        <v>0</v>
      </c>
      <c r="Q32" s="68">
        <f>IFERROR(N32*'As-Filed Schedule 1'!$E$103,0)</f>
        <v>0</v>
      </c>
      <c r="R32" s="68">
        <f>IFERROR(P32*'Adjusted Schedule 1'!$E$104,0)</f>
        <v>0</v>
      </c>
      <c r="S32" s="68">
        <f t="shared" si="4"/>
        <v>0</v>
      </c>
      <c r="T32" s="304">
        <f t="shared" si="5"/>
        <v>0</v>
      </c>
      <c r="V32" s="117">
        <f>'As-Filed Schedule 2L'!N32</f>
        <v>0</v>
      </c>
      <c r="W32" s="307">
        <f>SUMIFS(Adjustments!$G:$G,Adjustments!$H:$H,"2L",Adjustments!$I:$I,'Schedule 2L Adjustments'!$V$12,Adjustments!$J:$J,'Schedule 2L Adjustments'!$A32)</f>
        <v>0</v>
      </c>
      <c r="X32" s="303">
        <f t="shared" si="6"/>
        <v>0</v>
      </c>
      <c r="Y32" s="117">
        <f>'As-Filed Schedule 2L'!O32</f>
        <v>0</v>
      </c>
      <c r="Z32" s="307">
        <f>SUMIFS(Adjustments!$G:$G,Adjustments!$H:$H,"2L",Adjustments!$I:$I,'Schedule 2L Adjustments'!$Y$12,Adjustments!$J:$J,'Schedule 2L Adjustments'!$A32)</f>
        <v>0</v>
      </c>
      <c r="AA32" s="303">
        <f t="shared" si="7"/>
        <v>0</v>
      </c>
    </row>
    <row r="33" spans="1:27" x14ac:dyDescent="0.35">
      <c r="A33" s="24">
        <v>19</v>
      </c>
      <c r="B33" s="565" t="str">
        <f>IF('As-Filed Schedule 2L'!B33:D33=0,"",'As-Filed Schedule 2L'!B33:D33)</f>
        <v/>
      </c>
      <c r="C33" s="565"/>
      <c r="D33" s="565"/>
      <c r="F33" s="114">
        <f>'As-Filed Schedule 2L'!F33</f>
        <v>0</v>
      </c>
      <c r="G33" s="307">
        <f>SUMIFS(Adjustments!$G:$G,Adjustments!$H:$H,"2L",Adjustments!$I:$I,'Schedule 2L Adjustments'!$F$12,Adjustments!$J:$J,'Schedule 2L Adjustments'!$A33)</f>
        <v>0</v>
      </c>
      <c r="H33" s="303">
        <f t="shared" si="0"/>
        <v>0</v>
      </c>
      <c r="I33" s="68">
        <f>IFERROR(F33*'As-Filed Schedule 1'!$E$103,0)</f>
        <v>0</v>
      </c>
      <c r="J33" s="304">
        <f>IFERROR(H33*'Adjusted Schedule 1'!$E$104,0)</f>
        <v>0</v>
      </c>
      <c r="K33" s="68">
        <f t="shared" si="1"/>
        <v>0</v>
      </c>
      <c r="L33" s="304">
        <f t="shared" si="2"/>
        <v>0</v>
      </c>
      <c r="N33" s="114">
        <f>'As-Filed Schedule 2L'!J33</f>
        <v>0</v>
      </c>
      <c r="O33" s="307">
        <f>SUMIFS(Adjustments!$G:$G,Adjustments!$H:$H,"2L",Adjustments!$I:$I,'Schedule 2L Adjustments'!$N$12,Adjustments!$J:$J,'Schedule 2L Adjustments'!$A33)</f>
        <v>0</v>
      </c>
      <c r="P33" s="303">
        <f t="shared" si="3"/>
        <v>0</v>
      </c>
      <c r="Q33" s="68">
        <f>IFERROR(N33*'As-Filed Schedule 1'!$E$103,0)</f>
        <v>0</v>
      </c>
      <c r="R33" s="68">
        <f>IFERROR(P33*'Adjusted Schedule 1'!$E$104,0)</f>
        <v>0</v>
      </c>
      <c r="S33" s="68">
        <f t="shared" si="4"/>
        <v>0</v>
      </c>
      <c r="T33" s="304">
        <f t="shared" si="5"/>
        <v>0</v>
      </c>
      <c r="V33" s="117">
        <f>'As-Filed Schedule 2L'!N33</f>
        <v>0</v>
      </c>
      <c r="W33" s="307">
        <f>SUMIFS(Adjustments!$G:$G,Adjustments!$H:$H,"2L",Adjustments!$I:$I,'Schedule 2L Adjustments'!$V$12,Adjustments!$J:$J,'Schedule 2L Adjustments'!$A33)</f>
        <v>0</v>
      </c>
      <c r="X33" s="303">
        <f t="shared" si="6"/>
        <v>0</v>
      </c>
      <c r="Y33" s="117">
        <f>'As-Filed Schedule 2L'!O33</f>
        <v>0</v>
      </c>
      <c r="Z33" s="307">
        <f>SUMIFS(Adjustments!$G:$G,Adjustments!$H:$H,"2L",Adjustments!$I:$I,'Schedule 2L Adjustments'!$Y$12,Adjustments!$J:$J,'Schedule 2L Adjustments'!$A33)</f>
        <v>0</v>
      </c>
      <c r="AA33" s="303">
        <f t="shared" si="7"/>
        <v>0</v>
      </c>
    </row>
    <row r="34" spans="1:27" x14ac:dyDescent="0.35">
      <c r="A34" s="24">
        <v>20</v>
      </c>
      <c r="B34" s="565" t="str">
        <f>IF('As-Filed Schedule 2L'!B34:D34=0,"",'As-Filed Schedule 2L'!B34:D34)</f>
        <v/>
      </c>
      <c r="C34" s="565"/>
      <c r="D34" s="565"/>
      <c r="F34" s="114">
        <f>'As-Filed Schedule 2L'!F34</f>
        <v>0</v>
      </c>
      <c r="G34" s="307">
        <f>SUMIFS(Adjustments!$G:$G,Adjustments!$H:$H,"2L",Adjustments!$I:$I,'Schedule 2L Adjustments'!$F$12,Adjustments!$J:$J,'Schedule 2L Adjustments'!$A34)</f>
        <v>0</v>
      </c>
      <c r="H34" s="303">
        <f t="shared" si="0"/>
        <v>0</v>
      </c>
      <c r="I34" s="68">
        <f>IFERROR(F34*'As-Filed Schedule 1'!$E$103,0)</f>
        <v>0</v>
      </c>
      <c r="J34" s="304">
        <f>IFERROR(H34*'Adjusted Schedule 1'!$E$104,0)</f>
        <v>0</v>
      </c>
      <c r="K34" s="68">
        <f t="shared" si="1"/>
        <v>0</v>
      </c>
      <c r="L34" s="304">
        <f t="shared" si="2"/>
        <v>0</v>
      </c>
      <c r="N34" s="114">
        <f>'As-Filed Schedule 2L'!J34</f>
        <v>0</v>
      </c>
      <c r="O34" s="307">
        <f>SUMIFS(Adjustments!$G:$G,Adjustments!$H:$H,"2L",Adjustments!$I:$I,'Schedule 2L Adjustments'!$N$12,Adjustments!$J:$J,'Schedule 2L Adjustments'!$A34)</f>
        <v>0</v>
      </c>
      <c r="P34" s="303">
        <f t="shared" si="3"/>
        <v>0</v>
      </c>
      <c r="Q34" s="68">
        <f>IFERROR(N34*'As-Filed Schedule 1'!$E$103,0)</f>
        <v>0</v>
      </c>
      <c r="R34" s="68">
        <f>IFERROR(P34*'Adjusted Schedule 1'!$E$104,0)</f>
        <v>0</v>
      </c>
      <c r="S34" s="68">
        <f t="shared" si="4"/>
        <v>0</v>
      </c>
      <c r="T34" s="304">
        <f t="shared" si="5"/>
        <v>0</v>
      </c>
      <c r="V34" s="117">
        <f>'As-Filed Schedule 2L'!N34</f>
        <v>0</v>
      </c>
      <c r="W34" s="307">
        <f>SUMIFS(Adjustments!$G:$G,Adjustments!$H:$H,"2L",Adjustments!$I:$I,'Schedule 2L Adjustments'!$V$12,Adjustments!$J:$J,'Schedule 2L Adjustments'!$A34)</f>
        <v>0</v>
      </c>
      <c r="X34" s="303">
        <f t="shared" si="6"/>
        <v>0</v>
      </c>
      <c r="Y34" s="117">
        <f>'As-Filed Schedule 2L'!O34</f>
        <v>0</v>
      </c>
      <c r="Z34" s="307">
        <f>SUMIFS(Adjustments!$G:$G,Adjustments!$H:$H,"2L",Adjustments!$I:$I,'Schedule 2L Adjustments'!$Y$12,Adjustments!$J:$J,'Schedule 2L Adjustments'!$A34)</f>
        <v>0</v>
      </c>
      <c r="AA34" s="303">
        <f t="shared" si="7"/>
        <v>0</v>
      </c>
    </row>
    <row r="35" spans="1:27" x14ac:dyDescent="0.35">
      <c r="A35" s="24">
        <v>21</v>
      </c>
      <c r="B35" s="565" t="str">
        <f>IF('As-Filed Schedule 2L'!B35:D35=0,"",'As-Filed Schedule 2L'!B35:D35)</f>
        <v/>
      </c>
      <c r="C35" s="565"/>
      <c r="D35" s="565"/>
      <c r="F35" s="114">
        <f>'As-Filed Schedule 2L'!F35</f>
        <v>0</v>
      </c>
      <c r="G35" s="307">
        <f>SUMIFS(Adjustments!$G:$G,Adjustments!$H:$H,"2L",Adjustments!$I:$I,'Schedule 2L Adjustments'!$F$12,Adjustments!$J:$J,'Schedule 2L Adjustments'!$A35)</f>
        <v>0</v>
      </c>
      <c r="H35" s="303">
        <f t="shared" si="0"/>
        <v>0</v>
      </c>
      <c r="I35" s="68">
        <f>IFERROR(F35*'As-Filed Schedule 1'!$E$103,0)</f>
        <v>0</v>
      </c>
      <c r="J35" s="304">
        <f>IFERROR(H35*'Adjusted Schedule 1'!$E$104,0)</f>
        <v>0</v>
      </c>
      <c r="K35" s="68">
        <f t="shared" si="1"/>
        <v>0</v>
      </c>
      <c r="L35" s="304">
        <f t="shared" si="2"/>
        <v>0</v>
      </c>
      <c r="N35" s="114">
        <f>'As-Filed Schedule 2L'!J35</f>
        <v>0</v>
      </c>
      <c r="O35" s="307">
        <f>SUMIFS(Adjustments!$G:$G,Adjustments!$H:$H,"2L",Adjustments!$I:$I,'Schedule 2L Adjustments'!$N$12,Adjustments!$J:$J,'Schedule 2L Adjustments'!$A35)</f>
        <v>0</v>
      </c>
      <c r="P35" s="303">
        <f t="shared" si="3"/>
        <v>0</v>
      </c>
      <c r="Q35" s="68">
        <f>IFERROR(N35*'As-Filed Schedule 1'!$E$103,0)</f>
        <v>0</v>
      </c>
      <c r="R35" s="68">
        <f>IFERROR(P35*'Adjusted Schedule 1'!$E$104,0)</f>
        <v>0</v>
      </c>
      <c r="S35" s="68">
        <f t="shared" si="4"/>
        <v>0</v>
      </c>
      <c r="T35" s="304">
        <f t="shared" si="5"/>
        <v>0</v>
      </c>
      <c r="V35" s="117">
        <f>'As-Filed Schedule 2L'!N35</f>
        <v>0</v>
      </c>
      <c r="W35" s="307">
        <f>SUMIFS(Adjustments!$G:$G,Adjustments!$H:$H,"2L",Adjustments!$I:$I,'Schedule 2L Adjustments'!$V$12,Adjustments!$J:$J,'Schedule 2L Adjustments'!$A35)</f>
        <v>0</v>
      </c>
      <c r="X35" s="303">
        <f t="shared" si="6"/>
        <v>0</v>
      </c>
      <c r="Y35" s="117">
        <f>'As-Filed Schedule 2L'!O35</f>
        <v>0</v>
      </c>
      <c r="Z35" s="307">
        <f>SUMIFS(Adjustments!$G:$G,Adjustments!$H:$H,"2L",Adjustments!$I:$I,'Schedule 2L Adjustments'!$Y$12,Adjustments!$J:$J,'Schedule 2L Adjustments'!$A35)</f>
        <v>0</v>
      </c>
      <c r="AA35" s="303">
        <f t="shared" si="7"/>
        <v>0</v>
      </c>
    </row>
    <row r="36" spans="1:27" x14ac:dyDescent="0.35">
      <c r="A36" s="24">
        <v>22</v>
      </c>
      <c r="B36" s="565" t="str">
        <f>IF('As-Filed Schedule 2L'!B36:D36=0,"",'As-Filed Schedule 2L'!B36:D36)</f>
        <v/>
      </c>
      <c r="C36" s="565"/>
      <c r="D36" s="565"/>
      <c r="F36" s="114">
        <f>'As-Filed Schedule 2L'!F36</f>
        <v>0</v>
      </c>
      <c r="G36" s="307">
        <f>SUMIFS(Adjustments!$G:$G,Adjustments!$H:$H,"2L",Adjustments!$I:$I,'Schedule 2L Adjustments'!$F$12,Adjustments!$J:$J,'Schedule 2L Adjustments'!$A36)</f>
        <v>0</v>
      </c>
      <c r="H36" s="303">
        <f t="shared" si="0"/>
        <v>0</v>
      </c>
      <c r="I36" s="68">
        <f>IFERROR(F36*'As-Filed Schedule 1'!$E$103,0)</f>
        <v>0</v>
      </c>
      <c r="J36" s="304">
        <f>IFERROR(H36*'Adjusted Schedule 1'!$E$104,0)</f>
        <v>0</v>
      </c>
      <c r="K36" s="68">
        <f t="shared" si="1"/>
        <v>0</v>
      </c>
      <c r="L36" s="304">
        <f t="shared" si="2"/>
        <v>0</v>
      </c>
      <c r="N36" s="114">
        <f>'As-Filed Schedule 2L'!J36</f>
        <v>0</v>
      </c>
      <c r="O36" s="307">
        <f>SUMIFS(Adjustments!$G:$G,Adjustments!$H:$H,"2L",Adjustments!$I:$I,'Schedule 2L Adjustments'!$N$12,Adjustments!$J:$J,'Schedule 2L Adjustments'!$A36)</f>
        <v>0</v>
      </c>
      <c r="P36" s="303">
        <f t="shared" si="3"/>
        <v>0</v>
      </c>
      <c r="Q36" s="68">
        <f>IFERROR(N36*'As-Filed Schedule 1'!$E$103,0)</f>
        <v>0</v>
      </c>
      <c r="R36" s="68">
        <f>IFERROR(P36*'Adjusted Schedule 1'!$E$104,0)</f>
        <v>0</v>
      </c>
      <c r="S36" s="68">
        <f t="shared" si="4"/>
        <v>0</v>
      </c>
      <c r="T36" s="304">
        <f t="shared" si="5"/>
        <v>0</v>
      </c>
      <c r="V36" s="117">
        <f>'As-Filed Schedule 2L'!N36</f>
        <v>0</v>
      </c>
      <c r="W36" s="307">
        <f>SUMIFS(Adjustments!$G:$G,Adjustments!$H:$H,"2L",Adjustments!$I:$I,'Schedule 2L Adjustments'!$V$12,Adjustments!$J:$J,'Schedule 2L Adjustments'!$A36)</f>
        <v>0</v>
      </c>
      <c r="X36" s="303">
        <f t="shared" si="6"/>
        <v>0</v>
      </c>
      <c r="Y36" s="117">
        <f>'As-Filed Schedule 2L'!O36</f>
        <v>0</v>
      </c>
      <c r="Z36" s="307">
        <f>SUMIFS(Adjustments!$G:$G,Adjustments!$H:$H,"2L",Adjustments!$I:$I,'Schedule 2L Adjustments'!$Y$12,Adjustments!$J:$J,'Schedule 2L Adjustments'!$A36)</f>
        <v>0</v>
      </c>
      <c r="AA36" s="303">
        <f t="shared" si="7"/>
        <v>0</v>
      </c>
    </row>
    <row r="37" spans="1:27" x14ac:dyDescent="0.35">
      <c r="A37" s="24">
        <v>23</v>
      </c>
      <c r="B37" s="565" t="str">
        <f>IF('As-Filed Schedule 2L'!B37:D37=0,"",'As-Filed Schedule 2L'!B37:D37)</f>
        <v/>
      </c>
      <c r="C37" s="565"/>
      <c r="D37" s="565"/>
      <c r="F37" s="114">
        <f>'As-Filed Schedule 2L'!F37</f>
        <v>0</v>
      </c>
      <c r="G37" s="307">
        <f>SUMIFS(Adjustments!$G:$G,Adjustments!$H:$H,"2L",Adjustments!$I:$I,'Schedule 2L Adjustments'!$F$12,Adjustments!$J:$J,'Schedule 2L Adjustments'!$A37)</f>
        <v>0</v>
      </c>
      <c r="H37" s="303">
        <f t="shared" si="0"/>
        <v>0</v>
      </c>
      <c r="I37" s="68">
        <f>IFERROR(F37*'As-Filed Schedule 1'!$E$103,0)</f>
        <v>0</v>
      </c>
      <c r="J37" s="304">
        <f>IFERROR(H37*'Adjusted Schedule 1'!$E$104,0)</f>
        <v>0</v>
      </c>
      <c r="K37" s="68">
        <f t="shared" si="1"/>
        <v>0</v>
      </c>
      <c r="L37" s="304">
        <f t="shared" si="2"/>
        <v>0</v>
      </c>
      <c r="N37" s="114">
        <f>'As-Filed Schedule 2L'!J37</f>
        <v>0</v>
      </c>
      <c r="O37" s="307">
        <f>SUMIFS(Adjustments!$G:$G,Adjustments!$H:$H,"2L",Adjustments!$I:$I,'Schedule 2L Adjustments'!$N$12,Adjustments!$J:$J,'Schedule 2L Adjustments'!$A37)</f>
        <v>0</v>
      </c>
      <c r="P37" s="303">
        <f t="shared" si="3"/>
        <v>0</v>
      </c>
      <c r="Q37" s="68">
        <f>IFERROR(N37*'As-Filed Schedule 1'!$E$103,0)</f>
        <v>0</v>
      </c>
      <c r="R37" s="68">
        <f>IFERROR(P37*'Adjusted Schedule 1'!$E$104,0)</f>
        <v>0</v>
      </c>
      <c r="S37" s="68">
        <f t="shared" si="4"/>
        <v>0</v>
      </c>
      <c r="T37" s="304">
        <f t="shared" si="5"/>
        <v>0</v>
      </c>
      <c r="V37" s="117">
        <f>'As-Filed Schedule 2L'!N37</f>
        <v>0</v>
      </c>
      <c r="W37" s="307">
        <f>SUMIFS(Adjustments!$G:$G,Adjustments!$H:$H,"2L",Adjustments!$I:$I,'Schedule 2L Adjustments'!$V$12,Adjustments!$J:$J,'Schedule 2L Adjustments'!$A37)</f>
        <v>0</v>
      </c>
      <c r="X37" s="303">
        <f t="shared" si="6"/>
        <v>0</v>
      </c>
      <c r="Y37" s="117">
        <f>'As-Filed Schedule 2L'!O37</f>
        <v>0</v>
      </c>
      <c r="Z37" s="307">
        <f>SUMIFS(Adjustments!$G:$G,Adjustments!$H:$H,"2L",Adjustments!$I:$I,'Schedule 2L Adjustments'!$Y$12,Adjustments!$J:$J,'Schedule 2L Adjustments'!$A37)</f>
        <v>0</v>
      </c>
      <c r="AA37" s="303">
        <f t="shared" si="7"/>
        <v>0</v>
      </c>
    </row>
    <row r="38" spans="1:27" x14ac:dyDescent="0.35">
      <c r="A38" s="24">
        <v>24</v>
      </c>
      <c r="B38" s="565" t="str">
        <f>IF('As-Filed Schedule 2L'!B38:D38=0,"",'As-Filed Schedule 2L'!B38:D38)</f>
        <v/>
      </c>
      <c r="C38" s="565"/>
      <c r="D38" s="565"/>
      <c r="F38" s="114">
        <f>'As-Filed Schedule 2L'!F38</f>
        <v>0</v>
      </c>
      <c r="G38" s="307">
        <f>SUMIFS(Adjustments!$G:$G,Adjustments!$H:$H,"2L",Adjustments!$I:$I,'Schedule 2L Adjustments'!$F$12,Adjustments!$J:$J,'Schedule 2L Adjustments'!$A38)</f>
        <v>0</v>
      </c>
      <c r="H38" s="303">
        <f t="shared" si="0"/>
        <v>0</v>
      </c>
      <c r="I38" s="68">
        <f>IFERROR(F38*'As-Filed Schedule 1'!$E$103,0)</f>
        <v>0</v>
      </c>
      <c r="J38" s="304">
        <f>IFERROR(H38*'Adjusted Schedule 1'!$E$104,0)</f>
        <v>0</v>
      </c>
      <c r="K38" s="68">
        <f t="shared" si="1"/>
        <v>0</v>
      </c>
      <c r="L38" s="304">
        <f t="shared" si="2"/>
        <v>0</v>
      </c>
      <c r="N38" s="114">
        <f>'As-Filed Schedule 2L'!J38</f>
        <v>0</v>
      </c>
      <c r="O38" s="307">
        <f>SUMIFS(Adjustments!$G:$G,Adjustments!$H:$H,"2L",Adjustments!$I:$I,'Schedule 2L Adjustments'!$N$12,Adjustments!$J:$J,'Schedule 2L Adjustments'!$A38)</f>
        <v>0</v>
      </c>
      <c r="P38" s="303">
        <f t="shared" si="3"/>
        <v>0</v>
      </c>
      <c r="Q38" s="68">
        <f>IFERROR(N38*'As-Filed Schedule 1'!$E$103,0)</f>
        <v>0</v>
      </c>
      <c r="R38" s="68">
        <f>IFERROR(P38*'Adjusted Schedule 1'!$E$104,0)</f>
        <v>0</v>
      </c>
      <c r="S38" s="68">
        <f t="shared" si="4"/>
        <v>0</v>
      </c>
      <c r="T38" s="304">
        <f t="shared" si="5"/>
        <v>0</v>
      </c>
      <c r="V38" s="117">
        <f>'As-Filed Schedule 2L'!N38</f>
        <v>0</v>
      </c>
      <c r="W38" s="307">
        <f>SUMIFS(Adjustments!$G:$G,Adjustments!$H:$H,"2L",Adjustments!$I:$I,'Schedule 2L Adjustments'!$V$12,Adjustments!$J:$J,'Schedule 2L Adjustments'!$A38)</f>
        <v>0</v>
      </c>
      <c r="X38" s="303">
        <f t="shared" si="6"/>
        <v>0</v>
      </c>
      <c r="Y38" s="117">
        <f>'As-Filed Schedule 2L'!O38</f>
        <v>0</v>
      </c>
      <c r="Z38" s="307">
        <f>SUMIFS(Adjustments!$G:$G,Adjustments!$H:$H,"2L",Adjustments!$I:$I,'Schedule 2L Adjustments'!$Y$12,Adjustments!$J:$J,'Schedule 2L Adjustments'!$A38)</f>
        <v>0</v>
      </c>
      <c r="AA38" s="303">
        <f t="shared" si="7"/>
        <v>0</v>
      </c>
    </row>
    <row r="39" spans="1:27" x14ac:dyDescent="0.35">
      <c r="A39" s="24">
        <v>25</v>
      </c>
      <c r="B39" s="565" t="str">
        <f>IF('As-Filed Schedule 2L'!B39:D39=0,"",'As-Filed Schedule 2L'!B39:D39)</f>
        <v/>
      </c>
      <c r="C39" s="565"/>
      <c r="D39" s="565"/>
      <c r="F39" s="114">
        <f>'As-Filed Schedule 2L'!F39</f>
        <v>0</v>
      </c>
      <c r="G39" s="307">
        <f>SUMIFS(Adjustments!$G:$G,Adjustments!$H:$H,"2L",Adjustments!$I:$I,'Schedule 2L Adjustments'!$F$12,Adjustments!$J:$J,'Schedule 2L Adjustments'!$A39)</f>
        <v>0</v>
      </c>
      <c r="H39" s="303">
        <f t="shared" si="0"/>
        <v>0</v>
      </c>
      <c r="I39" s="68">
        <f>IFERROR(F39*'As-Filed Schedule 1'!$E$103,0)</f>
        <v>0</v>
      </c>
      <c r="J39" s="304">
        <f>IFERROR(H39*'Adjusted Schedule 1'!$E$104,0)</f>
        <v>0</v>
      </c>
      <c r="K39" s="68">
        <f t="shared" si="1"/>
        <v>0</v>
      </c>
      <c r="L39" s="304">
        <f t="shared" si="2"/>
        <v>0</v>
      </c>
      <c r="N39" s="114">
        <f>'As-Filed Schedule 2L'!J39</f>
        <v>0</v>
      </c>
      <c r="O39" s="307">
        <f>SUMIFS(Adjustments!$G:$G,Adjustments!$H:$H,"2L",Adjustments!$I:$I,'Schedule 2L Adjustments'!$N$12,Adjustments!$J:$J,'Schedule 2L Adjustments'!$A39)</f>
        <v>0</v>
      </c>
      <c r="P39" s="303">
        <f t="shared" si="3"/>
        <v>0</v>
      </c>
      <c r="Q39" s="68">
        <f>IFERROR(N39*'As-Filed Schedule 1'!$E$103,0)</f>
        <v>0</v>
      </c>
      <c r="R39" s="68">
        <f>IFERROR(P39*'Adjusted Schedule 1'!$E$104,0)</f>
        <v>0</v>
      </c>
      <c r="S39" s="68">
        <f t="shared" si="4"/>
        <v>0</v>
      </c>
      <c r="T39" s="304">
        <f t="shared" si="5"/>
        <v>0</v>
      </c>
      <c r="V39" s="117">
        <f>'As-Filed Schedule 2L'!N39</f>
        <v>0</v>
      </c>
      <c r="W39" s="307">
        <f>SUMIFS(Adjustments!$G:$G,Adjustments!$H:$H,"2L",Adjustments!$I:$I,'Schedule 2L Adjustments'!$V$12,Adjustments!$J:$J,'Schedule 2L Adjustments'!$A39)</f>
        <v>0</v>
      </c>
      <c r="X39" s="303">
        <f t="shared" si="6"/>
        <v>0</v>
      </c>
      <c r="Y39" s="117">
        <f>'As-Filed Schedule 2L'!O39</f>
        <v>0</v>
      </c>
      <c r="Z39" s="307">
        <f>SUMIFS(Adjustments!$G:$G,Adjustments!$H:$H,"2L",Adjustments!$I:$I,'Schedule 2L Adjustments'!$Y$12,Adjustments!$J:$J,'Schedule 2L Adjustments'!$A39)</f>
        <v>0</v>
      </c>
      <c r="AA39" s="303">
        <f t="shared" si="7"/>
        <v>0</v>
      </c>
    </row>
    <row r="40" spans="1:27" x14ac:dyDescent="0.35">
      <c r="A40" s="24">
        <v>26</v>
      </c>
      <c r="B40" s="565" t="str">
        <f>IF('As-Filed Schedule 2L'!B40:D40=0,"",'As-Filed Schedule 2L'!B40:D40)</f>
        <v/>
      </c>
      <c r="C40" s="565"/>
      <c r="D40" s="565"/>
      <c r="F40" s="114">
        <f>'As-Filed Schedule 2L'!F40</f>
        <v>0</v>
      </c>
      <c r="G40" s="307">
        <f>SUMIFS(Adjustments!$G:$G,Adjustments!$H:$H,"2L",Adjustments!$I:$I,'Schedule 2L Adjustments'!$F$12,Adjustments!$J:$J,'Schedule 2L Adjustments'!$A40)</f>
        <v>0</v>
      </c>
      <c r="H40" s="303">
        <f t="shared" si="0"/>
        <v>0</v>
      </c>
      <c r="I40" s="68">
        <f>IFERROR(F40*'As-Filed Schedule 1'!$E$103,0)</f>
        <v>0</v>
      </c>
      <c r="J40" s="304">
        <f>IFERROR(H40*'Adjusted Schedule 1'!$E$104,0)</f>
        <v>0</v>
      </c>
      <c r="K40" s="68">
        <f t="shared" si="1"/>
        <v>0</v>
      </c>
      <c r="L40" s="304">
        <f t="shared" si="2"/>
        <v>0</v>
      </c>
      <c r="N40" s="114">
        <f>'As-Filed Schedule 2L'!J40</f>
        <v>0</v>
      </c>
      <c r="O40" s="307">
        <f>SUMIFS(Adjustments!$G:$G,Adjustments!$H:$H,"2L",Adjustments!$I:$I,'Schedule 2L Adjustments'!$N$12,Adjustments!$J:$J,'Schedule 2L Adjustments'!$A40)</f>
        <v>0</v>
      </c>
      <c r="P40" s="303">
        <f t="shared" si="3"/>
        <v>0</v>
      </c>
      <c r="Q40" s="68">
        <f>IFERROR(N40*'As-Filed Schedule 1'!$E$103,0)</f>
        <v>0</v>
      </c>
      <c r="R40" s="68">
        <f>IFERROR(P40*'Adjusted Schedule 1'!$E$104,0)</f>
        <v>0</v>
      </c>
      <c r="S40" s="68">
        <f t="shared" si="4"/>
        <v>0</v>
      </c>
      <c r="T40" s="304">
        <f t="shared" si="5"/>
        <v>0</v>
      </c>
      <c r="V40" s="117">
        <f>'As-Filed Schedule 2L'!N40</f>
        <v>0</v>
      </c>
      <c r="W40" s="307">
        <f>SUMIFS(Adjustments!$G:$G,Adjustments!$H:$H,"2L",Adjustments!$I:$I,'Schedule 2L Adjustments'!$V$12,Adjustments!$J:$J,'Schedule 2L Adjustments'!$A40)</f>
        <v>0</v>
      </c>
      <c r="X40" s="303">
        <f t="shared" si="6"/>
        <v>0</v>
      </c>
      <c r="Y40" s="117">
        <f>'As-Filed Schedule 2L'!O40</f>
        <v>0</v>
      </c>
      <c r="Z40" s="307">
        <f>SUMIFS(Adjustments!$G:$G,Adjustments!$H:$H,"2L",Adjustments!$I:$I,'Schedule 2L Adjustments'!$Y$12,Adjustments!$J:$J,'Schedule 2L Adjustments'!$A40)</f>
        <v>0</v>
      </c>
      <c r="AA40" s="303">
        <f t="shared" si="7"/>
        <v>0</v>
      </c>
    </row>
    <row r="41" spans="1:27" x14ac:dyDescent="0.35">
      <c r="A41" s="24">
        <v>27</v>
      </c>
      <c r="B41" s="565" t="str">
        <f>IF('As-Filed Schedule 2L'!B41:D41=0,"",'As-Filed Schedule 2L'!B41:D41)</f>
        <v/>
      </c>
      <c r="C41" s="565"/>
      <c r="D41" s="565"/>
      <c r="F41" s="114">
        <f>'As-Filed Schedule 2L'!F41</f>
        <v>0</v>
      </c>
      <c r="G41" s="307">
        <f>SUMIFS(Adjustments!$G:$G,Adjustments!$H:$H,"2L",Adjustments!$I:$I,'Schedule 2L Adjustments'!$F$12,Adjustments!$J:$J,'Schedule 2L Adjustments'!$A41)</f>
        <v>0</v>
      </c>
      <c r="H41" s="303">
        <f t="shared" si="0"/>
        <v>0</v>
      </c>
      <c r="I41" s="68">
        <f>IFERROR(F41*'As-Filed Schedule 1'!$E$103,0)</f>
        <v>0</v>
      </c>
      <c r="J41" s="304">
        <f>IFERROR(H41*'Adjusted Schedule 1'!$E$104,0)</f>
        <v>0</v>
      </c>
      <c r="K41" s="68">
        <f t="shared" si="1"/>
        <v>0</v>
      </c>
      <c r="L41" s="304">
        <f t="shared" si="2"/>
        <v>0</v>
      </c>
      <c r="N41" s="114">
        <f>'As-Filed Schedule 2L'!J41</f>
        <v>0</v>
      </c>
      <c r="O41" s="307">
        <f>SUMIFS(Adjustments!$G:$G,Adjustments!$H:$H,"2L",Adjustments!$I:$I,'Schedule 2L Adjustments'!$N$12,Adjustments!$J:$J,'Schedule 2L Adjustments'!$A41)</f>
        <v>0</v>
      </c>
      <c r="P41" s="303">
        <f t="shared" si="3"/>
        <v>0</v>
      </c>
      <c r="Q41" s="68">
        <f>IFERROR(N41*'As-Filed Schedule 1'!$E$103,0)</f>
        <v>0</v>
      </c>
      <c r="R41" s="68">
        <f>IFERROR(P41*'Adjusted Schedule 1'!$E$104,0)</f>
        <v>0</v>
      </c>
      <c r="S41" s="68">
        <f t="shared" si="4"/>
        <v>0</v>
      </c>
      <c r="T41" s="304">
        <f t="shared" si="5"/>
        <v>0</v>
      </c>
      <c r="V41" s="117">
        <f>'As-Filed Schedule 2L'!N41</f>
        <v>0</v>
      </c>
      <c r="W41" s="307">
        <f>SUMIFS(Adjustments!$G:$G,Adjustments!$H:$H,"2L",Adjustments!$I:$I,'Schedule 2L Adjustments'!$V$12,Adjustments!$J:$J,'Schedule 2L Adjustments'!$A41)</f>
        <v>0</v>
      </c>
      <c r="X41" s="303">
        <f t="shared" si="6"/>
        <v>0</v>
      </c>
      <c r="Y41" s="117">
        <f>'As-Filed Schedule 2L'!O41</f>
        <v>0</v>
      </c>
      <c r="Z41" s="307">
        <f>SUMIFS(Adjustments!$G:$G,Adjustments!$H:$H,"2L",Adjustments!$I:$I,'Schedule 2L Adjustments'!$Y$12,Adjustments!$J:$J,'Schedule 2L Adjustments'!$A41)</f>
        <v>0</v>
      </c>
      <c r="AA41" s="303">
        <f t="shared" si="7"/>
        <v>0</v>
      </c>
    </row>
    <row r="42" spans="1:27" x14ac:dyDescent="0.35">
      <c r="A42" s="24">
        <v>28</v>
      </c>
      <c r="B42" s="565" t="str">
        <f>IF('As-Filed Schedule 2L'!B42:D42=0,"",'As-Filed Schedule 2L'!B42:D42)</f>
        <v/>
      </c>
      <c r="C42" s="565"/>
      <c r="D42" s="565"/>
      <c r="F42" s="114">
        <f>'As-Filed Schedule 2L'!F42</f>
        <v>0</v>
      </c>
      <c r="G42" s="307">
        <f>SUMIFS(Adjustments!$G:$G,Adjustments!$H:$H,"2L",Adjustments!$I:$I,'Schedule 2L Adjustments'!$F$12,Adjustments!$J:$J,'Schedule 2L Adjustments'!$A42)</f>
        <v>0</v>
      </c>
      <c r="H42" s="303">
        <f t="shared" si="0"/>
        <v>0</v>
      </c>
      <c r="I42" s="68">
        <f>IFERROR(F42*'As-Filed Schedule 1'!$E$103,0)</f>
        <v>0</v>
      </c>
      <c r="J42" s="304">
        <f>IFERROR(H42*'Adjusted Schedule 1'!$E$104,0)</f>
        <v>0</v>
      </c>
      <c r="K42" s="68">
        <f t="shared" si="1"/>
        <v>0</v>
      </c>
      <c r="L42" s="304">
        <f t="shared" si="2"/>
        <v>0</v>
      </c>
      <c r="N42" s="114">
        <f>'As-Filed Schedule 2L'!J42</f>
        <v>0</v>
      </c>
      <c r="O42" s="307">
        <f>SUMIFS(Adjustments!$G:$G,Adjustments!$H:$H,"2L",Adjustments!$I:$I,'Schedule 2L Adjustments'!$N$12,Adjustments!$J:$J,'Schedule 2L Adjustments'!$A42)</f>
        <v>0</v>
      </c>
      <c r="P42" s="303">
        <f t="shared" si="3"/>
        <v>0</v>
      </c>
      <c r="Q42" s="68">
        <f>IFERROR(N42*'As-Filed Schedule 1'!$E$103,0)</f>
        <v>0</v>
      </c>
      <c r="R42" s="68">
        <f>IFERROR(P42*'Adjusted Schedule 1'!$E$104,0)</f>
        <v>0</v>
      </c>
      <c r="S42" s="68">
        <f t="shared" si="4"/>
        <v>0</v>
      </c>
      <c r="T42" s="304">
        <f t="shared" si="5"/>
        <v>0</v>
      </c>
      <c r="V42" s="117">
        <f>'As-Filed Schedule 2L'!N42</f>
        <v>0</v>
      </c>
      <c r="W42" s="307">
        <f>SUMIFS(Adjustments!$G:$G,Adjustments!$H:$H,"2L",Adjustments!$I:$I,'Schedule 2L Adjustments'!$V$12,Adjustments!$J:$J,'Schedule 2L Adjustments'!$A42)</f>
        <v>0</v>
      </c>
      <c r="X42" s="303">
        <f t="shared" si="6"/>
        <v>0</v>
      </c>
      <c r="Y42" s="117">
        <f>'As-Filed Schedule 2L'!O42</f>
        <v>0</v>
      </c>
      <c r="Z42" s="307">
        <f>SUMIFS(Adjustments!$G:$G,Adjustments!$H:$H,"2L",Adjustments!$I:$I,'Schedule 2L Adjustments'!$Y$12,Adjustments!$J:$J,'Schedule 2L Adjustments'!$A42)</f>
        <v>0</v>
      </c>
      <c r="AA42" s="303">
        <f t="shared" si="7"/>
        <v>0</v>
      </c>
    </row>
    <row r="43" spans="1:27" x14ac:dyDescent="0.35">
      <c r="A43" s="24">
        <v>29</v>
      </c>
      <c r="B43" s="565" t="str">
        <f>IF('As-Filed Schedule 2L'!B43:D43=0,"",'As-Filed Schedule 2L'!B43:D43)</f>
        <v/>
      </c>
      <c r="C43" s="565"/>
      <c r="D43" s="565"/>
      <c r="F43" s="114">
        <f>'As-Filed Schedule 2L'!F43</f>
        <v>0</v>
      </c>
      <c r="G43" s="307">
        <f>SUMIFS(Adjustments!$G:$G,Adjustments!$H:$H,"2L",Adjustments!$I:$I,'Schedule 2L Adjustments'!$F$12,Adjustments!$J:$J,'Schedule 2L Adjustments'!$A43)</f>
        <v>0</v>
      </c>
      <c r="H43" s="303">
        <f t="shared" si="0"/>
        <v>0</v>
      </c>
      <c r="I43" s="68">
        <f>IFERROR(F43*'As-Filed Schedule 1'!$E$103,0)</f>
        <v>0</v>
      </c>
      <c r="J43" s="304">
        <f>IFERROR(H43*'Adjusted Schedule 1'!$E$104,0)</f>
        <v>0</v>
      </c>
      <c r="K43" s="68">
        <f t="shared" si="1"/>
        <v>0</v>
      </c>
      <c r="L43" s="304">
        <f t="shared" si="2"/>
        <v>0</v>
      </c>
      <c r="N43" s="114">
        <f>'As-Filed Schedule 2L'!J43</f>
        <v>0</v>
      </c>
      <c r="O43" s="307">
        <f>SUMIFS(Adjustments!$G:$G,Adjustments!$H:$H,"2L",Adjustments!$I:$I,'Schedule 2L Adjustments'!$N$12,Adjustments!$J:$J,'Schedule 2L Adjustments'!$A43)</f>
        <v>0</v>
      </c>
      <c r="P43" s="303">
        <f t="shared" si="3"/>
        <v>0</v>
      </c>
      <c r="Q43" s="68">
        <f>IFERROR(N43*'As-Filed Schedule 1'!$E$103,0)</f>
        <v>0</v>
      </c>
      <c r="R43" s="68">
        <f>IFERROR(P43*'Adjusted Schedule 1'!$E$104,0)</f>
        <v>0</v>
      </c>
      <c r="S43" s="68">
        <f t="shared" si="4"/>
        <v>0</v>
      </c>
      <c r="T43" s="304">
        <f t="shared" si="5"/>
        <v>0</v>
      </c>
      <c r="V43" s="117">
        <f>'As-Filed Schedule 2L'!N43</f>
        <v>0</v>
      </c>
      <c r="W43" s="307">
        <f>SUMIFS(Adjustments!$G:$G,Adjustments!$H:$H,"2L",Adjustments!$I:$I,'Schedule 2L Adjustments'!$V$12,Adjustments!$J:$J,'Schedule 2L Adjustments'!$A43)</f>
        <v>0</v>
      </c>
      <c r="X43" s="303">
        <f t="shared" si="6"/>
        <v>0</v>
      </c>
      <c r="Y43" s="117">
        <f>'As-Filed Schedule 2L'!O43</f>
        <v>0</v>
      </c>
      <c r="Z43" s="307">
        <f>SUMIFS(Adjustments!$G:$G,Adjustments!$H:$H,"2L",Adjustments!$I:$I,'Schedule 2L Adjustments'!$Y$12,Adjustments!$J:$J,'Schedule 2L Adjustments'!$A43)</f>
        <v>0</v>
      </c>
      <c r="AA43" s="303">
        <f t="shared" si="7"/>
        <v>0</v>
      </c>
    </row>
    <row r="44" spans="1:27" x14ac:dyDescent="0.35">
      <c r="A44" s="24">
        <v>30</v>
      </c>
      <c r="B44" s="565" t="str">
        <f>IF('As-Filed Schedule 2L'!B44:D44=0,"",'As-Filed Schedule 2L'!B44:D44)</f>
        <v/>
      </c>
      <c r="C44" s="565"/>
      <c r="D44" s="565"/>
      <c r="F44" s="114">
        <f>'As-Filed Schedule 2L'!F44</f>
        <v>0</v>
      </c>
      <c r="G44" s="307">
        <f>SUMIFS(Adjustments!$G:$G,Adjustments!$H:$H,"2L",Adjustments!$I:$I,'Schedule 2L Adjustments'!$F$12,Adjustments!$J:$J,'Schedule 2L Adjustments'!$A44)</f>
        <v>0</v>
      </c>
      <c r="H44" s="303">
        <f t="shared" si="0"/>
        <v>0</v>
      </c>
      <c r="I44" s="68">
        <f>IFERROR(F44*'As-Filed Schedule 1'!$E$103,0)</f>
        <v>0</v>
      </c>
      <c r="J44" s="304">
        <f>IFERROR(H44*'Adjusted Schedule 1'!$E$104,0)</f>
        <v>0</v>
      </c>
      <c r="K44" s="68">
        <f t="shared" si="1"/>
        <v>0</v>
      </c>
      <c r="L44" s="304">
        <f t="shared" si="2"/>
        <v>0</v>
      </c>
      <c r="N44" s="114">
        <f>'As-Filed Schedule 2L'!J44</f>
        <v>0</v>
      </c>
      <c r="O44" s="307">
        <f>SUMIFS(Adjustments!$G:$G,Adjustments!$H:$H,"2L",Adjustments!$I:$I,'Schedule 2L Adjustments'!$N$12,Adjustments!$J:$J,'Schedule 2L Adjustments'!$A44)</f>
        <v>0</v>
      </c>
      <c r="P44" s="303">
        <f t="shared" si="3"/>
        <v>0</v>
      </c>
      <c r="Q44" s="68">
        <f>IFERROR(N44*'As-Filed Schedule 1'!$E$103,0)</f>
        <v>0</v>
      </c>
      <c r="R44" s="68">
        <f>IFERROR(P44*'Adjusted Schedule 1'!$E$104,0)</f>
        <v>0</v>
      </c>
      <c r="S44" s="68">
        <f t="shared" si="4"/>
        <v>0</v>
      </c>
      <c r="T44" s="304">
        <f t="shared" si="5"/>
        <v>0</v>
      </c>
      <c r="V44" s="117">
        <f>'As-Filed Schedule 2L'!N44</f>
        <v>0</v>
      </c>
      <c r="W44" s="307">
        <f>SUMIFS(Adjustments!$G:$G,Adjustments!$H:$H,"2L",Adjustments!$I:$I,'Schedule 2L Adjustments'!$V$12,Adjustments!$J:$J,'Schedule 2L Adjustments'!$A44)</f>
        <v>0</v>
      </c>
      <c r="X44" s="303">
        <f t="shared" si="6"/>
        <v>0</v>
      </c>
      <c r="Y44" s="117">
        <f>'As-Filed Schedule 2L'!O44</f>
        <v>0</v>
      </c>
      <c r="Z44" s="307">
        <f>SUMIFS(Adjustments!$G:$G,Adjustments!$H:$H,"2L",Adjustments!$I:$I,'Schedule 2L Adjustments'!$Y$12,Adjustments!$J:$J,'Schedule 2L Adjustments'!$A44)</f>
        <v>0</v>
      </c>
      <c r="AA44" s="303">
        <f t="shared" si="7"/>
        <v>0</v>
      </c>
    </row>
    <row r="45" spans="1:27" x14ac:dyDescent="0.35">
      <c r="A45" s="24">
        <v>31</v>
      </c>
      <c r="B45" s="565" t="str">
        <f>IF('As-Filed Schedule 2L'!B45:D45=0,"",'As-Filed Schedule 2L'!B45:D45)</f>
        <v/>
      </c>
      <c r="C45" s="565"/>
      <c r="D45" s="565"/>
      <c r="F45" s="114">
        <f>'As-Filed Schedule 2L'!F45</f>
        <v>0</v>
      </c>
      <c r="G45" s="307">
        <f>SUMIFS(Adjustments!$G:$G,Adjustments!$H:$H,"2L",Adjustments!$I:$I,'Schedule 2L Adjustments'!$F$12,Adjustments!$J:$J,'Schedule 2L Adjustments'!$A45)</f>
        <v>0</v>
      </c>
      <c r="H45" s="303">
        <f t="shared" si="0"/>
        <v>0</v>
      </c>
      <c r="I45" s="68">
        <f>IFERROR(F45*'As-Filed Schedule 1'!$E$103,0)</f>
        <v>0</v>
      </c>
      <c r="J45" s="304">
        <f>IFERROR(H45*'Adjusted Schedule 1'!$E$104,0)</f>
        <v>0</v>
      </c>
      <c r="K45" s="68">
        <f t="shared" si="1"/>
        <v>0</v>
      </c>
      <c r="L45" s="304">
        <f t="shared" si="2"/>
        <v>0</v>
      </c>
      <c r="N45" s="114">
        <f>'As-Filed Schedule 2L'!J45</f>
        <v>0</v>
      </c>
      <c r="O45" s="307">
        <f>SUMIFS(Adjustments!$G:$G,Adjustments!$H:$H,"2L",Adjustments!$I:$I,'Schedule 2L Adjustments'!$N$12,Adjustments!$J:$J,'Schedule 2L Adjustments'!$A45)</f>
        <v>0</v>
      </c>
      <c r="P45" s="303">
        <f t="shared" si="3"/>
        <v>0</v>
      </c>
      <c r="Q45" s="68">
        <f>IFERROR(N45*'As-Filed Schedule 1'!$E$103,0)</f>
        <v>0</v>
      </c>
      <c r="R45" s="68">
        <f>IFERROR(P45*'Adjusted Schedule 1'!$E$104,0)</f>
        <v>0</v>
      </c>
      <c r="S45" s="68">
        <f t="shared" si="4"/>
        <v>0</v>
      </c>
      <c r="T45" s="304">
        <f t="shared" si="5"/>
        <v>0</v>
      </c>
      <c r="V45" s="117">
        <f>'As-Filed Schedule 2L'!N45</f>
        <v>0</v>
      </c>
      <c r="W45" s="307">
        <f>SUMIFS(Adjustments!$G:$G,Adjustments!$H:$H,"2L",Adjustments!$I:$I,'Schedule 2L Adjustments'!$V$12,Adjustments!$J:$J,'Schedule 2L Adjustments'!$A45)</f>
        <v>0</v>
      </c>
      <c r="X45" s="303">
        <f t="shared" si="6"/>
        <v>0</v>
      </c>
      <c r="Y45" s="117">
        <f>'As-Filed Schedule 2L'!O45</f>
        <v>0</v>
      </c>
      <c r="Z45" s="307">
        <f>SUMIFS(Adjustments!$G:$G,Adjustments!$H:$H,"2L",Adjustments!$I:$I,'Schedule 2L Adjustments'!$Y$12,Adjustments!$J:$J,'Schedule 2L Adjustments'!$A45)</f>
        <v>0</v>
      </c>
      <c r="AA45" s="303">
        <f t="shared" si="7"/>
        <v>0</v>
      </c>
    </row>
    <row r="46" spans="1:27" x14ac:dyDescent="0.35">
      <c r="A46" s="24">
        <v>32</v>
      </c>
      <c r="B46" s="565" t="str">
        <f>IF('As-Filed Schedule 2L'!B46:D46=0,"",'As-Filed Schedule 2L'!B46:D46)</f>
        <v/>
      </c>
      <c r="C46" s="565"/>
      <c r="D46" s="565"/>
      <c r="F46" s="114">
        <f>'As-Filed Schedule 2L'!F46</f>
        <v>0</v>
      </c>
      <c r="G46" s="307">
        <f>SUMIFS(Adjustments!$G:$G,Adjustments!$H:$H,"2L",Adjustments!$I:$I,'Schedule 2L Adjustments'!$F$12,Adjustments!$J:$J,'Schedule 2L Adjustments'!$A46)</f>
        <v>0</v>
      </c>
      <c r="H46" s="303">
        <f t="shared" si="0"/>
        <v>0</v>
      </c>
      <c r="I46" s="68">
        <f>IFERROR(F46*'As-Filed Schedule 1'!$E$103,0)</f>
        <v>0</v>
      </c>
      <c r="J46" s="304">
        <f>IFERROR(H46*'Adjusted Schedule 1'!$E$104,0)</f>
        <v>0</v>
      </c>
      <c r="K46" s="68">
        <f t="shared" si="1"/>
        <v>0</v>
      </c>
      <c r="L46" s="304">
        <f t="shared" si="2"/>
        <v>0</v>
      </c>
      <c r="N46" s="114">
        <f>'As-Filed Schedule 2L'!J46</f>
        <v>0</v>
      </c>
      <c r="O46" s="307">
        <f>SUMIFS(Adjustments!$G:$G,Adjustments!$H:$H,"2L",Adjustments!$I:$I,'Schedule 2L Adjustments'!$N$12,Adjustments!$J:$J,'Schedule 2L Adjustments'!$A46)</f>
        <v>0</v>
      </c>
      <c r="P46" s="303">
        <f t="shared" si="3"/>
        <v>0</v>
      </c>
      <c r="Q46" s="68">
        <f>IFERROR(N46*'As-Filed Schedule 1'!$E$103,0)</f>
        <v>0</v>
      </c>
      <c r="R46" s="68">
        <f>IFERROR(P46*'Adjusted Schedule 1'!$E$104,0)</f>
        <v>0</v>
      </c>
      <c r="S46" s="68">
        <f t="shared" si="4"/>
        <v>0</v>
      </c>
      <c r="T46" s="304">
        <f t="shared" si="5"/>
        <v>0</v>
      </c>
      <c r="V46" s="117">
        <f>'As-Filed Schedule 2L'!N46</f>
        <v>0</v>
      </c>
      <c r="W46" s="307">
        <f>SUMIFS(Adjustments!$G:$G,Adjustments!$H:$H,"2L",Adjustments!$I:$I,'Schedule 2L Adjustments'!$V$12,Adjustments!$J:$J,'Schedule 2L Adjustments'!$A46)</f>
        <v>0</v>
      </c>
      <c r="X46" s="303">
        <f t="shared" si="6"/>
        <v>0</v>
      </c>
      <c r="Y46" s="117">
        <f>'As-Filed Schedule 2L'!O46</f>
        <v>0</v>
      </c>
      <c r="Z46" s="307">
        <f>SUMIFS(Adjustments!$G:$G,Adjustments!$H:$H,"2L",Adjustments!$I:$I,'Schedule 2L Adjustments'!$Y$12,Adjustments!$J:$J,'Schedule 2L Adjustments'!$A46)</f>
        <v>0</v>
      </c>
      <c r="AA46" s="303">
        <f t="shared" si="7"/>
        <v>0</v>
      </c>
    </row>
    <row r="47" spans="1:27" x14ac:dyDescent="0.35">
      <c r="A47" s="24">
        <v>33</v>
      </c>
      <c r="B47" s="565" t="str">
        <f>IF('As-Filed Schedule 2L'!B47:D47=0,"",'As-Filed Schedule 2L'!B47:D47)</f>
        <v/>
      </c>
      <c r="C47" s="565"/>
      <c r="D47" s="565"/>
      <c r="F47" s="114">
        <f>'As-Filed Schedule 2L'!F47</f>
        <v>0</v>
      </c>
      <c r="G47" s="307">
        <f>SUMIFS(Adjustments!$G:$G,Adjustments!$H:$H,"2L",Adjustments!$I:$I,'Schedule 2L Adjustments'!$F$12,Adjustments!$J:$J,'Schedule 2L Adjustments'!$A47)</f>
        <v>0</v>
      </c>
      <c r="H47" s="303">
        <f t="shared" si="0"/>
        <v>0</v>
      </c>
      <c r="I47" s="68">
        <f>IFERROR(F47*'As-Filed Schedule 1'!$E$103,0)</f>
        <v>0</v>
      </c>
      <c r="J47" s="304">
        <f>IFERROR(H47*'Adjusted Schedule 1'!$E$104,0)</f>
        <v>0</v>
      </c>
      <c r="K47" s="68">
        <f t="shared" si="1"/>
        <v>0</v>
      </c>
      <c r="L47" s="304">
        <f t="shared" si="2"/>
        <v>0</v>
      </c>
      <c r="N47" s="114">
        <f>'As-Filed Schedule 2L'!J47</f>
        <v>0</v>
      </c>
      <c r="O47" s="307">
        <f>SUMIFS(Adjustments!$G:$G,Adjustments!$H:$H,"2L",Adjustments!$I:$I,'Schedule 2L Adjustments'!$N$12,Adjustments!$J:$J,'Schedule 2L Adjustments'!$A47)</f>
        <v>0</v>
      </c>
      <c r="P47" s="303">
        <f t="shared" si="3"/>
        <v>0</v>
      </c>
      <c r="Q47" s="68">
        <f>IFERROR(N47*'As-Filed Schedule 1'!$E$103,0)</f>
        <v>0</v>
      </c>
      <c r="R47" s="68">
        <f>IFERROR(P47*'Adjusted Schedule 1'!$E$104,0)</f>
        <v>0</v>
      </c>
      <c r="S47" s="68">
        <f t="shared" si="4"/>
        <v>0</v>
      </c>
      <c r="T47" s="304">
        <f t="shared" si="5"/>
        <v>0</v>
      </c>
      <c r="V47" s="117">
        <f>'As-Filed Schedule 2L'!N47</f>
        <v>0</v>
      </c>
      <c r="W47" s="307">
        <f>SUMIFS(Adjustments!$G:$G,Adjustments!$H:$H,"2L",Adjustments!$I:$I,'Schedule 2L Adjustments'!$V$12,Adjustments!$J:$J,'Schedule 2L Adjustments'!$A47)</f>
        <v>0</v>
      </c>
      <c r="X47" s="303">
        <f t="shared" si="6"/>
        <v>0</v>
      </c>
      <c r="Y47" s="117">
        <f>'As-Filed Schedule 2L'!O47</f>
        <v>0</v>
      </c>
      <c r="Z47" s="307">
        <f>SUMIFS(Adjustments!$G:$G,Adjustments!$H:$H,"2L",Adjustments!$I:$I,'Schedule 2L Adjustments'!$Y$12,Adjustments!$J:$J,'Schedule 2L Adjustments'!$A47)</f>
        <v>0</v>
      </c>
      <c r="AA47" s="303">
        <f t="shared" si="7"/>
        <v>0</v>
      </c>
    </row>
    <row r="48" spans="1:27" x14ac:dyDescent="0.35">
      <c r="A48" s="24">
        <v>34</v>
      </c>
      <c r="B48" s="565" t="str">
        <f>IF('As-Filed Schedule 2L'!B48:D48=0,"",'As-Filed Schedule 2L'!B48:D48)</f>
        <v/>
      </c>
      <c r="C48" s="565"/>
      <c r="D48" s="565"/>
      <c r="F48" s="114">
        <f>'As-Filed Schedule 2L'!F48</f>
        <v>0</v>
      </c>
      <c r="G48" s="307">
        <f>SUMIFS(Adjustments!$G:$G,Adjustments!$H:$H,"2L",Adjustments!$I:$I,'Schedule 2L Adjustments'!$F$12,Adjustments!$J:$J,'Schedule 2L Adjustments'!$A48)</f>
        <v>0</v>
      </c>
      <c r="H48" s="303">
        <f t="shared" si="0"/>
        <v>0</v>
      </c>
      <c r="I48" s="68">
        <f>IFERROR(F48*'As-Filed Schedule 1'!$E$103,0)</f>
        <v>0</v>
      </c>
      <c r="J48" s="304">
        <f>IFERROR(H48*'Adjusted Schedule 1'!$E$104,0)</f>
        <v>0</v>
      </c>
      <c r="K48" s="68">
        <f t="shared" si="1"/>
        <v>0</v>
      </c>
      <c r="L48" s="304">
        <f t="shared" si="2"/>
        <v>0</v>
      </c>
      <c r="N48" s="114">
        <f>'As-Filed Schedule 2L'!J48</f>
        <v>0</v>
      </c>
      <c r="O48" s="307">
        <f>SUMIFS(Adjustments!$G:$G,Adjustments!$H:$H,"2L",Adjustments!$I:$I,'Schedule 2L Adjustments'!$N$12,Adjustments!$J:$J,'Schedule 2L Adjustments'!$A48)</f>
        <v>0</v>
      </c>
      <c r="P48" s="303">
        <f t="shared" si="3"/>
        <v>0</v>
      </c>
      <c r="Q48" s="68">
        <f>IFERROR(N48*'As-Filed Schedule 1'!$E$103,0)</f>
        <v>0</v>
      </c>
      <c r="R48" s="68">
        <f>IFERROR(P48*'Adjusted Schedule 1'!$E$104,0)</f>
        <v>0</v>
      </c>
      <c r="S48" s="68">
        <f t="shared" si="4"/>
        <v>0</v>
      </c>
      <c r="T48" s="304">
        <f t="shared" si="5"/>
        <v>0</v>
      </c>
      <c r="V48" s="117">
        <f>'As-Filed Schedule 2L'!N48</f>
        <v>0</v>
      </c>
      <c r="W48" s="307">
        <f>SUMIFS(Adjustments!$G:$G,Adjustments!$H:$H,"2L",Adjustments!$I:$I,'Schedule 2L Adjustments'!$V$12,Adjustments!$J:$J,'Schedule 2L Adjustments'!$A48)</f>
        <v>0</v>
      </c>
      <c r="X48" s="303">
        <f t="shared" si="6"/>
        <v>0</v>
      </c>
      <c r="Y48" s="117">
        <f>'As-Filed Schedule 2L'!O48</f>
        <v>0</v>
      </c>
      <c r="Z48" s="307">
        <f>SUMIFS(Adjustments!$G:$G,Adjustments!$H:$H,"2L",Adjustments!$I:$I,'Schedule 2L Adjustments'!$Y$12,Adjustments!$J:$J,'Schedule 2L Adjustments'!$A48)</f>
        <v>0</v>
      </c>
      <c r="AA48" s="303">
        <f t="shared" si="7"/>
        <v>0</v>
      </c>
    </row>
    <row r="49" spans="1:27" x14ac:dyDescent="0.35">
      <c r="A49" s="24">
        <v>35</v>
      </c>
      <c r="B49" s="565" t="str">
        <f>IF('As-Filed Schedule 2L'!B49:D49=0,"",'As-Filed Schedule 2L'!B49:D49)</f>
        <v/>
      </c>
      <c r="C49" s="565"/>
      <c r="D49" s="565"/>
      <c r="F49" s="114">
        <f>'As-Filed Schedule 2L'!F49</f>
        <v>0</v>
      </c>
      <c r="G49" s="307">
        <f>SUMIFS(Adjustments!$G:$G,Adjustments!$H:$H,"2L",Adjustments!$I:$I,'Schedule 2L Adjustments'!$F$12,Adjustments!$J:$J,'Schedule 2L Adjustments'!$A49)</f>
        <v>0</v>
      </c>
      <c r="H49" s="303">
        <f t="shared" si="0"/>
        <v>0</v>
      </c>
      <c r="I49" s="68">
        <f>IFERROR(F49*'As-Filed Schedule 1'!$E$103,0)</f>
        <v>0</v>
      </c>
      <c r="J49" s="304">
        <f>IFERROR(H49*'Adjusted Schedule 1'!$E$104,0)</f>
        <v>0</v>
      </c>
      <c r="K49" s="68">
        <f t="shared" si="1"/>
        <v>0</v>
      </c>
      <c r="L49" s="304">
        <f t="shared" si="2"/>
        <v>0</v>
      </c>
      <c r="N49" s="114">
        <f>'As-Filed Schedule 2L'!J49</f>
        <v>0</v>
      </c>
      <c r="O49" s="307">
        <f>SUMIFS(Adjustments!$G:$G,Adjustments!$H:$H,"2L",Adjustments!$I:$I,'Schedule 2L Adjustments'!$N$12,Adjustments!$J:$J,'Schedule 2L Adjustments'!$A49)</f>
        <v>0</v>
      </c>
      <c r="P49" s="303">
        <f t="shared" si="3"/>
        <v>0</v>
      </c>
      <c r="Q49" s="68">
        <f>IFERROR(N49*'As-Filed Schedule 1'!$E$103,0)</f>
        <v>0</v>
      </c>
      <c r="R49" s="68">
        <f>IFERROR(P49*'Adjusted Schedule 1'!$E$104,0)</f>
        <v>0</v>
      </c>
      <c r="S49" s="68">
        <f t="shared" si="4"/>
        <v>0</v>
      </c>
      <c r="T49" s="304">
        <f t="shared" si="5"/>
        <v>0</v>
      </c>
      <c r="V49" s="117">
        <f>'As-Filed Schedule 2L'!N49</f>
        <v>0</v>
      </c>
      <c r="W49" s="307">
        <f>SUMIFS(Adjustments!$G:$G,Adjustments!$H:$H,"2L",Adjustments!$I:$I,'Schedule 2L Adjustments'!$V$12,Adjustments!$J:$J,'Schedule 2L Adjustments'!$A49)</f>
        <v>0</v>
      </c>
      <c r="X49" s="303">
        <f t="shared" si="6"/>
        <v>0</v>
      </c>
      <c r="Y49" s="117">
        <f>'As-Filed Schedule 2L'!O49</f>
        <v>0</v>
      </c>
      <c r="Z49" s="307">
        <f>SUMIFS(Adjustments!$G:$G,Adjustments!$H:$H,"2L",Adjustments!$I:$I,'Schedule 2L Adjustments'!$Y$12,Adjustments!$J:$J,'Schedule 2L Adjustments'!$A49)</f>
        <v>0</v>
      </c>
      <c r="AA49" s="303">
        <f t="shared" si="7"/>
        <v>0</v>
      </c>
    </row>
    <row r="50" spans="1:27" x14ac:dyDescent="0.35">
      <c r="A50" s="24">
        <v>36</v>
      </c>
      <c r="B50" s="565" t="str">
        <f>IF('As-Filed Schedule 2L'!B50:D50=0,"",'As-Filed Schedule 2L'!B50:D50)</f>
        <v/>
      </c>
      <c r="C50" s="565"/>
      <c r="D50" s="565"/>
      <c r="F50" s="114">
        <f>'As-Filed Schedule 2L'!F50</f>
        <v>0</v>
      </c>
      <c r="G50" s="307">
        <f>SUMIFS(Adjustments!$G:$G,Adjustments!$H:$H,"2L",Adjustments!$I:$I,'Schedule 2L Adjustments'!$F$12,Adjustments!$J:$J,'Schedule 2L Adjustments'!$A50)</f>
        <v>0</v>
      </c>
      <c r="H50" s="303">
        <f t="shared" si="0"/>
        <v>0</v>
      </c>
      <c r="I50" s="68">
        <f>IFERROR(F50*'As-Filed Schedule 1'!$E$103,0)</f>
        <v>0</v>
      </c>
      <c r="J50" s="304">
        <f>IFERROR(H50*'Adjusted Schedule 1'!$E$104,0)</f>
        <v>0</v>
      </c>
      <c r="K50" s="68">
        <f t="shared" si="1"/>
        <v>0</v>
      </c>
      <c r="L50" s="304">
        <f t="shared" si="2"/>
        <v>0</v>
      </c>
      <c r="N50" s="114">
        <f>'As-Filed Schedule 2L'!J50</f>
        <v>0</v>
      </c>
      <c r="O50" s="307">
        <f>SUMIFS(Adjustments!$G:$G,Adjustments!$H:$H,"2L",Adjustments!$I:$I,'Schedule 2L Adjustments'!$N$12,Adjustments!$J:$J,'Schedule 2L Adjustments'!$A50)</f>
        <v>0</v>
      </c>
      <c r="P50" s="303">
        <f t="shared" si="3"/>
        <v>0</v>
      </c>
      <c r="Q50" s="68">
        <f>IFERROR(N50*'As-Filed Schedule 1'!$E$103,0)</f>
        <v>0</v>
      </c>
      <c r="R50" s="68">
        <f>IFERROR(P50*'Adjusted Schedule 1'!$E$104,0)</f>
        <v>0</v>
      </c>
      <c r="S50" s="68">
        <f t="shared" si="4"/>
        <v>0</v>
      </c>
      <c r="T50" s="304">
        <f t="shared" si="5"/>
        <v>0</v>
      </c>
      <c r="V50" s="117">
        <f>'As-Filed Schedule 2L'!N50</f>
        <v>0</v>
      </c>
      <c r="W50" s="307">
        <f>SUMIFS(Adjustments!$G:$G,Adjustments!$H:$H,"2L",Adjustments!$I:$I,'Schedule 2L Adjustments'!$V$12,Adjustments!$J:$J,'Schedule 2L Adjustments'!$A50)</f>
        <v>0</v>
      </c>
      <c r="X50" s="303">
        <f t="shared" si="6"/>
        <v>0</v>
      </c>
      <c r="Y50" s="117">
        <f>'As-Filed Schedule 2L'!O50</f>
        <v>0</v>
      </c>
      <c r="Z50" s="307">
        <f>SUMIFS(Adjustments!$G:$G,Adjustments!$H:$H,"2L",Adjustments!$I:$I,'Schedule 2L Adjustments'!$Y$12,Adjustments!$J:$J,'Schedule 2L Adjustments'!$A50)</f>
        <v>0</v>
      </c>
      <c r="AA50" s="303">
        <f t="shared" si="7"/>
        <v>0</v>
      </c>
    </row>
    <row r="51" spans="1:27" x14ac:dyDescent="0.35">
      <c r="A51" s="24">
        <v>37</v>
      </c>
      <c r="B51" s="565" t="str">
        <f>IF('As-Filed Schedule 2L'!B51:D51=0,"",'As-Filed Schedule 2L'!B51:D51)</f>
        <v/>
      </c>
      <c r="C51" s="565"/>
      <c r="D51" s="565"/>
      <c r="F51" s="114">
        <f>'As-Filed Schedule 2L'!F51</f>
        <v>0</v>
      </c>
      <c r="G51" s="307">
        <f>SUMIFS(Adjustments!$G:$G,Adjustments!$H:$H,"2L",Adjustments!$I:$I,'Schedule 2L Adjustments'!$F$12,Adjustments!$J:$J,'Schedule 2L Adjustments'!$A51)</f>
        <v>0</v>
      </c>
      <c r="H51" s="303">
        <f t="shared" si="0"/>
        <v>0</v>
      </c>
      <c r="I51" s="68">
        <f>IFERROR(F51*'As-Filed Schedule 1'!$E$103,0)</f>
        <v>0</v>
      </c>
      <c r="J51" s="304">
        <f>IFERROR(H51*'Adjusted Schedule 1'!$E$104,0)</f>
        <v>0</v>
      </c>
      <c r="K51" s="68">
        <f t="shared" si="1"/>
        <v>0</v>
      </c>
      <c r="L51" s="304">
        <f t="shared" si="2"/>
        <v>0</v>
      </c>
      <c r="N51" s="114">
        <f>'As-Filed Schedule 2L'!J51</f>
        <v>0</v>
      </c>
      <c r="O51" s="307">
        <f>SUMIFS(Adjustments!$G:$G,Adjustments!$H:$H,"2L",Adjustments!$I:$I,'Schedule 2L Adjustments'!$N$12,Adjustments!$J:$J,'Schedule 2L Adjustments'!$A51)</f>
        <v>0</v>
      </c>
      <c r="P51" s="303">
        <f t="shared" si="3"/>
        <v>0</v>
      </c>
      <c r="Q51" s="68">
        <f>IFERROR(N51*'As-Filed Schedule 1'!$E$103,0)</f>
        <v>0</v>
      </c>
      <c r="R51" s="68">
        <f>IFERROR(P51*'Adjusted Schedule 1'!$E$104,0)</f>
        <v>0</v>
      </c>
      <c r="S51" s="68">
        <f t="shared" si="4"/>
        <v>0</v>
      </c>
      <c r="T51" s="304">
        <f t="shared" si="5"/>
        <v>0</v>
      </c>
      <c r="V51" s="117">
        <f>'As-Filed Schedule 2L'!N51</f>
        <v>0</v>
      </c>
      <c r="W51" s="307">
        <f>SUMIFS(Adjustments!$G:$G,Adjustments!$H:$H,"2L",Adjustments!$I:$I,'Schedule 2L Adjustments'!$V$12,Adjustments!$J:$J,'Schedule 2L Adjustments'!$A51)</f>
        <v>0</v>
      </c>
      <c r="X51" s="303">
        <f t="shared" si="6"/>
        <v>0</v>
      </c>
      <c r="Y51" s="117">
        <f>'As-Filed Schedule 2L'!O51</f>
        <v>0</v>
      </c>
      <c r="Z51" s="307">
        <f>SUMIFS(Adjustments!$G:$G,Adjustments!$H:$H,"2L",Adjustments!$I:$I,'Schedule 2L Adjustments'!$Y$12,Adjustments!$J:$J,'Schedule 2L Adjustments'!$A51)</f>
        <v>0</v>
      </c>
      <c r="AA51" s="303">
        <f t="shared" si="7"/>
        <v>0</v>
      </c>
    </row>
    <row r="52" spans="1:27" x14ac:dyDescent="0.35">
      <c r="A52" s="24">
        <v>38</v>
      </c>
      <c r="B52" s="565" t="str">
        <f>IF('As-Filed Schedule 2L'!B52:D52=0,"",'As-Filed Schedule 2L'!B52:D52)</f>
        <v/>
      </c>
      <c r="C52" s="565"/>
      <c r="D52" s="565"/>
      <c r="F52" s="114">
        <f>'As-Filed Schedule 2L'!F52</f>
        <v>0</v>
      </c>
      <c r="G52" s="307">
        <f>SUMIFS(Adjustments!$G:$G,Adjustments!$H:$H,"2L",Adjustments!$I:$I,'Schedule 2L Adjustments'!$F$12,Adjustments!$J:$J,'Schedule 2L Adjustments'!$A52)</f>
        <v>0</v>
      </c>
      <c r="H52" s="303">
        <f t="shared" si="0"/>
        <v>0</v>
      </c>
      <c r="I52" s="68">
        <f>IFERROR(F52*'As-Filed Schedule 1'!$E$103,0)</f>
        <v>0</v>
      </c>
      <c r="J52" s="304">
        <f>IFERROR(H52*'Adjusted Schedule 1'!$E$104,0)</f>
        <v>0</v>
      </c>
      <c r="K52" s="68">
        <f t="shared" si="1"/>
        <v>0</v>
      </c>
      <c r="L52" s="304">
        <f t="shared" si="2"/>
        <v>0</v>
      </c>
      <c r="N52" s="114">
        <f>'As-Filed Schedule 2L'!J52</f>
        <v>0</v>
      </c>
      <c r="O52" s="307">
        <f>SUMIFS(Adjustments!$G:$G,Adjustments!$H:$H,"2L",Adjustments!$I:$I,'Schedule 2L Adjustments'!$N$12,Adjustments!$J:$J,'Schedule 2L Adjustments'!$A52)</f>
        <v>0</v>
      </c>
      <c r="P52" s="303">
        <f t="shared" si="3"/>
        <v>0</v>
      </c>
      <c r="Q52" s="68">
        <f>IFERROR(N52*'As-Filed Schedule 1'!$E$103,0)</f>
        <v>0</v>
      </c>
      <c r="R52" s="68">
        <f>IFERROR(P52*'Adjusted Schedule 1'!$E$104,0)</f>
        <v>0</v>
      </c>
      <c r="S52" s="68">
        <f t="shared" si="4"/>
        <v>0</v>
      </c>
      <c r="T52" s="304">
        <f t="shared" si="5"/>
        <v>0</v>
      </c>
      <c r="V52" s="117">
        <f>'As-Filed Schedule 2L'!N52</f>
        <v>0</v>
      </c>
      <c r="W52" s="307">
        <f>SUMIFS(Adjustments!$G:$G,Adjustments!$H:$H,"2L",Adjustments!$I:$I,'Schedule 2L Adjustments'!$V$12,Adjustments!$J:$J,'Schedule 2L Adjustments'!$A52)</f>
        <v>0</v>
      </c>
      <c r="X52" s="303">
        <f t="shared" si="6"/>
        <v>0</v>
      </c>
      <c r="Y52" s="117">
        <f>'As-Filed Schedule 2L'!O52</f>
        <v>0</v>
      </c>
      <c r="Z52" s="307">
        <f>SUMIFS(Adjustments!$G:$G,Adjustments!$H:$H,"2L",Adjustments!$I:$I,'Schedule 2L Adjustments'!$Y$12,Adjustments!$J:$J,'Schedule 2L Adjustments'!$A52)</f>
        <v>0</v>
      </c>
      <c r="AA52" s="303">
        <f t="shared" si="7"/>
        <v>0</v>
      </c>
    </row>
    <row r="53" spans="1:27" x14ac:dyDescent="0.35">
      <c r="A53" s="24">
        <v>39</v>
      </c>
      <c r="B53" s="565" t="str">
        <f>IF('As-Filed Schedule 2L'!B53:D53=0,"",'As-Filed Schedule 2L'!B53:D53)</f>
        <v/>
      </c>
      <c r="C53" s="565"/>
      <c r="D53" s="565"/>
      <c r="F53" s="114">
        <f>'As-Filed Schedule 2L'!F53</f>
        <v>0</v>
      </c>
      <c r="G53" s="307">
        <f>SUMIFS(Adjustments!$G:$G,Adjustments!$H:$H,"2L",Adjustments!$I:$I,'Schedule 2L Adjustments'!$F$12,Adjustments!$J:$J,'Schedule 2L Adjustments'!$A53)</f>
        <v>0</v>
      </c>
      <c r="H53" s="303">
        <f t="shared" si="0"/>
        <v>0</v>
      </c>
      <c r="I53" s="68">
        <f>IFERROR(F53*'As-Filed Schedule 1'!$E$103,0)</f>
        <v>0</v>
      </c>
      <c r="J53" s="304">
        <f>IFERROR(H53*'Adjusted Schedule 1'!$E$104,0)</f>
        <v>0</v>
      </c>
      <c r="K53" s="68">
        <f t="shared" si="1"/>
        <v>0</v>
      </c>
      <c r="L53" s="304">
        <f t="shared" si="2"/>
        <v>0</v>
      </c>
      <c r="N53" s="114">
        <f>'As-Filed Schedule 2L'!J53</f>
        <v>0</v>
      </c>
      <c r="O53" s="307">
        <f>SUMIFS(Adjustments!$G:$G,Adjustments!$H:$H,"2L",Adjustments!$I:$I,'Schedule 2L Adjustments'!$N$12,Adjustments!$J:$J,'Schedule 2L Adjustments'!$A53)</f>
        <v>0</v>
      </c>
      <c r="P53" s="303">
        <f t="shared" si="3"/>
        <v>0</v>
      </c>
      <c r="Q53" s="68">
        <f>IFERROR(N53*'As-Filed Schedule 1'!$E$103,0)</f>
        <v>0</v>
      </c>
      <c r="R53" s="68">
        <f>IFERROR(P53*'Adjusted Schedule 1'!$E$104,0)</f>
        <v>0</v>
      </c>
      <c r="S53" s="68">
        <f t="shared" si="4"/>
        <v>0</v>
      </c>
      <c r="T53" s="304">
        <f t="shared" si="5"/>
        <v>0</v>
      </c>
      <c r="V53" s="117">
        <f>'As-Filed Schedule 2L'!N53</f>
        <v>0</v>
      </c>
      <c r="W53" s="307">
        <f>SUMIFS(Adjustments!$G:$G,Adjustments!$H:$H,"2L",Adjustments!$I:$I,'Schedule 2L Adjustments'!$V$12,Adjustments!$J:$J,'Schedule 2L Adjustments'!$A53)</f>
        <v>0</v>
      </c>
      <c r="X53" s="303">
        <f t="shared" si="6"/>
        <v>0</v>
      </c>
      <c r="Y53" s="117">
        <f>'As-Filed Schedule 2L'!O53</f>
        <v>0</v>
      </c>
      <c r="Z53" s="307">
        <f>SUMIFS(Adjustments!$G:$G,Adjustments!$H:$H,"2L",Adjustments!$I:$I,'Schedule 2L Adjustments'!$Y$12,Adjustments!$J:$J,'Schedule 2L Adjustments'!$A53)</f>
        <v>0</v>
      </c>
      <c r="AA53" s="303">
        <f t="shared" si="7"/>
        <v>0</v>
      </c>
    </row>
    <row r="54" spans="1:27" x14ac:dyDescent="0.35">
      <c r="A54" s="24">
        <v>40</v>
      </c>
      <c r="B54" s="565" t="str">
        <f>IF('As-Filed Schedule 2L'!B54:D54=0,"",'As-Filed Schedule 2L'!B54:D54)</f>
        <v/>
      </c>
      <c r="C54" s="565"/>
      <c r="D54" s="565"/>
      <c r="F54" s="114">
        <f>'As-Filed Schedule 2L'!F54</f>
        <v>0</v>
      </c>
      <c r="G54" s="307">
        <f>SUMIFS(Adjustments!$G:$G,Adjustments!$H:$H,"2L",Adjustments!$I:$I,'Schedule 2L Adjustments'!$F$12,Adjustments!$J:$J,'Schedule 2L Adjustments'!$A54)</f>
        <v>0</v>
      </c>
      <c r="H54" s="303">
        <f t="shared" si="0"/>
        <v>0</v>
      </c>
      <c r="I54" s="68">
        <f>IFERROR(F54*'As-Filed Schedule 1'!$E$103,0)</f>
        <v>0</v>
      </c>
      <c r="J54" s="304">
        <f>IFERROR(H54*'Adjusted Schedule 1'!$E$104,0)</f>
        <v>0</v>
      </c>
      <c r="K54" s="68">
        <f t="shared" si="1"/>
        <v>0</v>
      </c>
      <c r="L54" s="304">
        <f t="shared" si="2"/>
        <v>0</v>
      </c>
      <c r="N54" s="114">
        <f>'As-Filed Schedule 2L'!J54</f>
        <v>0</v>
      </c>
      <c r="O54" s="307">
        <f>SUMIFS(Adjustments!$G:$G,Adjustments!$H:$H,"2L",Adjustments!$I:$I,'Schedule 2L Adjustments'!$N$12,Adjustments!$J:$J,'Schedule 2L Adjustments'!$A54)</f>
        <v>0</v>
      </c>
      <c r="P54" s="303">
        <f t="shared" si="3"/>
        <v>0</v>
      </c>
      <c r="Q54" s="68">
        <f>IFERROR(N54*'As-Filed Schedule 1'!$E$103,0)</f>
        <v>0</v>
      </c>
      <c r="R54" s="68">
        <f>IFERROR(P54*'Adjusted Schedule 1'!$E$104,0)</f>
        <v>0</v>
      </c>
      <c r="S54" s="68">
        <f t="shared" si="4"/>
        <v>0</v>
      </c>
      <c r="T54" s="304">
        <f t="shared" si="5"/>
        <v>0</v>
      </c>
      <c r="V54" s="117">
        <f>'As-Filed Schedule 2L'!N54</f>
        <v>0</v>
      </c>
      <c r="W54" s="307">
        <f>SUMIFS(Adjustments!$G:$G,Adjustments!$H:$H,"2L",Adjustments!$I:$I,'Schedule 2L Adjustments'!$V$12,Adjustments!$J:$J,'Schedule 2L Adjustments'!$A54)</f>
        <v>0</v>
      </c>
      <c r="X54" s="303">
        <f t="shared" si="6"/>
        <v>0</v>
      </c>
      <c r="Y54" s="117">
        <f>'As-Filed Schedule 2L'!O54</f>
        <v>0</v>
      </c>
      <c r="Z54" s="307">
        <f>SUMIFS(Adjustments!$G:$G,Adjustments!$H:$H,"2L",Adjustments!$I:$I,'Schedule 2L Adjustments'!$Y$12,Adjustments!$J:$J,'Schedule 2L Adjustments'!$A54)</f>
        <v>0</v>
      </c>
      <c r="AA54" s="303">
        <f t="shared" si="7"/>
        <v>0</v>
      </c>
    </row>
    <row r="55" spans="1:27" x14ac:dyDescent="0.35">
      <c r="A55" s="24">
        <v>41</v>
      </c>
      <c r="B55" s="565" t="str">
        <f>IF('As-Filed Schedule 2L'!B55:D55=0,"",'As-Filed Schedule 2L'!B55:D55)</f>
        <v/>
      </c>
      <c r="C55" s="565"/>
      <c r="D55" s="565"/>
      <c r="F55" s="114">
        <f>'As-Filed Schedule 2L'!F55</f>
        <v>0</v>
      </c>
      <c r="G55" s="307">
        <f>SUMIFS(Adjustments!$G:$G,Adjustments!$H:$H,"2L",Adjustments!$I:$I,'Schedule 2L Adjustments'!$F$12,Adjustments!$J:$J,'Schedule 2L Adjustments'!$A55)</f>
        <v>0</v>
      </c>
      <c r="H55" s="303">
        <f t="shared" si="0"/>
        <v>0</v>
      </c>
      <c r="I55" s="68">
        <f>IFERROR(F55*'As-Filed Schedule 1'!$E$103,0)</f>
        <v>0</v>
      </c>
      <c r="J55" s="304">
        <f>IFERROR(H55*'Adjusted Schedule 1'!$E$104,0)</f>
        <v>0</v>
      </c>
      <c r="K55" s="68">
        <f t="shared" si="1"/>
        <v>0</v>
      </c>
      <c r="L55" s="304">
        <f t="shared" si="2"/>
        <v>0</v>
      </c>
      <c r="N55" s="114">
        <f>'As-Filed Schedule 2L'!J55</f>
        <v>0</v>
      </c>
      <c r="O55" s="307">
        <f>SUMIFS(Adjustments!$G:$G,Adjustments!$H:$H,"2L",Adjustments!$I:$I,'Schedule 2L Adjustments'!$N$12,Adjustments!$J:$J,'Schedule 2L Adjustments'!$A55)</f>
        <v>0</v>
      </c>
      <c r="P55" s="303">
        <f t="shared" si="3"/>
        <v>0</v>
      </c>
      <c r="Q55" s="68">
        <f>IFERROR(N55*'As-Filed Schedule 1'!$E$103,0)</f>
        <v>0</v>
      </c>
      <c r="R55" s="68">
        <f>IFERROR(P55*'Adjusted Schedule 1'!$E$104,0)</f>
        <v>0</v>
      </c>
      <c r="S55" s="68">
        <f t="shared" si="4"/>
        <v>0</v>
      </c>
      <c r="T55" s="304">
        <f t="shared" si="5"/>
        <v>0</v>
      </c>
      <c r="V55" s="117">
        <f>'As-Filed Schedule 2L'!N55</f>
        <v>0</v>
      </c>
      <c r="W55" s="307">
        <f>SUMIFS(Adjustments!$G:$G,Adjustments!$H:$H,"2L",Adjustments!$I:$I,'Schedule 2L Adjustments'!$V$12,Adjustments!$J:$J,'Schedule 2L Adjustments'!$A55)</f>
        <v>0</v>
      </c>
      <c r="X55" s="303">
        <f t="shared" si="6"/>
        <v>0</v>
      </c>
      <c r="Y55" s="117">
        <f>'As-Filed Schedule 2L'!O55</f>
        <v>0</v>
      </c>
      <c r="Z55" s="307">
        <f>SUMIFS(Adjustments!$G:$G,Adjustments!$H:$H,"2L",Adjustments!$I:$I,'Schedule 2L Adjustments'!$Y$12,Adjustments!$J:$J,'Schedule 2L Adjustments'!$A55)</f>
        <v>0</v>
      </c>
      <c r="AA55" s="303">
        <f t="shared" si="7"/>
        <v>0</v>
      </c>
    </row>
    <row r="56" spans="1:27" x14ac:dyDescent="0.35">
      <c r="A56" s="24">
        <v>42</v>
      </c>
      <c r="B56" s="565" t="str">
        <f>IF('As-Filed Schedule 2L'!B56:D56=0,"",'As-Filed Schedule 2L'!B56:D56)</f>
        <v/>
      </c>
      <c r="C56" s="565"/>
      <c r="D56" s="565"/>
      <c r="F56" s="114">
        <f>'As-Filed Schedule 2L'!F56</f>
        <v>0</v>
      </c>
      <c r="G56" s="307">
        <f>SUMIFS(Adjustments!$G:$G,Adjustments!$H:$H,"2L",Adjustments!$I:$I,'Schedule 2L Adjustments'!$F$12,Adjustments!$J:$J,'Schedule 2L Adjustments'!$A56)</f>
        <v>0</v>
      </c>
      <c r="H56" s="303">
        <f t="shared" si="0"/>
        <v>0</v>
      </c>
      <c r="I56" s="68">
        <f>IFERROR(F56*'As-Filed Schedule 1'!$E$103,0)</f>
        <v>0</v>
      </c>
      <c r="J56" s="304">
        <f>IFERROR(H56*'Adjusted Schedule 1'!$E$104,0)</f>
        <v>0</v>
      </c>
      <c r="K56" s="68">
        <f t="shared" si="1"/>
        <v>0</v>
      </c>
      <c r="L56" s="304">
        <f t="shared" si="2"/>
        <v>0</v>
      </c>
      <c r="N56" s="114">
        <f>'As-Filed Schedule 2L'!J56</f>
        <v>0</v>
      </c>
      <c r="O56" s="307">
        <f>SUMIFS(Adjustments!$G:$G,Adjustments!$H:$H,"2L",Adjustments!$I:$I,'Schedule 2L Adjustments'!$N$12,Adjustments!$J:$J,'Schedule 2L Adjustments'!$A56)</f>
        <v>0</v>
      </c>
      <c r="P56" s="303">
        <f t="shared" si="3"/>
        <v>0</v>
      </c>
      <c r="Q56" s="68">
        <f>IFERROR(N56*'As-Filed Schedule 1'!$E$103,0)</f>
        <v>0</v>
      </c>
      <c r="R56" s="68">
        <f>IFERROR(P56*'Adjusted Schedule 1'!$E$104,0)</f>
        <v>0</v>
      </c>
      <c r="S56" s="68">
        <f t="shared" si="4"/>
        <v>0</v>
      </c>
      <c r="T56" s="304">
        <f t="shared" si="5"/>
        <v>0</v>
      </c>
      <c r="V56" s="117">
        <f>'As-Filed Schedule 2L'!N56</f>
        <v>0</v>
      </c>
      <c r="W56" s="307">
        <f>SUMIFS(Adjustments!$G:$G,Adjustments!$H:$H,"2L",Adjustments!$I:$I,'Schedule 2L Adjustments'!$V$12,Adjustments!$J:$J,'Schedule 2L Adjustments'!$A56)</f>
        <v>0</v>
      </c>
      <c r="X56" s="303">
        <f t="shared" si="6"/>
        <v>0</v>
      </c>
      <c r="Y56" s="117">
        <f>'As-Filed Schedule 2L'!O56</f>
        <v>0</v>
      </c>
      <c r="Z56" s="307">
        <f>SUMIFS(Adjustments!$G:$G,Adjustments!$H:$H,"2L",Adjustments!$I:$I,'Schedule 2L Adjustments'!$Y$12,Adjustments!$J:$J,'Schedule 2L Adjustments'!$A56)</f>
        <v>0</v>
      </c>
      <c r="AA56" s="303">
        <f t="shared" si="7"/>
        <v>0</v>
      </c>
    </row>
    <row r="57" spans="1:27" x14ac:dyDescent="0.35">
      <c r="A57" s="24">
        <v>43</v>
      </c>
      <c r="B57" s="565" t="str">
        <f>IF('As-Filed Schedule 2L'!B57:D57=0,"",'As-Filed Schedule 2L'!B57:D57)</f>
        <v/>
      </c>
      <c r="C57" s="565"/>
      <c r="D57" s="565"/>
      <c r="F57" s="114">
        <f>'As-Filed Schedule 2L'!F57</f>
        <v>0</v>
      </c>
      <c r="G57" s="307">
        <f>SUMIFS(Adjustments!$G:$G,Adjustments!$H:$H,"2L",Adjustments!$I:$I,'Schedule 2L Adjustments'!$F$12,Adjustments!$J:$J,'Schedule 2L Adjustments'!$A57)</f>
        <v>0</v>
      </c>
      <c r="H57" s="303">
        <f t="shared" si="0"/>
        <v>0</v>
      </c>
      <c r="I57" s="68">
        <f>IFERROR(F57*'As-Filed Schedule 1'!$E$103,0)</f>
        <v>0</v>
      </c>
      <c r="J57" s="304">
        <f>IFERROR(H57*'Adjusted Schedule 1'!$E$104,0)</f>
        <v>0</v>
      </c>
      <c r="K57" s="68">
        <f t="shared" si="1"/>
        <v>0</v>
      </c>
      <c r="L57" s="304">
        <f t="shared" si="2"/>
        <v>0</v>
      </c>
      <c r="N57" s="114">
        <f>'As-Filed Schedule 2L'!J57</f>
        <v>0</v>
      </c>
      <c r="O57" s="307">
        <f>SUMIFS(Adjustments!$G:$G,Adjustments!$H:$H,"2L",Adjustments!$I:$I,'Schedule 2L Adjustments'!$N$12,Adjustments!$J:$J,'Schedule 2L Adjustments'!$A57)</f>
        <v>0</v>
      </c>
      <c r="P57" s="303">
        <f t="shared" si="3"/>
        <v>0</v>
      </c>
      <c r="Q57" s="68">
        <f>IFERROR(N57*'As-Filed Schedule 1'!$E$103,0)</f>
        <v>0</v>
      </c>
      <c r="R57" s="68">
        <f>IFERROR(P57*'Adjusted Schedule 1'!$E$104,0)</f>
        <v>0</v>
      </c>
      <c r="S57" s="68">
        <f t="shared" si="4"/>
        <v>0</v>
      </c>
      <c r="T57" s="304">
        <f t="shared" si="5"/>
        <v>0</v>
      </c>
      <c r="V57" s="117">
        <f>'As-Filed Schedule 2L'!N57</f>
        <v>0</v>
      </c>
      <c r="W57" s="307">
        <f>SUMIFS(Adjustments!$G:$G,Adjustments!$H:$H,"2L",Adjustments!$I:$I,'Schedule 2L Adjustments'!$V$12,Adjustments!$J:$J,'Schedule 2L Adjustments'!$A57)</f>
        <v>0</v>
      </c>
      <c r="X57" s="303">
        <f t="shared" si="6"/>
        <v>0</v>
      </c>
      <c r="Y57" s="117">
        <f>'As-Filed Schedule 2L'!O57</f>
        <v>0</v>
      </c>
      <c r="Z57" s="307">
        <f>SUMIFS(Adjustments!$G:$G,Adjustments!$H:$H,"2L",Adjustments!$I:$I,'Schedule 2L Adjustments'!$Y$12,Adjustments!$J:$J,'Schedule 2L Adjustments'!$A57)</f>
        <v>0</v>
      </c>
      <c r="AA57" s="303">
        <f t="shared" si="7"/>
        <v>0</v>
      </c>
    </row>
    <row r="58" spans="1:27" x14ac:dyDescent="0.35">
      <c r="A58" s="24">
        <v>44</v>
      </c>
      <c r="B58" s="565" t="str">
        <f>IF('As-Filed Schedule 2L'!B58:D58=0,"",'As-Filed Schedule 2L'!B58:D58)</f>
        <v/>
      </c>
      <c r="C58" s="565"/>
      <c r="D58" s="565"/>
      <c r="F58" s="114">
        <f>'As-Filed Schedule 2L'!F58</f>
        <v>0</v>
      </c>
      <c r="G58" s="307">
        <f>SUMIFS(Adjustments!$G:$G,Adjustments!$H:$H,"2L",Adjustments!$I:$I,'Schedule 2L Adjustments'!$F$12,Adjustments!$J:$J,'Schedule 2L Adjustments'!$A58)</f>
        <v>0</v>
      </c>
      <c r="H58" s="303">
        <f t="shared" si="0"/>
        <v>0</v>
      </c>
      <c r="I58" s="68">
        <f>IFERROR(F58*'As-Filed Schedule 1'!$E$103,0)</f>
        <v>0</v>
      </c>
      <c r="J58" s="304">
        <f>IFERROR(H58*'Adjusted Schedule 1'!$E$104,0)</f>
        <v>0</v>
      </c>
      <c r="K58" s="68">
        <f t="shared" si="1"/>
        <v>0</v>
      </c>
      <c r="L58" s="304">
        <f t="shared" si="2"/>
        <v>0</v>
      </c>
      <c r="N58" s="114">
        <f>'As-Filed Schedule 2L'!J58</f>
        <v>0</v>
      </c>
      <c r="O58" s="307">
        <f>SUMIFS(Adjustments!$G:$G,Adjustments!$H:$H,"2L",Adjustments!$I:$I,'Schedule 2L Adjustments'!$N$12,Adjustments!$J:$J,'Schedule 2L Adjustments'!$A58)</f>
        <v>0</v>
      </c>
      <c r="P58" s="303">
        <f t="shared" si="3"/>
        <v>0</v>
      </c>
      <c r="Q58" s="68">
        <f>IFERROR(N58*'As-Filed Schedule 1'!$E$103,0)</f>
        <v>0</v>
      </c>
      <c r="R58" s="68">
        <f>IFERROR(P58*'Adjusted Schedule 1'!$E$104,0)</f>
        <v>0</v>
      </c>
      <c r="S58" s="68">
        <f t="shared" si="4"/>
        <v>0</v>
      </c>
      <c r="T58" s="304">
        <f t="shared" si="5"/>
        <v>0</v>
      </c>
      <c r="V58" s="117">
        <f>'As-Filed Schedule 2L'!N58</f>
        <v>0</v>
      </c>
      <c r="W58" s="307">
        <f>SUMIFS(Adjustments!$G:$G,Adjustments!$H:$H,"2L",Adjustments!$I:$I,'Schedule 2L Adjustments'!$V$12,Adjustments!$J:$J,'Schedule 2L Adjustments'!$A58)</f>
        <v>0</v>
      </c>
      <c r="X58" s="303">
        <f t="shared" si="6"/>
        <v>0</v>
      </c>
      <c r="Y58" s="117">
        <f>'As-Filed Schedule 2L'!O58</f>
        <v>0</v>
      </c>
      <c r="Z58" s="307">
        <f>SUMIFS(Adjustments!$G:$G,Adjustments!$H:$H,"2L",Adjustments!$I:$I,'Schedule 2L Adjustments'!$Y$12,Adjustments!$J:$J,'Schedule 2L Adjustments'!$A58)</f>
        <v>0</v>
      </c>
      <c r="AA58" s="303">
        <f t="shared" si="7"/>
        <v>0</v>
      </c>
    </row>
    <row r="59" spans="1:27" x14ac:dyDescent="0.35">
      <c r="A59" s="24">
        <v>45</v>
      </c>
      <c r="B59" s="565" t="str">
        <f>IF('As-Filed Schedule 2L'!B59:D59=0,"",'As-Filed Schedule 2L'!B59:D59)</f>
        <v/>
      </c>
      <c r="C59" s="565"/>
      <c r="D59" s="565"/>
      <c r="F59" s="114">
        <f>'As-Filed Schedule 2L'!F59</f>
        <v>0</v>
      </c>
      <c r="G59" s="307">
        <f>SUMIFS(Adjustments!$G:$G,Adjustments!$H:$H,"2L",Adjustments!$I:$I,'Schedule 2L Adjustments'!$F$12,Adjustments!$J:$J,'Schedule 2L Adjustments'!$A59)</f>
        <v>0</v>
      </c>
      <c r="H59" s="303">
        <f t="shared" si="0"/>
        <v>0</v>
      </c>
      <c r="I59" s="68">
        <f>IFERROR(F59*'As-Filed Schedule 1'!$E$103,0)</f>
        <v>0</v>
      </c>
      <c r="J59" s="304">
        <f>IFERROR(H59*'Adjusted Schedule 1'!$E$104,0)</f>
        <v>0</v>
      </c>
      <c r="K59" s="68">
        <f t="shared" si="1"/>
        <v>0</v>
      </c>
      <c r="L59" s="304">
        <f t="shared" si="2"/>
        <v>0</v>
      </c>
      <c r="N59" s="114">
        <f>'As-Filed Schedule 2L'!J59</f>
        <v>0</v>
      </c>
      <c r="O59" s="307">
        <f>SUMIFS(Adjustments!$G:$G,Adjustments!$H:$H,"2L",Adjustments!$I:$I,'Schedule 2L Adjustments'!$N$12,Adjustments!$J:$J,'Schedule 2L Adjustments'!$A59)</f>
        <v>0</v>
      </c>
      <c r="P59" s="303">
        <f t="shared" si="3"/>
        <v>0</v>
      </c>
      <c r="Q59" s="68">
        <f>IFERROR(N59*'As-Filed Schedule 1'!$E$103,0)</f>
        <v>0</v>
      </c>
      <c r="R59" s="68">
        <f>IFERROR(P59*'Adjusted Schedule 1'!$E$104,0)</f>
        <v>0</v>
      </c>
      <c r="S59" s="68">
        <f t="shared" si="4"/>
        <v>0</v>
      </c>
      <c r="T59" s="304">
        <f t="shared" si="5"/>
        <v>0</v>
      </c>
      <c r="V59" s="117">
        <f>'As-Filed Schedule 2L'!N59</f>
        <v>0</v>
      </c>
      <c r="W59" s="307">
        <f>SUMIFS(Adjustments!$G:$G,Adjustments!$H:$H,"2L",Adjustments!$I:$I,'Schedule 2L Adjustments'!$V$12,Adjustments!$J:$J,'Schedule 2L Adjustments'!$A59)</f>
        <v>0</v>
      </c>
      <c r="X59" s="303">
        <f t="shared" si="6"/>
        <v>0</v>
      </c>
      <c r="Y59" s="117">
        <f>'As-Filed Schedule 2L'!O59</f>
        <v>0</v>
      </c>
      <c r="Z59" s="307">
        <f>SUMIFS(Adjustments!$G:$G,Adjustments!$H:$H,"2L",Adjustments!$I:$I,'Schedule 2L Adjustments'!$Y$12,Adjustments!$J:$J,'Schedule 2L Adjustments'!$A59)</f>
        <v>0</v>
      </c>
      <c r="AA59" s="303">
        <f t="shared" si="7"/>
        <v>0</v>
      </c>
    </row>
    <row r="60" spans="1:27" x14ac:dyDescent="0.35">
      <c r="A60" s="24">
        <v>46</v>
      </c>
      <c r="B60" s="565" t="str">
        <f>IF('As-Filed Schedule 2L'!B60:D60=0,"",'As-Filed Schedule 2L'!B60:D60)</f>
        <v/>
      </c>
      <c r="C60" s="565"/>
      <c r="D60" s="565"/>
      <c r="F60" s="114">
        <f>'As-Filed Schedule 2L'!F60</f>
        <v>0</v>
      </c>
      <c r="G60" s="307">
        <f>SUMIFS(Adjustments!$G:$G,Adjustments!$H:$H,"2L",Adjustments!$I:$I,'Schedule 2L Adjustments'!$F$12,Adjustments!$J:$J,'Schedule 2L Adjustments'!$A60)</f>
        <v>0</v>
      </c>
      <c r="H60" s="303">
        <f t="shared" si="0"/>
        <v>0</v>
      </c>
      <c r="I60" s="68">
        <f>IFERROR(F60*'As-Filed Schedule 1'!$E$103,0)</f>
        <v>0</v>
      </c>
      <c r="J60" s="304">
        <f>IFERROR(H60*'Adjusted Schedule 1'!$E$104,0)</f>
        <v>0</v>
      </c>
      <c r="K60" s="68">
        <f t="shared" si="1"/>
        <v>0</v>
      </c>
      <c r="L60" s="304">
        <f t="shared" si="2"/>
        <v>0</v>
      </c>
      <c r="N60" s="114">
        <f>'As-Filed Schedule 2L'!J60</f>
        <v>0</v>
      </c>
      <c r="O60" s="307">
        <f>SUMIFS(Adjustments!$G:$G,Adjustments!$H:$H,"2L",Adjustments!$I:$I,'Schedule 2L Adjustments'!$N$12,Adjustments!$J:$J,'Schedule 2L Adjustments'!$A60)</f>
        <v>0</v>
      </c>
      <c r="P60" s="303">
        <f t="shared" si="3"/>
        <v>0</v>
      </c>
      <c r="Q60" s="68">
        <f>IFERROR(N60*'As-Filed Schedule 1'!$E$103,0)</f>
        <v>0</v>
      </c>
      <c r="R60" s="68">
        <f>IFERROR(P60*'Adjusted Schedule 1'!$E$104,0)</f>
        <v>0</v>
      </c>
      <c r="S60" s="68">
        <f t="shared" si="4"/>
        <v>0</v>
      </c>
      <c r="T60" s="304">
        <f t="shared" si="5"/>
        <v>0</v>
      </c>
      <c r="V60" s="117">
        <f>'As-Filed Schedule 2L'!N60</f>
        <v>0</v>
      </c>
      <c r="W60" s="307">
        <f>SUMIFS(Adjustments!$G:$G,Adjustments!$H:$H,"2L",Adjustments!$I:$I,'Schedule 2L Adjustments'!$V$12,Adjustments!$J:$J,'Schedule 2L Adjustments'!$A60)</f>
        <v>0</v>
      </c>
      <c r="X60" s="303">
        <f t="shared" si="6"/>
        <v>0</v>
      </c>
      <c r="Y60" s="117">
        <f>'As-Filed Schedule 2L'!O60</f>
        <v>0</v>
      </c>
      <c r="Z60" s="307">
        <f>SUMIFS(Adjustments!$G:$G,Adjustments!$H:$H,"2L",Adjustments!$I:$I,'Schedule 2L Adjustments'!$Y$12,Adjustments!$J:$J,'Schedule 2L Adjustments'!$A60)</f>
        <v>0</v>
      </c>
      <c r="AA60" s="303">
        <f t="shared" si="7"/>
        <v>0</v>
      </c>
    </row>
    <row r="61" spans="1:27" x14ac:dyDescent="0.35">
      <c r="A61" s="24">
        <v>47</v>
      </c>
      <c r="B61" s="565" t="str">
        <f>IF('As-Filed Schedule 2L'!B61:D61=0,"",'As-Filed Schedule 2L'!B61:D61)</f>
        <v/>
      </c>
      <c r="C61" s="565"/>
      <c r="D61" s="565"/>
      <c r="F61" s="114">
        <f>'As-Filed Schedule 2L'!F61</f>
        <v>0</v>
      </c>
      <c r="G61" s="307">
        <f>SUMIFS(Adjustments!$G:$G,Adjustments!$H:$H,"2L",Adjustments!$I:$I,'Schedule 2L Adjustments'!$F$12,Adjustments!$J:$J,'Schedule 2L Adjustments'!$A61)</f>
        <v>0</v>
      </c>
      <c r="H61" s="303">
        <f t="shared" si="0"/>
        <v>0</v>
      </c>
      <c r="I61" s="68">
        <f>IFERROR(F61*'As-Filed Schedule 1'!$E$103,0)</f>
        <v>0</v>
      </c>
      <c r="J61" s="304">
        <f>IFERROR(H61*'Adjusted Schedule 1'!$E$104,0)</f>
        <v>0</v>
      </c>
      <c r="K61" s="68">
        <f t="shared" si="1"/>
        <v>0</v>
      </c>
      <c r="L61" s="304">
        <f t="shared" si="2"/>
        <v>0</v>
      </c>
      <c r="N61" s="114">
        <f>'As-Filed Schedule 2L'!J61</f>
        <v>0</v>
      </c>
      <c r="O61" s="307">
        <f>SUMIFS(Adjustments!$G:$G,Adjustments!$H:$H,"2L",Adjustments!$I:$I,'Schedule 2L Adjustments'!$N$12,Adjustments!$J:$J,'Schedule 2L Adjustments'!$A61)</f>
        <v>0</v>
      </c>
      <c r="P61" s="303">
        <f t="shared" si="3"/>
        <v>0</v>
      </c>
      <c r="Q61" s="68">
        <f>IFERROR(N61*'As-Filed Schedule 1'!$E$103,0)</f>
        <v>0</v>
      </c>
      <c r="R61" s="68">
        <f>IFERROR(P61*'Adjusted Schedule 1'!$E$104,0)</f>
        <v>0</v>
      </c>
      <c r="S61" s="68">
        <f t="shared" si="4"/>
        <v>0</v>
      </c>
      <c r="T61" s="304">
        <f t="shared" si="5"/>
        <v>0</v>
      </c>
      <c r="V61" s="117">
        <f>'As-Filed Schedule 2L'!N61</f>
        <v>0</v>
      </c>
      <c r="W61" s="307">
        <f>SUMIFS(Adjustments!$G:$G,Adjustments!$H:$H,"2L",Adjustments!$I:$I,'Schedule 2L Adjustments'!$V$12,Adjustments!$J:$J,'Schedule 2L Adjustments'!$A61)</f>
        <v>0</v>
      </c>
      <c r="X61" s="303">
        <f t="shared" si="6"/>
        <v>0</v>
      </c>
      <c r="Y61" s="117">
        <f>'As-Filed Schedule 2L'!O61</f>
        <v>0</v>
      </c>
      <c r="Z61" s="307">
        <f>SUMIFS(Adjustments!$G:$G,Adjustments!$H:$H,"2L",Adjustments!$I:$I,'Schedule 2L Adjustments'!$Y$12,Adjustments!$J:$J,'Schedule 2L Adjustments'!$A61)</f>
        <v>0</v>
      </c>
      <c r="AA61" s="303">
        <f t="shared" si="7"/>
        <v>0</v>
      </c>
    </row>
    <row r="62" spans="1:27" x14ac:dyDescent="0.35">
      <c r="A62" s="24">
        <v>48</v>
      </c>
      <c r="B62" s="565" t="str">
        <f>IF('As-Filed Schedule 2L'!B62:D62=0,"",'As-Filed Schedule 2L'!B62:D62)</f>
        <v/>
      </c>
      <c r="C62" s="565"/>
      <c r="D62" s="565"/>
      <c r="F62" s="114">
        <f>'As-Filed Schedule 2L'!F62</f>
        <v>0</v>
      </c>
      <c r="G62" s="307">
        <f>SUMIFS(Adjustments!$G:$G,Adjustments!$H:$H,"2L",Adjustments!$I:$I,'Schedule 2L Adjustments'!$F$12,Adjustments!$J:$J,'Schedule 2L Adjustments'!$A62)</f>
        <v>0</v>
      </c>
      <c r="H62" s="303">
        <f t="shared" si="0"/>
        <v>0</v>
      </c>
      <c r="I62" s="68">
        <f>IFERROR(F62*'As-Filed Schedule 1'!$E$103,0)</f>
        <v>0</v>
      </c>
      <c r="J62" s="304">
        <f>IFERROR(H62*'Adjusted Schedule 1'!$E$104,0)</f>
        <v>0</v>
      </c>
      <c r="K62" s="68">
        <f t="shared" si="1"/>
        <v>0</v>
      </c>
      <c r="L62" s="304">
        <f t="shared" si="2"/>
        <v>0</v>
      </c>
      <c r="N62" s="114">
        <f>'As-Filed Schedule 2L'!J62</f>
        <v>0</v>
      </c>
      <c r="O62" s="307">
        <f>SUMIFS(Adjustments!$G:$G,Adjustments!$H:$H,"2L",Adjustments!$I:$I,'Schedule 2L Adjustments'!$N$12,Adjustments!$J:$J,'Schedule 2L Adjustments'!$A62)</f>
        <v>0</v>
      </c>
      <c r="P62" s="303">
        <f t="shared" si="3"/>
        <v>0</v>
      </c>
      <c r="Q62" s="68">
        <f>IFERROR(N62*'As-Filed Schedule 1'!$E$103,0)</f>
        <v>0</v>
      </c>
      <c r="R62" s="68">
        <f>IFERROR(P62*'Adjusted Schedule 1'!$E$104,0)</f>
        <v>0</v>
      </c>
      <c r="S62" s="68">
        <f t="shared" si="4"/>
        <v>0</v>
      </c>
      <c r="T62" s="304">
        <f t="shared" si="5"/>
        <v>0</v>
      </c>
      <c r="V62" s="117">
        <f>'As-Filed Schedule 2L'!N62</f>
        <v>0</v>
      </c>
      <c r="W62" s="307">
        <f>SUMIFS(Adjustments!$G:$G,Adjustments!$H:$H,"2L",Adjustments!$I:$I,'Schedule 2L Adjustments'!$V$12,Adjustments!$J:$J,'Schedule 2L Adjustments'!$A62)</f>
        <v>0</v>
      </c>
      <c r="X62" s="303">
        <f t="shared" si="6"/>
        <v>0</v>
      </c>
      <c r="Y62" s="117">
        <f>'As-Filed Schedule 2L'!O62</f>
        <v>0</v>
      </c>
      <c r="Z62" s="307">
        <f>SUMIFS(Adjustments!$G:$G,Adjustments!$H:$H,"2L",Adjustments!$I:$I,'Schedule 2L Adjustments'!$Y$12,Adjustments!$J:$J,'Schedule 2L Adjustments'!$A62)</f>
        <v>0</v>
      </c>
      <c r="AA62" s="303">
        <f t="shared" si="7"/>
        <v>0</v>
      </c>
    </row>
    <row r="63" spans="1:27" x14ac:dyDescent="0.35">
      <c r="A63" s="24">
        <v>49</v>
      </c>
      <c r="B63" s="565" t="str">
        <f>IF('As-Filed Schedule 2L'!B63:D63=0,"",'As-Filed Schedule 2L'!B63:D63)</f>
        <v/>
      </c>
      <c r="C63" s="565"/>
      <c r="D63" s="565"/>
      <c r="F63" s="114">
        <f>'As-Filed Schedule 2L'!F63</f>
        <v>0</v>
      </c>
      <c r="G63" s="307">
        <f>SUMIFS(Adjustments!$G:$G,Adjustments!$H:$H,"2L",Adjustments!$I:$I,'Schedule 2L Adjustments'!$F$12,Adjustments!$J:$J,'Schedule 2L Adjustments'!$A63)</f>
        <v>0</v>
      </c>
      <c r="H63" s="303">
        <f t="shared" si="0"/>
        <v>0</v>
      </c>
      <c r="I63" s="68">
        <f>IFERROR(F63*'As-Filed Schedule 1'!$E$103,0)</f>
        <v>0</v>
      </c>
      <c r="J63" s="304">
        <f>IFERROR(H63*'Adjusted Schedule 1'!$E$104,0)</f>
        <v>0</v>
      </c>
      <c r="K63" s="68">
        <f t="shared" si="1"/>
        <v>0</v>
      </c>
      <c r="L63" s="304">
        <f t="shared" si="2"/>
        <v>0</v>
      </c>
      <c r="N63" s="114">
        <f>'As-Filed Schedule 2L'!J63</f>
        <v>0</v>
      </c>
      <c r="O63" s="307">
        <f>SUMIFS(Adjustments!$G:$G,Adjustments!$H:$H,"2L",Adjustments!$I:$I,'Schedule 2L Adjustments'!$N$12,Adjustments!$J:$J,'Schedule 2L Adjustments'!$A63)</f>
        <v>0</v>
      </c>
      <c r="P63" s="303">
        <f t="shared" si="3"/>
        <v>0</v>
      </c>
      <c r="Q63" s="68">
        <f>IFERROR(N63*'As-Filed Schedule 1'!$E$103,0)</f>
        <v>0</v>
      </c>
      <c r="R63" s="68">
        <f>IFERROR(P63*'Adjusted Schedule 1'!$E$104,0)</f>
        <v>0</v>
      </c>
      <c r="S63" s="68">
        <f t="shared" si="4"/>
        <v>0</v>
      </c>
      <c r="T63" s="304">
        <f t="shared" si="5"/>
        <v>0</v>
      </c>
      <c r="V63" s="117">
        <f>'As-Filed Schedule 2L'!N63</f>
        <v>0</v>
      </c>
      <c r="W63" s="307">
        <f>SUMIFS(Adjustments!$G:$G,Adjustments!$H:$H,"2L",Adjustments!$I:$I,'Schedule 2L Adjustments'!$V$12,Adjustments!$J:$J,'Schedule 2L Adjustments'!$A63)</f>
        <v>0</v>
      </c>
      <c r="X63" s="303">
        <f t="shared" si="6"/>
        <v>0</v>
      </c>
      <c r="Y63" s="117">
        <f>'As-Filed Schedule 2L'!O63</f>
        <v>0</v>
      </c>
      <c r="Z63" s="307">
        <f>SUMIFS(Adjustments!$G:$G,Adjustments!$H:$H,"2L",Adjustments!$I:$I,'Schedule 2L Adjustments'!$Y$12,Adjustments!$J:$J,'Schedule 2L Adjustments'!$A63)</f>
        <v>0</v>
      </c>
      <c r="AA63" s="303">
        <f t="shared" si="7"/>
        <v>0</v>
      </c>
    </row>
    <row r="64" spans="1:27" x14ac:dyDescent="0.35">
      <c r="A64" s="24">
        <v>50</v>
      </c>
      <c r="B64" s="565" t="str">
        <f>IF('As-Filed Schedule 2L'!B64:D64=0,"",'As-Filed Schedule 2L'!B64:D64)</f>
        <v/>
      </c>
      <c r="C64" s="565"/>
      <c r="D64" s="565"/>
      <c r="F64" s="114">
        <f>'As-Filed Schedule 2L'!F64</f>
        <v>0</v>
      </c>
      <c r="G64" s="307">
        <f>SUMIFS(Adjustments!$G:$G,Adjustments!$H:$H,"2L",Adjustments!$I:$I,'Schedule 2L Adjustments'!$F$12,Adjustments!$J:$J,'Schedule 2L Adjustments'!$A64)</f>
        <v>0</v>
      </c>
      <c r="H64" s="303">
        <f t="shared" si="0"/>
        <v>0</v>
      </c>
      <c r="I64" s="68">
        <f>IFERROR(F64*'As-Filed Schedule 1'!$E$103,0)</f>
        <v>0</v>
      </c>
      <c r="J64" s="304">
        <f>IFERROR(H64*'Adjusted Schedule 1'!$E$104,0)</f>
        <v>0</v>
      </c>
      <c r="K64" s="68">
        <f t="shared" si="1"/>
        <v>0</v>
      </c>
      <c r="L64" s="304">
        <f t="shared" si="2"/>
        <v>0</v>
      </c>
      <c r="N64" s="114">
        <f>'As-Filed Schedule 2L'!J64</f>
        <v>0</v>
      </c>
      <c r="O64" s="307">
        <f>SUMIFS(Adjustments!$G:$G,Adjustments!$H:$H,"2L",Adjustments!$I:$I,'Schedule 2L Adjustments'!$N$12,Adjustments!$J:$J,'Schedule 2L Adjustments'!$A64)</f>
        <v>0</v>
      </c>
      <c r="P64" s="303">
        <f t="shared" si="3"/>
        <v>0</v>
      </c>
      <c r="Q64" s="68">
        <f>IFERROR(N64*'As-Filed Schedule 1'!$E$103,0)</f>
        <v>0</v>
      </c>
      <c r="R64" s="68">
        <f>IFERROR(P64*'Adjusted Schedule 1'!$E$104,0)</f>
        <v>0</v>
      </c>
      <c r="S64" s="68">
        <f t="shared" si="4"/>
        <v>0</v>
      </c>
      <c r="T64" s="304">
        <f t="shared" si="5"/>
        <v>0</v>
      </c>
      <c r="V64" s="117">
        <f>'As-Filed Schedule 2L'!N64</f>
        <v>0</v>
      </c>
      <c r="W64" s="307">
        <f>SUMIFS(Adjustments!$G:$G,Adjustments!$H:$H,"2L",Adjustments!$I:$I,'Schedule 2L Adjustments'!$V$12,Adjustments!$J:$J,'Schedule 2L Adjustments'!$A64)</f>
        <v>0</v>
      </c>
      <c r="X64" s="303">
        <f t="shared" si="6"/>
        <v>0</v>
      </c>
      <c r="Y64" s="117">
        <f>'As-Filed Schedule 2L'!O64</f>
        <v>0</v>
      </c>
      <c r="Z64" s="307">
        <f>SUMIFS(Adjustments!$G:$G,Adjustments!$H:$H,"2L",Adjustments!$I:$I,'Schedule 2L Adjustments'!$Y$12,Adjustments!$J:$J,'Schedule 2L Adjustments'!$A64)</f>
        <v>0</v>
      </c>
      <c r="AA64" s="303">
        <f t="shared" si="7"/>
        <v>0</v>
      </c>
    </row>
    <row r="65" spans="1:27" x14ac:dyDescent="0.35">
      <c r="A65" s="24">
        <v>51</v>
      </c>
      <c r="B65" s="565" t="str">
        <f>IF('As-Filed Schedule 2L'!B65:D65=0,"",'As-Filed Schedule 2L'!B65:D65)</f>
        <v/>
      </c>
      <c r="C65" s="565"/>
      <c r="D65" s="565"/>
      <c r="F65" s="114">
        <f>'As-Filed Schedule 2L'!F65</f>
        <v>0</v>
      </c>
      <c r="G65" s="307">
        <f>SUMIFS(Adjustments!$G:$G,Adjustments!$H:$H,"2L",Adjustments!$I:$I,'Schedule 2L Adjustments'!$F$12,Adjustments!$J:$J,'Schedule 2L Adjustments'!$A65)</f>
        <v>0</v>
      </c>
      <c r="H65" s="303">
        <f t="shared" si="0"/>
        <v>0</v>
      </c>
      <c r="I65" s="68">
        <f>IFERROR(F65*'As-Filed Schedule 1'!$E$103,0)</f>
        <v>0</v>
      </c>
      <c r="J65" s="304">
        <f>IFERROR(H65*'Adjusted Schedule 1'!$E$104,0)</f>
        <v>0</v>
      </c>
      <c r="K65" s="68">
        <f t="shared" si="1"/>
        <v>0</v>
      </c>
      <c r="L65" s="304">
        <f t="shared" si="2"/>
        <v>0</v>
      </c>
      <c r="N65" s="114">
        <f>'As-Filed Schedule 2L'!J65</f>
        <v>0</v>
      </c>
      <c r="O65" s="307">
        <f>SUMIFS(Adjustments!$G:$G,Adjustments!$H:$H,"2L",Adjustments!$I:$I,'Schedule 2L Adjustments'!$N$12,Adjustments!$J:$J,'Schedule 2L Adjustments'!$A65)</f>
        <v>0</v>
      </c>
      <c r="P65" s="303">
        <f t="shared" si="3"/>
        <v>0</v>
      </c>
      <c r="Q65" s="68">
        <f>IFERROR(N65*'As-Filed Schedule 1'!$E$103,0)</f>
        <v>0</v>
      </c>
      <c r="R65" s="68">
        <f>IFERROR(P65*'Adjusted Schedule 1'!$E$104,0)</f>
        <v>0</v>
      </c>
      <c r="S65" s="68">
        <f t="shared" si="4"/>
        <v>0</v>
      </c>
      <c r="T65" s="304">
        <f t="shared" si="5"/>
        <v>0</v>
      </c>
      <c r="V65" s="117">
        <f>'As-Filed Schedule 2L'!N65</f>
        <v>0</v>
      </c>
      <c r="W65" s="307">
        <f>SUMIFS(Adjustments!$G:$G,Adjustments!$H:$H,"2L",Adjustments!$I:$I,'Schedule 2L Adjustments'!$V$12,Adjustments!$J:$J,'Schedule 2L Adjustments'!$A65)</f>
        <v>0</v>
      </c>
      <c r="X65" s="303">
        <f t="shared" si="6"/>
        <v>0</v>
      </c>
      <c r="Y65" s="117">
        <f>'As-Filed Schedule 2L'!O65</f>
        <v>0</v>
      </c>
      <c r="Z65" s="307">
        <f>SUMIFS(Adjustments!$G:$G,Adjustments!$H:$H,"2L",Adjustments!$I:$I,'Schedule 2L Adjustments'!$Y$12,Adjustments!$J:$J,'Schedule 2L Adjustments'!$A65)</f>
        <v>0</v>
      </c>
      <c r="AA65" s="303">
        <f t="shared" si="7"/>
        <v>0</v>
      </c>
    </row>
    <row r="66" spans="1:27" x14ac:dyDescent="0.35">
      <c r="A66" s="24">
        <v>52</v>
      </c>
      <c r="B66" s="565" t="str">
        <f>IF('As-Filed Schedule 2L'!B66:D66=0,"",'As-Filed Schedule 2L'!B66:D66)</f>
        <v/>
      </c>
      <c r="C66" s="565"/>
      <c r="D66" s="565"/>
      <c r="F66" s="114">
        <f>'As-Filed Schedule 2L'!F66</f>
        <v>0</v>
      </c>
      <c r="G66" s="307">
        <f>SUMIFS(Adjustments!$G:$G,Adjustments!$H:$H,"2L",Adjustments!$I:$I,'Schedule 2L Adjustments'!$F$12,Adjustments!$J:$J,'Schedule 2L Adjustments'!$A66)</f>
        <v>0</v>
      </c>
      <c r="H66" s="303">
        <f t="shared" si="0"/>
        <v>0</v>
      </c>
      <c r="I66" s="68">
        <f>IFERROR(F66*'As-Filed Schedule 1'!$E$103,0)</f>
        <v>0</v>
      </c>
      <c r="J66" s="304">
        <f>IFERROR(H66*'Adjusted Schedule 1'!$E$104,0)</f>
        <v>0</v>
      </c>
      <c r="K66" s="68">
        <f t="shared" si="1"/>
        <v>0</v>
      </c>
      <c r="L66" s="304">
        <f t="shared" si="2"/>
        <v>0</v>
      </c>
      <c r="N66" s="114">
        <f>'As-Filed Schedule 2L'!J66</f>
        <v>0</v>
      </c>
      <c r="O66" s="307">
        <f>SUMIFS(Adjustments!$G:$G,Adjustments!$H:$H,"2L",Adjustments!$I:$I,'Schedule 2L Adjustments'!$N$12,Adjustments!$J:$J,'Schedule 2L Adjustments'!$A66)</f>
        <v>0</v>
      </c>
      <c r="P66" s="303">
        <f t="shared" si="3"/>
        <v>0</v>
      </c>
      <c r="Q66" s="68">
        <f>IFERROR(N66*'As-Filed Schedule 1'!$E$103,0)</f>
        <v>0</v>
      </c>
      <c r="R66" s="68">
        <f>IFERROR(P66*'Adjusted Schedule 1'!$E$104,0)</f>
        <v>0</v>
      </c>
      <c r="S66" s="68">
        <f t="shared" si="4"/>
        <v>0</v>
      </c>
      <c r="T66" s="304">
        <f t="shared" si="5"/>
        <v>0</v>
      </c>
      <c r="V66" s="117">
        <f>'As-Filed Schedule 2L'!N66</f>
        <v>0</v>
      </c>
      <c r="W66" s="307">
        <f>SUMIFS(Adjustments!$G:$G,Adjustments!$H:$H,"2L",Adjustments!$I:$I,'Schedule 2L Adjustments'!$V$12,Adjustments!$J:$J,'Schedule 2L Adjustments'!$A66)</f>
        <v>0</v>
      </c>
      <c r="X66" s="303">
        <f t="shared" si="6"/>
        <v>0</v>
      </c>
      <c r="Y66" s="117">
        <f>'As-Filed Schedule 2L'!O66</f>
        <v>0</v>
      </c>
      <c r="Z66" s="307">
        <f>SUMIFS(Adjustments!$G:$G,Adjustments!$H:$H,"2L",Adjustments!$I:$I,'Schedule 2L Adjustments'!$Y$12,Adjustments!$J:$J,'Schedule 2L Adjustments'!$A66)</f>
        <v>0</v>
      </c>
      <c r="AA66" s="303">
        <f t="shared" si="7"/>
        <v>0</v>
      </c>
    </row>
    <row r="67" spans="1:27" x14ac:dyDescent="0.35">
      <c r="A67" s="24">
        <v>53</v>
      </c>
      <c r="B67" s="565" t="str">
        <f>IF('As-Filed Schedule 2L'!B67:D67=0,"",'As-Filed Schedule 2L'!B67:D67)</f>
        <v/>
      </c>
      <c r="C67" s="565"/>
      <c r="D67" s="565"/>
      <c r="F67" s="114">
        <f>'As-Filed Schedule 2L'!F67</f>
        <v>0</v>
      </c>
      <c r="G67" s="307">
        <f>SUMIFS(Adjustments!$G:$G,Adjustments!$H:$H,"2L",Adjustments!$I:$I,'Schedule 2L Adjustments'!$F$12,Adjustments!$J:$J,'Schedule 2L Adjustments'!$A67)</f>
        <v>0</v>
      </c>
      <c r="H67" s="303">
        <f t="shared" si="0"/>
        <v>0</v>
      </c>
      <c r="I67" s="68">
        <f>IFERROR(F67*'As-Filed Schedule 1'!$E$103,0)</f>
        <v>0</v>
      </c>
      <c r="J67" s="304">
        <f>IFERROR(H67*'Adjusted Schedule 1'!$E$104,0)</f>
        <v>0</v>
      </c>
      <c r="K67" s="68">
        <f t="shared" si="1"/>
        <v>0</v>
      </c>
      <c r="L67" s="304">
        <f t="shared" si="2"/>
        <v>0</v>
      </c>
      <c r="N67" s="114">
        <f>'As-Filed Schedule 2L'!J67</f>
        <v>0</v>
      </c>
      <c r="O67" s="307">
        <f>SUMIFS(Adjustments!$G:$G,Adjustments!$H:$H,"2L",Adjustments!$I:$I,'Schedule 2L Adjustments'!$N$12,Adjustments!$J:$J,'Schedule 2L Adjustments'!$A67)</f>
        <v>0</v>
      </c>
      <c r="P67" s="303">
        <f t="shared" si="3"/>
        <v>0</v>
      </c>
      <c r="Q67" s="68">
        <f>IFERROR(N67*'As-Filed Schedule 1'!$E$103,0)</f>
        <v>0</v>
      </c>
      <c r="R67" s="68">
        <f>IFERROR(P67*'Adjusted Schedule 1'!$E$104,0)</f>
        <v>0</v>
      </c>
      <c r="S67" s="68">
        <f t="shared" si="4"/>
        <v>0</v>
      </c>
      <c r="T67" s="304">
        <f t="shared" si="5"/>
        <v>0</v>
      </c>
      <c r="V67" s="117">
        <f>'As-Filed Schedule 2L'!N67</f>
        <v>0</v>
      </c>
      <c r="W67" s="307">
        <f>SUMIFS(Adjustments!$G:$G,Adjustments!$H:$H,"2L",Adjustments!$I:$I,'Schedule 2L Adjustments'!$V$12,Adjustments!$J:$J,'Schedule 2L Adjustments'!$A67)</f>
        <v>0</v>
      </c>
      <c r="X67" s="303">
        <f t="shared" si="6"/>
        <v>0</v>
      </c>
      <c r="Y67" s="117">
        <f>'As-Filed Schedule 2L'!O67</f>
        <v>0</v>
      </c>
      <c r="Z67" s="307">
        <f>SUMIFS(Adjustments!$G:$G,Adjustments!$H:$H,"2L",Adjustments!$I:$I,'Schedule 2L Adjustments'!$Y$12,Adjustments!$J:$J,'Schedule 2L Adjustments'!$A67)</f>
        <v>0</v>
      </c>
      <c r="AA67" s="303">
        <f t="shared" si="7"/>
        <v>0</v>
      </c>
    </row>
    <row r="68" spans="1:27" x14ac:dyDescent="0.35">
      <c r="A68" s="24">
        <v>54</v>
      </c>
      <c r="B68" s="565" t="str">
        <f>IF('As-Filed Schedule 2L'!B68:D68=0,"",'As-Filed Schedule 2L'!B68:D68)</f>
        <v/>
      </c>
      <c r="C68" s="565"/>
      <c r="D68" s="565"/>
      <c r="F68" s="114">
        <f>'As-Filed Schedule 2L'!F68</f>
        <v>0</v>
      </c>
      <c r="G68" s="307">
        <f>SUMIFS(Adjustments!$G:$G,Adjustments!$H:$H,"2L",Adjustments!$I:$I,'Schedule 2L Adjustments'!$F$12,Adjustments!$J:$J,'Schedule 2L Adjustments'!$A68)</f>
        <v>0</v>
      </c>
      <c r="H68" s="303">
        <f t="shared" si="0"/>
        <v>0</v>
      </c>
      <c r="I68" s="68">
        <f>IFERROR(F68*'As-Filed Schedule 1'!$E$103,0)</f>
        <v>0</v>
      </c>
      <c r="J68" s="304">
        <f>IFERROR(H68*'Adjusted Schedule 1'!$E$104,0)</f>
        <v>0</v>
      </c>
      <c r="K68" s="68">
        <f t="shared" si="1"/>
        <v>0</v>
      </c>
      <c r="L68" s="304">
        <f t="shared" si="2"/>
        <v>0</v>
      </c>
      <c r="N68" s="114">
        <f>'As-Filed Schedule 2L'!J68</f>
        <v>0</v>
      </c>
      <c r="O68" s="307">
        <f>SUMIFS(Adjustments!$G:$G,Adjustments!$H:$H,"2L",Adjustments!$I:$I,'Schedule 2L Adjustments'!$N$12,Adjustments!$J:$J,'Schedule 2L Adjustments'!$A68)</f>
        <v>0</v>
      </c>
      <c r="P68" s="303">
        <f t="shared" si="3"/>
        <v>0</v>
      </c>
      <c r="Q68" s="68">
        <f>IFERROR(N68*'As-Filed Schedule 1'!$E$103,0)</f>
        <v>0</v>
      </c>
      <c r="R68" s="68">
        <f>IFERROR(P68*'Adjusted Schedule 1'!$E$104,0)</f>
        <v>0</v>
      </c>
      <c r="S68" s="68">
        <f t="shared" si="4"/>
        <v>0</v>
      </c>
      <c r="T68" s="304">
        <f t="shared" si="5"/>
        <v>0</v>
      </c>
      <c r="V68" s="117">
        <f>'As-Filed Schedule 2L'!N68</f>
        <v>0</v>
      </c>
      <c r="W68" s="307">
        <f>SUMIFS(Adjustments!$G:$G,Adjustments!$H:$H,"2L",Adjustments!$I:$I,'Schedule 2L Adjustments'!$V$12,Adjustments!$J:$J,'Schedule 2L Adjustments'!$A68)</f>
        <v>0</v>
      </c>
      <c r="X68" s="303">
        <f t="shared" si="6"/>
        <v>0</v>
      </c>
      <c r="Y68" s="117">
        <f>'As-Filed Schedule 2L'!O68</f>
        <v>0</v>
      </c>
      <c r="Z68" s="307">
        <f>SUMIFS(Adjustments!$G:$G,Adjustments!$H:$H,"2L",Adjustments!$I:$I,'Schedule 2L Adjustments'!$Y$12,Adjustments!$J:$J,'Schedule 2L Adjustments'!$A68)</f>
        <v>0</v>
      </c>
      <c r="AA68" s="303">
        <f t="shared" si="7"/>
        <v>0</v>
      </c>
    </row>
    <row r="69" spans="1:27" x14ac:dyDescent="0.35">
      <c r="A69" s="24">
        <v>55</v>
      </c>
      <c r="B69" s="565" t="str">
        <f>IF('As-Filed Schedule 2L'!B69:D69=0,"",'As-Filed Schedule 2L'!B69:D69)</f>
        <v/>
      </c>
      <c r="C69" s="565"/>
      <c r="D69" s="565"/>
      <c r="F69" s="114">
        <f>'As-Filed Schedule 2L'!F69</f>
        <v>0</v>
      </c>
      <c r="G69" s="307">
        <f>SUMIFS(Adjustments!$G:$G,Adjustments!$H:$H,"2L",Adjustments!$I:$I,'Schedule 2L Adjustments'!$F$12,Adjustments!$J:$J,'Schedule 2L Adjustments'!$A69)</f>
        <v>0</v>
      </c>
      <c r="H69" s="303">
        <f t="shared" si="0"/>
        <v>0</v>
      </c>
      <c r="I69" s="68">
        <f>IFERROR(F69*'As-Filed Schedule 1'!$E$103,0)</f>
        <v>0</v>
      </c>
      <c r="J69" s="304">
        <f>IFERROR(H69*'Adjusted Schedule 1'!$E$104,0)</f>
        <v>0</v>
      </c>
      <c r="K69" s="68">
        <f t="shared" si="1"/>
        <v>0</v>
      </c>
      <c r="L69" s="304">
        <f t="shared" si="2"/>
        <v>0</v>
      </c>
      <c r="N69" s="114">
        <f>'As-Filed Schedule 2L'!J69</f>
        <v>0</v>
      </c>
      <c r="O69" s="307">
        <f>SUMIFS(Adjustments!$G:$G,Adjustments!$H:$H,"2L",Adjustments!$I:$I,'Schedule 2L Adjustments'!$N$12,Adjustments!$J:$J,'Schedule 2L Adjustments'!$A69)</f>
        <v>0</v>
      </c>
      <c r="P69" s="303">
        <f t="shared" si="3"/>
        <v>0</v>
      </c>
      <c r="Q69" s="68">
        <f>IFERROR(N69*'As-Filed Schedule 1'!$E$103,0)</f>
        <v>0</v>
      </c>
      <c r="R69" s="68">
        <f>IFERROR(P69*'Adjusted Schedule 1'!$E$104,0)</f>
        <v>0</v>
      </c>
      <c r="S69" s="68">
        <f t="shared" si="4"/>
        <v>0</v>
      </c>
      <c r="T69" s="304">
        <f t="shared" si="5"/>
        <v>0</v>
      </c>
      <c r="V69" s="117">
        <f>'As-Filed Schedule 2L'!N69</f>
        <v>0</v>
      </c>
      <c r="W69" s="307">
        <f>SUMIFS(Adjustments!$G:$G,Adjustments!$H:$H,"2L",Adjustments!$I:$I,'Schedule 2L Adjustments'!$V$12,Adjustments!$J:$J,'Schedule 2L Adjustments'!$A69)</f>
        <v>0</v>
      </c>
      <c r="X69" s="303">
        <f t="shared" si="6"/>
        <v>0</v>
      </c>
      <c r="Y69" s="117">
        <f>'As-Filed Schedule 2L'!O69</f>
        <v>0</v>
      </c>
      <c r="Z69" s="307">
        <f>SUMIFS(Adjustments!$G:$G,Adjustments!$H:$H,"2L",Adjustments!$I:$I,'Schedule 2L Adjustments'!$Y$12,Adjustments!$J:$J,'Schedule 2L Adjustments'!$A69)</f>
        <v>0</v>
      </c>
      <c r="AA69" s="303">
        <f t="shared" si="7"/>
        <v>0</v>
      </c>
    </row>
    <row r="70" spans="1:27" x14ac:dyDescent="0.35">
      <c r="A70" s="24">
        <v>56</v>
      </c>
      <c r="B70" s="565" t="str">
        <f>IF('As-Filed Schedule 2L'!B70:D70=0,"",'As-Filed Schedule 2L'!B70:D70)</f>
        <v/>
      </c>
      <c r="C70" s="565"/>
      <c r="D70" s="565"/>
      <c r="F70" s="114">
        <f>'As-Filed Schedule 2L'!F70</f>
        <v>0</v>
      </c>
      <c r="G70" s="307">
        <f>SUMIFS(Adjustments!$G:$G,Adjustments!$H:$H,"2L",Adjustments!$I:$I,'Schedule 2L Adjustments'!$F$12,Adjustments!$J:$J,'Schedule 2L Adjustments'!$A70)</f>
        <v>0</v>
      </c>
      <c r="H70" s="303">
        <f t="shared" si="0"/>
        <v>0</v>
      </c>
      <c r="I70" s="68">
        <f>IFERROR(F70*'As-Filed Schedule 1'!$E$103,0)</f>
        <v>0</v>
      </c>
      <c r="J70" s="304">
        <f>IFERROR(H70*'Adjusted Schedule 1'!$E$104,0)</f>
        <v>0</v>
      </c>
      <c r="K70" s="68">
        <f t="shared" si="1"/>
        <v>0</v>
      </c>
      <c r="L70" s="304">
        <f t="shared" si="2"/>
        <v>0</v>
      </c>
      <c r="N70" s="114">
        <f>'As-Filed Schedule 2L'!J70</f>
        <v>0</v>
      </c>
      <c r="O70" s="307">
        <f>SUMIFS(Adjustments!$G:$G,Adjustments!$H:$H,"2L",Adjustments!$I:$I,'Schedule 2L Adjustments'!$N$12,Adjustments!$J:$J,'Schedule 2L Adjustments'!$A70)</f>
        <v>0</v>
      </c>
      <c r="P70" s="303">
        <f t="shared" si="3"/>
        <v>0</v>
      </c>
      <c r="Q70" s="68">
        <f>IFERROR(N70*'As-Filed Schedule 1'!$E$103,0)</f>
        <v>0</v>
      </c>
      <c r="R70" s="68">
        <f>IFERROR(P70*'Adjusted Schedule 1'!$E$104,0)</f>
        <v>0</v>
      </c>
      <c r="S70" s="68">
        <f t="shared" si="4"/>
        <v>0</v>
      </c>
      <c r="T70" s="304">
        <f t="shared" si="5"/>
        <v>0</v>
      </c>
      <c r="V70" s="117">
        <f>'As-Filed Schedule 2L'!N70</f>
        <v>0</v>
      </c>
      <c r="W70" s="307">
        <f>SUMIFS(Adjustments!$G:$G,Adjustments!$H:$H,"2L",Adjustments!$I:$I,'Schedule 2L Adjustments'!$V$12,Adjustments!$J:$J,'Schedule 2L Adjustments'!$A70)</f>
        <v>0</v>
      </c>
      <c r="X70" s="303">
        <f t="shared" si="6"/>
        <v>0</v>
      </c>
      <c r="Y70" s="117">
        <f>'As-Filed Schedule 2L'!O70</f>
        <v>0</v>
      </c>
      <c r="Z70" s="307">
        <f>SUMIFS(Adjustments!$G:$G,Adjustments!$H:$H,"2L",Adjustments!$I:$I,'Schedule 2L Adjustments'!$Y$12,Adjustments!$J:$J,'Schedule 2L Adjustments'!$A70)</f>
        <v>0</v>
      </c>
      <c r="AA70" s="303">
        <f t="shared" si="7"/>
        <v>0</v>
      </c>
    </row>
    <row r="71" spans="1:27" x14ac:dyDescent="0.35">
      <c r="A71" s="24">
        <v>57</v>
      </c>
      <c r="B71" s="565" t="str">
        <f>IF('As-Filed Schedule 2L'!B71:D71=0,"",'As-Filed Schedule 2L'!B71:D71)</f>
        <v/>
      </c>
      <c r="C71" s="565"/>
      <c r="D71" s="565"/>
      <c r="F71" s="114">
        <f>'As-Filed Schedule 2L'!F71</f>
        <v>0</v>
      </c>
      <c r="G71" s="307">
        <f>SUMIFS(Adjustments!$G:$G,Adjustments!$H:$H,"2L",Adjustments!$I:$I,'Schedule 2L Adjustments'!$F$12,Adjustments!$J:$J,'Schedule 2L Adjustments'!$A71)</f>
        <v>0</v>
      </c>
      <c r="H71" s="303">
        <f t="shared" si="0"/>
        <v>0</v>
      </c>
      <c r="I71" s="68">
        <f>IFERROR(F71*'As-Filed Schedule 1'!$E$103,0)</f>
        <v>0</v>
      </c>
      <c r="J71" s="304">
        <f>IFERROR(H71*'Adjusted Schedule 1'!$E$104,0)</f>
        <v>0</v>
      </c>
      <c r="K71" s="68">
        <f t="shared" si="1"/>
        <v>0</v>
      </c>
      <c r="L71" s="304">
        <f t="shared" si="2"/>
        <v>0</v>
      </c>
      <c r="N71" s="114">
        <f>'As-Filed Schedule 2L'!J71</f>
        <v>0</v>
      </c>
      <c r="O71" s="307">
        <f>SUMIFS(Adjustments!$G:$G,Adjustments!$H:$H,"2L",Adjustments!$I:$I,'Schedule 2L Adjustments'!$N$12,Adjustments!$J:$J,'Schedule 2L Adjustments'!$A71)</f>
        <v>0</v>
      </c>
      <c r="P71" s="303">
        <f t="shared" si="3"/>
        <v>0</v>
      </c>
      <c r="Q71" s="68">
        <f>IFERROR(N71*'As-Filed Schedule 1'!$E$103,0)</f>
        <v>0</v>
      </c>
      <c r="R71" s="68">
        <f>IFERROR(P71*'Adjusted Schedule 1'!$E$104,0)</f>
        <v>0</v>
      </c>
      <c r="S71" s="68">
        <f t="shared" si="4"/>
        <v>0</v>
      </c>
      <c r="T71" s="304">
        <f t="shared" si="5"/>
        <v>0</v>
      </c>
      <c r="V71" s="117">
        <f>'As-Filed Schedule 2L'!N71</f>
        <v>0</v>
      </c>
      <c r="W71" s="307">
        <f>SUMIFS(Adjustments!$G:$G,Adjustments!$H:$H,"2L",Adjustments!$I:$I,'Schedule 2L Adjustments'!$V$12,Adjustments!$J:$J,'Schedule 2L Adjustments'!$A71)</f>
        <v>0</v>
      </c>
      <c r="X71" s="303">
        <f t="shared" si="6"/>
        <v>0</v>
      </c>
      <c r="Y71" s="117">
        <f>'As-Filed Schedule 2L'!O71</f>
        <v>0</v>
      </c>
      <c r="Z71" s="307">
        <f>SUMIFS(Adjustments!$G:$G,Adjustments!$H:$H,"2L",Adjustments!$I:$I,'Schedule 2L Adjustments'!$Y$12,Adjustments!$J:$J,'Schedule 2L Adjustments'!$A71)</f>
        <v>0</v>
      </c>
      <c r="AA71" s="303">
        <f t="shared" si="7"/>
        <v>0</v>
      </c>
    </row>
    <row r="72" spans="1:27" x14ac:dyDescent="0.35">
      <c r="A72" s="24">
        <v>58</v>
      </c>
      <c r="B72" s="565" t="str">
        <f>IF('As-Filed Schedule 2L'!B72:D72=0,"",'As-Filed Schedule 2L'!B72:D72)</f>
        <v/>
      </c>
      <c r="C72" s="565"/>
      <c r="D72" s="565"/>
      <c r="F72" s="114">
        <f>'As-Filed Schedule 2L'!F72</f>
        <v>0</v>
      </c>
      <c r="G72" s="307">
        <f>SUMIFS(Adjustments!$G:$G,Adjustments!$H:$H,"2L",Adjustments!$I:$I,'Schedule 2L Adjustments'!$F$12,Adjustments!$J:$J,'Schedule 2L Adjustments'!$A72)</f>
        <v>0</v>
      </c>
      <c r="H72" s="303">
        <f t="shared" si="0"/>
        <v>0</v>
      </c>
      <c r="I72" s="68">
        <f>IFERROR(F72*'As-Filed Schedule 1'!$E$103,0)</f>
        <v>0</v>
      </c>
      <c r="J72" s="304">
        <f>IFERROR(H72*'Adjusted Schedule 1'!$E$104,0)</f>
        <v>0</v>
      </c>
      <c r="K72" s="68">
        <f t="shared" si="1"/>
        <v>0</v>
      </c>
      <c r="L72" s="304">
        <f t="shared" si="2"/>
        <v>0</v>
      </c>
      <c r="N72" s="114">
        <f>'As-Filed Schedule 2L'!J72</f>
        <v>0</v>
      </c>
      <c r="O72" s="307">
        <f>SUMIFS(Adjustments!$G:$G,Adjustments!$H:$H,"2L",Adjustments!$I:$I,'Schedule 2L Adjustments'!$N$12,Adjustments!$J:$J,'Schedule 2L Adjustments'!$A72)</f>
        <v>0</v>
      </c>
      <c r="P72" s="303">
        <f t="shared" si="3"/>
        <v>0</v>
      </c>
      <c r="Q72" s="68">
        <f>IFERROR(N72*'As-Filed Schedule 1'!$E$103,0)</f>
        <v>0</v>
      </c>
      <c r="R72" s="68">
        <f>IFERROR(P72*'Adjusted Schedule 1'!$E$104,0)</f>
        <v>0</v>
      </c>
      <c r="S72" s="68">
        <f t="shared" si="4"/>
        <v>0</v>
      </c>
      <c r="T72" s="304">
        <f t="shared" si="5"/>
        <v>0</v>
      </c>
      <c r="V72" s="117">
        <f>'As-Filed Schedule 2L'!N72</f>
        <v>0</v>
      </c>
      <c r="W72" s="307">
        <f>SUMIFS(Adjustments!$G:$G,Adjustments!$H:$H,"2L",Adjustments!$I:$I,'Schedule 2L Adjustments'!$V$12,Adjustments!$J:$J,'Schedule 2L Adjustments'!$A72)</f>
        <v>0</v>
      </c>
      <c r="X72" s="303">
        <f t="shared" si="6"/>
        <v>0</v>
      </c>
      <c r="Y72" s="117">
        <f>'As-Filed Schedule 2L'!O72</f>
        <v>0</v>
      </c>
      <c r="Z72" s="307">
        <f>SUMIFS(Adjustments!$G:$G,Adjustments!$H:$H,"2L",Adjustments!$I:$I,'Schedule 2L Adjustments'!$Y$12,Adjustments!$J:$J,'Schedule 2L Adjustments'!$A72)</f>
        <v>0</v>
      </c>
      <c r="AA72" s="303">
        <f t="shared" si="7"/>
        <v>0</v>
      </c>
    </row>
    <row r="73" spans="1:27" x14ac:dyDescent="0.35">
      <c r="A73" s="24">
        <v>59</v>
      </c>
      <c r="F73" s="18">
        <f>SUM(F15:F72)</f>
        <v>0</v>
      </c>
      <c r="G73" s="18">
        <f>SUM(G15:G72)</f>
        <v>0</v>
      </c>
      <c r="H73" s="18">
        <f t="shared" ref="H73:K73" si="8">SUM(H15:H72)</f>
        <v>0</v>
      </c>
      <c r="I73" s="18">
        <f t="shared" si="8"/>
        <v>0</v>
      </c>
      <c r="J73" s="304">
        <f>IFERROR(H73*'Adjusted Schedule 1'!$E$104,0)</f>
        <v>0</v>
      </c>
      <c r="K73" s="18">
        <f t="shared" si="8"/>
        <v>0</v>
      </c>
      <c r="L73" s="305">
        <f t="shared" ref="L73" si="9">SUM(L15:L72)</f>
        <v>0</v>
      </c>
      <c r="N73" s="18">
        <f>SUM(N15:N72)</f>
        <v>0</v>
      </c>
      <c r="O73" s="18">
        <f t="shared" ref="O73:S73" si="10">SUM(O15:O72)</f>
        <v>0</v>
      </c>
      <c r="P73" s="18">
        <f t="shared" si="10"/>
        <v>0</v>
      </c>
      <c r="Q73" s="18">
        <f t="shared" si="10"/>
        <v>0</v>
      </c>
      <c r="R73" s="18">
        <f t="shared" si="10"/>
        <v>0</v>
      </c>
      <c r="S73" s="18">
        <f t="shared" si="10"/>
        <v>0</v>
      </c>
      <c r="T73" s="305">
        <f>SUM(T15:T72)</f>
        <v>0</v>
      </c>
      <c r="Y73" s="83" t="s">
        <v>313</v>
      </c>
      <c r="Z73" s="325"/>
      <c r="AA73" s="322"/>
    </row>
    <row r="74" spans="1:27" ht="15" thickBot="1" x14ac:dyDescent="0.4">
      <c r="K74" s="37" t="s">
        <v>257</v>
      </c>
      <c r="L74" s="318" t="s">
        <v>257</v>
      </c>
      <c r="S74" s="37" t="s">
        <v>258</v>
      </c>
      <c r="T74" s="318" t="s">
        <v>258</v>
      </c>
    </row>
    <row r="75" spans="1:27" s="72" customFormat="1" ht="16" thickBot="1" x14ac:dyDescent="0.4">
      <c r="A75" s="24">
        <v>60</v>
      </c>
      <c r="B75" s="73" t="s">
        <v>817</v>
      </c>
      <c r="F75" s="75">
        <f>K73+S73</f>
        <v>0</v>
      </c>
      <c r="G75"/>
      <c r="H75" s="75">
        <f>L73+T73</f>
        <v>0</v>
      </c>
      <c r="I75" s="74"/>
      <c r="J75" s="319"/>
      <c r="K75" s="74"/>
      <c r="L75" s="319"/>
      <c r="N75" s="74"/>
      <c r="O75" s="326"/>
      <c r="P75" s="319"/>
      <c r="Q75" s="74"/>
      <c r="R75" s="319"/>
      <c r="T75" s="321"/>
      <c r="W75" s="324"/>
      <c r="X75" s="321"/>
      <c r="Z75" s="324"/>
      <c r="AA75" s="321"/>
    </row>
  </sheetData>
  <sheetProtection sheet="1" objects="1" scenarios="1"/>
  <customSheetViews>
    <customSheetView guid="{17302493-42B1-4877-869E-E424A97AE78B}" state="hidden" topLeftCell="S1">
      <selection activeCell="F17" sqref="F17"/>
      <pageMargins left="0.7" right="0.7" top="0.75" bottom="0.75" header="0.3" footer="0.3"/>
    </customSheetView>
    <customSheetView guid="{5C0BA3A5-859C-46C2-B685-44D9A90065E4}" topLeftCell="S1">
      <selection activeCell="F9" sqref="F9"/>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AA75"/>
  <sheetViews>
    <sheetView topLeftCell="S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53"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53"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53" customWidth="1"/>
    <col min="24" max="24" width="13.26953125" style="48" customWidth="1"/>
    <col min="25" max="25" width="12" customWidth="1"/>
    <col min="26" max="26" width="16.1796875" style="253" customWidth="1"/>
    <col min="27" max="27" width="12" style="48" customWidth="1"/>
  </cols>
  <sheetData>
    <row r="1" spans="1:27" ht="26" x14ac:dyDescent="0.6">
      <c r="A1" s="3" t="s">
        <v>777</v>
      </c>
    </row>
    <row r="2" spans="1:27" ht="21" x14ac:dyDescent="0.5">
      <c r="A2" s="2" t="s">
        <v>775</v>
      </c>
    </row>
    <row r="3" spans="1:27" ht="25" customHeight="1" x14ac:dyDescent="0.5">
      <c r="A3" s="546" t="s">
        <v>850</v>
      </c>
      <c r="B3" s="546"/>
      <c r="C3" s="546"/>
      <c r="D3" s="546"/>
      <c r="E3" s="546"/>
      <c r="F3" s="546"/>
      <c r="G3" s="546"/>
      <c r="H3" s="546"/>
      <c r="I3" s="546"/>
      <c r="J3" s="546"/>
      <c r="K3" s="546"/>
      <c r="L3" s="315"/>
    </row>
    <row r="4" spans="1:27" ht="21" customHeight="1" x14ac:dyDescent="0.5">
      <c r="A4" s="234" t="s">
        <v>837</v>
      </c>
    </row>
    <row r="5" spans="1:27" x14ac:dyDescent="0.35">
      <c r="A5" s="1" t="s">
        <v>776</v>
      </c>
      <c r="C5" s="414" t="str">
        <f>Results!$C$6</f>
        <v>WellPower</v>
      </c>
    </row>
    <row r="6" spans="1:27" x14ac:dyDescent="0.35">
      <c r="A6" s="1" t="s">
        <v>0</v>
      </c>
      <c r="C6" s="35">
        <f>Results!$C$7</f>
        <v>45473</v>
      </c>
      <c r="F6" s="35"/>
      <c r="G6" s="313"/>
      <c r="H6" s="60"/>
    </row>
    <row r="8" spans="1:27" x14ac:dyDescent="0.35">
      <c r="A8" s="1" t="s">
        <v>253</v>
      </c>
      <c r="B8" s="1" t="s">
        <v>838</v>
      </c>
      <c r="C8" s="1"/>
      <c r="I8" s="116" t="str">
        <f>'As-Filed Schedule 2M'!K8</f>
        <v>Yes/No</v>
      </c>
      <c r="J8" s="41" t="s">
        <v>259</v>
      </c>
    </row>
    <row r="10" spans="1:27" x14ac:dyDescent="0.35">
      <c r="A10" s="1" t="s">
        <v>254</v>
      </c>
      <c r="B10" s="1" t="s">
        <v>256</v>
      </c>
      <c r="C10" s="1"/>
    </row>
    <row r="12" spans="1:27" x14ac:dyDescent="0.35">
      <c r="B12" s="560">
        <v>1</v>
      </c>
      <c r="C12" s="560"/>
      <c r="D12" s="560"/>
      <c r="F12" s="23">
        <v>2</v>
      </c>
      <c r="G12" s="248" t="s">
        <v>550</v>
      </c>
      <c r="H12" s="249" t="s">
        <v>551</v>
      </c>
      <c r="I12" s="23">
        <v>3</v>
      </c>
      <c r="J12" s="249" t="s">
        <v>555</v>
      </c>
      <c r="K12" s="23">
        <v>4</v>
      </c>
      <c r="L12" s="249" t="s">
        <v>559</v>
      </c>
      <c r="N12" s="23">
        <v>5</v>
      </c>
      <c r="O12" s="248" t="s">
        <v>560</v>
      </c>
      <c r="P12" s="249" t="s">
        <v>561</v>
      </c>
      <c r="Q12" s="23">
        <v>6</v>
      </c>
      <c r="R12" s="249" t="s">
        <v>565</v>
      </c>
      <c r="S12" s="23">
        <v>7</v>
      </c>
      <c r="T12" s="249" t="s">
        <v>569</v>
      </c>
      <c r="V12" s="23">
        <v>8</v>
      </c>
      <c r="W12" s="248" t="s">
        <v>610</v>
      </c>
      <c r="X12" s="249" t="s">
        <v>623</v>
      </c>
      <c r="Y12" s="23">
        <v>9</v>
      </c>
      <c r="Z12" s="248" t="s">
        <v>612</v>
      </c>
      <c r="AA12" s="249" t="s">
        <v>613</v>
      </c>
    </row>
    <row r="13" spans="1:27" ht="15" customHeight="1" x14ac:dyDescent="0.35">
      <c r="B13" s="561" t="s">
        <v>255</v>
      </c>
      <c r="C13" s="561"/>
      <c r="D13" s="561"/>
      <c r="F13" s="563" t="s">
        <v>261</v>
      </c>
      <c r="G13" s="568"/>
      <c r="H13" s="568"/>
      <c r="I13" s="568"/>
      <c r="J13" s="568"/>
      <c r="K13" s="568"/>
      <c r="L13" s="564"/>
      <c r="N13" s="563" t="s">
        <v>262</v>
      </c>
      <c r="O13" s="568"/>
      <c r="P13" s="568"/>
      <c r="Q13" s="568"/>
      <c r="R13" s="568"/>
      <c r="S13" s="568"/>
      <c r="T13" s="564"/>
      <c r="V13" s="562" t="s">
        <v>250</v>
      </c>
      <c r="W13" s="621" t="s">
        <v>614</v>
      </c>
      <c r="X13" s="622" t="s">
        <v>615</v>
      </c>
      <c r="Y13" s="562" t="s">
        <v>312</v>
      </c>
      <c r="Z13" s="621" t="s">
        <v>624</v>
      </c>
      <c r="AA13" s="622" t="s">
        <v>625</v>
      </c>
    </row>
    <row r="14" spans="1:27" ht="55.5" customHeight="1" x14ac:dyDescent="0.35">
      <c r="B14" s="561"/>
      <c r="C14" s="561"/>
      <c r="D14" s="561"/>
      <c r="E14" s="48"/>
      <c r="F14" s="10" t="s">
        <v>214</v>
      </c>
      <c r="G14" s="250" t="s">
        <v>603</v>
      </c>
      <c r="H14" s="251" t="s">
        <v>604</v>
      </c>
      <c r="I14" s="142" t="s">
        <v>493</v>
      </c>
      <c r="J14" s="251" t="s">
        <v>607</v>
      </c>
      <c r="K14" s="142" t="s">
        <v>215</v>
      </c>
      <c r="L14" s="251" t="s">
        <v>609</v>
      </c>
      <c r="M14" s="48"/>
      <c r="N14" s="142" t="s">
        <v>214</v>
      </c>
      <c r="O14" s="250" t="s">
        <v>603</v>
      </c>
      <c r="P14" s="251" t="s">
        <v>604</v>
      </c>
      <c r="Q14" s="142" t="s">
        <v>493</v>
      </c>
      <c r="R14" s="251" t="s">
        <v>607</v>
      </c>
      <c r="S14" s="10" t="s">
        <v>215</v>
      </c>
      <c r="T14" s="251" t="s">
        <v>609</v>
      </c>
      <c r="U14" s="48"/>
      <c r="V14" s="562"/>
      <c r="W14" s="621"/>
      <c r="X14" s="622"/>
      <c r="Y14" s="562"/>
      <c r="Z14" s="621"/>
      <c r="AA14" s="622"/>
    </row>
    <row r="15" spans="1:27" x14ac:dyDescent="0.35">
      <c r="A15" s="24">
        <v>1</v>
      </c>
      <c r="B15" s="565" t="str">
        <f>IF('As-Filed Schedule 2M'!B15:D15=0,"",'As-Filed Schedule 2M'!B15:D15)</f>
        <v/>
      </c>
      <c r="C15" s="565"/>
      <c r="D15" s="565"/>
      <c r="F15" s="114">
        <f>'As-Filed Schedule 2M'!F15</f>
        <v>0</v>
      </c>
      <c r="G15" s="307">
        <f>SUMIFS(Adjustments!$G:$G,Adjustments!$H:$H,"2M",Adjustments!$I:$I,'Schedule 2M Adjustments'!$F$12,Adjustments!$J:$J,'Schedule 2M Adjustments'!$A15)</f>
        <v>0</v>
      </c>
      <c r="H15" s="303">
        <f>SUM(F15:G15)</f>
        <v>0</v>
      </c>
      <c r="I15" s="68">
        <f>IFERROR(F15*'As-Filed Schedule 1'!$E$103,0)</f>
        <v>0</v>
      </c>
      <c r="J15" s="304">
        <f>IFERROR(H15*'Adjusted Schedule 1'!$E$104,0)</f>
        <v>0</v>
      </c>
      <c r="K15" s="68">
        <f>SUM(F15,I15)</f>
        <v>0</v>
      </c>
      <c r="L15" s="304">
        <f>SUM(H15,J15)</f>
        <v>0</v>
      </c>
      <c r="N15" s="114">
        <f>'As-Filed Schedule 2M'!J15</f>
        <v>0</v>
      </c>
      <c r="O15" s="307">
        <f>SUMIFS(Adjustments!$G:$G,Adjustments!$H:$H,"2M",Adjustments!$I:$I,'Schedule 2M Adjustments'!$N$12,Adjustments!$J:$J,'Schedule 2M Adjustments'!$A15)</f>
        <v>0</v>
      </c>
      <c r="P15" s="303">
        <f>SUM(N15:O15)</f>
        <v>0</v>
      </c>
      <c r="Q15" s="68">
        <f>IFERROR(N15*'As-Filed Schedule 1'!$E$103,0)</f>
        <v>0</v>
      </c>
      <c r="R15" s="68">
        <f>IFERROR(P15*'Adjusted Schedule 1'!$E$104,0)</f>
        <v>0</v>
      </c>
      <c r="S15" s="68">
        <f>SUM(N15,Q15)</f>
        <v>0</v>
      </c>
      <c r="T15" s="304">
        <f>SUM(P15,R15)</f>
        <v>0</v>
      </c>
      <c r="V15" s="117">
        <f>'As-Filed Schedule 2M'!N15</f>
        <v>0</v>
      </c>
      <c r="W15" s="307">
        <f>SUMIFS(Adjustments!$G:$G,Adjustments!$H:$H,"2M",Adjustments!$I:$I,'Schedule 2M Adjustments'!$V$12,Adjustments!$J:$J,'Schedule 2M Adjustments'!$A15)</f>
        <v>0</v>
      </c>
      <c r="X15" s="303">
        <f>SUM(V15:W15)</f>
        <v>0</v>
      </c>
      <c r="Y15" s="117">
        <f>'As-Filed Schedule 2M'!O15</f>
        <v>0</v>
      </c>
      <c r="Z15" s="307">
        <f>SUMIFS(Adjustments!$G:$G,Adjustments!$H:$H,"2M",Adjustments!$I:$I,'Schedule 2M Adjustments'!$Y$12,Adjustments!$J:$J,'Schedule 2M Adjustments'!$A15)</f>
        <v>0</v>
      </c>
      <c r="AA15" s="303">
        <f>SUM(Y15:Z15)</f>
        <v>0</v>
      </c>
    </row>
    <row r="16" spans="1:27" x14ac:dyDescent="0.35">
      <c r="A16" s="24">
        <v>2</v>
      </c>
      <c r="B16" s="565" t="str">
        <f>IF('As-Filed Schedule 2M'!B16:D16=0,"",'As-Filed Schedule 2M'!B16:D16)</f>
        <v/>
      </c>
      <c r="C16" s="565"/>
      <c r="D16" s="565"/>
      <c r="F16" s="114">
        <f>'As-Filed Schedule 2M'!F16</f>
        <v>0</v>
      </c>
      <c r="G16" s="307">
        <f>SUMIFS(Adjustments!$G:$G,Adjustments!$H:$H,"2M",Adjustments!$I:$I,'Schedule 2M Adjustments'!$F$12,Adjustments!$J:$J,'Schedule 2M Adjustments'!$A16)</f>
        <v>0</v>
      </c>
      <c r="H16" s="303">
        <f t="shared" ref="H16:H72" si="0">SUM(F16:G16)</f>
        <v>0</v>
      </c>
      <c r="I16" s="68">
        <f>IFERROR(F16*'As-Filed Schedule 1'!$E$103,0)</f>
        <v>0</v>
      </c>
      <c r="J16" s="304">
        <f>IFERROR(H16*'Adjusted Schedule 1'!$E$104,0)</f>
        <v>0</v>
      </c>
      <c r="K16" s="68">
        <f t="shared" ref="K16:K72" si="1">SUM(F16,I16)</f>
        <v>0</v>
      </c>
      <c r="L16" s="304">
        <f t="shared" ref="L16:L72" si="2">SUM(H16,J16)</f>
        <v>0</v>
      </c>
      <c r="N16" s="114">
        <f>'As-Filed Schedule 2M'!J16</f>
        <v>0</v>
      </c>
      <c r="O16" s="307">
        <f>SUMIFS(Adjustments!$G:$G,Adjustments!$H:$H,"2M",Adjustments!$I:$I,'Schedule 2M Adjustments'!$N$12,Adjustments!$J:$J,'Schedule 2M Adjustments'!$A16)</f>
        <v>0</v>
      </c>
      <c r="P16" s="303">
        <f t="shared" ref="P16:P72" si="3">SUM(N16:O16)</f>
        <v>0</v>
      </c>
      <c r="Q16" s="68">
        <f>IFERROR(N16*'As-Filed Schedule 1'!$E$103,0)</f>
        <v>0</v>
      </c>
      <c r="R16" s="68">
        <f>IFERROR(P16*'Adjusted Schedule 1'!$E$104,0)</f>
        <v>0</v>
      </c>
      <c r="S16" s="68">
        <f t="shared" ref="S16:S72" si="4">SUM(N16,Q16)</f>
        <v>0</v>
      </c>
      <c r="T16" s="304">
        <f t="shared" ref="T16:T72" si="5">SUM(P16,R16)</f>
        <v>0</v>
      </c>
      <c r="V16" s="117">
        <f>'As-Filed Schedule 2M'!N16</f>
        <v>0</v>
      </c>
      <c r="W16" s="307">
        <f>SUMIFS(Adjustments!$G:$G,Adjustments!$H:$H,"2M",Adjustments!$I:$I,'Schedule 2M Adjustments'!$V$12,Adjustments!$J:$J,'Schedule 2M Adjustments'!$A16)</f>
        <v>0</v>
      </c>
      <c r="X16" s="303">
        <f t="shared" ref="X16:X72" si="6">SUM(V16:W16)</f>
        <v>0</v>
      </c>
      <c r="Y16" s="117">
        <f>'As-Filed Schedule 2M'!O16</f>
        <v>0</v>
      </c>
      <c r="Z16" s="307">
        <f>SUMIFS(Adjustments!$G:$G,Adjustments!$H:$H,"2M",Adjustments!$I:$I,'Schedule 2M Adjustments'!$Y$12,Adjustments!$J:$J,'Schedule 2M Adjustments'!$A16)</f>
        <v>0</v>
      </c>
      <c r="AA16" s="303">
        <f t="shared" ref="AA16:AA72" si="7">SUM(Y16:Z16)</f>
        <v>0</v>
      </c>
    </row>
    <row r="17" spans="1:27" x14ac:dyDescent="0.35">
      <c r="A17" s="24">
        <v>3</v>
      </c>
      <c r="B17" s="565" t="str">
        <f>IF('As-Filed Schedule 2M'!B17:D17=0,"",'As-Filed Schedule 2M'!B17:D17)</f>
        <v/>
      </c>
      <c r="C17" s="565"/>
      <c r="D17" s="565"/>
      <c r="F17" s="114">
        <f>'As-Filed Schedule 2M'!F17</f>
        <v>0</v>
      </c>
      <c r="G17" s="307">
        <f>SUMIFS(Adjustments!$G:$G,Adjustments!$H:$H,"2M",Adjustments!$I:$I,'Schedule 2M Adjustments'!$F$12,Adjustments!$J:$J,'Schedule 2M Adjustments'!$A17)</f>
        <v>0</v>
      </c>
      <c r="H17" s="303">
        <f t="shared" si="0"/>
        <v>0</v>
      </c>
      <c r="I17" s="68">
        <f>IFERROR(F17*'As-Filed Schedule 1'!$E$103,0)</f>
        <v>0</v>
      </c>
      <c r="J17" s="304">
        <f>IFERROR(H17*'Adjusted Schedule 1'!$E$104,0)</f>
        <v>0</v>
      </c>
      <c r="K17" s="68">
        <f t="shared" si="1"/>
        <v>0</v>
      </c>
      <c r="L17" s="304">
        <f t="shared" si="2"/>
        <v>0</v>
      </c>
      <c r="N17" s="114">
        <f>'As-Filed Schedule 2M'!J17</f>
        <v>0</v>
      </c>
      <c r="O17" s="307">
        <f>SUMIFS(Adjustments!$G:$G,Adjustments!$H:$H,"2M",Adjustments!$I:$I,'Schedule 2M Adjustments'!$N$12,Adjustments!$J:$J,'Schedule 2M Adjustments'!$A17)</f>
        <v>0</v>
      </c>
      <c r="P17" s="303">
        <f t="shared" si="3"/>
        <v>0</v>
      </c>
      <c r="Q17" s="68">
        <f>IFERROR(N17*'As-Filed Schedule 1'!$E$103,0)</f>
        <v>0</v>
      </c>
      <c r="R17" s="68">
        <f>IFERROR(P17*'Adjusted Schedule 1'!$E$104,0)</f>
        <v>0</v>
      </c>
      <c r="S17" s="68">
        <f t="shared" si="4"/>
        <v>0</v>
      </c>
      <c r="T17" s="304">
        <f t="shared" si="5"/>
        <v>0</v>
      </c>
      <c r="V17" s="117">
        <f>'As-Filed Schedule 2M'!N17</f>
        <v>0</v>
      </c>
      <c r="W17" s="307">
        <f>SUMIFS(Adjustments!$G:$G,Adjustments!$H:$H,"2M",Adjustments!$I:$I,'Schedule 2M Adjustments'!$V$12,Adjustments!$J:$J,'Schedule 2M Adjustments'!$A17)</f>
        <v>0</v>
      </c>
      <c r="X17" s="303">
        <f t="shared" si="6"/>
        <v>0</v>
      </c>
      <c r="Y17" s="117">
        <f>'As-Filed Schedule 2M'!O17</f>
        <v>0</v>
      </c>
      <c r="Z17" s="307">
        <f>SUMIFS(Adjustments!$G:$G,Adjustments!$H:$H,"2M",Adjustments!$I:$I,'Schedule 2M Adjustments'!$Y$12,Adjustments!$J:$J,'Schedule 2M Adjustments'!$A17)</f>
        <v>0</v>
      </c>
      <c r="AA17" s="303">
        <f t="shared" si="7"/>
        <v>0</v>
      </c>
    </row>
    <row r="18" spans="1:27" x14ac:dyDescent="0.35">
      <c r="A18" s="24">
        <v>4</v>
      </c>
      <c r="B18" s="565" t="str">
        <f>IF('As-Filed Schedule 2M'!B18:D18=0,"",'As-Filed Schedule 2M'!B18:D18)</f>
        <v/>
      </c>
      <c r="C18" s="565"/>
      <c r="D18" s="565"/>
      <c r="F18" s="114">
        <f>'As-Filed Schedule 2M'!F18</f>
        <v>0</v>
      </c>
      <c r="G18" s="307">
        <f>SUMIFS(Adjustments!$G:$G,Adjustments!$H:$H,"2M",Adjustments!$I:$I,'Schedule 2M Adjustments'!$F$12,Adjustments!$J:$J,'Schedule 2M Adjustments'!$A18)</f>
        <v>0</v>
      </c>
      <c r="H18" s="303">
        <f t="shared" si="0"/>
        <v>0</v>
      </c>
      <c r="I18" s="68">
        <f>IFERROR(F18*'As-Filed Schedule 1'!$E$103,0)</f>
        <v>0</v>
      </c>
      <c r="J18" s="304">
        <f>IFERROR(H18*'Adjusted Schedule 1'!$E$104,0)</f>
        <v>0</v>
      </c>
      <c r="K18" s="68">
        <f>SUM(F18,I18)</f>
        <v>0</v>
      </c>
      <c r="L18" s="304">
        <f>SUM(H18,J18)</f>
        <v>0</v>
      </c>
      <c r="N18" s="114">
        <f>'As-Filed Schedule 2M'!J18</f>
        <v>0</v>
      </c>
      <c r="O18" s="307">
        <f>SUMIFS(Adjustments!$G:$G,Adjustments!$H:$H,"2M",Adjustments!$I:$I,'Schedule 2M Adjustments'!$N$12,Adjustments!$J:$J,'Schedule 2M Adjustments'!$A18)</f>
        <v>0</v>
      </c>
      <c r="P18" s="303">
        <f t="shared" si="3"/>
        <v>0</v>
      </c>
      <c r="Q18" s="68">
        <f>IFERROR(N18*'As-Filed Schedule 1'!$E$103,0)</f>
        <v>0</v>
      </c>
      <c r="R18" s="68">
        <f>IFERROR(P18*'Adjusted Schedule 1'!$E$104,0)</f>
        <v>0</v>
      </c>
      <c r="S18" s="68">
        <f t="shared" si="4"/>
        <v>0</v>
      </c>
      <c r="T18" s="304">
        <f t="shared" si="5"/>
        <v>0</v>
      </c>
      <c r="V18" s="117">
        <f>'As-Filed Schedule 2M'!N18</f>
        <v>0</v>
      </c>
      <c r="W18" s="307">
        <f>SUMIFS(Adjustments!$G:$G,Adjustments!$H:$H,"2M",Adjustments!$I:$I,'Schedule 2M Adjustments'!$V$12,Adjustments!$J:$J,'Schedule 2M Adjustments'!$A18)</f>
        <v>0</v>
      </c>
      <c r="X18" s="303">
        <f t="shared" si="6"/>
        <v>0</v>
      </c>
      <c r="Y18" s="117">
        <f>'As-Filed Schedule 2M'!O18</f>
        <v>0</v>
      </c>
      <c r="Z18" s="307">
        <f>SUMIFS(Adjustments!$G:$G,Adjustments!$H:$H,"2M",Adjustments!$I:$I,'Schedule 2M Adjustments'!$Y$12,Adjustments!$J:$J,'Schedule 2M Adjustments'!$A18)</f>
        <v>0</v>
      </c>
      <c r="AA18" s="303">
        <f t="shared" si="7"/>
        <v>0</v>
      </c>
    </row>
    <row r="19" spans="1:27" x14ac:dyDescent="0.35">
      <c r="A19" s="24">
        <v>5</v>
      </c>
      <c r="B19" s="565" t="str">
        <f>IF('As-Filed Schedule 2M'!B19:D19=0,"",'As-Filed Schedule 2M'!B19:D19)</f>
        <v/>
      </c>
      <c r="C19" s="565"/>
      <c r="D19" s="565"/>
      <c r="F19" s="114">
        <f>'As-Filed Schedule 2M'!F19</f>
        <v>0</v>
      </c>
      <c r="G19" s="307">
        <f>SUMIFS(Adjustments!$G:$G,Adjustments!$H:$H,"2M",Adjustments!$I:$I,'Schedule 2M Adjustments'!$F$12,Adjustments!$J:$J,'Schedule 2M Adjustments'!$A19)</f>
        <v>0</v>
      </c>
      <c r="H19" s="303">
        <f t="shared" si="0"/>
        <v>0</v>
      </c>
      <c r="I19" s="68">
        <f>IFERROR(F19*'As-Filed Schedule 1'!$E$103,0)</f>
        <v>0</v>
      </c>
      <c r="J19" s="304">
        <f>IFERROR(H19*'Adjusted Schedule 1'!$E$104,0)</f>
        <v>0</v>
      </c>
      <c r="K19" s="68">
        <f t="shared" si="1"/>
        <v>0</v>
      </c>
      <c r="L19" s="304">
        <f>SUM(H19,J19)</f>
        <v>0</v>
      </c>
      <c r="N19" s="114">
        <f>'As-Filed Schedule 2M'!J19</f>
        <v>0</v>
      </c>
      <c r="O19" s="307">
        <f>SUMIFS(Adjustments!$G:$G,Adjustments!$H:$H,"2M",Adjustments!$I:$I,'Schedule 2M Adjustments'!$N$12,Adjustments!$J:$J,'Schedule 2M Adjustments'!$A19)</f>
        <v>0</v>
      </c>
      <c r="P19" s="303">
        <f t="shared" si="3"/>
        <v>0</v>
      </c>
      <c r="Q19" s="68">
        <f>IFERROR(N19*'As-Filed Schedule 1'!$E$103,0)</f>
        <v>0</v>
      </c>
      <c r="R19" s="68">
        <f>IFERROR(P19*'Adjusted Schedule 1'!$E$104,0)</f>
        <v>0</v>
      </c>
      <c r="S19" s="68">
        <f t="shared" si="4"/>
        <v>0</v>
      </c>
      <c r="T19" s="304">
        <f t="shared" si="5"/>
        <v>0</v>
      </c>
      <c r="V19" s="117">
        <f>'As-Filed Schedule 2M'!N19</f>
        <v>0</v>
      </c>
      <c r="W19" s="307">
        <f>SUMIFS(Adjustments!$G:$G,Adjustments!$H:$H,"2M",Adjustments!$I:$I,'Schedule 2M Adjustments'!$V$12,Adjustments!$J:$J,'Schedule 2M Adjustments'!$A19)</f>
        <v>0</v>
      </c>
      <c r="X19" s="303">
        <f t="shared" si="6"/>
        <v>0</v>
      </c>
      <c r="Y19" s="117">
        <f>'As-Filed Schedule 2M'!O19</f>
        <v>0</v>
      </c>
      <c r="Z19" s="307">
        <f>SUMIFS(Adjustments!$G:$G,Adjustments!$H:$H,"2M",Adjustments!$I:$I,'Schedule 2M Adjustments'!$Y$12,Adjustments!$J:$J,'Schedule 2M Adjustments'!$A19)</f>
        <v>0</v>
      </c>
      <c r="AA19" s="303">
        <f t="shared" si="7"/>
        <v>0</v>
      </c>
    </row>
    <row r="20" spans="1:27" x14ac:dyDescent="0.35">
      <c r="A20" s="24">
        <v>6</v>
      </c>
      <c r="B20" s="565" t="str">
        <f>IF('As-Filed Schedule 2M'!B20:D20=0,"",'As-Filed Schedule 2M'!B20:D20)</f>
        <v/>
      </c>
      <c r="C20" s="565"/>
      <c r="D20" s="565"/>
      <c r="F20" s="114">
        <f>'As-Filed Schedule 2M'!F20</f>
        <v>0</v>
      </c>
      <c r="G20" s="307">
        <f>SUMIFS(Adjustments!$G:$G,Adjustments!$H:$H,"2M",Adjustments!$I:$I,'Schedule 2M Adjustments'!$F$12,Adjustments!$J:$J,'Schedule 2M Adjustments'!$A20)</f>
        <v>0</v>
      </c>
      <c r="H20" s="303">
        <f t="shared" si="0"/>
        <v>0</v>
      </c>
      <c r="I20" s="68">
        <f>IFERROR(F20*'As-Filed Schedule 1'!$E$103,0)</f>
        <v>0</v>
      </c>
      <c r="J20" s="304">
        <f>IFERROR(H20*'Adjusted Schedule 1'!$E$104,0)</f>
        <v>0</v>
      </c>
      <c r="K20" s="68">
        <f>SUM(F20,I20)</f>
        <v>0</v>
      </c>
      <c r="L20" s="304">
        <f t="shared" si="2"/>
        <v>0</v>
      </c>
      <c r="N20" s="114">
        <f>'As-Filed Schedule 2M'!J20</f>
        <v>0</v>
      </c>
      <c r="O20" s="307">
        <f>SUMIFS(Adjustments!$G:$G,Adjustments!$H:$H,"2M",Adjustments!$I:$I,'Schedule 2M Adjustments'!$N$12,Adjustments!$J:$J,'Schedule 2M Adjustments'!$A20)</f>
        <v>0</v>
      </c>
      <c r="P20" s="303">
        <f t="shared" si="3"/>
        <v>0</v>
      </c>
      <c r="Q20" s="68">
        <f>IFERROR(N20*'As-Filed Schedule 1'!$E$103,0)</f>
        <v>0</v>
      </c>
      <c r="R20" s="68">
        <f>IFERROR(P20*'Adjusted Schedule 1'!$E$104,0)</f>
        <v>0</v>
      </c>
      <c r="S20" s="68">
        <f t="shared" si="4"/>
        <v>0</v>
      </c>
      <c r="T20" s="304">
        <f t="shared" si="5"/>
        <v>0</v>
      </c>
      <c r="V20" s="117">
        <f>'As-Filed Schedule 2M'!N20</f>
        <v>0</v>
      </c>
      <c r="W20" s="307">
        <f>SUMIFS(Adjustments!$G:$G,Adjustments!$H:$H,"2M",Adjustments!$I:$I,'Schedule 2M Adjustments'!$V$12,Adjustments!$J:$J,'Schedule 2M Adjustments'!$A20)</f>
        <v>0</v>
      </c>
      <c r="X20" s="303">
        <f t="shared" si="6"/>
        <v>0</v>
      </c>
      <c r="Y20" s="117">
        <f>'As-Filed Schedule 2M'!O20</f>
        <v>0</v>
      </c>
      <c r="Z20" s="307">
        <f>SUMIFS(Adjustments!$G:$G,Adjustments!$H:$H,"2M",Adjustments!$I:$I,'Schedule 2M Adjustments'!$Y$12,Adjustments!$J:$J,'Schedule 2M Adjustments'!$A20)</f>
        <v>0</v>
      </c>
      <c r="AA20" s="303">
        <f t="shared" si="7"/>
        <v>0</v>
      </c>
    </row>
    <row r="21" spans="1:27" x14ac:dyDescent="0.35">
      <c r="A21" s="24">
        <v>7</v>
      </c>
      <c r="B21" s="565" t="str">
        <f>IF('As-Filed Schedule 2M'!B21:D21=0,"",'As-Filed Schedule 2M'!B21:D21)</f>
        <v/>
      </c>
      <c r="C21" s="565"/>
      <c r="D21" s="565"/>
      <c r="F21" s="114">
        <f>'As-Filed Schedule 2M'!F21</f>
        <v>0</v>
      </c>
      <c r="G21" s="307">
        <f>SUMIFS(Adjustments!$G:$G,Adjustments!$H:$H,"2M",Adjustments!$I:$I,'Schedule 2M Adjustments'!$F$12,Adjustments!$J:$J,'Schedule 2M Adjustments'!$A21)</f>
        <v>0</v>
      </c>
      <c r="H21" s="303">
        <f t="shared" si="0"/>
        <v>0</v>
      </c>
      <c r="I21" s="68">
        <f>IFERROR(F21*'As-Filed Schedule 1'!$E$103,0)</f>
        <v>0</v>
      </c>
      <c r="J21" s="304">
        <f>IFERROR(H21*'Adjusted Schedule 1'!$E$104,0)</f>
        <v>0</v>
      </c>
      <c r="K21" s="68">
        <f t="shared" si="1"/>
        <v>0</v>
      </c>
      <c r="L21" s="304">
        <f t="shared" si="2"/>
        <v>0</v>
      </c>
      <c r="N21" s="114">
        <f>'As-Filed Schedule 2M'!J21</f>
        <v>0</v>
      </c>
      <c r="O21" s="307">
        <f>SUMIFS(Adjustments!$G:$G,Adjustments!$H:$H,"2M",Adjustments!$I:$I,'Schedule 2M Adjustments'!$N$12,Adjustments!$J:$J,'Schedule 2M Adjustments'!$A21)</f>
        <v>0</v>
      </c>
      <c r="P21" s="303">
        <f t="shared" si="3"/>
        <v>0</v>
      </c>
      <c r="Q21" s="68">
        <f>IFERROR(N21*'As-Filed Schedule 1'!$E$103,0)</f>
        <v>0</v>
      </c>
      <c r="R21" s="68">
        <f>IFERROR(P21*'Adjusted Schedule 1'!$E$104,0)</f>
        <v>0</v>
      </c>
      <c r="S21" s="68">
        <f>SUM(N21,Q21)</f>
        <v>0</v>
      </c>
      <c r="T21" s="304">
        <f>SUM(P21,R21)</f>
        <v>0</v>
      </c>
      <c r="V21" s="117">
        <f>'As-Filed Schedule 2M'!N21</f>
        <v>0</v>
      </c>
      <c r="W21" s="307">
        <f>SUMIFS(Adjustments!$G:$G,Adjustments!$H:$H,"2M",Adjustments!$I:$I,'Schedule 2M Adjustments'!$V$12,Adjustments!$J:$J,'Schedule 2M Adjustments'!$A21)</f>
        <v>0</v>
      </c>
      <c r="X21" s="303">
        <f t="shared" si="6"/>
        <v>0</v>
      </c>
      <c r="Y21" s="117">
        <f>'As-Filed Schedule 2M'!O21</f>
        <v>0</v>
      </c>
      <c r="Z21" s="307">
        <f>SUMIFS(Adjustments!$G:$G,Adjustments!$H:$H,"2M",Adjustments!$I:$I,'Schedule 2M Adjustments'!$Y$12,Adjustments!$J:$J,'Schedule 2M Adjustments'!$A21)</f>
        <v>0</v>
      </c>
      <c r="AA21" s="303">
        <f t="shared" si="7"/>
        <v>0</v>
      </c>
    </row>
    <row r="22" spans="1:27" x14ac:dyDescent="0.35">
      <c r="A22" s="24">
        <v>8</v>
      </c>
      <c r="B22" s="565" t="str">
        <f>IF('As-Filed Schedule 2M'!B22:D22=0,"",'As-Filed Schedule 2M'!B22:D22)</f>
        <v/>
      </c>
      <c r="C22" s="565"/>
      <c r="D22" s="565"/>
      <c r="F22" s="114">
        <f>'As-Filed Schedule 2M'!F22</f>
        <v>0</v>
      </c>
      <c r="G22" s="307">
        <f>SUMIFS(Adjustments!$G:$G,Adjustments!$H:$H,"2M",Adjustments!$I:$I,'Schedule 2M Adjustments'!$F$12,Adjustments!$J:$J,'Schedule 2M Adjustments'!$A22)</f>
        <v>0</v>
      </c>
      <c r="H22" s="303">
        <f t="shared" si="0"/>
        <v>0</v>
      </c>
      <c r="I22" s="68">
        <f>IFERROR(F22*'As-Filed Schedule 1'!$E$103,0)</f>
        <v>0</v>
      </c>
      <c r="J22" s="304">
        <f>IFERROR(H22*'Adjusted Schedule 1'!$E$104,0)</f>
        <v>0</v>
      </c>
      <c r="K22" s="68">
        <f t="shared" si="1"/>
        <v>0</v>
      </c>
      <c r="L22" s="304">
        <f t="shared" si="2"/>
        <v>0</v>
      </c>
      <c r="N22" s="114">
        <f>'As-Filed Schedule 2M'!J22</f>
        <v>0</v>
      </c>
      <c r="O22" s="307">
        <f>SUMIFS(Adjustments!$G:$G,Adjustments!$H:$H,"2M",Adjustments!$I:$I,'Schedule 2M Adjustments'!$N$12,Adjustments!$J:$J,'Schedule 2M Adjustments'!$A22)</f>
        <v>0</v>
      </c>
      <c r="P22" s="303">
        <f t="shared" si="3"/>
        <v>0</v>
      </c>
      <c r="Q22" s="68">
        <f>IFERROR(N22*'As-Filed Schedule 1'!$E$103,0)</f>
        <v>0</v>
      </c>
      <c r="R22" s="68">
        <f>IFERROR(P22*'Adjusted Schedule 1'!$E$104,0)</f>
        <v>0</v>
      </c>
      <c r="S22" s="68">
        <f t="shared" si="4"/>
        <v>0</v>
      </c>
      <c r="T22" s="304">
        <f t="shared" si="5"/>
        <v>0</v>
      </c>
      <c r="V22" s="117">
        <f>'As-Filed Schedule 2M'!N22</f>
        <v>0</v>
      </c>
      <c r="W22" s="307">
        <f>SUMIFS(Adjustments!$G:$G,Adjustments!$H:$H,"2M",Adjustments!$I:$I,'Schedule 2M Adjustments'!$V$12,Adjustments!$J:$J,'Schedule 2M Adjustments'!$A22)</f>
        <v>0</v>
      </c>
      <c r="X22" s="303">
        <f t="shared" si="6"/>
        <v>0</v>
      </c>
      <c r="Y22" s="117">
        <f>'As-Filed Schedule 2M'!O22</f>
        <v>0</v>
      </c>
      <c r="Z22" s="307">
        <f>SUMIFS(Adjustments!$G:$G,Adjustments!$H:$H,"2M",Adjustments!$I:$I,'Schedule 2M Adjustments'!$Y$12,Adjustments!$J:$J,'Schedule 2M Adjustments'!$A22)</f>
        <v>0</v>
      </c>
      <c r="AA22" s="303">
        <f t="shared" si="7"/>
        <v>0</v>
      </c>
    </row>
    <row r="23" spans="1:27" x14ac:dyDescent="0.35">
      <c r="A23" s="24">
        <v>9</v>
      </c>
      <c r="B23" s="565" t="str">
        <f>IF('As-Filed Schedule 2M'!B23:D23=0,"",'As-Filed Schedule 2M'!B23:D23)</f>
        <v/>
      </c>
      <c r="C23" s="565"/>
      <c r="D23" s="565"/>
      <c r="F23" s="114">
        <f>'As-Filed Schedule 2M'!F23</f>
        <v>0</v>
      </c>
      <c r="G23" s="307">
        <f>SUMIFS(Adjustments!$G:$G,Adjustments!$H:$H,"2M",Adjustments!$I:$I,'Schedule 2M Adjustments'!$F$12,Adjustments!$J:$J,'Schedule 2M Adjustments'!$A23)</f>
        <v>0</v>
      </c>
      <c r="H23" s="303">
        <f t="shared" si="0"/>
        <v>0</v>
      </c>
      <c r="I23" s="68">
        <f>IFERROR(F23*'As-Filed Schedule 1'!$E$103,0)</f>
        <v>0</v>
      </c>
      <c r="J23" s="304">
        <f>IFERROR(H23*'Adjusted Schedule 1'!$E$104,0)</f>
        <v>0</v>
      </c>
      <c r="K23" s="68">
        <f t="shared" si="1"/>
        <v>0</v>
      </c>
      <c r="L23" s="304">
        <f t="shared" si="2"/>
        <v>0</v>
      </c>
      <c r="N23" s="114">
        <f>'As-Filed Schedule 2M'!J23</f>
        <v>0</v>
      </c>
      <c r="O23" s="307">
        <f>SUMIFS(Adjustments!$G:$G,Adjustments!$H:$H,"2M",Adjustments!$I:$I,'Schedule 2M Adjustments'!$N$12,Adjustments!$J:$J,'Schedule 2M Adjustments'!$A23)</f>
        <v>0</v>
      </c>
      <c r="P23" s="303">
        <f t="shared" si="3"/>
        <v>0</v>
      </c>
      <c r="Q23" s="68">
        <f>IFERROR(N23*'As-Filed Schedule 1'!$E$103,0)</f>
        <v>0</v>
      </c>
      <c r="R23" s="68">
        <f>IFERROR(P23*'Adjusted Schedule 1'!$E$104,0)</f>
        <v>0</v>
      </c>
      <c r="S23" s="68">
        <f t="shared" si="4"/>
        <v>0</v>
      </c>
      <c r="T23" s="304">
        <f t="shared" si="5"/>
        <v>0</v>
      </c>
      <c r="V23" s="117">
        <f>'As-Filed Schedule 2M'!N23</f>
        <v>0</v>
      </c>
      <c r="W23" s="307">
        <f>SUMIFS(Adjustments!$G:$G,Adjustments!$H:$H,"2M",Adjustments!$I:$I,'Schedule 2M Adjustments'!$V$12,Adjustments!$J:$J,'Schedule 2M Adjustments'!$A23)</f>
        <v>0</v>
      </c>
      <c r="X23" s="303">
        <f t="shared" si="6"/>
        <v>0</v>
      </c>
      <c r="Y23" s="117">
        <f>'As-Filed Schedule 2M'!O23</f>
        <v>0</v>
      </c>
      <c r="Z23" s="307">
        <f>SUMIFS(Adjustments!$G:$G,Adjustments!$H:$H,"2M",Adjustments!$I:$I,'Schedule 2M Adjustments'!$Y$12,Adjustments!$J:$J,'Schedule 2M Adjustments'!$A23)</f>
        <v>0</v>
      </c>
      <c r="AA23" s="303">
        <f t="shared" si="7"/>
        <v>0</v>
      </c>
    </row>
    <row r="24" spans="1:27" x14ac:dyDescent="0.35">
      <c r="A24" s="24">
        <v>10</v>
      </c>
      <c r="B24" s="565" t="str">
        <f>IF('As-Filed Schedule 2M'!B24:D24=0,"",'As-Filed Schedule 2M'!B24:D24)</f>
        <v/>
      </c>
      <c r="C24" s="565"/>
      <c r="D24" s="565"/>
      <c r="F24" s="114">
        <f>'As-Filed Schedule 2M'!F24</f>
        <v>0</v>
      </c>
      <c r="G24" s="307">
        <f>SUMIFS(Adjustments!$G:$G,Adjustments!$H:$H,"2M",Adjustments!$I:$I,'Schedule 2M Adjustments'!$F$12,Adjustments!$J:$J,'Schedule 2M Adjustments'!$A24)</f>
        <v>0</v>
      </c>
      <c r="H24" s="303">
        <f t="shared" si="0"/>
        <v>0</v>
      </c>
      <c r="I24" s="68">
        <f>IFERROR(F24*'As-Filed Schedule 1'!$E$103,0)</f>
        <v>0</v>
      </c>
      <c r="J24" s="304">
        <f>IFERROR(H24*'Adjusted Schedule 1'!$E$104,0)</f>
        <v>0</v>
      </c>
      <c r="K24" s="68">
        <f t="shared" si="1"/>
        <v>0</v>
      </c>
      <c r="L24" s="304">
        <f t="shared" si="2"/>
        <v>0</v>
      </c>
      <c r="N24" s="114">
        <f>'As-Filed Schedule 2M'!J24</f>
        <v>0</v>
      </c>
      <c r="O24" s="307">
        <f>SUMIFS(Adjustments!$G:$G,Adjustments!$H:$H,"2M",Adjustments!$I:$I,'Schedule 2M Adjustments'!$N$12,Adjustments!$J:$J,'Schedule 2M Adjustments'!$A24)</f>
        <v>0</v>
      </c>
      <c r="P24" s="303">
        <f t="shared" si="3"/>
        <v>0</v>
      </c>
      <c r="Q24" s="68">
        <f>IFERROR(N24*'As-Filed Schedule 1'!$E$103,0)</f>
        <v>0</v>
      </c>
      <c r="R24" s="68">
        <f>IFERROR(P24*'Adjusted Schedule 1'!$E$104,0)</f>
        <v>0</v>
      </c>
      <c r="S24" s="68">
        <f t="shared" si="4"/>
        <v>0</v>
      </c>
      <c r="T24" s="304">
        <f t="shared" si="5"/>
        <v>0</v>
      </c>
      <c r="V24" s="117">
        <f>'As-Filed Schedule 2M'!N24</f>
        <v>0</v>
      </c>
      <c r="W24" s="307">
        <f>SUMIFS(Adjustments!$G:$G,Adjustments!$H:$H,"2M",Adjustments!$I:$I,'Schedule 2M Adjustments'!$V$12,Adjustments!$J:$J,'Schedule 2M Adjustments'!$A24)</f>
        <v>0</v>
      </c>
      <c r="X24" s="303">
        <f t="shared" si="6"/>
        <v>0</v>
      </c>
      <c r="Y24" s="117">
        <f>'As-Filed Schedule 2M'!O24</f>
        <v>0</v>
      </c>
      <c r="Z24" s="307">
        <f>SUMIFS(Adjustments!$G:$G,Adjustments!$H:$H,"2M",Adjustments!$I:$I,'Schedule 2M Adjustments'!$Y$12,Adjustments!$J:$J,'Schedule 2M Adjustments'!$A24)</f>
        <v>0</v>
      </c>
      <c r="AA24" s="303">
        <f t="shared" si="7"/>
        <v>0</v>
      </c>
    </row>
    <row r="25" spans="1:27" x14ac:dyDescent="0.35">
      <c r="A25" s="24">
        <v>11</v>
      </c>
      <c r="B25" s="565" t="str">
        <f>IF('As-Filed Schedule 2M'!B25:D25=0,"",'As-Filed Schedule 2M'!B25:D25)</f>
        <v/>
      </c>
      <c r="C25" s="565"/>
      <c r="D25" s="565"/>
      <c r="F25" s="114">
        <f>'As-Filed Schedule 2M'!F25</f>
        <v>0</v>
      </c>
      <c r="G25" s="307">
        <f>SUMIFS(Adjustments!$G:$G,Adjustments!$H:$H,"2M",Adjustments!$I:$I,'Schedule 2M Adjustments'!$F$12,Adjustments!$J:$J,'Schedule 2M Adjustments'!$A25)</f>
        <v>0</v>
      </c>
      <c r="H25" s="303">
        <f t="shared" si="0"/>
        <v>0</v>
      </c>
      <c r="I25" s="68">
        <f>IFERROR(F25*'As-Filed Schedule 1'!$E$103,0)</f>
        <v>0</v>
      </c>
      <c r="J25" s="304">
        <f>IFERROR(H25*'Adjusted Schedule 1'!$E$104,0)</f>
        <v>0</v>
      </c>
      <c r="K25" s="68">
        <f t="shared" si="1"/>
        <v>0</v>
      </c>
      <c r="L25" s="304">
        <f t="shared" si="2"/>
        <v>0</v>
      </c>
      <c r="N25" s="114">
        <f>'As-Filed Schedule 2M'!J25</f>
        <v>0</v>
      </c>
      <c r="O25" s="307">
        <f>SUMIFS(Adjustments!$G:$G,Adjustments!$H:$H,"2M",Adjustments!$I:$I,'Schedule 2M Adjustments'!$N$12,Adjustments!$J:$J,'Schedule 2M Adjustments'!$A25)</f>
        <v>0</v>
      </c>
      <c r="P25" s="303">
        <f t="shared" si="3"/>
        <v>0</v>
      </c>
      <c r="Q25" s="68">
        <f>IFERROR(N25*'As-Filed Schedule 1'!$E$103,0)</f>
        <v>0</v>
      </c>
      <c r="R25" s="68">
        <f>IFERROR(P25*'Adjusted Schedule 1'!$E$104,0)</f>
        <v>0</v>
      </c>
      <c r="S25" s="68">
        <f t="shared" si="4"/>
        <v>0</v>
      </c>
      <c r="T25" s="304">
        <f t="shared" si="5"/>
        <v>0</v>
      </c>
      <c r="V25" s="117">
        <f>'As-Filed Schedule 2M'!N25</f>
        <v>0</v>
      </c>
      <c r="W25" s="307">
        <f>SUMIFS(Adjustments!$G:$G,Adjustments!$H:$H,"2M",Adjustments!$I:$I,'Schedule 2M Adjustments'!$V$12,Adjustments!$J:$J,'Schedule 2M Adjustments'!$A25)</f>
        <v>0</v>
      </c>
      <c r="X25" s="303">
        <f t="shared" si="6"/>
        <v>0</v>
      </c>
      <c r="Y25" s="117">
        <f>'As-Filed Schedule 2M'!O25</f>
        <v>0</v>
      </c>
      <c r="Z25" s="307">
        <f>SUMIFS(Adjustments!$G:$G,Adjustments!$H:$H,"2M",Adjustments!$I:$I,'Schedule 2M Adjustments'!$Y$12,Adjustments!$J:$J,'Schedule 2M Adjustments'!$A25)</f>
        <v>0</v>
      </c>
      <c r="AA25" s="303">
        <f t="shared" si="7"/>
        <v>0</v>
      </c>
    </row>
    <row r="26" spans="1:27" x14ac:dyDescent="0.35">
      <c r="A26" s="24">
        <v>12</v>
      </c>
      <c r="B26" s="565" t="str">
        <f>IF('As-Filed Schedule 2M'!B26:D26=0,"",'As-Filed Schedule 2M'!B26:D26)</f>
        <v/>
      </c>
      <c r="C26" s="565"/>
      <c r="D26" s="565"/>
      <c r="F26" s="114">
        <f>'As-Filed Schedule 2M'!F26</f>
        <v>0</v>
      </c>
      <c r="G26" s="307">
        <f>SUMIFS(Adjustments!$G:$G,Adjustments!$H:$H,"2M",Adjustments!$I:$I,'Schedule 2M Adjustments'!$F$12,Adjustments!$J:$J,'Schedule 2M Adjustments'!$A26)</f>
        <v>0</v>
      </c>
      <c r="H26" s="303">
        <f t="shared" si="0"/>
        <v>0</v>
      </c>
      <c r="I26" s="68">
        <f>IFERROR(F26*'As-Filed Schedule 1'!$E$103,0)</f>
        <v>0</v>
      </c>
      <c r="J26" s="304">
        <f>IFERROR(H26*'Adjusted Schedule 1'!$E$104,0)</f>
        <v>0</v>
      </c>
      <c r="K26" s="68">
        <f t="shared" si="1"/>
        <v>0</v>
      </c>
      <c r="L26" s="304">
        <f t="shared" si="2"/>
        <v>0</v>
      </c>
      <c r="N26" s="114">
        <f>'As-Filed Schedule 2M'!J26</f>
        <v>0</v>
      </c>
      <c r="O26" s="307">
        <f>SUMIFS(Adjustments!$G:$G,Adjustments!$H:$H,"2M",Adjustments!$I:$I,'Schedule 2M Adjustments'!$N$12,Adjustments!$J:$J,'Schedule 2M Adjustments'!$A26)</f>
        <v>0</v>
      </c>
      <c r="P26" s="303">
        <f t="shared" si="3"/>
        <v>0</v>
      </c>
      <c r="Q26" s="68">
        <f>IFERROR(N26*'As-Filed Schedule 1'!$E$103,0)</f>
        <v>0</v>
      </c>
      <c r="R26" s="68">
        <f>IFERROR(P26*'Adjusted Schedule 1'!$E$104,0)</f>
        <v>0</v>
      </c>
      <c r="S26" s="68">
        <f t="shared" si="4"/>
        <v>0</v>
      </c>
      <c r="T26" s="304">
        <f t="shared" si="5"/>
        <v>0</v>
      </c>
      <c r="V26" s="117">
        <f>'As-Filed Schedule 2M'!N26</f>
        <v>0</v>
      </c>
      <c r="W26" s="307">
        <f>SUMIFS(Adjustments!$G:$G,Adjustments!$H:$H,"2M",Adjustments!$I:$I,'Schedule 2M Adjustments'!$V$12,Adjustments!$J:$J,'Schedule 2M Adjustments'!$A26)</f>
        <v>0</v>
      </c>
      <c r="X26" s="303">
        <f t="shared" si="6"/>
        <v>0</v>
      </c>
      <c r="Y26" s="117">
        <f>'As-Filed Schedule 2M'!O26</f>
        <v>0</v>
      </c>
      <c r="Z26" s="307">
        <f>SUMIFS(Adjustments!$G:$G,Adjustments!$H:$H,"2M",Adjustments!$I:$I,'Schedule 2M Adjustments'!$Y$12,Adjustments!$J:$J,'Schedule 2M Adjustments'!$A26)</f>
        <v>0</v>
      </c>
      <c r="AA26" s="303">
        <f t="shared" si="7"/>
        <v>0</v>
      </c>
    </row>
    <row r="27" spans="1:27" x14ac:dyDescent="0.35">
      <c r="A27" s="24">
        <v>13</v>
      </c>
      <c r="B27" s="565" t="str">
        <f>IF('As-Filed Schedule 2M'!B27:D27=0,"",'As-Filed Schedule 2M'!B27:D27)</f>
        <v/>
      </c>
      <c r="C27" s="565"/>
      <c r="D27" s="565"/>
      <c r="F27" s="114">
        <f>'As-Filed Schedule 2M'!F27</f>
        <v>0</v>
      </c>
      <c r="G27" s="307">
        <f>SUMIFS(Adjustments!$G:$G,Adjustments!$H:$H,"2M",Adjustments!$I:$I,'Schedule 2M Adjustments'!$F$12,Adjustments!$J:$J,'Schedule 2M Adjustments'!$A27)</f>
        <v>0</v>
      </c>
      <c r="H27" s="303">
        <f t="shared" si="0"/>
        <v>0</v>
      </c>
      <c r="I27" s="68">
        <f>IFERROR(F27*'As-Filed Schedule 1'!$E$103,0)</f>
        <v>0</v>
      </c>
      <c r="J27" s="304">
        <f>IFERROR(H27*'Adjusted Schedule 1'!$E$104,0)</f>
        <v>0</v>
      </c>
      <c r="K27" s="68">
        <f t="shared" si="1"/>
        <v>0</v>
      </c>
      <c r="L27" s="304">
        <f t="shared" si="2"/>
        <v>0</v>
      </c>
      <c r="N27" s="114">
        <f>'As-Filed Schedule 2M'!J27</f>
        <v>0</v>
      </c>
      <c r="O27" s="307">
        <f>SUMIFS(Adjustments!$G:$G,Adjustments!$H:$H,"2M",Adjustments!$I:$I,'Schedule 2M Adjustments'!$N$12,Adjustments!$J:$J,'Schedule 2M Adjustments'!$A27)</f>
        <v>0</v>
      </c>
      <c r="P27" s="303">
        <f t="shared" si="3"/>
        <v>0</v>
      </c>
      <c r="Q27" s="68">
        <f>IFERROR(N27*'As-Filed Schedule 1'!$E$103,0)</f>
        <v>0</v>
      </c>
      <c r="R27" s="68">
        <f>IFERROR(P27*'Adjusted Schedule 1'!$E$104,0)</f>
        <v>0</v>
      </c>
      <c r="S27" s="68">
        <f t="shared" si="4"/>
        <v>0</v>
      </c>
      <c r="T27" s="304">
        <f t="shared" si="5"/>
        <v>0</v>
      </c>
      <c r="V27" s="117">
        <f>'As-Filed Schedule 2M'!N27</f>
        <v>0</v>
      </c>
      <c r="W27" s="307">
        <f>SUMIFS(Adjustments!$G:$G,Adjustments!$H:$H,"2M",Adjustments!$I:$I,'Schedule 2M Adjustments'!$V$12,Adjustments!$J:$J,'Schedule 2M Adjustments'!$A27)</f>
        <v>0</v>
      </c>
      <c r="X27" s="303">
        <f t="shared" si="6"/>
        <v>0</v>
      </c>
      <c r="Y27" s="117">
        <f>'As-Filed Schedule 2M'!O27</f>
        <v>0</v>
      </c>
      <c r="Z27" s="307">
        <f>SUMIFS(Adjustments!$G:$G,Adjustments!$H:$H,"2M",Adjustments!$I:$I,'Schedule 2M Adjustments'!$Y$12,Adjustments!$J:$J,'Schedule 2M Adjustments'!$A27)</f>
        <v>0</v>
      </c>
      <c r="AA27" s="303">
        <f t="shared" si="7"/>
        <v>0</v>
      </c>
    </row>
    <row r="28" spans="1:27" x14ac:dyDescent="0.35">
      <c r="A28" s="24">
        <v>14</v>
      </c>
      <c r="B28" s="565" t="str">
        <f>IF('As-Filed Schedule 2M'!B28:D28=0,"",'As-Filed Schedule 2M'!B28:D28)</f>
        <v/>
      </c>
      <c r="C28" s="565"/>
      <c r="D28" s="565"/>
      <c r="F28" s="114">
        <f>'As-Filed Schedule 2M'!F28</f>
        <v>0</v>
      </c>
      <c r="G28" s="307">
        <f>SUMIFS(Adjustments!$G:$G,Adjustments!$H:$H,"2M",Adjustments!$I:$I,'Schedule 2M Adjustments'!$F$12,Adjustments!$J:$J,'Schedule 2M Adjustments'!$A28)</f>
        <v>0</v>
      </c>
      <c r="H28" s="303">
        <f t="shared" si="0"/>
        <v>0</v>
      </c>
      <c r="I28" s="68">
        <f>IFERROR(F28*'As-Filed Schedule 1'!$E$103,0)</f>
        <v>0</v>
      </c>
      <c r="J28" s="304">
        <f>IFERROR(H28*'Adjusted Schedule 1'!$E$104,0)</f>
        <v>0</v>
      </c>
      <c r="K28" s="68">
        <f t="shared" si="1"/>
        <v>0</v>
      </c>
      <c r="L28" s="304">
        <f t="shared" si="2"/>
        <v>0</v>
      </c>
      <c r="N28" s="114">
        <f>'As-Filed Schedule 2M'!J28</f>
        <v>0</v>
      </c>
      <c r="O28" s="307">
        <f>SUMIFS(Adjustments!$G:$G,Adjustments!$H:$H,"2M",Adjustments!$I:$I,'Schedule 2M Adjustments'!$N$12,Adjustments!$J:$J,'Schedule 2M Adjustments'!$A28)</f>
        <v>0</v>
      </c>
      <c r="P28" s="303">
        <f t="shared" si="3"/>
        <v>0</v>
      </c>
      <c r="Q28" s="68">
        <f>IFERROR(N28*'As-Filed Schedule 1'!$E$103,0)</f>
        <v>0</v>
      </c>
      <c r="R28" s="68">
        <f>IFERROR(P28*'Adjusted Schedule 1'!$E$104,0)</f>
        <v>0</v>
      </c>
      <c r="S28" s="68">
        <f t="shared" si="4"/>
        <v>0</v>
      </c>
      <c r="T28" s="304">
        <f t="shared" si="5"/>
        <v>0</v>
      </c>
      <c r="V28" s="117">
        <f>'As-Filed Schedule 2M'!N28</f>
        <v>0</v>
      </c>
      <c r="W28" s="307">
        <f>SUMIFS(Adjustments!$G:$G,Adjustments!$H:$H,"2M",Adjustments!$I:$I,'Schedule 2M Adjustments'!$V$12,Adjustments!$J:$J,'Schedule 2M Adjustments'!$A28)</f>
        <v>0</v>
      </c>
      <c r="X28" s="303">
        <f t="shared" si="6"/>
        <v>0</v>
      </c>
      <c r="Y28" s="117">
        <f>'As-Filed Schedule 2M'!O28</f>
        <v>0</v>
      </c>
      <c r="Z28" s="307">
        <f>SUMIFS(Adjustments!$G:$G,Adjustments!$H:$H,"2M",Adjustments!$I:$I,'Schedule 2M Adjustments'!$Y$12,Adjustments!$J:$J,'Schedule 2M Adjustments'!$A28)</f>
        <v>0</v>
      </c>
      <c r="AA28" s="303">
        <f t="shared" si="7"/>
        <v>0</v>
      </c>
    </row>
    <row r="29" spans="1:27" x14ac:dyDescent="0.35">
      <c r="A29" s="24">
        <v>15</v>
      </c>
      <c r="B29" s="565" t="str">
        <f>IF('As-Filed Schedule 2M'!B29:D29=0,"",'As-Filed Schedule 2M'!B29:D29)</f>
        <v/>
      </c>
      <c r="C29" s="565"/>
      <c r="D29" s="565"/>
      <c r="F29" s="114">
        <f>'As-Filed Schedule 2M'!F29</f>
        <v>0</v>
      </c>
      <c r="G29" s="307">
        <f>SUMIFS(Adjustments!$G:$G,Adjustments!$H:$H,"2M",Adjustments!$I:$I,'Schedule 2M Adjustments'!$F$12,Adjustments!$J:$J,'Schedule 2M Adjustments'!$A29)</f>
        <v>0</v>
      </c>
      <c r="H29" s="303">
        <f t="shared" si="0"/>
        <v>0</v>
      </c>
      <c r="I29" s="68">
        <f>IFERROR(F29*'As-Filed Schedule 1'!$E$103,0)</f>
        <v>0</v>
      </c>
      <c r="J29" s="304">
        <f>IFERROR(H29*'Adjusted Schedule 1'!$E$104,0)</f>
        <v>0</v>
      </c>
      <c r="K29" s="68">
        <f t="shared" si="1"/>
        <v>0</v>
      </c>
      <c r="L29" s="304">
        <f t="shared" si="2"/>
        <v>0</v>
      </c>
      <c r="N29" s="114">
        <f>'As-Filed Schedule 2M'!J29</f>
        <v>0</v>
      </c>
      <c r="O29" s="307">
        <f>SUMIFS(Adjustments!$G:$G,Adjustments!$H:$H,"2M",Adjustments!$I:$I,'Schedule 2M Adjustments'!$N$12,Adjustments!$J:$J,'Schedule 2M Adjustments'!$A29)</f>
        <v>0</v>
      </c>
      <c r="P29" s="303">
        <f t="shared" si="3"/>
        <v>0</v>
      </c>
      <c r="Q29" s="68">
        <f>IFERROR(N29*'As-Filed Schedule 1'!$E$103,0)</f>
        <v>0</v>
      </c>
      <c r="R29" s="68">
        <f>IFERROR(P29*'Adjusted Schedule 1'!$E$104,0)</f>
        <v>0</v>
      </c>
      <c r="S29" s="68">
        <f t="shared" si="4"/>
        <v>0</v>
      </c>
      <c r="T29" s="304">
        <f t="shared" si="5"/>
        <v>0</v>
      </c>
      <c r="V29" s="117">
        <f>'As-Filed Schedule 2M'!N29</f>
        <v>0</v>
      </c>
      <c r="W29" s="307">
        <f>SUMIFS(Adjustments!$G:$G,Adjustments!$H:$H,"2M",Adjustments!$I:$I,'Schedule 2M Adjustments'!$V$12,Adjustments!$J:$J,'Schedule 2M Adjustments'!$A29)</f>
        <v>0</v>
      </c>
      <c r="X29" s="303">
        <f t="shared" si="6"/>
        <v>0</v>
      </c>
      <c r="Y29" s="117">
        <f>'As-Filed Schedule 2M'!O29</f>
        <v>0</v>
      </c>
      <c r="Z29" s="307">
        <f>SUMIFS(Adjustments!$G:$G,Adjustments!$H:$H,"2M",Adjustments!$I:$I,'Schedule 2M Adjustments'!$Y$12,Adjustments!$J:$J,'Schedule 2M Adjustments'!$A29)</f>
        <v>0</v>
      </c>
      <c r="AA29" s="303">
        <f t="shared" si="7"/>
        <v>0</v>
      </c>
    </row>
    <row r="30" spans="1:27" x14ac:dyDescent="0.35">
      <c r="A30" s="24">
        <v>16</v>
      </c>
      <c r="B30" s="565" t="str">
        <f>IF('As-Filed Schedule 2M'!B30:D30=0,"",'As-Filed Schedule 2M'!B30:D30)</f>
        <v/>
      </c>
      <c r="C30" s="565"/>
      <c r="D30" s="565"/>
      <c r="F30" s="114">
        <f>'As-Filed Schedule 2M'!F30</f>
        <v>0</v>
      </c>
      <c r="G30" s="307">
        <f>SUMIFS(Adjustments!$G:$G,Adjustments!$H:$H,"2M",Adjustments!$I:$I,'Schedule 2M Adjustments'!$F$12,Adjustments!$J:$J,'Schedule 2M Adjustments'!$A30)</f>
        <v>0</v>
      </c>
      <c r="H30" s="303">
        <f t="shared" si="0"/>
        <v>0</v>
      </c>
      <c r="I30" s="68">
        <f>IFERROR(F30*'As-Filed Schedule 1'!$E$103,0)</f>
        <v>0</v>
      </c>
      <c r="J30" s="304">
        <f>IFERROR(H30*'Adjusted Schedule 1'!$E$104,0)</f>
        <v>0</v>
      </c>
      <c r="K30" s="68">
        <f t="shared" si="1"/>
        <v>0</v>
      </c>
      <c r="L30" s="304">
        <f t="shared" si="2"/>
        <v>0</v>
      </c>
      <c r="N30" s="114">
        <f>'As-Filed Schedule 2M'!J30</f>
        <v>0</v>
      </c>
      <c r="O30" s="307">
        <f>SUMIFS(Adjustments!$G:$G,Adjustments!$H:$H,"2M",Adjustments!$I:$I,'Schedule 2M Adjustments'!$N$12,Adjustments!$J:$J,'Schedule 2M Adjustments'!$A30)</f>
        <v>0</v>
      </c>
      <c r="P30" s="303">
        <f t="shared" si="3"/>
        <v>0</v>
      </c>
      <c r="Q30" s="68">
        <f>IFERROR(N30*'As-Filed Schedule 1'!$E$103,0)</f>
        <v>0</v>
      </c>
      <c r="R30" s="68">
        <f>IFERROR(P30*'Adjusted Schedule 1'!$E$104,0)</f>
        <v>0</v>
      </c>
      <c r="S30" s="68">
        <f t="shared" si="4"/>
        <v>0</v>
      </c>
      <c r="T30" s="304">
        <f t="shared" si="5"/>
        <v>0</v>
      </c>
      <c r="V30" s="117">
        <f>'As-Filed Schedule 2M'!N30</f>
        <v>0</v>
      </c>
      <c r="W30" s="307">
        <f>SUMIFS(Adjustments!$G:$G,Adjustments!$H:$H,"2M",Adjustments!$I:$I,'Schedule 2M Adjustments'!$V$12,Adjustments!$J:$J,'Schedule 2M Adjustments'!$A30)</f>
        <v>0</v>
      </c>
      <c r="X30" s="303">
        <f t="shared" si="6"/>
        <v>0</v>
      </c>
      <c r="Y30" s="117">
        <f>'As-Filed Schedule 2M'!O30</f>
        <v>0</v>
      </c>
      <c r="Z30" s="307">
        <f>SUMIFS(Adjustments!$G:$G,Adjustments!$H:$H,"2M",Adjustments!$I:$I,'Schedule 2M Adjustments'!$Y$12,Adjustments!$J:$J,'Schedule 2M Adjustments'!$A30)</f>
        <v>0</v>
      </c>
      <c r="AA30" s="303">
        <f t="shared" si="7"/>
        <v>0</v>
      </c>
    </row>
    <row r="31" spans="1:27" x14ac:dyDescent="0.35">
      <c r="A31" s="24">
        <v>17</v>
      </c>
      <c r="B31" s="565" t="str">
        <f>IF('As-Filed Schedule 2M'!B31:D31=0,"",'As-Filed Schedule 2M'!B31:D31)</f>
        <v/>
      </c>
      <c r="C31" s="565"/>
      <c r="D31" s="565"/>
      <c r="F31" s="114">
        <f>'As-Filed Schedule 2M'!F31</f>
        <v>0</v>
      </c>
      <c r="G31" s="307">
        <f>SUMIFS(Adjustments!$G:$G,Adjustments!$H:$H,"2M",Adjustments!$I:$I,'Schedule 2M Adjustments'!$F$12,Adjustments!$J:$J,'Schedule 2M Adjustments'!$A31)</f>
        <v>0</v>
      </c>
      <c r="H31" s="303">
        <f t="shared" si="0"/>
        <v>0</v>
      </c>
      <c r="I31" s="68">
        <f>IFERROR(F31*'As-Filed Schedule 1'!$E$103,0)</f>
        <v>0</v>
      </c>
      <c r="J31" s="304">
        <f>IFERROR(H31*'Adjusted Schedule 1'!$E$104,0)</f>
        <v>0</v>
      </c>
      <c r="K31" s="68">
        <f t="shared" si="1"/>
        <v>0</v>
      </c>
      <c r="L31" s="304">
        <f t="shared" si="2"/>
        <v>0</v>
      </c>
      <c r="N31" s="114">
        <f>'As-Filed Schedule 2M'!J31</f>
        <v>0</v>
      </c>
      <c r="O31" s="307">
        <f>SUMIFS(Adjustments!$G:$G,Adjustments!$H:$H,"2M",Adjustments!$I:$I,'Schedule 2M Adjustments'!$N$12,Adjustments!$J:$J,'Schedule 2M Adjustments'!$A31)</f>
        <v>0</v>
      </c>
      <c r="P31" s="303">
        <f t="shared" si="3"/>
        <v>0</v>
      </c>
      <c r="Q31" s="68">
        <f>IFERROR(N31*'As-Filed Schedule 1'!$E$103,0)</f>
        <v>0</v>
      </c>
      <c r="R31" s="68">
        <f>IFERROR(P31*'Adjusted Schedule 1'!$E$104,0)</f>
        <v>0</v>
      </c>
      <c r="S31" s="68">
        <f t="shared" si="4"/>
        <v>0</v>
      </c>
      <c r="T31" s="304">
        <f t="shared" si="5"/>
        <v>0</v>
      </c>
      <c r="V31" s="117">
        <f>'As-Filed Schedule 2M'!N31</f>
        <v>0</v>
      </c>
      <c r="W31" s="307">
        <f>SUMIFS(Adjustments!$G:$G,Adjustments!$H:$H,"2M",Adjustments!$I:$I,'Schedule 2M Adjustments'!$V$12,Adjustments!$J:$J,'Schedule 2M Adjustments'!$A31)</f>
        <v>0</v>
      </c>
      <c r="X31" s="303">
        <f t="shared" si="6"/>
        <v>0</v>
      </c>
      <c r="Y31" s="117">
        <f>'As-Filed Schedule 2M'!O31</f>
        <v>0</v>
      </c>
      <c r="Z31" s="307">
        <f>SUMIFS(Adjustments!$G:$G,Adjustments!$H:$H,"2M",Adjustments!$I:$I,'Schedule 2M Adjustments'!$Y$12,Adjustments!$J:$J,'Schedule 2M Adjustments'!$A31)</f>
        <v>0</v>
      </c>
      <c r="AA31" s="303">
        <f t="shared" si="7"/>
        <v>0</v>
      </c>
    </row>
    <row r="32" spans="1:27" x14ac:dyDescent="0.35">
      <c r="A32" s="24">
        <v>18</v>
      </c>
      <c r="B32" s="565" t="str">
        <f>IF('As-Filed Schedule 2M'!B32:D32=0,"",'As-Filed Schedule 2M'!B32:D32)</f>
        <v/>
      </c>
      <c r="C32" s="565"/>
      <c r="D32" s="565"/>
      <c r="F32" s="114">
        <f>'As-Filed Schedule 2M'!F32</f>
        <v>0</v>
      </c>
      <c r="G32" s="307">
        <f>SUMIFS(Adjustments!$G:$G,Adjustments!$H:$H,"2M",Adjustments!$I:$I,'Schedule 2M Adjustments'!$F$12,Adjustments!$J:$J,'Schedule 2M Adjustments'!$A32)</f>
        <v>0</v>
      </c>
      <c r="H32" s="303">
        <f t="shared" si="0"/>
        <v>0</v>
      </c>
      <c r="I32" s="68">
        <f>IFERROR(F32*'As-Filed Schedule 1'!$E$103,0)</f>
        <v>0</v>
      </c>
      <c r="J32" s="304">
        <f>IFERROR(H32*'Adjusted Schedule 1'!$E$104,0)</f>
        <v>0</v>
      </c>
      <c r="K32" s="68">
        <f t="shared" si="1"/>
        <v>0</v>
      </c>
      <c r="L32" s="304">
        <f t="shared" si="2"/>
        <v>0</v>
      </c>
      <c r="N32" s="114">
        <f>'As-Filed Schedule 2M'!J32</f>
        <v>0</v>
      </c>
      <c r="O32" s="307">
        <f>SUMIFS(Adjustments!$G:$G,Adjustments!$H:$H,"2M",Adjustments!$I:$I,'Schedule 2M Adjustments'!$N$12,Adjustments!$J:$J,'Schedule 2M Adjustments'!$A32)</f>
        <v>0</v>
      </c>
      <c r="P32" s="303">
        <f t="shared" si="3"/>
        <v>0</v>
      </c>
      <c r="Q32" s="68">
        <f>IFERROR(N32*'As-Filed Schedule 1'!$E$103,0)</f>
        <v>0</v>
      </c>
      <c r="R32" s="68">
        <f>IFERROR(P32*'Adjusted Schedule 1'!$E$104,0)</f>
        <v>0</v>
      </c>
      <c r="S32" s="68">
        <f t="shared" si="4"/>
        <v>0</v>
      </c>
      <c r="T32" s="304">
        <f t="shared" si="5"/>
        <v>0</v>
      </c>
      <c r="V32" s="117">
        <f>'As-Filed Schedule 2M'!N32</f>
        <v>0</v>
      </c>
      <c r="W32" s="307">
        <f>SUMIFS(Adjustments!$G:$G,Adjustments!$H:$H,"2M",Adjustments!$I:$I,'Schedule 2M Adjustments'!$V$12,Adjustments!$J:$J,'Schedule 2M Adjustments'!$A32)</f>
        <v>0</v>
      </c>
      <c r="X32" s="303">
        <f t="shared" si="6"/>
        <v>0</v>
      </c>
      <c r="Y32" s="117">
        <f>'As-Filed Schedule 2M'!O32</f>
        <v>0</v>
      </c>
      <c r="Z32" s="307">
        <f>SUMIFS(Adjustments!$G:$G,Adjustments!$H:$H,"2M",Adjustments!$I:$I,'Schedule 2M Adjustments'!$Y$12,Adjustments!$J:$J,'Schedule 2M Adjustments'!$A32)</f>
        <v>0</v>
      </c>
      <c r="AA32" s="303">
        <f t="shared" si="7"/>
        <v>0</v>
      </c>
    </row>
    <row r="33" spans="1:27" x14ac:dyDescent="0.35">
      <c r="A33" s="24">
        <v>19</v>
      </c>
      <c r="B33" s="565" t="str">
        <f>IF('As-Filed Schedule 2M'!B33:D33=0,"",'As-Filed Schedule 2M'!B33:D33)</f>
        <v/>
      </c>
      <c r="C33" s="565"/>
      <c r="D33" s="565"/>
      <c r="F33" s="114">
        <f>'As-Filed Schedule 2M'!F33</f>
        <v>0</v>
      </c>
      <c r="G33" s="307">
        <f>SUMIFS(Adjustments!$G:$G,Adjustments!$H:$H,"2M",Adjustments!$I:$I,'Schedule 2M Adjustments'!$F$12,Adjustments!$J:$J,'Schedule 2M Adjustments'!$A33)</f>
        <v>0</v>
      </c>
      <c r="H33" s="303">
        <f t="shared" si="0"/>
        <v>0</v>
      </c>
      <c r="I33" s="68">
        <f>IFERROR(F33*'As-Filed Schedule 1'!$E$103,0)</f>
        <v>0</v>
      </c>
      <c r="J33" s="304">
        <f>IFERROR(H33*'Adjusted Schedule 1'!$E$104,0)</f>
        <v>0</v>
      </c>
      <c r="K33" s="68">
        <f t="shared" si="1"/>
        <v>0</v>
      </c>
      <c r="L33" s="304">
        <f t="shared" si="2"/>
        <v>0</v>
      </c>
      <c r="N33" s="114">
        <f>'As-Filed Schedule 2M'!J33</f>
        <v>0</v>
      </c>
      <c r="O33" s="307">
        <f>SUMIFS(Adjustments!$G:$G,Adjustments!$H:$H,"2M",Adjustments!$I:$I,'Schedule 2M Adjustments'!$N$12,Adjustments!$J:$J,'Schedule 2M Adjustments'!$A33)</f>
        <v>0</v>
      </c>
      <c r="P33" s="303">
        <f t="shared" si="3"/>
        <v>0</v>
      </c>
      <c r="Q33" s="68">
        <f>IFERROR(N33*'As-Filed Schedule 1'!$E$103,0)</f>
        <v>0</v>
      </c>
      <c r="R33" s="68">
        <f>IFERROR(P33*'Adjusted Schedule 1'!$E$104,0)</f>
        <v>0</v>
      </c>
      <c r="S33" s="68">
        <f t="shared" si="4"/>
        <v>0</v>
      </c>
      <c r="T33" s="304">
        <f t="shared" si="5"/>
        <v>0</v>
      </c>
      <c r="V33" s="117">
        <f>'As-Filed Schedule 2M'!N33</f>
        <v>0</v>
      </c>
      <c r="W33" s="307">
        <f>SUMIFS(Adjustments!$G:$G,Adjustments!$H:$H,"2M",Adjustments!$I:$I,'Schedule 2M Adjustments'!$V$12,Adjustments!$J:$J,'Schedule 2M Adjustments'!$A33)</f>
        <v>0</v>
      </c>
      <c r="X33" s="303">
        <f t="shared" si="6"/>
        <v>0</v>
      </c>
      <c r="Y33" s="117">
        <f>'As-Filed Schedule 2M'!O33</f>
        <v>0</v>
      </c>
      <c r="Z33" s="307">
        <f>SUMIFS(Adjustments!$G:$G,Adjustments!$H:$H,"2M",Adjustments!$I:$I,'Schedule 2M Adjustments'!$Y$12,Adjustments!$J:$J,'Schedule 2M Adjustments'!$A33)</f>
        <v>0</v>
      </c>
      <c r="AA33" s="303">
        <f t="shared" si="7"/>
        <v>0</v>
      </c>
    </row>
    <row r="34" spans="1:27" x14ac:dyDescent="0.35">
      <c r="A34" s="24">
        <v>20</v>
      </c>
      <c r="B34" s="565" t="str">
        <f>IF('As-Filed Schedule 2M'!B34:D34=0,"",'As-Filed Schedule 2M'!B34:D34)</f>
        <v/>
      </c>
      <c r="C34" s="565"/>
      <c r="D34" s="565"/>
      <c r="F34" s="114">
        <f>'As-Filed Schedule 2M'!F34</f>
        <v>0</v>
      </c>
      <c r="G34" s="307">
        <f>SUMIFS(Adjustments!$G:$G,Adjustments!$H:$H,"2M",Adjustments!$I:$I,'Schedule 2M Adjustments'!$F$12,Adjustments!$J:$J,'Schedule 2M Adjustments'!$A34)</f>
        <v>0</v>
      </c>
      <c r="H34" s="303">
        <f t="shared" si="0"/>
        <v>0</v>
      </c>
      <c r="I34" s="68">
        <f>IFERROR(F34*'As-Filed Schedule 1'!$E$103,0)</f>
        <v>0</v>
      </c>
      <c r="J34" s="304">
        <f>IFERROR(H34*'Adjusted Schedule 1'!$E$104,0)</f>
        <v>0</v>
      </c>
      <c r="K34" s="68">
        <f t="shared" si="1"/>
        <v>0</v>
      </c>
      <c r="L34" s="304">
        <f t="shared" si="2"/>
        <v>0</v>
      </c>
      <c r="N34" s="114">
        <f>'As-Filed Schedule 2M'!J34</f>
        <v>0</v>
      </c>
      <c r="O34" s="307">
        <f>SUMIFS(Adjustments!$G:$G,Adjustments!$H:$H,"2M",Adjustments!$I:$I,'Schedule 2M Adjustments'!$N$12,Adjustments!$J:$J,'Schedule 2M Adjustments'!$A34)</f>
        <v>0</v>
      </c>
      <c r="P34" s="303">
        <f t="shared" si="3"/>
        <v>0</v>
      </c>
      <c r="Q34" s="68">
        <f>IFERROR(N34*'As-Filed Schedule 1'!$E$103,0)</f>
        <v>0</v>
      </c>
      <c r="R34" s="68">
        <f>IFERROR(P34*'Adjusted Schedule 1'!$E$104,0)</f>
        <v>0</v>
      </c>
      <c r="S34" s="68">
        <f t="shared" si="4"/>
        <v>0</v>
      </c>
      <c r="T34" s="304">
        <f t="shared" si="5"/>
        <v>0</v>
      </c>
      <c r="V34" s="117">
        <f>'As-Filed Schedule 2M'!N34</f>
        <v>0</v>
      </c>
      <c r="W34" s="307">
        <f>SUMIFS(Adjustments!$G:$G,Adjustments!$H:$H,"2M",Adjustments!$I:$I,'Schedule 2M Adjustments'!$V$12,Adjustments!$J:$J,'Schedule 2M Adjustments'!$A34)</f>
        <v>0</v>
      </c>
      <c r="X34" s="303">
        <f t="shared" si="6"/>
        <v>0</v>
      </c>
      <c r="Y34" s="117">
        <f>'As-Filed Schedule 2M'!O34</f>
        <v>0</v>
      </c>
      <c r="Z34" s="307">
        <f>SUMIFS(Adjustments!$G:$G,Adjustments!$H:$H,"2M",Adjustments!$I:$I,'Schedule 2M Adjustments'!$Y$12,Adjustments!$J:$J,'Schedule 2M Adjustments'!$A34)</f>
        <v>0</v>
      </c>
      <c r="AA34" s="303">
        <f t="shared" si="7"/>
        <v>0</v>
      </c>
    </row>
    <row r="35" spans="1:27" x14ac:dyDescent="0.35">
      <c r="A35" s="24">
        <v>21</v>
      </c>
      <c r="B35" s="565" t="str">
        <f>IF('As-Filed Schedule 2M'!B35:D35=0,"",'As-Filed Schedule 2M'!B35:D35)</f>
        <v/>
      </c>
      <c r="C35" s="565"/>
      <c r="D35" s="565"/>
      <c r="F35" s="114">
        <f>'As-Filed Schedule 2M'!F35</f>
        <v>0</v>
      </c>
      <c r="G35" s="307">
        <f>SUMIFS(Adjustments!$G:$G,Adjustments!$H:$H,"2M",Adjustments!$I:$I,'Schedule 2M Adjustments'!$F$12,Adjustments!$J:$J,'Schedule 2M Adjustments'!$A35)</f>
        <v>0</v>
      </c>
      <c r="H35" s="303">
        <f t="shared" si="0"/>
        <v>0</v>
      </c>
      <c r="I35" s="68">
        <f>IFERROR(F35*'As-Filed Schedule 1'!$E$103,0)</f>
        <v>0</v>
      </c>
      <c r="J35" s="304">
        <f>IFERROR(H35*'Adjusted Schedule 1'!$E$104,0)</f>
        <v>0</v>
      </c>
      <c r="K35" s="68">
        <f t="shared" si="1"/>
        <v>0</v>
      </c>
      <c r="L35" s="304">
        <f t="shared" si="2"/>
        <v>0</v>
      </c>
      <c r="N35" s="114">
        <f>'As-Filed Schedule 2M'!J35</f>
        <v>0</v>
      </c>
      <c r="O35" s="307">
        <f>SUMIFS(Adjustments!$G:$G,Adjustments!$H:$H,"2M",Adjustments!$I:$I,'Schedule 2M Adjustments'!$N$12,Adjustments!$J:$J,'Schedule 2M Adjustments'!$A35)</f>
        <v>0</v>
      </c>
      <c r="P35" s="303">
        <f t="shared" si="3"/>
        <v>0</v>
      </c>
      <c r="Q35" s="68">
        <f>IFERROR(N35*'As-Filed Schedule 1'!$E$103,0)</f>
        <v>0</v>
      </c>
      <c r="R35" s="68">
        <f>IFERROR(P35*'Adjusted Schedule 1'!$E$104,0)</f>
        <v>0</v>
      </c>
      <c r="S35" s="68">
        <f t="shared" si="4"/>
        <v>0</v>
      </c>
      <c r="T35" s="304">
        <f t="shared" si="5"/>
        <v>0</v>
      </c>
      <c r="V35" s="117">
        <f>'As-Filed Schedule 2M'!N35</f>
        <v>0</v>
      </c>
      <c r="W35" s="307">
        <f>SUMIFS(Adjustments!$G:$G,Adjustments!$H:$H,"2M",Adjustments!$I:$I,'Schedule 2M Adjustments'!$V$12,Adjustments!$J:$J,'Schedule 2M Adjustments'!$A35)</f>
        <v>0</v>
      </c>
      <c r="X35" s="303">
        <f t="shared" si="6"/>
        <v>0</v>
      </c>
      <c r="Y35" s="117">
        <f>'As-Filed Schedule 2M'!O35</f>
        <v>0</v>
      </c>
      <c r="Z35" s="307">
        <f>SUMIFS(Adjustments!$G:$G,Adjustments!$H:$H,"2M",Adjustments!$I:$I,'Schedule 2M Adjustments'!$Y$12,Adjustments!$J:$J,'Schedule 2M Adjustments'!$A35)</f>
        <v>0</v>
      </c>
      <c r="AA35" s="303">
        <f t="shared" si="7"/>
        <v>0</v>
      </c>
    </row>
    <row r="36" spans="1:27" x14ac:dyDescent="0.35">
      <c r="A36" s="24">
        <v>22</v>
      </c>
      <c r="B36" s="565" t="str">
        <f>IF('As-Filed Schedule 2M'!B36:D36=0,"",'As-Filed Schedule 2M'!B36:D36)</f>
        <v/>
      </c>
      <c r="C36" s="565"/>
      <c r="D36" s="565"/>
      <c r="F36" s="114">
        <f>'As-Filed Schedule 2M'!F36</f>
        <v>0</v>
      </c>
      <c r="G36" s="307">
        <f>SUMIFS(Adjustments!$G:$G,Adjustments!$H:$H,"2M",Adjustments!$I:$I,'Schedule 2M Adjustments'!$F$12,Adjustments!$J:$J,'Schedule 2M Adjustments'!$A36)</f>
        <v>0</v>
      </c>
      <c r="H36" s="303">
        <f t="shared" si="0"/>
        <v>0</v>
      </c>
      <c r="I36" s="68">
        <f>IFERROR(F36*'As-Filed Schedule 1'!$E$103,0)</f>
        <v>0</v>
      </c>
      <c r="J36" s="304">
        <f>IFERROR(H36*'Adjusted Schedule 1'!$E$104,0)</f>
        <v>0</v>
      </c>
      <c r="K36" s="68">
        <f t="shared" si="1"/>
        <v>0</v>
      </c>
      <c r="L36" s="304">
        <f t="shared" si="2"/>
        <v>0</v>
      </c>
      <c r="N36" s="114">
        <f>'As-Filed Schedule 2M'!J36</f>
        <v>0</v>
      </c>
      <c r="O36" s="307">
        <f>SUMIFS(Adjustments!$G:$G,Adjustments!$H:$H,"2M",Adjustments!$I:$I,'Schedule 2M Adjustments'!$N$12,Adjustments!$J:$J,'Schedule 2M Adjustments'!$A36)</f>
        <v>0</v>
      </c>
      <c r="P36" s="303">
        <f t="shared" si="3"/>
        <v>0</v>
      </c>
      <c r="Q36" s="68">
        <f>IFERROR(N36*'As-Filed Schedule 1'!$E$103,0)</f>
        <v>0</v>
      </c>
      <c r="R36" s="68">
        <f>IFERROR(P36*'Adjusted Schedule 1'!$E$104,0)</f>
        <v>0</v>
      </c>
      <c r="S36" s="68">
        <f t="shared" si="4"/>
        <v>0</v>
      </c>
      <c r="T36" s="304">
        <f t="shared" si="5"/>
        <v>0</v>
      </c>
      <c r="V36" s="117">
        <f>'As-Filed Schedule 2M'!N36</f>
        <v>0</v>
      </c>
      <c r="W36" s="307">
        <f>SUMIFS(Adjustments!$G:$G,Adjustments!$H:$H,"2M",Adjustments!$I:$I,'Schedule 2M Adjustments'!$V$12,Adjustments!$J:$J,'Schedule 2M Adjustments'!$A36)</f>
        <v>0</v>
      </c>
      <c r="X36" s="303">
        <f t="shared" si="6"/>
        <v>0</v>
      </c>
      <c r="Y36" s="117">
        <f>'As-Filed Schedule 2M'!O36</f>
        <v>0</v>
      </c>
      <c r="Z36" s="307">
        <f>SUMIFS(Adjustments!$G:$G,Adjustments!$H:$H,"2M",Adjustments!$I:$I,'Schedule 2M Adjustments'!$Y$12,Adjustments!$J:$J,'Schedule 2M Adjustments'!$A36)</f>
        <v>0</v>
      </c>
      <c r="AA36" s="303">
        <f t="shared" si="7"/>
        <v>0</v>
      </c>
    </row>
    <row r="37" spans="1:27" x14ac:dyDescent="0.35">
      <c r="A37" s="24">
        <v>23</v>
      </c>
      <c r="B37" s="565" t="str">
        <f>IF('As-Filed Schedule 2M'!B37:D37=0,"",'As-Filed Schedule 2M'!B37:D37)</f>
        <v/>
      </c>
      <c r="C37" s="565"/>
      <c r="D37" s="565"/>
      <c r="F37" s="114">
        <f>'As-Filed Schedule 2M'!F37</f>
        <v>0</v>
      </c>
      <c r="G37" s="307">
        <f>SUMIFS(Adjustments!$G:$G,Adjustments!$H:$H,"2M",Adjustments!$I:$I,'Schedule 2M Adjustments'!$F$12,Adjustments!$J:$J,'Schedule 2M Adjustments'!$A37)</f>
        <v>0</v>
      </c>
      <c r="H37" s="303">
        <f t="shared" si="0"/>
        <v>0</v>
      </c>
      <c r="I37" s="68">
        <f>IFERROR(F37*'As-Filed Schedule 1'!$E$103,0)</f>
        <v>0</v>
      </c>
      <c r="J37" s="304">
        <f>IFERROR(H37*'Adjusted Schedule 1'!$E$104,0)</f>
        <v>0</v>
      </c>
      <c r="K37" s="68">
        <f t="shared" si="1"/>
        <v>0</v>
      </c>
      <c r="L37" s="304">
        <f t="shared" si="2"/>
        <v>0</v>
      </c>
      <c r="N37" s="114">
        <f>'As-Filed Schedule 2M'!J37</f>
        <v>0</v>
      </c>
      <c r="O37" s="307">
        <f>SUMIFS(Adjustments!$G:$G,Adjustments!$H:$H,"2M",Adjustments!$I:$I,'Schedule 2M Adjustments'!$N$12,Adjustments!$J:$J,'Schedule 2M Adjustments'!$A37)</f>
        <v>0</v>
      </c>
      <c r="P37" s="303">
        <f t="shared" si="3"/>
        <v>0</v>
      </c>
      <c r="Q37" s="68">
        <f>IFERROR(N37*'As-Filed Schedule 1'!$E$103,0)</f>
        <v>0</v>
      </c>
      <c r="R37" s="68">
        <f>IFERROR(P37*'Adjusted Schedule 1'!$E$104,0)</f>
        <v>0</v>
      </c>
      <c r="S37" s="68">
        <f t="shared" si="4"/>
        <v>0</v>
      </c>
      <c r="T37" s="304">
        <f t="shared" si="5"/>
        <v>0</v>
      </c>
      <c r="V37" s="117">
        <f>'As-Filed Schedule 2M'!N37</f>
        <v>0</v>
      </c>
      <c r="W37" s="307">
        <f>SUMIFS(Adjustments!$G:$G,Adjustments!$H:$H,"2M",Adjustments!$I:$I,'Schedule 2M Adjustments'!$V$12,Adjustments!$J:$J,'Schedule 2M Adjustments'!$A37)</f>
        <v>0</v>
      </c>
      <c r="X37" s="303">
        <f t="shared" si="6"/>
        <v>0</v>
      </c>
      <c r="Y37" s="117">
        <f>'As-Filed Schedule 2M'!O37</f>
        <v>0</v>
      </c>
      <c r="Z37" s="307">
        <f>SUMIFS(Adjustments!$G:$G,Adjustments!$H:$H,"2M",Adjustments!$I:$I,'Schedule 2M Adjustments'!$Y$12,Adjustments!$J:$J,'Schedule 2M Adjustments'!$A37)</f>
        <v>0</v>
      </c>
      <c r="AA37" s="303">
        <f t="shared" si="7"/>
        <v>0</v>
      </c>
    </row>
    <row r="38" spans="1:27" x14ac:dyDescent="0.35">
      <c r="A38" s="24">
        <v>24</v>
      </c>
      <c r="B38" s="565" t="str">
        <f>IF('As-Filed Schedule 2M'!B38:D38=0,"",'As-Filed Schedule 2M'!B38:D38)</f>
        <v/>
      </c>
      <c r="C38" s="565"/>
      <c r="D38" s="565"/>
      <c r="F38" s="114">
        <f>'As-Filed Schedule 2M'!F38</f>
        <v>0</v>
      </c>
      <c r="G38" s="307">
        <f>SUMIFS(Adjustments!$G:$G,Adjustments!$H:$H,"2M",Adjustments!$I:$I,'Schedule 2M Adjustments'!$F$12,Adjustments!$J:$J,'Schedule 2M Adjustments'!$A38)</f>
        <v>0</v>
      </c>
      <c r="H38" s="303">
        <f t="shared" si="0"/>
        <v>0</v>
      </c>
      <c r="I38" s="68">
        <f>IFERROR(F38*'As-Filed Schedule 1'!$E$103,0)</f>
        <v>0</v>
      </c>
      <c r="J38" s="304">
        <f>IFERROR(H38*'Adjusted Schedule 1'!$E$104,0)</f>
        <v>0</v>
      </c>
      <c r="K38" s="68">
        <f t="shared" si="1"/>
        <v>0</v>
      </c>
      <c r="L38" s="304">
        <f t="shared" si="2"/>
        <v>0</v>
      </c>
      <c r="N38" s="114">
        <f>'As-Filed Schedule 2M'!J38</f>
        <v>0</v>
      </c>
      <c r="O38" s="307">
        <f>SUMIFS(Adjustments!$G:$G,Adjustments!$H:$H,"2M",Adjustments!$I:$I,'Schedule 2M Adjustments'!$N$12,Adjustments!$J:$J,'Schedule 2M Adjustments'!$A38)</f>
        <v>0</v>
      </c>
      <c r="P38" s="303">
        <f t="shared" si="3"/>
        <v>0</v>
      </c>
      <c r="Q38" s="68">
        <f>IFERROR(N38*'As-Filed Schedule 1'!$E$103,0)</f>
        <v>0</v>
      </c>
      <c r="R38" s="68">
        <f>IFERROR(P38*'Adjusted Schedule 1'!$E$104,0)</f>
        <v>0</v>
      </c>
      <c r="S38" s="68">
        <f t="shared" si="4"/>
        <v>0</v>
      </c>
      <c r="T38" s="304">
        <f t="shared" si="5"/>
        <v>0</v>
      </c>
      <c r="V38" s="117">
        <f>'As-Filed Schedule 2M'!N38</f>
        <v>0</v>
      </c>
      <c r="W38" s="307">
        <f>SUMIFS(Adjustments!$G:$G,Adjustments!$H:$H,"2M",Adjustments!$I:$I,'Schedule 2M Adjustments'!$V$12,Adjustments!$J:$J,'Schedule 2M Adjustments'!$A38)</f>
        <v>0</v>
      </c>
      <c r="X38" s="303">
        <f t="shared" si="6"/>
        <v>0</v>
      </c>
      <c r="Y38" s="117">
        <f>'As-Filed Schedule 2M'!O38</f>
        <v>0</v>
      </c>
      <c r="Z38" s="307">
        <f>SUMIFS(Adjustments!$G:$G,Adjustments!$H:$H,"2M",Adjustments!$I:$I,'Schedule 2M Adjustments'!$Y$12,Adjustments!$J:$J,'Schedule 2M Adjustments'!$A38)</f>
        <v>0</v>
      </c>
      <c r="AA38" s="303">
        <f t="shared" si="7"/>
        <v>0</v>
      </c>
    </row>
    <row r="39" spans="1:27" x14ac:dyDescent="0.35">
      <c r="A39" s="24">
        <v>25</v>
      </c>
      <c r="B39" s="565" t="str">
        <f>IF('As-Filed Schedule 2M'!B39:D39=0,"",'As-Filed Schedule 2M'!B39:D39)</f>
        <v/>
      </c>
      <c r="C39" s="565"/>
      <c r="D39" s="565"/>
      <c r="F39" s="114">
        <f>'As-Filed Schedule 2M'!F39</f>
        <v>0</v>
      </c>
      <c r="G39" s="307">
        <f>SUMIFS(Adjustments!$G:$G,Adjustments!$H:$H,"2M",Adjustments!$I:$I,'Schedule 2M Adjustments'!$F$12,Adjustments!$J:$J,'Schedule 2M Adjustments'!$A39)</f>
        <v>0</v>
      </c>
      <c r="H39" s="303">
        <f t="shared" si="0"/>
        <v>0</v>
      </c>
      <c r="I39" s="68">
        <f>IFERROR(F39*'As-Filed Schedule 1'!$E$103,0)</f>
        <v>0</v>
      </c>
      <c r="J39" s="304">
        <f>IFERROR(H39*'Adjusted Schedule 1'!$E$104,0)</f>
        <v>0</v>
      </c>
      <c r="K39" s="68">
        <f t="shared" si="1"/>
        <v>0</v>
      </c>
      <c r="L39" s="304">
        <f t="shared" si="2"/>
        <v>0</v>
      </c>
      <c r="N39" s="114">
        <f>'As-Filed Schedule 2M'!J39</f>
        <v>0</v>
      </c>
      <c r="O39" s="307">
        <f>SUMIFS(Adjustments!$G:$G,Adjustments!$H:$H,"2M",Adjustments!$I:$I,'Schedule 2M Adjustments'!$N$12,Adjustments!$J:$J,'Schedule 2M Adjustments'!$A39)</f>
        <v>0</v>
      </c>
      <c r="P39" s="303">
        <f t="shared" si="3"/>
        <v>0</v>
      </c>
      <c r="Q39" s="68">
        <f>IFERROR(N39*'As-Filed Schedule 1'!$E$103,0)</f>
        <v>0</v>
      </c>
      <c r="R39" s="68">
        <f>IFERROR(P39*'Adjusted Schedule 1'!$E$104,0)</f>
        <v>0</v>
      </c>
      <c r="S39" s="68">
        <f t="shared" si="4"/>
        <v>0</v>
      </c>
      <c r="T39" s="304">
        <f t="shared" si="5"/>
        <v>0</v>
      </c>
      <c r="V39" s="117">
        <f>'As-Filed Schedule 2M'!N39</f>
        <v>0</v>
      </c>
      <c r="W39" s="307">
        <f>SUMIFS(Adjustments!$G:$G,Adjustments!$H:$H,"2M",Adjustments!$I:$I,'Schedule 2M Adjustments'!$V$12,Adjustments!$J:$J,'Schedule 2M Adjustments'!$A39)</f>
        <v>0</v>
      </c>
      <c r="X39" s="303">
        <f t="shared" si="6"/>
        <v>0</v>
      </c>
      <c r="Y39" s="117">
        <f>'As-Filed Schedule 2M'!O39</f>
        <v>0</v>
      </c>
      <c r="Z39" s="307">
        <f>SUMIFS(Adjustments!$G:$G,Adjustments!$H:$H,"2M",Adjustments!$I:$I,'Schedule 2M Adjustments'!$Y$12,Adjustments!$J:$J,'Schedule 2M Adjustments'!$A39)</f>
        <v>0</v>
      </c>
      <c r="AA39" s="303">
        <f t="shared" si="7"/>
        <v>0</v>
      </c>
    </row>
    <row r="40" spans="1:27" x14ac:dyDescent="0.35">
      <c r="A40" s="24">
        <v>26</v>
      </c>
      <c r="B40" s="565" t="str">
        <f>IF('As-Filed Schedule 2M'!B40:D40=0,"",'As-Filed Schedule 2M'!B40:D40)</f>
        <v/>
      </c>
      <c r="C40" s="565"/>
      <c r="D40" s="565"/>
      <c r="F40" s="114">
        <f>'As-Filed Schedule 2M'!F40</f>
        <v>0</v>
      </c>
      <c r="G40" s="307">
        <f>SUMIFS(Adjustments!$G:$G,Adjustments!$H:$H,"2M",Adjustments!$I:$I,'Schedule 2M Adjustments'!$F$12,Adjustments!$J:$J,'Schedule 2M Adjustments'!$A40)</f>
        <v>0</v>
      </c>
      <c r="H40" s="303">
        <f t="shared" si="0"/>
        <v>0</v>
      </c>
      <c r="I40" s="68">
        <f>IFERROR(F40*'As-Filed Schedule 1'!$E$103,0)</f>
        <v>0</v>
      </c>
      <c r="J40" s="304">
        <f>IFERROR(H40*'Adjusted Schedule 1'!$E$104,0)</f>
        <v>0</v>
      </c>
      <c r="K40" s="68">
        <f t="shared" si="1"/>
        <v>0</v>
      </c>
      <c r="L40" s="304">
        <f t="shared" si="2"/>
        <v>0</v>
      </c>
      <c r="N40" s="114">
        <f>'As-Filed Schedule 2M'!J40</f>
        <v>0</v>
      </c>
      <c r="O40" s="307">
        <f>SUMIFS(Adjustments!$G:$G,Adjustments!$H:$H,"2M",Adjustments!$I:$I,'Schedule 2M Adjustments'!$N$12,Adjustments!$J:$J,'Schedule 2M Adjustments'!$A40)</f>
        <v>0</v>
      </c>
      <c r="P40" s="303">
        <f t="shared" si="3"/>
        <v>0</v>
      </c>
      <c r="Q40" s="68">
        <f>IFERROR(N40*'As-Filed Schedule 1'!$E$103,0)</f>
        <v>0</v>
      </c>
      <c r="R40" s="68">
        <f>IFERROR(P40*'Adjusted Schedule 1'!$E$104,0)</f>
        <v>0</v>
      </c>
      <c r="S40" s="68">
        <f t="shared" si="4"/>
        <v>0</v>
      </c>
      <c r="T40" s="304">
        <f t="shared" si="5"/>
        <v>0</v>
      </c>
      <c r="V40" s="117">
        <f>'As-Filed Schedule 2M'!N40</f>
        <v>0</v>
      </c>
      <c r="W40" s="307">
        <f>SUMIFS(Adjustments!$G:$G,Adjustments!$H:$H,"2M",Adjustments!$I:$I,'Schedule 2M Adjustments'!$V$12,Adjustments!$J:$J,'Schedule 2M Adjustments'!$A40)</f>
        <v>0</v>
      </c>
      <c r="X40" s="303">
        <f t="shared" si="6"/>
        <v>0</v>
      </c>
      <c r="Y40" s="117">
        <f>'As-Filed Schedule 2M'!O40</f>
        <v>0</v>
      </c>
      <c r="Z40" s="307">
        <f>SUMIFS(Adjustments!$G:$G,Adjustments!$H:$H,"2M",Adjustments!$I:$I,'Schedule 2M Adjustments'!$Y$12,Adjustments!$J:$J,'Schedule 2M Adjustments'!$A40)</f>
        <v>0</v>
      </c>
      <c r="AA40" s="303">
        <f t="shared" si="7"/>
        <v>0</v>
      </c>
    </row>
    <row r="41" spans="1:27" x14ac:dyDescent="0.35">
      <c r="A41" s="24">
        <v>27</v>
      </c>
      <c r="B41" s="565" t="str">
        <f>IF('As-Filed Schedule 2M'!B41:D41=0,"",'As-Filed Schedule 2M'!B41:D41)</f>
        <v/>
      </c>
      <c r="C41" s="565"/>
      <c r="D41" s="565"/>
      <c r="F41" s="114">
        <f>'As-Filed Schedule 2M'!F41</f>
        <v>0</v>
      </c>
      <c r="G41" s="307">
        <f>SUMIFS(Adjustments!$G:$G,Adjustments!$H:$H,"2M",Adjustments!$I:$I,'Schedule 2M Adjustments'!$F$12,Adjustments!$J:$J,'Schedule 2M Adjustments'!$A41)</f>
        <v>0</v>
      </c>
      <c r="H41" s="303">
        <f t="shared" si="0"/>
        <v>0</v>
      </c>
      <c r="I41" s="68">
        <f>IFERROR(F41*'As-Filed Schedule 1'!$E$103,0)</f>
        <v>0</v>
      </c>
      <c r="J41" s="304">
        <f>IFERROR(H41*'Adjusted Schedule 1'!$E$104,0)</f>
        <v>0</v>
      </c>
      <c r="K41" s="68">
        <f t="shared" si="1"/>
        <v>0</v>
      </c>
      <c r="L41" s="304">
        <f t="shared" si="2"/>
        <v>0</v>
      </c>
      <c r="N41" s="114">
        <f>'As-Filed Schedule 2M'!J41</f>
        <v>0</v>
      </c>
      <c r="O41" s="307">
        <f>SUMIFS(Adjustments!$G:$G,Adjustments!$H:$H,"2M",Adjustments!$I:$I,'Schedule 2M Adjustments'!$N$12,Adjustments!$J:$J,'Schedule 2M Adjustments'!$A41)</f>
        <v>0</v>
      </c>
      <c r="P41" s="303">
        <f t="shared" si="3"/>
        <v>0</v>
      </c>
      <c r="Q41" s="68">
        <f>IFERROR(N41*'As-Filed Schedule 1'!$E$103,0)</f>
        <v>0</v>
      </c>
      <c r="R41" s="68">
        <f>IFERROR(P41*'Adjusted Schedule 1'!$E$104,0)</f>
        <v>0</v>
      </c>
      <c r="S41" s="68">
        <f t="shared" si="4"/>
        <v>0</v>
      </c>
      <c r="T41" s="304">
        <f t="shared" si="5"/>
        <v>0</v>
      </c>
      <c r="V41" s="117">
        <f>'As-Filed Schedule 2M'!N41</f>
        <v>0</v>
      </c>
      <c r="W41" s="307">
        <f>SUMIFS(Adjustments!$G:$G,Adjustments!$H:$H,"2M",Adjustments!$I:$I,'Schedule 2M Adjustments'!$V$12,Adjustments!$J:$J,'Schedule 2M Adjustments'!$A41)</f>
        <v>0</v>
      </c>
      <c r="X41" s="303">
        <f t="shared" si="6"/>
        <v>0</v>
      </c>
      <c r="Y41" s="117">
        <f>'As-Filed Schedule 2M'!O41</f>
        <v>0</v>
      </c>
      <c r="Z41" s="307">
        <f>SUMIFS(Adjustments!$G:$G,Adjustments!$H:$H,"2M",Adjustments!$I:$I,'Schedule 2M Adjustments'!$Y$12,Adjustments!$J:$J,'Schedule 2M Adjustments'!$A41)</f>
        <v>0</v>
      </c>
      <c r="AA41" s="303">
        <f t="shared" si="7"/>
        <v>0</v>
      </c>
    </row>
    <row r="42" spans="1:27" x14ac:dyDescent="0.35">
      <c r="A42" s="24">
        <v>28</v>
      </c>
      <c r="B42" s="565" t="str">
        <f>IF('As-Filed Schedule 2M'!B42:D42=0,"",'As-Filed Schedule 2M'!B42:D42)</f>
        <v/>
      </c>
      <c r="C42" s="565"/>
      <c r="D42" s="565"/>
      <c r="F42" s="114">
        <f>'As-Filed Schedule 2M'!F42</f>
        <v>0</v>
      </c>
      <c r="G42" s="307">
        <f>SUMIFS(Adjustments!$G:$G,Adjustments!$H:$H,"2M",Adjustments!$I:$I,'Schedule 2M Adjustments'!$F$12,Adjustments!$J:$J,'Schedule 2M Adjustments'!$A42)</f>
        <v>0</v>
      </c>
      <c r="H42" s="303">
        <f t="shared" si="0"/>
        <v>0</v>
      </c>
      <c r="I42" s="68">
        <f>IFERROR(F42*'As-Filed Schedule 1'!$E$103,0)</f>
        <v>0</v>
      </c>
      <c r="J42" s="304">
        <f>IFERROR(H42*'Adjusted Schedule 1'!$E$104,0)</f>
        <v>0</v>
      </c>
      <c r="K42" s="68">
        <f t="shared" si="1"/>
        <v>0</v>
      </c>
      <c r="L42" s="304">
        <f t="shared" si="2"/>
        <v>0</v>
      </c>
      <c r="N42" s="114">
        <f>'As-Filed Schedule 2M'!J42</f>
        <v>0</v>
      </c>
      <c r="O42" s="307">
        <f>SUMIFS(Adjustments!$G:$G,Adjustments!$H:$H,"2M",Adjustments!$I:$I,'Schedule 2M Adjustments'!$N$12,Adjustments!$J:$J,'Schedule 2M Adjustments'!$A42)</f>
        <v>0</v>
      </c>
      <c r="P42" s="303">
        <f t="shared" si="3"/>
        <v>0</v>
      </c>
      <c r="Q42" s="68">
        <f>IFERROR(N42*'As-Filed Schedule 1'!$E$103,0)</f>
        <v>0</v>
      </c>
      <c r="R42" s="68">
        <f>IFERROR(P42*'Adjusted Schedule 1'!$E$104,0)</f>
        <v>0</v>
      </c>
      <c r="S42" s="68">
        <f t="shared" si="4"/>
        <v>0</v>
      </c>
      <c r="T42" s="304">
        <f t="shared" si="5"/>
        <v>0</v>
      </c>
      <c r="V42" s="117">
        <f>'As-Filed Schedule 2M'!N42</f>
        <v>0</v>
      </c>
      <c r="W42" s="307">
        <f>SUMIFS(Adjustments!$G:$G,Adjustments!$H:$H,"2M",Adjustments!$I:$I,'Schedule 2M Adjustments'!$V$12,Adjustments!$J:$J,'Schedule 2M Adjustments'!$A42)</f>
        <v>0</v>
      </c>
      <c r="X42" s="303">
        <f t="shared" si="6"/>
        <v>0</v>
      </c>
      <c r="Y42" s="117">
        <f>'As-Filed Schedule 2M'!O42</f>
        <v>0</v>
      </c>
      <c r="Z42" s="307">
        <f>SUMIFS(Adjustments!$G:$G,Adjustments!$H:$H,"2M",Adjustments!$I:$I,'Schedule 2M Adjustments'!$Y$12,Adjustments!$J:$J,'Schedule 2M Adjustments'!$A42)</f>
        <v>0</v>
      </c>
      <c r="AA42" s="303">
        <f t="shared" si="7"/>
        <v>0</v>
      </c>
    </row>
    <row r="43" spans="1:27" x14ac:dyDescent="0.35">
      <c r="A43" s="24">
        <v>29</v>
      </c>
      <c r="B43" s="565" t="str">
        <f>IF('As-Filed Schedule 2M'!B43:D43=0,"",'As-Filed Schedule 2M'!B43:D43)</f>
        <v/>
      </c>
      <c r="C43" s="565"/>
      <c r="D43" s="565"/>
      <c r="F43" s="114">
        <f>'As-Filed Schedule 2M'!F43</f>
        <v>0</v>
      </c>
      <c r="G43" s="307">
        <f>SUMIFS(Adjustments!$G:$G,Adjustments!$H:$H,"2M",Adjustments!$I:$I,'Schedule 2M Adjustments'!$F$12,Adjustments!$J:$J,'Schedule 2M Adjustments'!$A43)</f>
        <v>0</v>
      </c>
      <c r="H43" s="303">
        <f t="shared" si="0"/>
        <v>0</v>
      </c>
      <c r="I43" s="68">
        <f>IFERROR(F43*'As-Filed Schedule 1'!$E$103,0)</f>
        <v>0</v>
      </c>
      <c r="J43" s="304">
        <f>IFERROR(H43*'Adjusted Schedule 1'!$E$104,0)</f>
        <v>0</v>
      </c>
      <c r="K43" s="68">
        <f t="shared" si="1"/>
        <v>0</v>
      </c>
      <c r="L43" s="304">
        <f t="shared" si="2"/>
        <v>0</v>
      </c>
      <c r="N43" s="114">
        <f>'As-Filed Schedule 2M'!J43</f>
        <v>0</v>
      </c>
      <c r="O43" s="307">
        <f>SUMIFS(Adjustments!$G:$G,Adjustments!$H:$H,"2M",Adjustments!$I:$I,'Schedule 2M Adjustments'!$N$12,Adjustments!$J:$J,'Schedule 2M Adjustments'!$A43)</f>
        <v>0</v>
      </c>
      <c r="P43" s="303">
        <f t="shared" si="3"/>
        <v>0</v>
      </c>
      <c r="Q43" s="68">
        <f>IFERROR(N43*'As-Filed Schedule 1'!$E$103,0)</f>
        <v>0</v>
      </c>
      <c r="R43" s="68">
        <f>IFERROR(P43*'Adjusted Schedule 1'!$E$104,0)</f>
        <v>0</v>
      </c>
      <c r="S43" s="68">
        <f t="shared" si="4"/>
        <v>0</v>
      </c>
      <c r="T43" s="304">
        <f t="shared" si="5"/>
        <v>0</v>
      </c>
      <c r="V43" s="117">
        <f>'As-Filed Schedule 2M'!N43</f>
        <v>0</v>
      </c>
      <c r="W43" s="307">
        <f>SUMIFS(Adjustments!$G:$G,Adjustments!$H:$H,"2M",Adjustments!$I:$I,'Schedule 2M Adjustments'!$V$12,Adjustments!$J:$J,'Schedule 2M Adjustments'!$A43)</f>
        <v>0</v>
      </c>
      <c r="X43" s="303">
        <f t="shared" si="6"/>
        <v>0</v>
      </c>
      <c r="Y43" s="117">
        <f>'As-Filed Schedule 2M'!O43</f>
        <v>0</v>
      </c>
      <c r="Z43" s="307">
        <f>SUMIFS(Adjustments!$G:$G,Adjustments!$H:$H,"2M",Adjustments!$I:$I,'Schedule 2M Adjustments'!$Y$12,Adjustments!$J:$J,'Schedule 2M Adjustments'!$A43)</f>
        <v>0</v>
      </c>
      <c r="AA43" s="303">
        <f t="shared" si="7"/>
        <v>0</v>
      </c>
    </row>
    <row r="44" spans="1:27" x14ac:dyDescent="0.35">
      <c r="A44" s="24">
        <v>30</v>
      </c>
      <c r="B44" s="565" t="str">
        <f>IF('As-Filed Schedule 2M'!B44:D44=0,"",'As-Filed Schedule 2M'!B44:D44)</f>
        <v/>
      </c>
      <c r="C44" s="565"/>
      <c r="D44" s="565"/>
      <c r="F44" s="114">
        <f>'As-Filed Schedule 2M'!F44</f>
        <v>0</v>
      </c>
      <c r="G44" s="307">
        <f>SUMIFS(Adjustments!$G:$G,Adjustments!$H:$H,"2M",Adjustments!$I:$I,'Schedule 2M Adjustments'!$F$12,Adjustments!$J:$J,'Schedule 2M Adjustments'!$A44)</f>
        <v>0</v>
      </c>
      <c r="H44" s="303">
        <f t="shared" si="0"/>
        <v>0</v>
      </c>
      <c r="I44" s="68">
        <f>IFERROR(F44*'As-Filed Schedule 1'!$E$103,0)</f>
        <v>0</v>
      </c>
      <c r="J44" s="304">
        <f>IFERROR(H44*'Adjusted Schedule 1'!$E$104,0)</f>
        <v>0</v>
      </c>
      <c r="K44" s="68">
        <f t="shared" si="1"/>
        <v>0</v>
      </c>
      <c r="L44" s="304">
        <f t="shared" si="2"/>
        <v>0</v>
      </c>
      <c r="N44" s="114">
        <f>'As-Filed Schedule 2M'!J44</f>
        <v>0</v>
      </c>
      <c r="O44" s="307">
        <f>SUMIFS(Adjustments!$G:$G,Adjustments!$H:$H,"2M",Adjustments!$I:$I,'Schedule 2M Adjustments'!$N$12,Adjustments!$J:$J,'Schedule 2M Adjustments'!$A44)</f>
        <v>0</v>
      </c>
      <c r="P44" s="303">
        <f t="shared" si="3"/>
        <v>0</v>
      </c>
      <c r="Q44" s="68">
        <f>IFERROR(N44*'As-Filed Schedule 1'!$E$103,0)</f>
        <v>0</v>
      </c>
      <c r="R44" s="68">
        <f>IFERROR(P44*'Adjusted Schedule 1'!$E$104,0)</f>
        <v>0</v>
      </c>
      <c r="S44" s="68">
        <f t="shared" si="4"/>
        <v>0</v>
      </c>
      <c r="T44" s="304">
        <f t="shared" si="5"/>
        <v>0</v>
      </c>
      <c r="V44" s="117">
        <f>'As-Filed Schedule 2M'!N44</f>
        <v>0</v>
      </c>
      <c r="W44" s="307">
        <f>SUMIFS(Adjustments!$G:$G,Adjustments!$H:$H,"2M",Adjustments!$I:$I,'Schedule 2M Adjustments'!$V$12,Adjustments!$J:$J,'Schedule 2M Adjustments'!$A44)</f>
        <v>0</v>
      </c>
      <c r="X44" s="303">
        <f t="shared" si="6"/>
        <v>0</v>
      </c>
      <c r="Y44" s="117">
        <f>'As-Filed Schedule 2M'!O44</f>
        <v>0</v>
      </c>
      <c r="Z44" s="307">
        <f>SUMIFS(Adjustments!$G:$G,Adjustments!$H:$H,"2M",Adjustments!$I:$I,'Schedule 2M Adjustments'!$Y$12,Adjustments!$J:$J,'Schedule 2M Adjustments'!$A44)</f>
        <v>0</v>
      </c>
      <c r="AA44" s="303">
        <f t="shared" si="7"/>
        <v>0</v>
      </c>
    </row>
    <row r="45" spans="1:27" x14ac:dyDescent="0.35">
      <c r="A45" s="24">
        <v>31</v>
      </c>
      <c r="B45" s="565" t="str">
        <f>IF('As-Filed Schedule 2M'!B45:D45=0,"",'As-Filed Schedule 2M'!B45:D45)</f>
        <v/>
      </c>
      <c r="C45" s="565"/>
      <c r="D45" s="565"/>
      <c r="F45" s="114">
        <f>'As-Filed Schedule 2M'!F45</f>
        <v>0</v>
      </c>
      <c r="G45" s="307">
        <f>SUMIFS(Adjustments!$G:$G,Adjustments!$H:$H,"2M",Adjustments!$I:$I,'Schedule 2M Adjustments'!$F$12,Adjustments!$J:$J,'Schedule 2M Adjustments'!$A45)</f>
        <v>0</v>
      </c>
      <c r="H45" s="303">
        <f t="shared" si="0"/>
        <v>0</v>
      </c>
      <c r="I45" s="68">
        <f>IFERROR(F45*'As-Filed Schedule 1'!$E$103,0)</f>
        <v>0</v>
      </c>
      <c r="J45" s="304">
        <f>IFERROR(H45*'Adjusted Schedule 1'!$E$104,0)</f>
        <v>0</v>
      </c>
      <c r="K45" s="68">
        <f t="shared" si="1"/>
        <v>0</v>
      </c>
      <c r="L45" s="304">
        <f t="shared" si="2"/>
        <v>0</v>
      </c>
      <c r="N45" s="114">
        <f>'As-Filed Schedule 2M'!J45</f>
        <v>0</v>
      </c>
      <c r="O45" s="307">
        <f>SUMIFS(Adjustments!$G:$G,Adjustments!$H:$H,"2M",Adjustments!$I:$I,'Schedule 2M Adjustments'!$N$12,Adjustments!$J:$J,'Schedule 2M Adjustments'!$A45)</f>
        <v>0</v>
      </c>
      <c r="P45" s="303">
        <f t="shared" si="3"/>
        <v>0</v>
      </c>
      <c r="Q45" s="68">
        <f>IFERROR(N45*'As-Filed Schedule 1'!$E$103,0)</f>
        <v>0</v>
      </c>
      <c r="R45" s="68">
        <f>IFERROR(P45*'Adjusted Schedule 1'!$E$104,0)</f>
        <v>0</v>
      </c>
      <c r="S45" s="68">
        <f t="shared" si="4"/>
        <v>0</v>
      </c>
      <c r="T45" s="304">
        <f t="shared" si="5"/>
        <v>0</v>
      </c>
      <c r="V45" s="117">
        <f>'As-Filed Schedule 2M'!N45</f>
        <v>0</v>
      </c>
      <c r="W45" s="307">
        <f>SUMIFS(Adjustments!$G:$G,Adjustments!$H:$H,"2M",Adjustments!$I:$I,'Schedule 2M Adjustments'!$V$12,Adjustments!$J:$J,'Schedule 2M Adjustments'!$A45)</f>
        <v>0</v>
      </c>
      <c r="X45" s="303">
        <f t="shared" si="6"/>
        <v>0</v>
      </c>
      <c r="Y45" s="117">
        <f>'As-Filed Schedule 2M'!O45</f>
        <v>0</v>
      </c>
      <c r="Z45" s="307">
        <f>SUMIFS(Adjustments!$G:$G,Adjustments!$H:$H,"2M",Adjustments!$I:$I,'Schedule 2M Adjustments'!$Y$12,Adjustments!$J:$J,'Schedule 2M Adjustments'!$A45)</f>
        <v>0</v>
      </c>
      <c r="AA45" s="303">
        <f t="shared" si="7"/>
        <v>0</v>
      </c>
    </row>
    <row r="46" spans="1:27" x14ac:dyDescent="0.35">
      <c r="A46" s="24">
        <v>32</v>
      </c>
      <c r="B46" s="565" t="str">
        <f>IF('As-Filed Schedule 2M'!B46:D46=0,"",'As-Filed Schedule 2M'!B46:D46)</f>
        <v/>
      </c>
      <c r="C46" s="565"/>
      <c r="D46" s="565"/>
      <c r="F46" s="114">
        <f>'As-Filed Schedule 2M'!F46</f>
        <v>0</v>
      </c>
      <c r="G46" s="307">
        <f>SUMIFS(Adjustments!$G:$G,Adjustments!$H:$H,"2M",Adjustments!$I:$I,'Schedule 2M Adjustments'!$F$12,Adjustments!$J:$J,'Schedule 2M Adjustments'!$A46)</f>
        <v>0</v>
      </c>
      <c r="H46" s="303">
        <f t="shared" si="0"/>
        <v>0</v>
      </c>
      <c r="I46" s="68">
        <f>IFERROR(F46*'As-Filed Schedule 1'!$E$103,0)</f>
        <v>0</v>
      </c>
      <c r="J46" s="304">
        <f>IFERROR(H46*'Adjusted Schedule 1'!$E$104,0)</f>
        <v>0</v>
      </c>
      <c r="K46" s="68">
        <f t="shared" si="1"/>
        <v>0</v>
      </c>
      <c r="L46" s="304">
        <f t="shared" si="2"/>
        <v>0</v>
      </c>
      <c r="N46" s="114">
        <f>'As-Filed Schedule 2M'!J46</f>
        <v>0</v>
      </c>
      <c r="O46" s="307">
        <f>SUMIFS(Adjustments!$G:$G,Adjustments!$H:$H,"2M",Adjustments!$I:$I,'Schedule 2M Adjustments'!$N$12,Adjustments!$J:$J,'Schedule 2M Adjustments'!$A46)</f>
        <v>0</v>
      </c>
      <c r="P46" s="303">
        <f t="shared" si="3"/>
        <v>0</v>
      </c>
      <c r="Q46" s="68">
        <f>IFERROR(N46*'As-Filed Schedule 1'!$E$103,0)</f>
        <v>0</v>
      </c>
      <c r="R46" s="68">
        <f>IFERROR(P46*'Adjusted Schedule 1'!$E$104,0)</f>
        <v>0</v>
      </c>
      <c r="S46" s="68">
        <f t="shared" si="4"/>
        <v>0</v>
      </c>
      <c r="T46" s="304">
        <f t="shared" si="5"/>
        <v>0</v>
      </c>
      <c r="V46" s="117">
        <f>'As-Filed Schedule 2M'!N46</f>
        <v>0</v>
      </c>
      <c r="W46" s="307">
        <f>SUMIFS(Adjustments!$G:$G,Adjustments!$H:$H,"2M",Adjustments!$I:$I,'Schedule 2M Adjustments'!$V$12,Adjustments!$J:$J,'Schedule 2M Adjustments'!$A46)</f>
        <v>0</v>
      </c>
      <c r="X46" s="303">
        <f t="shared" si="6"/>
        <v>0</v>
      </c>
      <c r="Y46" s="117">
        <f>'As-Filed Schedule 2M'!O46</f>
        <v>0</v>
      </c>
      <c r="Z46" s="307">
        <f>SUMIFS(Adjustments!$G:$G,Adjustments!$H:$H,"2M",Adjustments!$I:$I,'Schedule 2M Adjustments'!$Y$12,Adjustments!$J:$J,'Schedule 2M Adjustments'!$A46)</f>
        <v>0</v>
      </c>
      <c r="AA46" s="303">
        <f t="shared" si="7"/>
        <v>0</v>
      </c>
    </row>
    <row r="47" spans="1:27" x14ac:dyDescent="0.35">
      <c r="A47" s="24">
        <v>33</v>
      </c>
      <c r="B47" s="565" t="str">
        <f>IF('As-Filed Schedule 2M'!B47:D47=0,"",'As-Filed Schedule 2M'!B47:D47)</f>
        <v/>
      </c>
      <c r="C47" s="565"/>
      <c r="D47" s="565"/>
      <c r="F47" s="114">
        <f>'As-Filed Schedule 2M'!F47</f>
        <v>0</v>
      </c>
      <c r="G47" s="307">
        <f>SUMIFS(Adjustments!$G:$G,Adjustments!$H:$H,"2M",Adjustments!$I:$I,'Schedule 2M Adjustments'!$F$12,Adjustments!$J:$J,'Schedule 2M Adjustments'!$A47)</f>
        <v>0</v>
      </c>
      <c r="H47" s="303">
        <f t="shared" si="0"/>
        <v>0</v>
      </c>
      <c r="I47" s="68">
        <f>IFERROR(F47*'As-Filed Schedule 1'!$E$103,0)</f>
        <v>0</v>
      </c>
      <c r="J47" s="304">
        <f>IFERROR(H47*'Adjusted Schedule 1'!$E$104,0)</f>
        <v>0</v>
      </c>
      <c r="K47" s="68">
        <f t="shared" si="1"/>
        <v>0</v>
      </c>
      <c r="L47" s="304">
        <f t="shared" si="2"/>
        <v>0</v>
      </c>
      <c r="N47" s="114">
        <f>'As-Filed Schedule 2M'!J47</f>
        <v>0</v>
      </c>
      <c r="O47" s="307">
        <f>SUMIFS(Adjustments!$G:$G,Adjustments!$H:$H,"2M",Adjustments!$I:$I,'Schedule 2M Adjustments'!$N$12,Adjustments!$J:$J,'Schedule 2M Adjustments'!$A47)</f>
        <v>0</v>
      </c>
      <c r="P47" s="303">
        <f t="shared" si="3"/>
        <v>0</v>
      </c>
      <c r="Q47" s="68">
        <f>IFERROR(N47*'As-Filed Schedule 1'!$E$103,0)</f>
        <v>0</v>
      </c>
      <c r="R47" s="68">
        <f>IFERROR(P47*'Adjusted Schedule 1'!$E$104,0)</f>
        <v>0</v>
      </c>
      <c r="S47" s="68">
        <f t="shared" si="4"/>
        <v>0</v>
      </c>
      <c r="T47" s="304">
        <f t="shared" si="5"/>
        <v>0</v>
      </c>
      <c r="V47" s="117">
        <f>'As-Filed Schedule 2M'!N47</f>
        <v>0</v>
      </c>
      <c r="W47" s="307">
        <f>SUMIFS(Adjustments!$G:$G,Adjustments!$H:$H,"2M",Adjustments!$I:$I,'Schedule 2M Adjustments'!$V$12,Adjustments!$J:$J,'Schedule 2M Adjustments'!$A47)</f>
        <v>0</v>
      </c>
      <c r="X47" s="303">
        <f t="shared" si="6"/>
        <v>0</v>
      </c>
      <c r="Y47" s="117">
        <f>'As-Filed Schedule 2M'!O47</f>
        <v>0</v>
      </c>
      <c r="Z47" s="307">
        <f>SUMIFS(Adjustments!$G:$G,Adjustments!$H:$H,"2M",Adjustments!$I:$I,'Schedule 2M Adjustments'!$Y$12,Adjustments!$J:$J,'Schedule 2M Adjustments'!$A47)</f>
        <v>0</v>
      </c>
      <c r="AA47" s="303">
        <f t="shared" si="7"/>
        <v>0</v>
      </c>
    </row>
    <row r="48" spans="1:27" x14ac:dyDescent="0.35">
      <c r="A48" s="24">
        <v>34</v>
      </c>
      <c r="B48" s="565" t="str">
        <f>IF('As-Filed Schedule 2M'!B48:D48=0,"",'As-Filed Schedule 2M'!B48:D48)</f>
        <v/>
      </c>
      <c r="C48" s="565"/>
      <c r="D48" s="565"/>
      <c r="F48" s="114">
        <f>'As-Filed Schedule 2M'!F48</f>
        <v>0</v>
      </c>
      <c r="G48" s="307">
        <f>SUMIFS(Adjustments!$G:$G,Adjustments!$H:$H,"2M",Adjustments!$I:$I,'Schedule 2M Adjustments'!$F$12,Adjustments!$J:$J,'Schedule 2M Adjustments'!$A48)</f>
        <v>0</v>
      </c>
      <c r="H48" s="303">
        <f t="shared" si="0"/>
        <v>0</v>
      </c>
      <c r="I48" s="68">
        <f>IFERROR(F48*'As-Filed Schedule 1'!$E$103,0)</f>
        <v>0</v>
      </c>
      <c r="J48" s="304">
        <f>IFERROR(H48*'Adjusted Schedule 1'!$E$104,0)</f>
        <v>0</v>
      </c>
      <c r="K48" s="68">
        <f t="shared" si="1"/>
        <v>0</v>
      </c>
      <c r="L48" s="304">
        <f t="shared" si="2"/>
        <v>0</v>
      </c>
      <c r="N48" s="114">
        <f>'As-Filed Schedule 2M'!J48</f>
        <v>0</v>
      </c>
      <c r="O48" s="307">
        <f>SUMIFS(Adjustments!$G:$G,Adjustments!$H:$H,"2M",Adjustments!$I:$I,'Schedule 2M Adjustments'!$N$12,Adjustments!$J:$J,'Schedule 2M Adjustments'!$A48)</f>
        <v>0</v>
      </c>
      <c r="P48" s="303">
        <f t="shared" si="3"/>
        <v>0</v>
      </c>
      <c r="Q48" s="68">
        <f>IFERROR(N48*'As-Filed Schedule 1'!$E$103,0)</f>
        <v>0</v>
      </c>
      <c r="R48" s="68">
        <f>IFERROR(P48*'Adjusted Schedule 1'!$E$104,0)</f>
        <v>0</v>
      </c>
      <c r="S48" s="68">
        <f t="shared" si="4"/>
        <v>0</v>
      </c>
      <c r="T48" s="304">
        <f t="shared" si="5"/>
        <v>0</v>
      </c>
      <c r="V48" s="117">
        <f>'As-Filed Schedule 2M'!N48</f>
        <v>0</v>
      </c>
      <c r="W48" s="307">
        <f>SUMIFS(Adjustments!$G:$G,Adjustments!$H:$H,"2M",Adjustments!$I:$I,'Schedule 2M Adjustments'!$V$12,Adjustments!$J:$J,'Schedule 2M Adjustments'!$A48)</f>
        <v>0</v>
      </c>
      <c r="X48" s="303">
        <f t="shared" si="6"/>
        <v>0</v>
      </c>
      <c r="Y48" s="117">
        <f>'As-Filed Schedule 2M'!O48</f>
        <v>0</v>
      </c>
      <c r="Z48" s="307">
        <f>SUMIFS(Adjustments!$G:$G,Adjustments!$H:$H,"2M",Adjustments!$I:$I,'Schedule 2M Adjustments'!$Y$12,Adjustments!$J:$J,'Schedule 2M Adjustments'!$A48)</f>
        <v>0</v>
      </c>
      <c r="AA48" s="303">
        <f t="shared" si="7"/>
        <v>0</v>
      </c>
    </row>
    <row r="49" spans="1:27" x14ac:dyDescent="0.35">
      <c r="A49" s="24">
        <v>35</v>
      </c>
      <c r="B49" s="565" t="str">
        <f>IF('As-Filed Schedule 2M'!B49:D49=0,"",'As-Filed Schedule 2M'!B49:D49)</f>
        <v/>
      </c>
      <c r="C49" s="565"/>
      <c r="D49" s="565"/>
      <c r="F49" s="114">
        <f>'As-Filed Schedule 2M'!F49</f>
        <v>0</v>
      </c>
      <c r="G49" s="307">
        <f>SUMIFS(Adjustments!$G:$G,Adjustments!$H:$H,"2M",Adjustments!$I:$I,'Schedule 2M Adjustments'!$F$12,Adjustments!$J:$J,'Schedule 2M Adjustments'!$A49)</f>
        <v>0</v>
      </c>
      <c r="H49" s="303">
        <f t="shared" si="0"/>
        <v>0</v>
      </c>
      <c r="I49" s="68">
        <f>IFERROR(F49*'As-Filed Schedule 1'!$E$103,0)</f>
        <v>0</v>
      </c>
      <c r="J49" s="304">
        <f>IFERROR(H49*'Adjusted Schedule 1'!$E$104,0)</f>
        <v>0</v>
      </c>
      <c r="K49" s="68">
        <f t="shared" si="1"/>
        <v>0</v>
      </c>
      <c r="L49" s="304">
        <f t="shared" si="2"/>
        <v>0</v>
      </c>
      <c r="N49" s="114">
        <f>'As-Filed Schedule 2M'!J49</f>
        <v>0</v>
      </c>
      <c r="O49" s="307">
        <f>SUMIFS(Adjustments!$G:$G,Adjustments!$H:$H,"2M",Adjustments!$I:$I,'Schedule 2M Adjustments'!$N$12,Adjustments!$J:$J,'Schedule 2M Adjustments'!$A49)</f>
        <v>0</v>
      </c>
      <c r="P49" s="303">
        <f t="shared" si="3"/>
        <v>0</v>
      </c>
      <c r="Q49" s="68">
        <f>IFERROR(N49*'As-Filed Schedule 1'!$E$103,0)</f>
        <v>0</v>
      </c>
      <c r="R49" s="68">
        <f>IFERROR(P49*'Adjusted Schedule 1'!$E$104,0)</f>
        <v>0</v>
      </c>
      <c r="S49" s="68">
        <f t="shared" si="4"/>
        <v>0</v>
      </c>
      <c r="T49" s="304">
        <f t="shared" si="5"/>
        <v>0</v>
      </c>
      <c r="V49" s="117">
        <f>'As-Filed Schedule 2M'!N49</f>
        <v>0</v>
      </c>
      <c r="W49" s="307">
        <f>SUMIFS(Adjustments!$G:$G,Adjustments!$H:$H,"2M",Adjustments!$I:$I,'Schedule 2M Adjustments'!$V$12,Adjustments!$J:$J,'Schedule 2M Adjustments'!$A49)</f>
        <v>0</v>
      </c>
      <c r="X49" s="303">
        <f t="shared" si="6"/>
        <v>0</v>
      </c>
      <c r="Y49" s="117">
        <f>'As-Filed Schedule 2M'!O49</f>
        <v>0</v>
      </c>
      <c r="Z49" s="307">
        <f>SUMIFS(Adjustments!$G:$G,Adjustments!$H:$H,"2M",Adjustments!$I:$I,'Schedule 2M Adjustments'!$Y$12,Adjustments!$J:$J,'Schedule 2M Adjustments'!$A49)</f>
        <v>0</v>
      </c>
      <c r="AA49" s="303">
        <f t="shared" si="7"/>
        <v>0</v>
      </c>
    </row>
    <row r="50" spans="1:27" x14ac:dyDescent="0.35">
      <c r="A50" s="24">
        <v>36</v>
      </c>
      <c r="B50" s="565" t="str">
        <f>IF('As-Filed Schedule 2M'!B50:D50=0,"",'As-Filed Schedule 2M'!B50:D50)</f>
        <v/>
      </c>
      <c r="C50" s="565"/>
      <c r="D50" s="565"/>
      <c r="F50" s="114">
        <f>'As-Filed Schedule 2M'!F50</f>
        <v>0</v>
      </c>
      <c r="G50" s="307">
        <f>SUMIFS(Adjustments!$G:$G,Adjustments!$H:$H,"2M",Adjustments!$I:$I,'Schedule 2M Adjustments'!$F$12,Adjustments!$J:$J,'Schedule 2M Adjustments'!$A50)</f>
        <v>0</v>
      </c>
      <c r="H50" s="303">
        <f t="shared" si="0"/>
        <v>0</v>
      </c>
      <c r="I50" s="68">
        <f>IFERROR(F50*'As-Filed Schedule 1'!$E$103,0)</f>
        <v>0</v>
      </c>
      <c r="J50" s="304">
        <f>IFERROR(H50*'Adjusted Schedule 1'!$E$104,0)</f>
        <v>0</v>
      </c>
      <c r="K50" s="68">
        <f t="shared" si="1"/>
        <v>0</v>
      </c>
      <c r="L50" s="304">
        <f t="shared" si="2"/>
        <v>0</v>
      </c>
      <c r="N50" s="114">
        <f>'As-Filed Schedule 2M'!J50</f>
        <v>0</v>
      </c>
      <c r="O50" s="307">
        <f>SUMIFS(Adjustments!$G:$G,Adjustments!$H:$H,"2M",Adjustments!$I:$I,'Schedule 2M Adjustments'!$N$12,Adjustments!$J:$J,'Schedule 2M Adjustments'!$A50)</f>
        <v>0</v>
      </c>
      <c r="P50" s="303">
        <f t="shared" si="3"/>
        <v>0</v>
      </c>
      <c r="Q50" s="68">
        <f>IFERROR(N50*'As-Filed Schedule 1'!$E$103,0)</f>
        <v>0</v>
      </c>
      <c r="R50" s="68">
        <f>IFERROR(P50*'Adjusted Schedule 1'!$E$104,0)</f>
        <v>0</v>
      </c>
      <c r="S50" s="68">
        <f t="shared" si="4"/>
        <v>0</v>
      </c>
      <c r="T50" s="304">
        <f t="shared" si="5"/>
        <v>0</v>
      </c>
      <c r="V50" s="117">
        <f>'As-Filed Schedule 2M'!N50</f>
        <v>0</v>
      </c>
      <c r="W50" s="307">
        <f>SUMIFS(Adjustments!$G:$G,Adjustments!$H:$H,"2M",Adjustments!$I:$I,'Schedule 2M Adjustments'!$V$12,Adjustments!$J:$J,'Schedule 2M Adjustments'!$A50)</f>
        <v>0</v>
      </c>
      <c r="X50" s="303">
        <f t="shared" si="6"/>
        <v>0</v>
      </c>
      <c r="Y50" s="117">
        <f>'As-Filed Schedule 2M'!O50</f>
        <v>0</v>
      </c>
      <c r="Z50" s="307">
        <f>SUMIFS(Adjustments!$G:$G,Adjustments!$H:$H,"2M",Adjustments!$I:$I,'Schedule 2M Adjustments'!$Y$12,Adjustments!$J:$J,'Schedule 2M Adjustments'!$A50)</f>
        <v>0</v>
      </c>
      <c r="AA50" s="303">
        <f t="shared" si="7"/>
        <v>0</v>
      </c>
    </row>
    <row r="51" spans="1:27" x14ac:dyDescent="0.35">
      <c r="A51" s="24">
        <v>37</v>
      </c>
      <c r="B51" s="565" t="str">
        <f>IF('As-Filed Schedule 2M'!B51:D51=0,"",'As-Filed Schedule 2M'!B51:D51)</f>
        <v/>
      </c>
      <c r="C51" s="565"/>
      <c r="D51" s="565"/>
      <c r="F51" s="114">
        <f>'As-Filed Schedule 2M'!F51</f>
        <v>0</v>
      </c>
      <c r="G51" s="307">
        <f>SUMIFS(Adjustments!$G:$G,Adjustments!$H:$H,"2M",Adjustments!$I:$I,'Schedule 2M Adjustments'!$F$12,Adjustments!$J:$J,'Schedule 2M Adjustments'!$A51)</f>
        <v>0</v>
      </c>
      <c r="H51" s="303">
        <f t="shared" si="0"/>
        <v>0</v>
      </c>
      <c r="I51" s="68">
        <f>IFERROR(F51*'As-Filed Schedule 1'!$E$103,0)</f>
        <v>0</v>
      </c>
      <c r="J51" s="304">
        <f>IFERROR(H51*'Adjusted Schedule 1'!$E$104,0)</f>
        <v>0</v>
      </c>
      <c r="K51" s="68">
        <f t="shared" si="1"/>
        <v>0</v>
      </c>
      <c r="L51" s="304">
        <f t="shared" si="2"/>
        <v>0</v>
      </c>
      <c r="N51" s="114">
        <f>'As-Filed Schedule 2M'!J51</f>
        <v>0</v>
      </c>
      <c r="O51" s="307">
        <f>SUMIFS(Adjustments!$G:$G,Adjustments!$H:$H,"2M",Adjustments!$I:$I,'Schedule 2M Adjustments'!$N$12,Adjustments!$J:$J,'Schedule 2M Adjustments'!$A51)</f>
        <v>0</v>
      </c>
      <c r="P51" s="303">
        <f t="shared" si="3"/>
        <v>0</v>
      </c>
      <c r="Q51" s="68">
        <f>IFERROR(N51*'As-Filed Schedule 1'!$E$103,0)</f>
        <v>0</v>
      </c>
      <c r="R51" s="68">
        <f>IFERROR(P51*'Adjusted Schedule 1'!$E$104,0)</f>
        <v>0</v>
      </c>
      <c r="S51" s="68">
        <f t="shared" si="4"/>
        <v>0</v>
      </c>
      <c r="T51" s="304">
        <f t="shared" si="5"/>
        <v>0</v>
      </c>
      <c r="V51" s="117">
        <f>'As-Filed Schedule 2M'!N51</f>
        <v>0</v>
      </c>
      <c r="W51" s="307">
        <f>SUMIFS(Adjustments!$G:$G,Adjustments!$H:$H,"2M",Adjustments!$I:$I,'Schedule 2M Adjustments'!$V$12,Adjustments!$J:$J,'Schedule 2M Adjustments'!$A51)</f>
        <v>0</v>
      </c>
      <c r="X51" s="303">
        <f t="shared" si="6"/>
        <v>0</v>
      </c>
      <c r="Y51" s="117">
        <f>'As-Filed Schedule 2M'!O51</f>
        <v>0</v>
      </c>
      <c r="Z51" s="307">
        <f>SUMIFS(Adjustments!$G:$G,Adjustments!$H:$H,"2M",Adjustments!$I:$I,'Schedule 2M Adjustments'!$Y$12,Adjustments!$J:$J,'Schedule 2M Adjustments'!$A51)</f>
        <v>0</v>
      </c>
      <c r="AA51" s="303">
        <f t="shared" si="7"/>
        <v>0</v>
      </c>
    </row>
    <row r="52" spans="1:27" x14ac:dyDescent="0.35">
      <c r="A52" s="24">
        <v>38</v>
      </c>
      <c r="B52" s="565" t="str">
        <f>IF('As-Filed Schedule 2M'!B52:D52=0,"",'As-Filed Schedule 2M'!B52:D52)</f>
        <v/>
      </c>
      <c r="C52" s="565"/>
      <c r="D52" s="565"/>
      <c r="F52" s="114">
        <f>'As-Filed Schedule 2M'!F52</f>
        <v>0</v>
      </c>
      <c r="G52" s="307">
        <f>SUMIFS(Adjustments!$G:$G,Adjustments!$H:$H,"2M",Adjustments!$I:$I,'Schedule 2M Adjustments'!$F$12,Adjustments!$J:$J,'Schedule 2M Adjustments'!$A52)</f>
        <v>0</v>
      </c>
      <c r="H52" s="303">
        <f t="shared" si="0"/>
        <v>0</v>
      </c>
      <c r="I52" s="68">
        <f>IFERROR(F52*'As-Filed Schedule 1'!$E$103,0)</f>
        <v>0</v>
      </c>
      <c r="J52" s="304">
        <f>IFERROR(H52*'Adjusted Schedule 1'!$E$104,0)</f>
        <v>0</v>
      </c>
      <c r="K52" s="68">
        <f t="shared" si="1"/>
        <v>0</v>
      </c>
      <c r="L52" s="304">
        <f t="shared" si="2"/>
        <v>0</v>
      </c>
      <c r="N52" s="114">
        <f>'As-Filed Schedule 2M'!J52</f>
        <v>0</v>
      </c>
      <c r="O52" s="307">
        <f>SUMIFS(Adjustments!$G:$G,Adjustments!$H:$H,"2M",Adjustments!$I:$I,'Schedule 2M Adjustments'!$N$12,Adjustments!$J:$J,'Schedule 2M Adjustments'!$A52)</f>
        <v>0</v>
      </c>
      <c r="P52" s="303">
        <f t="shared" si="3"/>
        <v>0</v>
      </c>
      <c r="Q52" s="68">
        <f>IFERROR(N52*'As-Filed Schedule 1'!$E$103,0)</f>
        <v>0</v>
      </c>
      <c r="R52" s="68">
        <f>IFERROR(P52*'Adjusted Schedule 1'!$E$104,0)</f>
        <v>0</v>
      </c>
      <c r="S52" s="68">
        <f t="shared" si="4"/>
        <v>0</v>
      </c>
      <c r="T52" s="304">
        <f t="shared" si="5"/>
        <v>0</v>
      </c>
      <c r="V52" s="117">
        <f>'As-Filed Schedule 2M'!N52</f>
        <v>0</v>
      </c>
      <c r="W52" s="307">
        <f>SUMIFS(Adjustments!$G:$G,Adjustments!$H:$H,"2M",Adjustments!$I:$I,'Schedule 2M Adjustments'!$V$12,Adjustments!$J:$J,'Schedule 2M Adjustments'!$A52)</f>
        <v>0</v>
      </c>
      <c r="X52" s="303">
        <f t="shared" si="6"/>
        <v>0</v>
      </c>
      <c r="Y52" s="117">
        <f>'As-Filed Schedule 2M'!O52</f>
        <v>0</v>
      </c>
      <c r="Z52" s="307">
        <f>SUMIFS(Adjustments!$G:$G,Adjustments!$H:$H,"2M",Adjustments!$I:$I,'Schedule 2M Adjustments'!$Y$12,Adjustments!$J:$J,'Schedule 2M Adjustments'!$A52)</f>
        <v>0</v>
      </c>
      <c r="AA52" s="303">
        <f t="shared" si="7"/>
        <v>0</v>
      </c>
    </row>
    <row r="53" spans="1:27" x14ac:dyDescent="0.35">
      <c r="A53" s="24">
        <v>39</v>
      </c>
      <c r="B53" s="565" t="str">
        <f>IF('As-Filed Schedule 2M'!B53:D53=0,"",'As-Filed Schedule 2M'!B53:D53)</f>
        <v/>
      </c>
      <c r="C53" s="565"/>
      <c r="D53" s="565"/>
      <c r="F53" s="114">
        <f>'As-Filed Schedule 2M'!F53</f>
        <v>0</v>
      </c>
      <c r="G53" s="307">
        <f>SUMIFS(Adjustments!$G:$G,Adjustments!$H:$H,"2M",Adjustments!$I:$I,'Schedule 2M Adjustments'!$F$12,Adjustments!$J:$J,'Schedule 2M Adjustments'!$A53)</f>
        <v>0</v>
      </c>
      <c r="H53" s="303">
        <f t="shared" si="0"/>
        <v>0</v>
      </c>
      <c r="I53" s="68">
        <f>IFERROR(F53*'As-Filed Schedule 1'!$E$103,0)</f>
        <v>0</v>
      </c>
      <c r="J53" s="304">
        <f>IFERROR(H53*'Adjusted Schedule 1'!$E$104,0)</f>
        <v>0</v>
      </c>
      <c r="K53" s="68">
        <f t="shared" si="1"/>
        <v>0</v>
      </c>
      <c r="L53" s="304">
        <f t="shared" si="2"/>
        <v>0</v>
      </c>
      <c r="N53" s="114">
        <f>'As-Filed Schedule 2M'!J53</f>
        <v>0</v>
      </c>
      <c r="O53" s="307">
        <f>SUMIFS(Adjustments!$G:$G,Adjustments!$H:$H,"2M",Adjustments!$I:$I,'Schedule 2M Adjustments'!$N$12,Adjustments!$J:$J,'Schedule 2M Adjustments'!$A53)</f>
        <v>0</v>
      </c>
      <c r="P53" s="303">
        <f t="shared" si="3"/>
        <v>0</v>
      </c>
      <c r="Q53" s="68">
        <f>IFERROR(N53*'As-Filed Schedule 1'!$E$103,0)</f>
        <v>0</v>
      </c>
      <c r="R53" s="68">
        <f>IFERROR(P53*'Adjusted Schedule 1'!$E$104,0)</f>
        <v>0</v>
      </c>
      <c r="S53" s="68">
        <f t="shared" si="4"/>
        <v>0</v>
      </c>
      <c r="T53" s="304">
        <f t="shared" si="5"/>
        <v>0</v>
      </c>
      <c r="V53" s="117">
        <f>'As-Filed Schedule 2M'!N53</f>
        <v>0</v>
      </c>
      <c r="W53" s="307">
        <f>SUMIFS(Adjustments!$G:$G,Adjustments!$H:$H,"2M",Adjustments!$I:$I,'Schedule 2M Adjustments'!$V$12,Adjustments!$J:$J,'Schedule 2M Adjustments'!$A53)</f>
        <v>0</v>
      </c>
      <c r="X53" s="303">
        <f t="shared" si="6"/>
        <v>0</v>
      </c>
      <c r="Y53" s="117">
        <f>'As-Filed Schedule 2M'!O53</f>
        <v>0</v>
      </c>
      <c r="Z53" s="307">
        <f>SUMIFS(Adjustments!$G:$G,Adjustments!$H:$H,"2M",Adjustments!$I:$I,'Schedule 2M Adjustments'!$Y$12,Adjustments!$J:$J,'Schedule 2M Adjustments'!$A53)</f>
        <v>0</v>
      </c>
      <c r="AA53" s="303">
        <f t="shared" si="7"/>
        <v>0</v>
      </c>
    </row>
    <row r="54" spans="1:27" x14ac:dyDescent="0.35">
      <c r="A54" s="24">
        <v>40</v>
      </c>
      <c r="B54" s="565" t="str">
        <f>IF('As-Filed Schedule 2M'!B54:D54=0,"",'As-Filed Schedule 2M'!B54:D54)</f>
        <v/>
      </c>
      <c r="C54" s="565"/>
      <c r="D54" s="565"/>
      <c r="F54" s="114">
        <f>'As-Filed Schedule 2M'!F54</f>
        <v>0</v>
      </c>
      <c r="G54" s="307">
        <f>SUMIFS(Adjustments!$G:$G,Adjustments!$H:$H,"2M",Adjustments!$I:$I,'Schedule 2M Adjustments'!$F$12,Adjustments!$J:$J,'Schedule 2M Adjustments'!$A54)</f>
        <v>0</v>
      </c>
      <c r="H54" s="303">
        <f t="shared" si="0"/>
        <v>0</v>
      </c>
      <c r="I54" s="68">
        <f>IFERROR(F54*'As-Filed Schedule 1'!$E$103,0)</f>
        <v>0</v>
      </c>
      <c r="J54" s="304">
        <f>IFERROR(H54*'Adjusted Schedule 1'!$E$104,0)</f>
        <v>0</v>
      </c>
      <c r="K54" s="68">
        <f t="shared" si="1"/>
        <v>0</v>
      </c>
      <c r="L54" s="304">
        <f t="shared" si="2"/>
        <v>0</v>
      </c>
      <c r="N54" s="114">
        <f>'As-Filed Schedule 2M'!J54</f>
        <v>0</v>
      </c>
      <c r="O54" s="307">
        <f>SUMIFS(Adjustments!$G:$G,Adjustments!$H:$H,"2M",Adjustments!$I:$I,'Schedule 2M Adjustments'!$N$12,Adjustments!$J:$J,'Schedule 2M Adjustments'!$A54)</f>
        <v>0</v>
      </c>
      <c r="P54" s="303">
        <f t="shared" si="3"/>
        <v>0</v>
      </c>
      <c r="Q54" s="68">
        <f>IFERROR(N54*'As-Filed Schedule 1'!$E$103,0)</f>
        <v>0</v>
      </c>
      <c r="R54" s="68">
        <f>IFERROR(P54*'Adjusted Schedule 1'!$E$104,0)</f>
        <v>0</v>
      </c>
      <c r="S54" s="68">
        <f t="shared" si="4"/>
        <v>0</v>
      </c>
      <c r="T54" s="304">
        <f t="shared" si="5"/>
        <v>0</v>
      </c>
      <c r="V54" s="117">
        <f>'As-Filed Schedule 2M'!N54</f>
        <v>0</v>
      </c>
      <c r="W54" s="307">
        <f>SUMIFS(Adjustments!$G:$G,Adjustments!$H:$H,"2M",Adjustments!$I:$I,'Schedule 2M Adjustments'!$V$12,Adjustments!$J:$J,'Schedule 2M Adjustments'!$A54)</f>
        <v>0</v>
      </c>
      <c r="X54" s="303">
        <f t="shared" si="6"/>
        <v>0</v>
      </c>
      <c r="Y54" s="117">
        <f>'As-Filed Schedule 2M'!O54</f>
        <v>0</v>
      </c>
      <c r="Z54" s="307">
        <f>SUMIFS(Adjustments!$G:$G,Adjustments!$H:$H,"2M",Adjustments!$I:$I,'Schedule 2M Adjustments'!$Y$12,Adjustments!$J:$J,'Schedule 2M Adjustments'!$A54)</f>
        <v>0</v>
      </c>
      <c r="AA54" s="303">
        <f t="shared" si="7"/>
        <v>0</v>
      </c>
    </row>
    <row r="55" spans="1:27" x14ac:dyDescent="0.35">
      <c r="A55" s="24">
        <v>41</v>
      </c>
      <c r="B55" s="565" t="str">
        <f>IF('As-Filed Schedule 2M'!B55:D55=0,"",'As-Filed Schedule 2M'!B55:D55)</f>
        <v/>
      </c>
      <c r="C55" s="565"/>
      <c r="D55" s="565"/>
      <c r="F55" s="114">
        <f>'As-Filed Schedule 2M'!F55</f>
        <v>0</v>
      </c>
      <c r="G55" s="307">
        <f>SUMIFS(Adjustments!$G:$G,Adjustments!$H:$H,"2M",Adjustments!$I:$I,'Schedule 2M Adjustments'!$F$12,Adjustments!$J:$J,'Schedule 2M Adjustments'!$A55)</f>
        <v>0</v>
      </c>
      <c r="H55" s="303">
        <f t="shared" si="0"/>
        <v>0</v>
      </c>
      <c r="I55" s="68">
        <f>IFERROR(F55*'As-Filed Schedule 1'!$E$103,0)</f>
        <v>0</v>
      </c>
      <c r="J55" s="304">
        <f>IFERROR(H55*'Adjusted Schedule 1'!$E$104,0)</f>
        <v>0</v>
      </c>
      <c r="K55" s="68">
        <f t="shared" si="1"/>
        <v>0</v>
      </c>
      <c r="L55" s="304">
        <f t="shared" si="2"/>
        <v>0</v>
      </c>
      <c r="N55" s="114">
        <f>'As-Filed Schedule 2M'!J55</f>
        <v>0</v>
      </c>
      <c r="O55" s="307">
        <f>SUMIFS(Adjustments!$G:$G,Adjustments!$H:$H,"2M",Adjustments!$I:$I,'Schedule 2M Adjustments'!$N$12,Adjustments!$J:$J,'Schedule 2M Adjustments'!$A55)</f>
        <v>0</v>
      </c>
      <c r="P55" s="303">
        <f t="shared" si="3"/>
        <v>0</v>
      </c>
      <c r="Q55" s="68">
        <f>IFERROR(N55*'As-Filed Schedule 1'!$E$103,0)</f>
        <v>0</v>
      </c>
      <c r="R55" s="68">
        <f>IFERROR(P55*'Adjusted Schedule 1'!$E$104,0)</f>
        <v>0</v>
      </c>
      <c r="S55" s="68">
        <f t="shared" si="4"/>
        <v>0</v>
      </c>
      <c r="T55" s="304">
        <f t="shared" si="5"/>
        <v>0</v>
      </c>
      <c r="V55" s="117">
        <f>'As-Filed Schedule 2M'!N55</f>
        <v>0</v>
      </c>
      <c r="W55" s="307">
        <f>SUMIFS(Adjustments!$G:$G,Adjustments!$H:$H,"2M",Adjustments!$I:$I,'Schedule 2M Adjustments'!$V$12,Adjustments!$J:$J,'Schedule 2M Adjustments'!$A55)</f>
        <v>0</v>
      </c>
      <c r="X55" s="303">
        <f t="shared" si="6"/>
        <v>0</v>
      </c>
      <c r="Y55" s="117">
        <f>'As-Filed Schedule 2M'!O55</f>
        <v>0</v>
      </c>
      <c r="Z55" s="307">
        <f>SUMIFS(Adjustments!$G:$G,Adjustments!$H:$H,"2M",Adjustments!$I:$I,'Schedule 2M Adjustments'!$Y$12,Adjustments!$J:$J,'Schedule 2M Adjustments'!$A55)</f>
        <v>0</v>
      </c>
      <c r="AA55" s="303">
        <f t="shared" si="7"/>
        <v>0</v>
      </c>
    </row>
    <row r="56" spans="1:27" x14ac:dyDescent="0.35">
      <c r="A56" s="24">
        <v>42</v>
      </c>
      <c r="B56" s="565" t="str">
        <f>IF('As-Filed Schedule 2M'!B56:D56=0,"",'As-Filed Schedule 2M'!B56:D56)</f>
        <v/>
      </c>
      <c r="C56" s="565"/>
      <c r="D56" s="565"/>
      <c r="F56" s="114">
        <f>'As-Filed Schedule 2M'!F56</f>
        <v>0</v>
      </c>
      <c r="G56" s="307">
        <f>SUMIFS(Adjustments!$G:$G,Adjustments!$H:$H,"2M",Adjustments!$I:$I,'Schedule 2M Adjustments'!$F$12,Adjustments!$J:$J,'Schedule 2M Adjustments'!$A56)</f>
        <v>0</v>
      </c>
      <c r="H56" s="303">
        <f t="shared" si="0"/>
        <v>0</v>
      </c>
      <c r="I56" s="68">
        <f>IFERROR(F56*'As-Filed Schedule 1'!$E$103,0)</f>
        <v>0</v>
      </c>
      <c r="J56" s="304">
        <f>IFERROR(H56*'Adjusted Schedule 1'!$E$104,0)</f>
        <v>0</v>
      </c>
      <c r="K56" s="68">
        <f t="shared" si="1"/>
        <v>0</v>
      </c>
      <c r="L56" s="304">
        <f t="shared" si="2"/>
        <v>0</v>
      </c>
      <c r="N56" s="114">
        <f>'As-Filed Schedule 2M'!J56</f>
        <v>0</v>
      </c>
      <c r="O56" s="307">
        <f>SUMIFS(Adjustments!$G:$G,Adjustments!$H:$H,"2M",Adjustments!$I:$I,'Schedule 2M Adjustments'!$N$12,Adjustments!$J:$J,'Schedule 2M Adjustments'!$A56)</f>
        <v>0</v>
      </c>
      <c r="P56" s="303">
        <f t="shared" si="3"/>
        <v>0</v>
      </c>
      <c r="Q56" s="68">
        <f>IFERROR(N56*'As-Filed Schedule 1'!$E$103,0)</f>
        <v>0</v>
      </c>
      <c r="R56" s="68">
        <f>IFERROR(P56*'Adjusted Schedule 1'!$E$104,0)</f>
        <v>0</v>
      </c>
      <c r="S56" s="68">
        <f t="shared" si="4"/>
        <v>0</v>
      </c>
      <c r="T56" s="304">
        <f t="shared" si="5"/>
        <v>0</v>
      </c>
      <c r="V56" s="117">
        <f>'As-Filed Schedule 2M'!N56</f>
        <v>0</v>
      </c>
      <c r="W56" s="307">
        <f>SUMIFS(Adjustments!$G:$G,Adjustments!$H:$H,"2M",Adjustments!$I:$I,'Schedule 2M Adjustments'!$V$12,Adjustments!$J:$J,'Schedule 2M Adjustments'!$A56)</f>
        <v>0</v>
      </c>
      <c r="X56" s="303">
        <f t="shared" si="6"/>
        <v>0</v>
      </c>
      <c r="Y56" s="117">
        <f>'As-Filed Schedule 2M'!O56</f>
        <v>0</v>
      </c>
      <c r="Z56" s="307">
        <f>SUMIFS(Adjustments!$G:$G,Adjustments!$H:$H,"2M",Adjustments!$I:$I,'Schedule 2M Adjustments'!$Y$12,Adjustments!$J:$J,'Schedule 2M Adjustments'!$A56)</f>
        <v>0</v>
      </c>
      <c r="AA56" s="303">
        <f t="shared" si="7"/>
        <v>0</v>
      </c>
    </row>
    <row r="57" spans="1:27" x14ac:dyDescent="0.35">
      <c r="A57" s="24">
        <v>43</v>
      </c>
      <c r="B57" s="565" t="str">
        <f>IF('As-Filed Schedule 2M'!B57:D57=0,"",'As-Filed Schedule 2M'!B57:D57)</f>
        <v/>
      </c>
      <c r="C57" s="565"/>
      <c r="D57" s="565"/>
      <c r="F57" s="114">
        <f>'As-Filed Schedule 2M'!F57</f>
        <v>0</v>
      </c>
      <c r="G57" s="307">
        <f>SUMIFS(Adjustments!$G:$G,Adjustments!$H:$H,"2M",Adjustments!$I:$I,'Schedule 2M Adjustments'!$F$12,Adjustments!$J:$J,'Schedule 2M Adjustments'!$A57)</f>
        <v>0</v>
      </c>
      <c r="H57" s="303">
        <f t="shared" si="0"/>
        <v>0</v>
      </c>
      <c r="I57" s="68">
        <f>IFERROR(F57*'As-Filed Schedule 1'!$E$103,0)</f>
        <v>0</v>
      </c>
      <c r="J57" s="304">
        <f>IFERROR(H57*'Adjusted Schedule 1'!$E$104,0)</f>
        <v>0</v>
      </c>
      <c r="K57" s="68">
        <f t="shared" si="1"/>
        <v>0</v>
      </c>
      <c r="L57" s="304">
        <f t="shared" si="2"/>
        <v>0</v>
      </c>
      <c r="N57" s="114">
        <f>'As-Filed Schedule 2M'!J57</f>
        <v>0</v>
      </c>
      <c r="O57" s="307">
        <f>SUMIFS(Adjustments!$G:$G,Adjustments!$H:$H,"2M",Adjustments!$I:$I,'Schedule 2M Adjustments'!$N$12,Adjustments!$J:$J,'Schedule 2M Adjustments'!$A57)</f>
        <v>0</v>
      </c>
      <c r="P57" s="303">
        <f t="shared" si="3"/>
        <v>0</v>
      </c>
      <c r="Q57" s="68">
        <f>IFERROR(N57*'As-Filed Schedule 1'!$E$103,0)</f>
        <v>0</v>
      </c>
      <c r="R57" s="68">
        <f>IFERROR(P57*'Adjusted Schedule 1'!$E$104,0)</f>
        <v>0</v>
      </c>
      <c r="S57" s="68">
        <f t="shared" si="4"/>
        <v>0</v>
      </c>
      <c r="T57" s="304">
        <f t="shared" si="5"/>
        <v>0</v>
      </c>
      <c r="V57" s="117">
        <f>'As-Filed Schedule 2M'!N57</f>
        <v>0</v>
      </c>
      <c r="W57" s="307">
        <f>SUMIFS(Adjustments!$G:$G,Adjustments!$H:$H,"2M",Adjustments!$I:$I,'Schedule 2M Adjustments'!$V$12,Adjustments!$J:$J,'Schedule 2M Adjustments'!$A57)</f>
        <v>0</v>
      </c>
      <c r="X57" s="303">
        <f t="shared" si="6"/>
        <v>0</v>
      </c>
      <c r="Y57" s="117">
        <f>'As-Filed Schedule 2M'!O57</f>
        <v>0</v>
      </c>
      <c r="Z57" s="307">
        <f>SUMIFS(Adjustments!$G:$G,Adjustments!$H:$H,"2M",Adjustments!$I:$I,'Schedule 2M Adjustments'!$Y$12,Adjustments!$J:$J,'Schedule 2M Adjustments'!$A57)</f>
        <v>0</v>
      </c>
      <c r="AA57" s="303">
        <f t="shared" si="7"/>
        <v>0</v>
      </c>
    </row>
    <row r="58" spans="1:27" x14ac:dyDescent="0.35">
      <c r="A58" s="24">
        <v>44</v>
      </c>
      <c r="B58" s="565" t="str">
        <f>IF('As-Filed Schedule 2M'!B58:D58=0,"",'As-Filed Schedule 2M'!B58:D58)</f>
        <v/>
      </c>
      <c r="C58" s="565"/>
      <c r="D58" s="565"/>
      <c r="F58" s="114">
        <f>'As-Filed Schedule 2M'!F58</f>
        <v>0</v>
      </c>
      <c r="G58" s="307">
        <f>SUMIFS(Adjustments!$G:$G,Adjustments!$H:$H,"2M",Adjustments!$I:$I,'Schedule 2M Adjustments'!$F$12,Adjustments!$J:$J,'Schedule 2M Adjustments'!$A58)</f>
        <v>0</v>
      </c>
      <c r="H58" s="303">
        <f t="shared" si="0"/>
        <v>0</v>
      </c>
      <c r="I58" s="68">
        <f>IFERROR(F58*'As-Filed Schedule 1'!$E$103,0)</f>
        <v>0</v>
      </c>
      <c r="J58" s="304">
        <f>IFERROR(H58*'Adjusted Schedule 1'!$E$104,0)</f>
        <v>0</v>
      </c>
      <c r="K58" s="68">
        <f t="shared" si="1"/>
        <v>0</v>
      </c>
      <c r="L58" s="304">
        <f t="shared" si="2"/>
        <v>0</v>
      </c>
      <c r="N58" s="114">
        <f>'As-Filed Schedule 2M'!J58</f>
        <v>0</v>
      </c>
      <c r="O58" s="307">
        <f>SUMIFS(Adjustments!$G:$G,Adjustments!$H:$H,"2M",Adjustments!$I:$I,'Schedule 2M Adjustments'!$N$12,Adjustments!$J:$J,'Schedule 2M Adjustments'!$A58)</f>
        <v>0</v>
      </c>
      <c r="P58" s="303">
        <f t="shared" si="3"/>
        <v>0</v>
      </c>
      <c r="Q58" s="68">
        <f>IFERROR(N58*'As-Filed Schedule 1'!$E$103,0)</f>
        <v>0</v>
      </c>
      <c r="R58" s="68">
        <f>IFERROR(P58*'Adjusted Schedule 1'!$E$104,0)</f>
        <v>0</v>
      </c>
      <c r="S58" s="68">
        <f t="shared" si="4"/>
        <v>0</v>
      </c>
      <c r="T58" s="304">
        <f t="shared" si="5"/>
        <v>0</v>
      </c>
      <c r="V58" s="117">
        <f>'As-Filed Schedule 2M'!N58</f>
        <v>0</v>
      </c>
      <c r="W58" s="307">
        <f>SUMIFS(Adjustments!$G:$G,Adjustments!$H:$H,"2M",Adjustments!$I:$I,'Schedule 2M Adjustments'!$V$12,Adjustments!$J:$J,'Schedule 2M Adjustments'!$A58)</f>
        <v>0</v>
      </c>
      <c r="X58" s="303">
        <f t="shared" si="6"/>
        <v>0</v>
      </c>
      <c r="Y58" s="117">
        <f>'As-Filed Schedule 2M'!O58</f>
        <v>0</v>
      </c>
      <c r="Z58" s="307">
        <f>SUMIFS(Adjustments!$G:$G,Adjustments!$H:$H,"2M",Adjustments!$I:$I,'Schedule 2M Adjustments'!$Y$12,Adjustments!$J:$J,'Schedule 2M Adjustments'!$A58)</f>
        <v>0</v>
      </c>
      <c r="AA58" s="303">
        <f t="shared" si="7"/>
        <v>0</v>
      </c>
    </row>
    <row r="59" spans="1:27" x14ac:dyDescent="0.35">
      <c r="A59" s="24">
        <v>45</v>
      </c>
      <c r="B59" s="565" t="str">
        <f>IF('As-Filed Schedule 2M'!B59:D59=0,"",'As-Filed Schedule 2M'!B59:D59)</f>
        <v/>
      </c>
      <c r="C59" s="565"/>
      <c r="D59" s="565"/>
      <c r="F59" s="114">
        <f>'As-Filed Schedule 2M'!F59</f>
        <v>0</v>
      </c>
      <c r="G59" s="307">
        <f>SUMIFS(Adjustments!$G:$G,Adjustments!$H:$H,"2M",Adjustments!$I:$I,'Schedule 2M Adjustments'!$F$12,Adjustments!$J:$J,'Schedule 2M Adjustments'!$A59)</f>
        <v>0</v>
      </c>
      <c r="H59" s="303">
        <f t="shared" si="0"/>
        <v>0</v>
      </c>
      <c r="I59" s="68">
        <f>IFERROR(F59*'As-Filed Schedule 1'!$E$103,0)</f>
        <v>0</v>
      </c>
      <c r="J59" s="304">
        <f>IFERROR(H59*'Adjusted Schedule 1'!$E$104,0)</f>
        <v>0</v>
      </c>
      <c r="K59" s="68">
        <f t="shared" si="1"/>
        <v>0</v>
      </c>
      <c r="L59" s="304">
        <f t="shared" si="2"/>
        <v>0</v>
      </c>
      <c r="N59" s="114">
        <f>'As-Filed Schedule 2M'!J59</f>
        <v>0</v>
      </c>
      <c r="O59" s="307">
        <f>SUMIFS(Adjustments!$G:$G,Adjustments!$H:$H,"2M",Adjustments!$I:$I,'Schedule 2M Adjustments'!$N$12,Adjustments!$J:$J,'Schedule 2M Adjustments'!$A59)</f>
        <v>0</v>
      </c>
      <c r="P59" s="303">
        <f t="shared" si="3"/>
        <v>0</v>
      </c>
      <c r="Q59" s="68">
        <f>IFERROR(N59*'As-Filed Schedule 1'!$E$103,0)</f>
        <v>0</v>
      </c>
      <c r="R59" s="68">
        <f>IFERROR(P59*'Adjusted Schedule 1'!$E$104,0)</f>
        <v>0</v>
      </c>
      <c r="S59" s="68">
        <f t="shared" si="4"/>
        <v>0</v>
      </c>
      <c r="T59" s="304">
        <f t="shared" si="5"/>
        <v>0</v>
      </c>
      <c r="V59" s="117">
        <f>'As-Filed Schedule 2M'!N59</f>
        <v>0</v>
      </c>
      <c r="W59" s="307">
        <f>SUMIFS(Adjustments!$G:$G,Adjustments!$H:$H,"2M",Adjustments!$I:$I,'Schedule 2M Adjustments'!$V$12,Adjustments!$J:$J,'Schedule 2M Adjustments'!$A59)</f>
        <v>0</v>
      </c>
      <c r="X59" s="303">
        <f t="shared" si="6"/>
        <v>0</v>
      </c>
      <c r="Y59" s="117">
        <f>'As-Filed Schedule 2M'!O59</f>
        <v>0</v>
      </c>
      <c r="Z59" s="307">
        <f>SUMIFS(Adjustments!$G:$G,Adjustments!$H:$H,"2M",Adjustments!$I:$I,'Schedule 2M Adjustments'!$Y$12,Adjustments!$J:$J,'Schedule 2M Adjustments'!$A59)</f>
        <v>0</v>
      </c>
      <c r="AA59" s="303">
        <f t="shared" si="7"/>
        <v>0</v>
      </c>
    </row>
    <row r="60" spans="1:27" x14ac:dyDescent="0.35">
      <c r="A60" s="24">
        <v>46</v>
      </c>
      <c r="B60" s="565" t="str">
        <f>IF('As-Filed Schedule 2M'!B60:D60=0,"",'As-Filed Schedule 2M'!B60:D60)</f>
        <v/>
      </c>
      <c r="C60" s="565"/>
      <c r="D60" s="565"/>
      <c r="F60" s="114">
        <f>'As-Filed Schedule 2M'!F60</f>
        <v>0</v>
      </c>
      <c r="G60" s="307">
        <f>SUMIFS(Adjustments!$G:$G,Adjustments!$H:$H,"2M",Adjustments!$I:$I,'Schedule 2M Adjustments'!$F$12,Adjustments!$J:$J,'Schedule 2M Adjustments'!$A60)</f>
        <v>0</v>
      </c>
      <c r="H60" s="303">
        <f t="shared" si="0"/>
        <v>0</v>
      </c>
      <c r="I60" s="68">
        <f>IFERROR(F60*'As-Filed Schedule 1'!$E$103,0)</f>
        <v>0</v>
      </c>
      <c r="J60" s="304">
        <f>IFERROR(H60*'Adjusted Schedule 1'!$E$104,0)</f>
        <v>0</v>
      </c>
      <c r="K60" s="68">
        <f t="shared" si="1"/>
        <v>0</v>
      </c>
      <c r="L60" s="304">
        <f t="shared" si="2"/>
        <v>0</v>
      </c>
      <c r="N60" s="114">
        <f>'As-Filed Schedule 2M'!J60</f>
        <v>0</v>
      </c>
      <c r="O60" s="307">
        <f>SUMIFS(Adjustments!$G:$G,Adjustments!$H:$H,"2M",Adjustments!$I:$I,'Schedule 2M Adjustments'!$N$12,Adjustments!$J:$J,'Schedule 2M Adjustments'!$A60)</f>
        <v>0</v>
      </c>
      <c r="P60" s="303">
        <f t="shared" si="3"/>
        <v>0</v>
      </c>
      <c r="Q60" s="68">
        <f>IFERROR(N60*'As-Filed Schedule 1'!$E$103,0)</f>
        <v>0</v>
      </c>
      <c r="R60" s="68">
        <f>IFERROR(P60*'Adjusted Schedule 1'!$E$104,0)</f>
        <v>0</v>
      </c>
      <c r="S60" s="68">
        <f t="shared" si="4"/>
        <v>0</v>
      </c>
      <c r="T60" s="304">
        <f t="shared" si="5"/>
        <v>0</v>
      </c>
      <c r="V60" s="117">
        <f>'As-Filed Schedule 2M'!N60</f>
        <v>0</v>
      </c>
      <c r="W60" s="307">
        <f>SUMIFS(Adjustments!$G:$G,Adjustments!$H:$H,"2M",Adjustments!$I:$I,'Schedule 2M Adjustments'!$V$12,Adjustments!$J:$J,'Schedule 2M Adjustments'!$A60)</f>
        <v>0</v>
      </c>
      <c r="X60" s="303">
        <f t="shared" si="6"/>
        <v>0</v>
      </c>
      <c r="Y60" s="117">
        <f>'As-Filed Schedule 2M'!O60</f>
        <v>0</v>
      </c>
      <c r="Z60" s="307">
        <f>SUMIFS(Adjustments!$G:$G,Adjustments!$H:$H,"2M",Adjustments!$I:$I,'Schedule 2M Adjustments'!$Y$12,Adjustments!$J:$J,'Schedule 2M Adjustments'!$A60)</f>
        <v>0</v>
      </c>
      <c r="AA60" s="303">
        <f t="shared" si="7"/>
        <v>0</v>
      </c>
    </row>
    <row r="61" spans="1:27" x14ac:dyDescent="0.35">
      <c r="A61" s="24">
        <v>47</v>
      </c>
      <c r="B61" s="565" t="str">
        <f>IF('As-Filed Schedule 2M'!B61:D61=0,"",'As-Filed Schedule 2M'!B61:D61)</f>
        <v/>
      </c>
      <c r="C61" s="565"/>
      <c r="D61" s="565"/>
      <c r="F61" s="114">
        <f>'As-Filed Schedule 2M'!F61</f>
        <v>0</v>
      </c>
      <c r="G61" s="307">
        <f>SUMIFS(Adjustments!$G:$G,Adjustments!$H:$H,"2M",Adjustments!$I:$I,'Schedule 2M Adjustments'!$F$12,Adjustments!$J:$J,'Schedule 2M Adjustments'!$A61)</f>
        <v>0</v>
      </c>
      <c r="H61" s="303">
        <f t="shared" si="0"/>
        <v>0</v>
      </c>
      <c r="I61" s="68">
        <f>IFERROR(F61*'As-Filed Schedule 1'!$E$103,0)</f>
        <v>0</v>
      </c>
      <c r="J61" s="304">
        <f>IFERROR(H61*'Adjusted Schedule 1'!$E$104,0)</f>
        <v>0</v>
      </c>
      <c r="K61" s="68">
        <f t="shared" si="1"/>
        <v>0</v>
      </c>
      <c r="L61" s="304">
        <f t="shared" si="2"/>
        <v>0</v>
      </c>
      <c r="N61" s="114">
        <f>'As-Filed Schedule 2M'!J61</f>
        <v>0</v>
      </c>
      <c r="O61" s="307">
        <f>SUMIFS(Adjustments!$G:$G,Adjustments!$H:$H,"2M",Adjustments!$I:$I,'Schedule 2M Adjustments'!$N$12,Adjustments!$J:$J,'Schedule 2M Adjustments'!$A61)</f>
        <v>0</v>
      </c>
      <c r="P61" s="303">
        <f t="shared" si="3"/>
        <v>0</v>
      </c>
      <c r="Q61" s="68">
        <f>IFERROR(N61*'As-Filed Schedule 1'!$E$103,0)</f>
        <v>0</v>
      </c>
      <c r="R61" s="68">
        <f>IFERROR(P61*'Adjusted Schedule 1'!$E$104,0)</f>
        <v>0</v>
      </c>
      <c r="S61" s="68">
        <f t="shared" si="4"/>
        <v>0</v>
      </c>
      <c r="T61" s="304">
        <f t="shared" si="5"/>
        <v>0</v>
      </c>
      <c r="V61" s="117">
        <f>'As-Filed Schedule 2M'!N61</f>
        <v>0</v>
      </c>
      <c r="W61" s="307">
        <f>SUMIFS(Adjustments!$G:$G,Adjustments!$H:$H,"2M",Adjustments!$I:$I,'Schedule 2M Adjustments'!$V$12,Adjustments!$J:$J,'Schedule 2M Adjustments'!$A61)</f>
        <v>0</v>
      </c>
      <c r="X61" s="303">
        <f t="shared" si="6"/>
        <v>0</v>
      </c>
      <c r="Y61" s="117">
        <f>'As-Filed Schedule 2M'!O61</f>
        <v>0</v>
      </c>
      <c r="Z61" s="307">
        <f>SUMIFS(Adjustments!$G:$G,Adjustments!$H:$H,"2M",Adjustments!$I:$I,'Schedule 2M Adjustments'!$Y$12,Adjustments!$J:$J,'Schedule 2M Adjustments'!$A61)</f>
        <v>0</v>
      </c>
      <c r="AA61" s="303">
        <f t="shared" si="7"/>
        <v>0</v>
      </c>
    </row>
    <row r="62" spans="1:27" x14ac:dyDescent="0.35">
      <c r="A62" s="24">
        <v>48</v>
      </c>
      <c r="B62" s="565" t="str">
        <f>IF('As-Filed Schedule 2M'!B62:D62=0,"",'As-Filed Schedule 2M'!B62:D62)</f>
        <v/>
      </c>
      <c r="C62" s="565"/>
      <c r="D62" s="565"/>
      <c r="F62" s="114">
        <f>'As-Filed Schedule 2M'!F62</f>
        <v>0</v>
      </c>
      <c r="G62" s="307">
        <f>SUMIFS(Adjustments!$G:$G,Adjustments!$H:$H,"2M",Adjustments!$I:$I,'Schedule 2M Adjustments'!$F$12,Adjustments!$J:$J,'Schedule 2M Adjustments'!$A62)</f>
        <v>0</v>
      </c>
      <c r="H62" s="303">
        <f t="shared" si="0"/>
        <v>0</v>
      </c>
      <c r="I62" s="68">
        <f>IFERROR(F62*'As-Filed Schedule 1'!$E$103,0)</f>
        <v>0</v>
      </c>
      <c r="J62" s="304">
        <f>IFERROR(H62*'Adjusted Schedule 1'!$E$104,0)</f>
        <v>0</v>
      </c>
      <c r="K62" s="68">
        <f t="shared" si="1"/>
        <v>0</v>
      </c>
      <c r="L62" s="304">
        <f t="shared" si="2"/>
        <v>0</v>
      </c>
      <c r="N62" s="114">
        <f>'As-Filed Schedule 2M'!J62</f>
        <v>0</v>
      </c>
      <c r="O62" s="307">
        <f>SUMIFS(Adjustments!$G:$G,Adjustments!$H:$H,"2M",Adjustments!$I:$I,'Schedule 2M Adjustments'!$N$12,Adjustments!$J:$J,'Schedule 2M Adjustments'!$A62)</f>
        <v>0</v>
      </c>
      <c r="P62" s="303">
        <f t="shared" si="3"/>
        <v>0</v>
      </c>
      <c r="Q62" s="68">
        <f>IFERROR(N62*'As-Filed Schedule 1'!$E$103,0)</f>
        <v>0</v>
      </c>
      <c r="R62" s="68">
        <f>IFERROR(P62*'Adjusted Schedule 1'!$E$104,0)</f>
        <v>0</v>
      </c>
      <c r="S62" s="68">
        <f t="shared" si="4"/>
        <v>0</v>
      </c>
      <c r="T62" s="304">
        <f t="shared" si="5"/>
        <v>0</v>
      </c>
      <c r="V62" s="117">
        <f>'As-Filed Schedule 2M'!N62</f>
        <v>0</v>
      </c>
      <c r="W62" s="307">
        <f>SUMIFS(Adjustments!$G:$G,Adjustments!$H:$H,"2M",Adjustments!$I:$I,'Schedule 2M Adjustments'!$V$12,Adjustments!$J:$J,'Schedule 2M Adjustments'!$A62)</f>
        <v>0</v>
      </c>
      <c r="X62" s="303">
        <f t="shared" si="6"/>
        <v>0</v>
      </c>
      <c r="Y62" s="117">
        <f>'As-Filed Schedule 2M'!O62</f>
        <v>0</v>
      </c>
      <c r="Z62" s="307">
        <f>SUMIFS(Adjustments!$G:$G,Adjustments!$H:$H,"2M",Adjustments!$I:$I,'Schedule 2M Adjustments'!$Y$12,Adjustments!$J:$J,'Schedule 2M Adjustments'!$A62)</f>
        <v>0</v>
      </c>
      <c r="AA62" s="303">
        <f t="shared" si="7"/>
        <v>0</v>
      </c>
    </row>
    <row r="63" spans="1:27" x14ac:dyDescent="0.35">
      <c r="A63" s="24">
        <v>49</v>
      </c>
      <c r="B63" s="565" t="str">
        <f>IF('As-Filed Schedule 2M'!B63:D63=0,"",'As-Filed Schedule 2M'!B63:D63)</f>
        <v/>
      </c>
      <c r="C63" s="565"/>
      <c r="D63" s="565"/>
      <c r="F63" s="114">
        <f>'As-Filed Schedule 2M'!F63</f>
        <v>0</v>
      </c>
      <c r="G63" s="307">
        <f>SUMIFS(Adjustments!$G:$G,Adjustments!$H:$H,"2M",Adjustments!$I:$I,'Schedule 2M Adjustments'!$F$12,Adjustments!$J:$J,'Schedule 2M Adjustments'!$A63)</f>
        <v>0</v>
      </c>
      <c r="H63" s="303">
        <f t="shared" si="0"/>
        <v>0</v>
      </c>
      <c r="I63" s="68">
        <f>IFERROR(F63*'As-Filed Schedule 1'!$E$103,0)</f>
        <v>0</v>
      </c>
      <c r="J63" s="304">
        <f>IFERROR(H63*'Adjusted Schedule 1'!$E$104,0)</f>
        <v>0</v>
      </c>
      <c r="K63" s="68">
        <f t="shared" si="1"/>
        <v>0</v>
      </c>
      <c r="L63" s="304">
        <f t="shared" si="2"/>
        <v>0</v>
      </c>
      <c r="N63" s="114">
        <f>'As-Filed Schedule 2M'!J63</f>
        <v>0</v>
      </c>
      <c r="O63" s="307">
        <f>SUMIFS(Adjustments!$G:$G,Adjustments!$H:$H,"2M",Adjustments!$I:$I,'Schedule 2M Adjustments'!$N$12,Adjustments!$J:$J,'Schedule 2M Adjustments'!$A63)</f>
        <v>0</v>
      </c>
      <c r="P63" s="303">
        <f t="shared" si="3"/>
        <v>0</v>
      </c>
      <c r="Q63" s="68">
        <f>IFERROR(N63*'As-Filed Schedule 1'!$E$103,0)</f>
        <v>0</v>
      </c>
      <c r="R63" s="68">
        <f>IFERROR(P63*'Adjusted Schedule 1'!$E$104,0)</f>
        <v>0</v>
      </c>
      <c r="S63" s="68">
        <f t="shared" si="4"/>
        <v>0</v>
      </c>
      <c r="T63" s="304">
        <f t="shared" si="5"/>
        <v>0</v>
      </c>
      <c r="V63" s="117">
        <f>'As-Filed Schedule 2M'!N63</f>
        <v>0</v>
      </c>
      <c r="W63" s="307">
        <f>SUMIFS(Adjustments!$G:$G,Adjustments!$H:$H,"2M",Adjustments!$I:$I,'Schedule 2M Adjustments'!$V$12,Adjustments!$J:$J,'Schedule 2M Adjustments'!$A63)</f>
        <v>0</v>
      </c>
      <c r="X63" s="303">
        <f t="shared" si="6"/>
        <v>0</v>
      </c>
      <c r="Y63" s="117">
        <f>'As-Filed Schedule 2M'!O63</f>
        <v>0</v>
      </c>
      <c r="Z63" s="307">
        <f>SUMIFS(Adjustments!$G:$G,Adjustments!$H:$H,"2M",Adjustments!$I:$I,'Schedule 2M Adjustments'!$Y$12,Adjustments!$J:$J,'Schedule 2M Adjustments'!$A63)</f>
        <v>0</v>
      </c>
      <c r="AA63" s="303">
        <f t="shared" si="7"/>
        <v>0</v>
      </c>
    </row>
    <row r="64" spans="1:27" x14ac:dyDescent="0.35">
      <c r="A64" s="24">
        <v>50</v>
      </c>
      <c r="B64" s="565" t="str">
        <f>IF('As-Filed Schedule 2M'!B64:D64=0,"",'As-Filed Schedule 2M'!B64:D64)</f>
        <v/>
      </c>
      <c r="C64" s="565"/>
      <c r="D64" s="565"/>
      <c r="F64" s="114">
        <f>'As-Filed Schedule 2M'!F64</f>
        <v>0</v>
      </c>
      <c r="G64" s="307">
        <f>SUMIFS(Adjustments!$G:$G,Adjustments!$H:$H,"2M",Adjustments!$I:$I,'Schedule 2M Adjustments'!$F$12,Adjustments!$J:$J,'Schedule 2M Adjustments'!$A64)</f>
        <v>0</v>
      </c>
      <c r="H64" s="303">
        <f t="shared" si="0"/>
        <v>0</v>
      </c>
      <c r="I64" s="68">
        <f>IFERROR(F64*'As-Filed Schedule 1'!$E$103,0)</f>
        <v>0</v>
      </c>
      <c r="J64" s="304">
        <f>IFERROR(H64*'Adjusted Schedule 1'!$E$104,0)</f>
        <v>0</v>
      </c>
      <c r="K64" s="68">
        <f t="shared" si="1"/>
        <v>0</v>
      </c>
      <c r="L64" s="304">
        <f t="shared" si="2"/>
        <v>0</v>
      </c>
      <c r="N64" s="114">
        <f>'As-Filed Schedule 2M'!J64</f>
        <v>0</v>
      </c>
      <c r="O64" s="307">
        <f>SUMIFS(Adjustments!$G:$G,Adjustments!$H:$H,"2M",Adjustments!$I:$I,'Schedule 2M Adjustments'!$N$12,Adjustments!$J:$J,'Schedule 2M Adjustments'!$A64)</f>
        <v>0</v>
      </c>
      <c r="P64" s="303">
        <f t="shared" si="3"/>
        <v>0</v>
      </c>
      <c r="Q64" s="68">
        <f>IFERROR(N64*'As-Filed Schedule 1'!$E$103,0)</f>
        <v>0</v>
      </c>
      <c r="R64" s="68">
        <f>IFERROR(P64*'Adjusted Schedule 1'!$E$104,0)</f>
        <v>0</v>
      </c>
      <c r="S64" s="68">
        <f t="shared" si="4"/>
        <v>0</v>
      </c>
      <c r="T64" s="304">
        <f t="shared" si="5"/>
        <v>0</v>
      </c>
      <c r="V64" s="117">
        <f>'As-Filed Schedule 2M'!N64</f>
        <v>0</v>
      </c>
      <c r="W64" s="307">
        <f>SUMIFS(Adjustments!$G:$G,Adjustments!$H:$H,"2M",Adjustments!$I:$I,'Schedule 2M Adjustments'!$V$12,Adjustments!$J:$J,'Schedule 2M Adjustments'!$A64)</f>
        <v>0</v>
      </c>
      <c r="X64" s="303">
        <f t="shared" si="6"/>
        <v>0</v>
      </c>
      <c r="Y64" s="117">
        <f>'As-Filed Schedule 2M'!O64</f>
        <v>0</v>
      </c>
      <c r="Z64" s="307">
        <f>SUMIFS(Adjustments!$G:$G,Adjustments!$H:$H,"2M",Adjustments!$I:$I,'Schedule 2M Adjustments'!$Y$12,Adjustments!$J:$J,'Schedule 2M Adjustments'!$A64)</f>
        <v>0</v>
      </c>
      <c r="AA64" s="303">
        <f t="shared" si="7"/>
        <v>0</v>
      </c>
    </row>
    <row r="65" spans="1:27" x14ac:dyDescent="0.35">
      <c r="A65" s="24">
        <v>51</v>
      </c>
      <c r="B65" s="565" t="str">
        <f>IF('As-Filed Schedule 2M'!B65:D65=0,"",'As-Filed Schedule 2M'!B65:D65)</f>
        <v/>
      </c>
      <c r="C65" s="565"/>
      <c r="D65" s="565"/>
      <c r="F65" s="114">
        <f>'As-Filed Schedule 2M'!F65</f>
        <v>0</v>
      </c>
      <c r="G65" s="307">
        <f>SUMIFS(Adjustments!$G:$G,Adjustments!$H:$H,"2M",Adjustments!$I:$I,'Schedule 2M Adjustments'!$F$12,Adjustments!$J:$J,'Schedule 2M Adjustments'!$A65)</f>
        <v>0</v>
      </c>
      <c r="H65" s="303">
        <f t="shared" si="0"/>
        <v>0</v>
      </c>
      <c r="I65" s="68">
        <f>IFERROR(F65*'As-Filed Schedule 1'!$E$103,0)</f>
        <v>0</v>
      </c>
      <c r="J65" s="304">
        <f>IFERROR(H65*'Adjusted Schedule 1'!$E$104,0)</f>
        <v>0</v>
      </c>
      <c r="K65" s="68">
        <f t="shared" si="1"/>
        <v>0</v>
      </c>
      <c r="L65" s="304">
        <f t="shared" si="2"/>
        <v>0</v>
      </c>
      <c r="N65" s="114">
        <f>'As-Filed Schedule 2M'!J65</f>
        <v>0</v>
      </c>
      <c r="O65" s="307">
        <f>SUMIFS(Adjustments!$G:$G,Adjustments!$H:$H,"2M",Adjustments!$I:$I,'Schedule 2M Adjustments'!$N$12,Adjustments!$J:$J,'Schedule 2M Adjustments'!$A65)</f>
        <v>0</v>
      </c>
      <c r="P65" s="303">
        <f t="shared" si="3"/>
        <v>0</v>
      </c>
      <c r="Q65" s="68">
        <f>IFERROR(N65*'As-Filed Schedule 1'!$E$103,0)</f>
        <v>0</v>
      </c>
      <c r="R65" s="68">
        <f>IFERROR(P65*'Adjusted Schedule 1'!$E$104,0)</f>
        <v>0</v>
      </c>
      <c r="S65" s="68">
        <f t="shared" si="4"/>
        <v>0</v>
      </c>
      <c r="T65" s="304">
        <f t="shared" si="5"/>
        <v>0</v>
      </c>
      <c r="V65" s="117">
        <f>'As-Filed Schedule 2M'!N65</f>
        <v>0</v>
      </c>
      <c r="W65" s="307">
        <f>SUMIFS(Adjustments!$G:$G,Adjustments!$H:$H,"2M",Adjustments!$I:$I,'Schedule 2M Adjustments'!$V$12,Adjustments!$J:$J,'Schedule 2M Adjustments'!$A65)</f>
        <v>0</v>
      </c>
      <c r="X65" s="303">
        <f t="shared" si="6"/>
        <v>0</v>
      </c>
      <c r="Y65" s="117">
        <f>'As-Filed Schedule 2M'!O65</f>
        <v>0</v>
      </c>
      <c r="Z65" s="307">
        <f>SUMIFS(Adjustments!$G:$G,Adjustments!$H:$H,"2M",Adjustments!$I:$I,'Schedule 2M Adjustments'!$Y$12,Adjustments!$J:$J,'Schedule 2M Adjustments'!$A65)</f>
        <v>0</v>
      </c>
      <c r="AA65" s="303">
        <f t="shared" si="7"/>
        <v>0</v>
      </c>
    </row>
    <row r="66" spans="1:27" x14ac:dyDescent="0.35">
      <c r="A66" s="24">
        <v>52</v>
      </c>
      <c r="B66" s="565" t="str">
        <f>IF('As-Filed Schedule 2M'!B66:D66=0,"",'As-Filed Schedule 2M'!B66:D66)</f>
        <v/>
      </c>
      <c r="C66" s="565"/>
      <c r="D66" s="565"/>
      <c r="F66" s="114">
        <f>'As-Filed Schedule 2M'!F66</f>
        <v>0</v>
      </c>
      <c r="G66" s="307">
        <f>SUMIFS(Adjustments!$G:$G,Adjustments!$H:$H,"2M",Adjustments!$I:$I,'Schedule 2M Adjustments'!$F$12,Adjustments!$J:$J,'Schedule 2M Adjustments'!$A66)</f>
        <v>0</v>
      </c>
      <c r="H66" s="303">
        <f t="shared" si="0"/>
        <v>0</v>
      </c>
      <c r="I66" s="68">
        <f>IFERROR(F66*'As-Filed Schedule 1'!$E$103,0)</f>
        <v>0</v>
      </c>
      <c r="J66" s="304">
        <f>IFERROR(H66*'Adjusted Schedule 1'!$E$104,0)</f>
        <v>0</v>
      </c>
      <c r="K66" s="68">
        <f t="shared" si="1"/>
        <v>0</v>
      </c>
      <c r="L66" s="304">
        <f t="shared" si="2"/>
        <v>0</v>
      </c>
      <c r="N66" s="114">
        <f>'As-Filed Schedule 2M'!J66</f>
        <v>0</v>
      </c>
      <c r="O66" s="307">
        <f>SUMIFS(Adjustments!$G:$G,Adjustments!$H:$H,"2M",Adjustments!$I:$I,'Schedule 2M Adjustments'!$N$12,Adjustments!$J:$J,'Schedule 2M Adjustments'!$A66)</f>
        <v>0</v>
      </c>
      <c r="P66" s="303">
        <f t="shared" si="3"/>
        <v>0</v>
      </c>
      <c r="Q66" s="68">
        <f>IFERROR(N66*'As-Filed Schedule 1'!$E$103,0)</f>
        <v>0</v>
      </c>
      <c r="R66" s="68">
        <f>IFERROR(P66*'Adjusted Schedule 1'!$E$104,0)</f>
        <v>0</v>
      </c>
      <c r="S66" s="68">
        <f t="shared" si="4"/>
        <v>0</v>
      </c>
      <c r="T66" s="304">
        <f t="shared" si="5"/>
        <v>0</v>
      </c>
      <c r="V66" s="117">
        <f>'As-Filed Schedule 2M'!N66</f>
        <v>0</v>
      </c>
      <c r="W66" s="307">
        <f>SUMIFS(Adjustments!$G:$G,Adjustments!$H:$H,"2M",Adjustments!$I:$I,'Schedule 2M Adjustments'!$V$12,Adjustments!$J:$J,'Schedule 2M Adjustments'!$A66)</f>
        <v>0</v>
      </c>
      <c r="X66" s="303">
        <f t="shared" si="6"/>
        <v>0</v>
      </c>
      <c r="Y66" s="117">
        <f>'As-Filed Schedule 2M'!O66</f>
        <v>0</v>
      </c>
      <c r="Z66" s="307">
        <f>SUMIFS(Adjustments!$G:$G,Adjustments!$H:$H,"2M",Adjustments!$I:$I,'Schedule 2M Adjustments'!$Y$12,Adjustments!$J:$J,'Schedule 2M Adjustments'!$A66)</f>
        <v>0</v>
      </c>
      <c r="AA66" s="303">
        <f t="shared" si="7"/>
        <v>0</v>
      </c>
    </row>
    <row r="67" spans="1:27" x14ac:dyDescent="0.35">
      <c r="A67" s="24">
        <v>53</v>
      </c>
      <c r="B67" s="565" t="str">
        <f>IF('As-Filed Schedule 2M'!B67:D67=0,"",'As-Filed Schedule 2M'!B67:D67)</f>
        <v/>
      </c>
      <c r="C67" s="565"/>
      <c r="D67" s="565"/>
      <c r="F67" s="114">
        <f>'As-Filed Schedule 2M'!F67</f>
        <v>0</v>
      </c>
      <c r="G67" s="307">
        <f>SUMIFS(Adjustments!$G:$G,Adjustments!$H:$H,"2M",Adjustments!$I:$I,'Schedule 2M Adjustments'!$F$12,Adjustments!$J:$J,'Schedule 2M Adjustments'!$A67)</f>
        <v>0</v>
      </c>
      <c r="H67" s="303">
        <f t="shared" si="0"/>
        <v>0</v>
      </c>
      <c r="I67" s="68">
        <f>IFERROR(F67*'As-Filed Schedule 1'!$E$103,0)</f>
        <v>0</v>
      </c>
      <c r="J67" s="304">
        <f>IFERROR(H67*'Adjusted Schedule 1'!$E$104,0)</f>
        <v>0</v>
      </c>
      <c r="K67" s="68">
        <f t="shared" si="1"/>
        <v>0</v>
      </c>
      <c r="L67" s="304">
        <f t="shared" si="2"/>
        <v>0</v>
      </c>
      <c r="N67" s="114">
        <f>'As-Filed Schedule 2M'!J67</f>
        <v>0</v>
      </c>
      <c r="O67" s="307">
        <f>SUMIFS(Adjustments!$G:$G,Adjustments!$H:$H,"2M",Adjustments!$I:$I,'Schedule 2M Adjustments'!$N$12,Adjustments!$J:$J,'Schedule 2M Adjustments'!$A67)</f>
        <v>0</v>
      </c>
      <c r="P67" s="303">
        <f t="shared" si="3"/>
        <v>0</v>
      </c>
      <c r="Q67" s="68">
        <f>IFERROR(N67*'As-Filed Schedule 1'!$E$103,0)</f>
        <v>0</v>
      </c>
      <c r="R67" s="68">
        <f>IFERROR(P67*'Adjusted Schedule 1'!$E$104,0)</f>
        <v>0</v>
      </c>
      <c r="S67" s="68">
        <f t="shared" si="4"/>
        <v>0</v>
      </c>
      <c r="T67" s="304">
        <f t="shared" si="5"/>
        <v>0</v>
      </c>
      <c r="V67" s="117">
        <f>'As-Filed Schedule 2M'!N67</f>
        <v>0</v>
      </c>
      <c r="W67" s="307">
        <f>SUMIFS(Adjustments!$G:$G,Adjustments!$H:$H,"2M",Adjustments!$I:$I,'Schedule 2M Adjustments'!$V$12,Adjustments!$J:$J,'Schedule 2M Adjustments'!$A67)</f>
        <v>0</v>
      </c>
      <c r="X67" s="303">
        <f t="shared" si="6"/>
        <v>0</v>
      </c>
      <c r="Y67" s="117">
        <f>'As-Filed Schedule 2M'!O67</f>
        <v>0</v>
      </c>
      <c r="Z67" s="307">
        <f>SUMIFS(Adjustments!$G:$G,Adjustments!$H:$H,"2M",Adjustments!$I:$I,'Schedule 2M Adjustments'!$Y$12,Adjustments!$J:$J,'Schedule 2M Adjustments'!$A67)</f>
        <v>0</v>
      </c>
      <c r="AA67" s="303">
        <f t="shared" si="7"/>
        <v>0</v>
      </c>
    </row>
    <row r="68" spans="1:27" x14ac:dyDescent="0.35">
      <c r="A68" s="24">
        <v>54</v>
      </c>
      <c r="B68" s="565" t="str">
        <f>IF('As-Filed Schedule 2M'!B68:D68=0,"",'As-Filed Schedule 2M'!B68:D68)</f>
        <v/>
      </c>
      <c r="C68" s="565"/>
      <c r="D68" s="565"/>
      <c r="F68" s="114">
        <f>'As-Filed Schedule 2M'!F68</f>
        <v>0</v>
      </c>
      <c r="G68" s="307">
        <f>SUMIFS(Adjustments!$G:$G,Adjustments!$H:$H,"2M",Adjustments!$I:$I,'Schedule 2M Adjustments'!$F$12,Adjustments!$J:$J,'Schedule 2M Adjustments'!$A68)</f>
        <v>0</v>
      </c>
      <c r="H68" s="303">
        <f t="shared" si="0"/>
        <v>0</v>
      </c>
      <c r="I68" s="68">
        <f>IFERROR(F68*'As-Filed Schedule 1'!$E$103,0)</f>
        <v>0</v>
      </c>
      <c r="J68" s="304">
        <f>IFERROR(H68*'Adjusted Schedule 1'!$E$104,0)</f>
        <v>0</v>
      </c>
      <c r="K68" s="68">
        <f t="shared" si="1"/>
        <v>0</v>
      </c>
      <c r="L68" s="304">
        <f t="shared" si="2"/>
        <v>0</v>
      </c>
      <c r="N68" s="114">
        <f>'As-Filed Schedule 2M'!J68</f>
        <v>0</v>
      </c>
      <c r="O68" s="307">
        <f>SUMIFS(Adjustments!$G:$G,Adjustments!$H:$H,"2M",Adjustments!$I:$I,'Schedule 2M Adjustments'!$N$12,Adjustments!$J:$J,'Schedule 2M Adjustments'!$A68)</f>
        <v>0</v>
      </c>
      <c r="P68" s="303">
        <f t="shared" si="3"/>
        <v>0</v>
      </c>
      <c r="Q68" s="68">
        <f>IFERROR(N68*'As-Filed Schedule 1'!$E$103,0)</f>
        <v>0</v>
      </c>
      <c r="R68" s="68">
        <f>IFERROR(P68*'Adjusted Schedule 1'!$E$104,0)</f>
        <v>0</v>
      </c>
      <c r="S68" s="68">
        <f t="shared" si="4"/>
        <v>0</v>
      </c>
      <c r="T68" s="304">
        <f t="shared" si="5"/>
        <v>0</v>
      </c>
      <c r="V68" s="117">
        <f>'As-Filed Schedule 2M'!N68</f>
        <v>0</v>
      </c>
      <c r="W68" s="307">
        <f>SUMIFS(Adjustments!$G:$G,Adjustments!$H:$H,"2M",Adjustments!$I:$I,'Schedule 2M Adjustments'!$V$12,Adjustments!$J:$J,'Schedule 2M Adjustments'!$A68)</f>
        <v>0</v>
      </c>
      <c r="X68" s="303">
        <f t="shared" si="6"/>
        <v>0</v>
      </c>
      <c r="Y68" s="117">
        <f>'As-Filed Schedule 2M'!O68</f>
        <v>0</v>
      </c>
      <c r="Z68" s="307">
        <f>SUMIFS(Adjustments!$G:$G,Adjustments!$H:$H,"2M",Adjustments!$I:$I,'Schedule 2M Adjustments'!$Y$12,Adjustments!$J:$J,'Schedule 2M Adjustments'!$A68)</f>
        <v>0</v>
      </c>
      <c r="AA68" s="303">
        <f t="shared" si="7"/>
        <v>0</v>
      </c>
    </row>
    <row r="69" spans="1:27" x14ac:dyDescent="0.35">
      <c r="A69" s="24">
        <v>55</v>
      </c>
      <c r="B69" s="565" t="str">
        <f>IF('As-Filed Schedule 2M'!B69:D69=0,"",'As-Filed Schedule 2M'!B69:D69)</f>
        <v/>
      </c>
      <c r="C69" s="565"/>
      <c r="D69" s="565"/>
      <c r="F69" s="114">
        <f>'As-Filed Schedule 2M'!F69</f>
        <v>0</v>
      </c>
      <c r="G69" s="307">
        <f>SUMIFS(Adjustments!$G:$G,Adjustments!$H:$H,"2M",Adjustments!$I:$I,'Schedule 2M Adjustments'!$F$12,Adjustments!$J:$J,'Schedule 2M Adjustments'!$A69)</f>
        <v>0</v>
      </c>
      <c r="H69" s="303">
        <f t="shared" si="0"/>
        <v>0</v>
      </c>
      <c r="I69" s="68">
        <f>IFERROR(F69*'As-Filed Schedule 1'!$E$103,0)</f>
        <v>0</v>
      </c>
      <c r="J69" s="304">
        <f>IFERROR(H69*'Adjusted Schedule 1'!$E$104,0)</f>
        <v>0</v>
      </c>
      <c r="K69" s="68">
        <f t="shared" si="1"/>
        <v>0</v>
      </c>
      <c r="L69" s="304">
        <f t="shared" si="2"/>
        <v>0</v>
      </c>
      <c r="N69" s="114">
        <f>'As-Filed Schedule 2M'!J69</f>
        <v>0</v>
      </c>
      <c r="O69" s="307">
        <f>SUMIFS(Adjustments!$G:$G,Adjustments!$H:$H,"2M",Adjustments!$I:$I,'Schedule 2M Adjustments'!$N$12,Adjustments!$J:$J,'Schedule 2M Adjustments'!$A69)</f>
        <v>0</v>
      </c>
      <c r="P69" s="303">
        <f t="shared" si="3"/>
        <v>0</v>
      </c>
      <c r="Q69" s="68">
        <f>IFERROR(N69*'As-Filed Schedule 1'!$E$103,0)</f>
        <v>0</v>
      </c>
      <c r="R69" s="68">
        <f>IFERROR(P69*'Adjusted Schedule 1'!$E$104,0)</f>
        <v>0</v>
      </c>
      <c r="S69" s="68">
        <f t="shared" si="4"/>
        <v>0</v>
      </c>
      <c r="T69" s="304">
        <f t="shared" si="5"/>
        <v>0</v>
      </c>
      <c r="V69" s="117">
        <f>'As-Filed Schedule 2M'!N69</f>
        <v>0</v>
      </c>
      <c r="W69" s="307">
        <f>SUMIFS(Adjustments!$G:$G,Adjustments!$H:$H,"2M",Adjustments!$I:$I,'Schedule 2M Adjustments'!$V$12,Adjustments!$J:$J,'Schedule 2M Adjustments'!$A69)</f>
        <v>0</v>
      </c>
      <c r="X69" s="303">
        <f t="shared" si="6"/>
        <v>0</v>
      </c>
      <c r="Y69" s="117">
        <f>'As-Filed Schedule 2M'!O69</f>
        <v>0</v>
      </c>
      <c r="Z69" s="307">
        <f>SUMIFS(Adjustments!$G:$G,Adjustments!$H:$H,"2M",Adjustments!$I:$I,'Schedule 2M Adjustments'!$Y$12,Adjustments!$J:$J,'Schedule 2M Adjustments'!$A69)</f>
        <v>0</v>
      </c>
      <c r="AA69" s="303">
        <f t="shared" si="7"/>
        <v>0</v>
      </c>
    </row>
    <row r="70" spans="1:27" x14ac:dyDescent="0.35">
      <c r="A70" s="24">
        <v>56</v>
      </c>
      <c r="B70" s="565" t="str">
        <f>IF('As-Filed Schedule 2M'!B70:D70=0,"",'As-Filed Schedule 2M'!B70:D70)</f>
        <v/>
      </c>
      <c r="C70" s="565"/>
      <c r="D70" s="565"/>
      <c r="F70" s="114">
        <f>'As-Filed Schedule 2M'!F70</f>
        <v>0</v>
      </c>
      <c r="G70" s="307">
        <f>SUMIFS(Adjustments!$G:$G,Adjustments!$H:$H,"2M",Adjustments!$I:$I,'Schedule 2M Adjustments'!$F$12,Adjustments!$J:$J,'Schedule 2M Adjustments'!$A70)</f>
        <v>0</v>
      </c>
      <c r="H70" s="303">
        <f t="shared" si="0"/>
        <v>0</v>
      </c>
      <c r="I70" s="68">
        <f>IFERROR(F70*'As-Filed Schedule 1'!$E$103,0)</f>
        <v>0</v>
      </c>
      <c r="J70" s="304">
        <f>IFERROR(H70*'Adjusted Schedule 1'!$E$104,0)</f>
        <v>0</v>
      </c>
      <c r="K70" s="68">
        <f t="shared" si="1"/>
        <v>0</v>
      </c>
      <c r="L70" s="304">
        <f t="shared" si="2"/>
        <v>0</v>
      </c>
      <c r="N70" s="114">
        <f>'As-Filed Schedule 2M'!J70</f>
        <v>0</v>
      </c>
      <c r="O70" s="307">
        <f>SUMIFS(Adjustments!$G:$G,Adjustments!$H:$H,"2M",Adjustments!$I:$I,'Schedule 2M Adjustments'!$N$12,Adjustments!$J:$J,'Schedule 2M Adjustments'!$A70)</f>
        <v>0</v>
      </c>
      <c r="P70" s="303">
        <f t="shared" si="3"/>
        <v>0</v>
      </c>
      <c r="Q70" s="68">
        <f>IFERROR(N70*'As-Filed Schedule 1'!$E$103,0)</f>
        <v>0</v>
      </c>
      <c r="R70" s="68">
        <f>IFERROR(P70*'Adjusted Schedule 1'!$E$104,0)</f>
        <v>0</v>
      </c>
      <c r="S70" s="68">
        <f t="shared" si="4"/>
        <v>0</v>
      </c>
      <c r="T70" s="304">
        <f t="shared" si="5"/>
        <v>0</v>
      </c>
      <c r="V70" s="117">
        <f>'As-Filed Schedule 2M'!N70</f>
        <v>0</v>
      </c>
      <c r="W70" s="307">
        <f>SUMIFS(Adjustments!$G:$G,Adjustments!$H:$H,"2M",Adjustments!$I:$I,'Schedule 2M Adjustments'!$V$12,Adjustments!$J:$J,'Schedule 2M Adjustments'!$A70)</f>
        <v>0</v>
      </c>
      <c r="X70" s="303">
        <f t="shared" si="6"/>
        <v>0</v>
      </c>
      <c r="Y70" s="117">
        <f>'As-Filed Schedule 2M'!O70</f>
        <v>0</v>
      </c>
      <c r="Z70" s="307">
        <f>SUMIFS(Adjustments!$G:$G,Adjustments!$H:$H,"2M",Adjustments!$I:$I,'Schedule 2M Adjustments'!$Y$12,Adjustments!$J:$J,'Schedule 2M Adjustments'!$A70)</f>
        <v>0</v>
      </c>
      <c r="AA70" s="303">
        <f t="shared" si="7"/>
        <v>0</v>
      </c>
    </row>
    <row r="71" spans="1:27" x14ac:dyDescent="0.35">
      <c r="A71" s="24">
        <v>57</v>
      </c>
      <c r="B71" s="565" t="str">
        <f>IF('As-Filed Schedule 2M'!B71:D71=0,"",'As-Filed Schedule 2M'!B71:D71)</f>
        <v/>
      </c>
      <c r="C71" s="565"/>
      <c r="D71" s="565"/>
      <c r="F71" s="114">
        <f>'As-Filed Schedule 2M'!F71</f>
        <v>0</v>
      </c>
      <c r="G71" s="307">
        <f>SUMIFS(Adjustments!$G:$G,Adjustments!$H:$H,"2M",Adjustments!$I:$I,'Schedule 2M Adjustments'!$F$12,Adjustments!$J:$J,'Schedule 2M Adjustments'!$A71)</f>
        <v>0</v>
      </c>
      <c r="H71" s="303">
        <f t="shared" si="0"/>
        <v>0</v>
      </c>
      <c r="I71" s="68">
        <f>IFERROR(F71*'As-Filed Schedule 1'!$E$103,0)</f>
        <v>0</v>
      </c>
      <c r="J71" s="304">
        <f>IFERROR(H71*'Adjusted Schedule 1'!$E$104,0)</f>
        <v>0</v>
      </c>
      <c r="K71" s="68">
        <f t="shared" si="1"/>
        <v>0</v>
      </c>
      <c r="L71" s="304">
        <f t="shared" si="2"/>
        <v>0</v>
      </c>
      <c r="N71" s="114">
        <f>'As-Filed Schedule 2M'!J71</f>
        <v>0</v>
      </c>
      <c r="O71" s="307">
        <f>SUMIFS(Adjustments!$G:$G,Adjustments!$H:$H,"2M",Adjustments!$I:$I,'Schedule 2M Adjustments'!$N$12,Adjustments!$J:$J,'Schedule 2M Adjustments'!$A71)</f>
        <v>0</v>
      </c>
      <c r="P71" s="303">
        <f t="shared" si="3"/>
        <v>0</v>
      </c>
      <c r="Q71" s="68">
        <f>IFERROR(N71*'As-Filed Schedule 1'!$E$103,0)</f>
        <v>0</v>
      </c>
      <c r="R71" s="68">
        <f>IFERROR(P71*'Adjusted Schedule 1'!$E$104,0)</f>
        <v>0</v>
      </c>
      <c r="S71" s="68">
        <f t="shared" si="4"/>
        <v>0</v>
      </c>
      <c r="T71" s="304">
        <f t="shared" si="5"/>
        <v>0</v>
      </c>
      <c r="V71" s="117">
        <f>'As-Filed Schedule 2M'!N71</f>
        <v>0</v>
      </c>
      <c r="W71" s="307">
        <f>SUMIFS(Adjustments!$G:$G,Adjustments!$H:$H,"2M",Adjustments!$I:$I,'Schedule 2M Adjustments'!$V$12,Adjustments!$J:$J,'Schedule 2M Adjustments'!$A71)</f>
        <v>0</v>
      </c>
      <c r="X71" s="303">
        <f t="shared" si="6"/>
        <v>0</v>
      </c>
      <c r="Y71" s="117">
        <f>'As-Filed Schedule 2M'!O71</f>
        <v>0</v>
      </c>
      <c r="Z71" s="307">
        <f>SUMIFS(Adjustments!$G:$G,Adjustments!$H:$H,"2M",Adjustments!$I:$I,'Schedule 2M Adjustments'!$Y$12,Adjustments!$J:$J,'Schedule 2M Adjustments'!$A71)</f>
        <v>0</v>
      </c>
      <c r="AA71" s="303">
        <f t="shared" si="7"/>
        <v>0</v>
      </c>
    </row>
    <row r="72" spans="1:27" x14ac:dyDescent="0.35">
      <c r="A72" s="24">
        <v>58</v>
      </c>
      <c r="B72" s="565" t="str">
        <f>IF('As-Filed Schedule 2M'!B72:D72=0,"",'As-Filed Schedule 2M'!B72:D72)</f>
        <v/>
      </c>
      <c r="C72" s="565"/>
      <c r="D72" s="565"/>
      <c r="F72" s="114">
        <f>'As-Filed Schedule 2M'!F72</f>
        <v>0</v>
      </c>
      <c r="G72" s="307">
        <f>SUMIFS(Adjustments!$G:$G,Adjustments!$H:$H,"2M",Adjustments!$I:$I,'Schedule 2M Adjustments'!$F$12,Adjustments!$J:$J,'Schedule 2M Adjustments'!$A72)</f>
        <v>0</v>
      </c>
      <c r="H72" s="303">
        <f t="shared" si="0"/>
        <v>0</v>
      </c>
      <c r="I72" s="68">
        <f>IFERROR(F72*'As-Filed Schedule 1'!$E$103,0)</f>
        <v>0</v>
      </c>
      <c r="J72" s="304">
        <f>IFERROR(H72*'Adjusted Schedule 1'!$E$104,0)</f>
        <v>0</v>
      </c>
      <c r="K72" s="68">
        <f t="shared" si="1"/>
        <v>0</v>
      </c>
      <c r="L72" s="304">
        <f t="shared" si="2"/>
        <v>0</v>
      </c>
      <c r="N72" s="114">
        <f>'As-Filed Schedule 2M'!J72</f>
        <v>0</v>
      </c>
      <c r="O72" s="307">
        <f>SUMIFS(Adjustments!$G:$G,Adjustments!$H:$H,"2M",Adjustments!$I:$I,'Schedule 2M Adjustments'!$N$12,Adjustments!$J:$J,'Schedule 2M Adjustments'!$A72)</f>
        <v>0</v>
      </c>
      <c r="P72" s="303">
        <f t="shared" si="3"/>
        <v>0</v>
      </c>
      <c r="Q72" s="68">
        <f>IFERROR(N72*'As-Filed Schedule 1'!$E$103,0)</f>
        <v>0</v>
      </c>
      <c r="R72" s="68">
        <f>IFERROR(P72*'Adjusted Schedule 1'!$E$104,0)</f>
        <v>0</v>
      </c>
      <c r="S72" s="68">
        <f t="shared" si="4"/>
        <v>0</v>
      </c>
      <c r="T72" s="304">
        <f t="shared" si="5"/>
        <v>0</v>
      </c>
      <c r="V72" s="117">
        <f>'As-Filed Schedule 2M'!N72</f>
        <v>0</v>
      </c>
      <c r="W72" s="307">
        <f>SUMIFS(Adjustments!$G:$G,Adjustments!$H:$H,"2M",Adjustments!$I:$I,'Schedule 2M Adjustments'!$V$12,Adjustments!$J:$J,'Schedule 2M Adjustments'!$A72)</f>
        <v>0</v>
      </c>
      <c r="X72" s="303">
        <f t="shared" si="6"/>
        <v>0</v>
      </c>
      <c r="Y72" s="117">
        <f>'As-Filed Schedule 2M'!O72</f>
        <v>0</v>
      </c>
      <c r="Z72" s="307">
        <f>SUMIFS(Adjustments!$G:$G,Adjustments!$H:$H,"2M",Adjustments!$I:$I,'Schedule 2M Adjustments'!$Y$12,Adjustments!$J:$J,'Schedule 2M Adjustments'!$A72)</f>
        <v>0</v>
      </c>
      <c r="AA72" s="303">
        <f t="shared" si="7"/>
        <v>0</v>
      </c>
    </row>
    <row r="73" spans="1:27" x14ac:dyDescent="0.35">
      <c r="A73" s="24">
        <v>59</v>
      </c>
      <c r="F73" s="18">
        <f>SUM(F15:F72)</f>
        <v>0</v>
      </c>
      <c r="G73" s="18">
        <f>SUM(G15:G72)</f>
        <v>0</v>
      </c>
      <c r="H73" s="18">
        <f t="shared" ref="H73:K73" si="8">SUM(H15:H72)</f>
        <v>0</v>
      </c>
      <c r="I73" s="18">
        <f t="shared" si="8"/>
        <v>0</v>
      </c>
      <c r="J73" s="304">
        <f>IFERROR(H73*'Adjusted Schedule 1'!$E$104,0)</f>
        <v>0</v>
      </c>
      <c r="K73" s="18">
        <f t="shared" si="8"/>
        <v>0</v>
      </c>
      <c r="L73" s="305">
        <f t="shared" ref="L73" si="9">SUM(L15:L72)</f>
        <v>0</v>
      </c>
      <c r="N73" s="18">
        <f>SUM(N15:N72)</f>
        <v>0</v>
      </c>
      <c r="O73" s="18">
        <f t="shared" ref="O73:S73" si="10">SUM(O15:O72)</f>
        <v>0</v>
      </c>
      <c r="P73" s="18">
        <f t="shared" si="10"/>
        <v>0</v>
      </c>
      <c r="Q73" s="18">
        <f t="shared" si="10"/>
        <v>0</v>
      </c>
      <c r="R73" s="18">
        <f t="shared" si="10"/>
        <v>0</v>
      </c>
      <c r="S73" s="18">
        <f t="shared" si="10"/>
        <v>0</v>
      </c>
      <c r="T73" s="305">
        <f>SUM(T15:T72)</f>
        <v>0</v>
      </c>
      <c r="Y73" s="83" t="s">
        <v>313</v>
      </c>
      <c r="Z73" s="325"/>
      <c r="AA73" s="322"/>
    </row>
    <row r="74" spans="1:27" ht="15" thickBot="1" x14ac:dyDescent="0.4">
      <c r="K74" s="37" t="s">
        <v>257</v>
      </c>
      <c r="L74" s="318" t="s">
        <v>257</v>
      </c>
      <c r="S74" s="37" t="s">
        <v>258</v>
      </c>
      <c r="T74" s="318" t="s">
        <v>258</v>
      </c>
    </row>
    <row r="75" spans="1:27" s="72" customFormat="1" ht="16" thickBot="1" x14ac:dyDescent="0.4">
      <c r="A75" s="24">
        <v>60</v>
      </c>
      <c r="B75" s="73" t="s">
        <v>817</v>
      </c>
      <c r="F75" s="75">
        <f>K73+S73</f>
        <v>0</v>
      </c>
      <c r="G75"/>
      <c r="H75" s="75">
        <f>L73+T73</f>
        <v>0</v>
      </c>
      <c r="I75" s="74"/>
      <c r="J75" s="319"/>
      <c r="K75" s="74"/>
      <c r="L75" s="319"/>
      <c r="N75" s="74"/>
      <c r="O75" s="326"/>
      <c r="P75" s="319"/>
      <c r="Q75" s="74"/>
      <c r="R75" s="319"/>
      <c r="T75" s="321"/>
      <c r="W75" s="324"/>
      <c r="X75" s="321"/>
      <c r="Z75" s="324"/>
      <c r="AA75" s="321"/>
    </row>
  </sheetData>
  <sheetProtection sheet="1" objects="1" scenarios="1"/>
  <customSheetViews>
    <customSheetView guid="{17302493-42B1-4877-869E-E424A97AE78B}" state="hidden" topLeftCell="S1">
      <selection activeCell="F17" sqref="F17"/>
      <pageMargins left="0.7" right="0.7" top="0.75" bottom="0.75" header="0.3" footer="0.3"/>
    </customSheetView>
    <customSheetView guid="{5C0BA3A5-859C-46C2-B685-44D9A90065E4}" topLeftCell="S1">
      <selection activeCell="I8" sqref="I8"/>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3"/>
  <dimension ref="A1:AG261"/>
  <sheetViews>
    <sheetView workbookViewId="0">
      <selection activeCell="L19" sqref="L19"/>
    </sheetView>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29" customWidth="1"/>
    <col min="8" max="8" width="14.81640625" style="129" customWidth="1"/>
    <col min="9" max="9" width="9" customWidth="1"/>
    <col min="10" max="10" width="17.453125" customWidth="1"/>
    <col min="11" max="11" width="18.453125" customWidth="1"/>
    <col min="12" max="12" width="18.453125" style="253" customWidth="1"/>
    <col min="13" max="13" width="18.453125" style="48" customWidth="1"/>
    <col min="14" max="14" width="12.453125" customWidth="1"/>
    <col min="15" max="15" width="12.453125" style="48" customWidth="1"/>
    <col min="16" max="16" width="18.453125" customWidth="1"/>
    <col min="17" max="17" width="18.453125" style="253" customWidth="1"/>
    <col min="18" max="18" width="18.453125" style="48" customWidth="1"/>
    <col min="19" max="19" width="18.453125" customWidth="1"/>
    <col min="20" max="20" width="18.453125" style="48" customWidth="1"/>
    <col min="21" max="21" width="18.453125" customWidth="1"/>
    <col min="22" max="22" width="18.453125" style="253" customWidth="1"/>
    <col min="23" max="23" width="18.453125" style="48" customWidth="1"/>
    <col min="24" max="24" width="18.453125" customWidth="1"/>
    <col min="25" max="25" width="18.453125" style="48" customWidth="1"/>
    <col min="26" max="26" width="18.453125" customWidth="1"/>
    <col min="27" max="27" width="18.453125" style="48" customWidth="1"/>
    <col min="28" max="28" width="14.453125" customWidth="1"/>
    <col min="29" max="29" width="14.453125" style="48" customWidth="1"/>
    <col min="31" max="33" width="25.81640625" customWidth="1"/>
  </cols>
  <sheetData>
    <row r="1" spans="1:33" ht="26" x14ac:dyDescent="0.6">
      <c r="A1" s="3" t="s">
        <v>777</v>
      </c>
      <c r="C1" s="11"/>
      <c r="D1" s="4"/>
      <c r="E1" s="13"/>
      <c r="F1" s="13"/>
      <c r="G1" s="128"/>
      <c r="H1" s="128"/>
      <c r="I1" s="13"/>
      <c r="J1" s="13"/>
    </row>
    <row r="2" spans="1:33" ht="21" x14ac:dyDescent="0.5">
      <c r="A2" s="2" t="s">
        <v>775</v>
      </c>
      <c r="C2" s="11"/>
      <c r="D2" s="4"/>
      <c r="E2" s="13"/>
      <c r="F2" s="13"/>
      <c r="G2" s="128"/>
      <c r="H2" s="128"/>
      <c r="I2" s="13"/>
      <c r="J2" s="13"/>
    </row>
    <row r="3" spans="1:33" ht="25" customHeight="1" x14ac:dyDescent="0.5">
      <c r="A3" s="5" t="s">
        <v>751</v>
      </c>
      <c r="B3" s="5"/>
      <c r="C3" s="12"/>
      <c r="D3" s="7"/>
      <c r="E3" s="14"/>
      <c r="F3" s="13"/>
      <c r="G3" s="128"/>
      <c r="H3" s="128"/>
      <c r="I3" s="13"/>
      <c r="J3" s="14"/>
    </row>
    <row r="4" spans="1:33" x14ac:dyDescent="0.35">
      <c r="C4" s="11"/>
      <c r="D4" s="4"/>
      <c r="E4" s="13" t="s">
        <v>759</v>
      </c>
      <c r="F4" s="13"/>
      <c r="G4" s="128"/>
      <c r="H4" s="128"/>
      <c r="I4" s="13"/>
      <c r="J4" s="50"/>
      <c r="AE4" s="122"/>
      <c r="AF4" s="122"/>
      <c r="AG4" s="122"/>
    </row>
    <row r="5" spans="1:33" x14ac:dyDescent="0.35">
      <c r="A5" s="1" t="s">
        <v>776</v>
      </c>
      <c r="C5" s="414" t="str">
        <f>Results!$C$6</f>
        <v>WellPower</v>
      </c>
      <c r="D5" s="233"/>
      <c r="E5" s="13"/>
      <c r="F5" s="13"/>
      <c r="G5" s="128"/>
      <c r="H5" s="128"/>
      <c r="I5" s="13"/>
      <c r="J5" s="50"/>
      <c r="AE5" s="40"/>
      <c r="AF5" s="40"/>
      <c r="AG5" s="40"/>
    </row>
    <row r="6" spans="1:33" x14ac:dyDescent="0.35">
      <c r="A6" s="1" t="s">
        <v>0</v>
      </c>
      <c r="C6" s="35">
        <f>Results!$C$7</f>
        <v>45473</v>
      </c>
      <c r="D6" s="35"/>
      <c r="E6" s="50"/>
      <c r="F6" s="13"/>
      <c r="G6" s="128"/>
      <c r="H6" s="128"/>
      <c r="I6" s="13"/>
      <c r="J6" s="50"/>
      <c r="AE6" s="40"/>
      <c r="AF6" s="40"/>
    </row>
    <row r="7" spans="1:33" x14ac:dyDescent="0.35">
      <c r="A7" s="196"/>
      <c r="B7" s="99"/>
      <c r="C7" s="197"/>
      <c r="D7" s="197"/>
      <c r="E7" s="198"/>
      <c r="F7" s="198"/>
      <c r="G7" s="199"/>
      <c r="H7" s="199"/>
      <c r="I7" s="198"/>
      <c r="J7" s="198"/>
      <c r="K7" s="99"/>
      <c r="N7" s="99"/>
      <c r="AE7" s="40"/>
      <c r="AF7" s="40"/>
      <c r="AG7" s="40"/>
    </row>
    <row r="8" spans="1:33" x14ac:dyDescent="0.35">
      <c r="A8" s="196" t="s">
        <v>479</v>
      </c>
      <c r="B8" s="99"/>
      <c r="C8" s="99"/>
      <c r="D8" s="99"/>
      <c r="E8" s="99"/>
      <c r="F8" s="99"/>
      <c r="G8" s="196"/>
      <c r="H8" s="112"/>
      <c r="I8" s="99"/>
      <c r="J8" s="198"/>
      <c r="K8" s="99"/>
      <c r="N8" s="99"/>
      <c r="AE8" s="40"/>
      <c r="AF8" s="40"/>
      <c r="AG8" s="40"/>
    </row>
    <row r="9" spans="1:33" ht="15" customHeight="1" x14ac:dyDescent="0.35">
      <c r="A9" s="554" t="s">
        <v>480</v>
      </c>
      <c r="B9" s="554"/>
      <c r="C9" s="554"/>
      <c r="D9" s="554"/>
      <c r="E9" s="554"/>
      <c r="F9" s="554"/>
      <c r="G9" s="554"/>
      <c r="H9" s="554"/>
      <c r="I9" s="554"/>
      <c r="J9" s="554"/>
      <c r="K9" s="554"/>
      <c r="L9" s="336"/>
      <c r="M9" s="331"/>
      <c r="N9" s="99"/>
      <c r="AE9" s="40"/>
      <c r="AF9" s="40"/>
      <c r="AG9" s="40"/>
    </row>
    <row r="10" spans="1:33" x14ac:dyDescent="0.35">
      <c r="A10" s="554"/>
      <c r="B10" s="554"/>
      <c r="C10" s="554"/>
      <c r="D10" s="554"/>
      <c r="E10" s="554"/>
      <c r="F10" s="554"/>
      <c r="G10" s="554"/>
      <c r="H10" s="554"/>
      <c r="I10" s="554"/>
      <c r="J10" s="554"/>
      <c r="K10" s="554"/>
      <c r="L10" s="336"/>
      <c r="M10" s="331"/>
      <c r="N10" s="99"/>
      <c r="AE10" s="40"/>
      <c r="AF10" s="40"/>
      <c r="AG10" s="40"/>
    </row>
    <row r="11" spans="1:33" x14ac:dyDescent="0.35">
      <c r="A11" s="554"/>
      <c r="B11" s="554"/>
      <c r="C11" s="554"/>
      <c r="D11" s="554"/>
      <c r="E11" s="554"/>
      <c r="F11" s="554"/>
      <c r="G11" s="554"/>
      <c r="H11" s="554"/>
      <c r="I11" s="554"/>
      <c r="J11" s="554"/>
      <c r="K11" s="554"/>
      <c r="L11" s="336"/>
      <c r="M11" s="331"/>
      <c r="N11" s="99"/>
      <c r="AE11" s="40"/>
      <c r="AF11" s="40"/>
      <c r="AG11" s="40"/>
    </row>
    <row r="12" spans="1:33" x14ac:dyDescent="0.35">
      <c r="A12" s="196"/>
      <c r="B12" s="99"/>
      <c r="C12" s="197"/>
      <c r="D12" s="197"/>
      <c r="E12" s="198"/>
      <c r="F12" s="198"/>
      <c r="G12" s="359"/>
      <c r="H12" s="360"/>
      <c r="I12" s="361"/>
      <c r="J12" s="198"/>
      <c r="K12" s="99"/>
      <c r="N12" s="99"/>
      <c r="AE12" s="40"/>
      <c r="AF12" s="40"/>
      <c r="AG12" s="40"/>
    </row>
    <row r="13" spans="1:33" x14ac:dyDescent="0.35">
      <c r="A13" s="99"/>
      <c r="B13" s="548">
        <v>1</v>
      </c>
      <c r="C13" s="549"/>
      <c r="D13" s="167">
        <v>2</v>
      </c>
      <c r="E13" s="167">
        <v>3</v>
      </c>
      <c r="F13" s="167">
        <v>4</v>
      </c>
      <c r="G13" s="167">
        <v>5</v>
      </c>
      <c r="H13" s="167">
        <v>6</v>
      </c>
      <c r="I13" s="167">
        <v>7</v>
      </c>
      <c r="J13" s="167">
        <v>8</v>
      </c>
      <c r="K13" s="167">
        <v>9</v>
      </c>
      <c r="L13" s="248" t="s">
        <v>612</v>
      </c>
      <c r="M13" s="249" t="s">
        <v>613</v>
      </c>
      <c r="N13" s="167">
        <v>10</v>
      </c>
      <c r="O13" s="249">
        <v>10</v>
      </c>
      <c r="P13" s="23">
        <v>11</v>
      </c>
      <c r="Q13" s="248" t="s">
        <v>636</v>
      </c>
      <c r="R13" s="249" t="s">
        <v>639</v>
      </c>
      <c r="S13" s="23">
        <v>12</v>
      </c>
      <c r="T13" s="249" t="s">
        <v>640</v>
      </c>
      <c r="U13" s="23">
        <v>13</v>
      </c>
      <c r="V13" s="248" t="s">
        <v>642</v>
      </c>
      <c r="W13" s="249" t="s">
        <v>643</v>
      </c>
      <c r="X13" s="23">
        <v>14</v>
      </c>
      <c r="Y13" s="249" t="s">
        <v>647</v>
      </c>
      <c r="Z13" s="23">
        <v>15</v>
      </c>
      <c r="AA13" s="249" t="s">
        <v>648</v>
      </c>
      <c r="AB13" s="23">
        <v>16</v>
      </c>
      <c r="AC13" s="249" t="s">
        <v>649</v>
      </c>
    </row>
    <row r="14" spans="1:33" x14ac:dyDescent="0.35">
      <c r="A14" s="99"/>
      <c r="B14" s="582" t="s">
        <v>626</v>
      </c>
      <c r="C14" s="583"/>
      <c r="D14" s="579" t="s">
        <v>627</v>
      </c>
      <c r="E14" s="579" t="s">
        <v>628</v>
      </c>
      <c r="F14" s="579" t="s">
        <v>629</v>
      </c>
      <c r="G14" s="586" t="s">
        <v>630</v>
      </c>
      <c r="H14" s="586" t="s">
        <v>631</v>
      </c>
      <c r="I14" s="200"/>
      <c r="J14" s="200"/>
      <c r="K14" s="579" t="s">
        <v>160</v>
      </c>
      <c r="L14" s="617" t="s">
        <v>633</v>
      </c>
      <c r="M14" s="619" t="s">
        <v>634</v>
      </c>
      <c r="N14" s="579" t="s">
        <v>161</v>
      </c>
      <c r="O14" s="619" t="s">
        <v>635</v>
      </c>
      <c r="P14" s="563" t="s">
        <v>168</v>
      </c>
      <c r="Q14" s="568"/>
      <c r="R14" s="568"/>
      <c r="S14" s="568"/>
      <c r="T14" s="564"/>
      <c r="U14" s="563" t="s">
        <v>34</v>
      </c>
      <c r="V14" s="568"/>
      <c r="W14" s="568"/>
      <c r="X14" s="568"/>
      <c r="Y14" s="564"/>
      <c r="Z14" s="563" t="s">
        <v>169</v>
      </c>
      <c r="AA14" s="568"/>
      <c r="AB14" s="568"/>
      <c r="AC14" s="568"/>
    </row>
    <row r="15" spans="1:33" ht="60" customHeight="1" x14ac:dyDescent="0.35">
      <c r="A15" s="99"/>
      <c r="B15" s="584"/>
      <c r="C15" s="585"/>
      <c r="D15" s="580"/>
      <c r="E15" s="580"/>
      <c r="F15" s="580"/>
      <c r="G15" s="587"/>
      <c r="H15" s="587"/>
      <c r="I15" s="201" t="s">
        <v>454</v>
      </c>
      <c r="J15" s="201" t="s">
        <v>632</v>
      </c>
      <c r="K15" s="580"/>
      <c r="L15" s="618"/>
      <c r="M15" s="620"/>
      <c r="N15" s="580"/>
      <c r="O15" s="620"/>
      <c r="P15" s="10" t="s">
        <v>162</v>
      </c>
      <c r="Q15" s="250" t="s">
        <v>637</v>
      </c>
      <c r="R15" s="251" t="s">
        <v>638</v>
      </c>
      <c r="S15" s="10" t="s">
        <v>163</v>
      </c>
      <c r="T15" s="251" t="s">
        <v>641</v>
      </c>
      <c r="U15" s="10" t="s">
        <v>164</v>
      </c>
      <c r="V15" s="250" t="s">
        <v>644</v>
      </c>
      <c r="W15" s="251" t="s">
        <v>645</v>
      </c>
      <c r="X15" s="10" t="s">
        <v>165</v>
      </c>
      <c r="Y15" s="251" t="s">
        <v>646</v>
      </c>
      <c r="Z15" s="10" t="s">
        <v>166</v>
      </c>
      <c r="AA15" s="251" t="s">
        <v>650</v>
      </c>
      <c r="AB15" s="10" t="s">
        <v>167</v>
      </c>
      <c r="AC15" s="251" t="s">
        <v>651</v>
      </c>
    </row>
    <row r="16" spans="1:33" x14ac:dyDescent="0.35">
      <c r="A16" s="99"/>
      <c r="B16" s="330" t="s">
        <v>592</v>
      </c>
      <c r="C16" s="202"/>
      <c r="D16" s="97"/>
      <c r="E16" s="97"/>
      <c r="F16" s="97"/>
      <c r="G16" s="203"/>
      <c r="H16" s="203"/>
      <c r="I16" s="97"/>
      <c r="J16" s="97"/>
      <c r="K16" s="97"/>
      <c r="L16" s="337"/>
      <c r="M16" s="121"/>
      <c r="N16" s="97"/>
      <c r="O16" s="121"/>
      <c r="P16" s="6"/>
      <c r="Q16" s="337"/>
      <c r="R16" s="121"/>
      <c r="S16" s="6"/>
      <c r="T16" s="121"/>
      <c r="U16" s="6"/>
      <c r="V16" s="337"/>
      <c r="W16" s="121"/>
      <c r="X16" s="6"/>
      <c r="Y16" s="121"/>
      <c r="Z16" s="6"/>
      <c r="AA16" s="121"/>
      <c r="AB16" s="6"/>
      <c r="AC16" s="121"/>
    </row>
    <row r="17" spans="1:29" s="34" customFormat="1" x14ac:dyDescent="0.35">
      <c r="A17" s="204">
        <v>1</v>
      </c>
      <c r="B17" s="577" t="str">
        <f>'As-Filed Schedule 3'!B17:C17</f>
        <v>100-880-Behavioral Health Solutions Center</v>
      </c>
      <c r="C17" s="578"/>
      <c r="D17" s="358" t="str">
        <f>'As-Filed Schedule 3'!D17</f>
        <v>CSU</v>
      </c>
      <c r="E17" s="358">
        <f>'As-Filed Schedule 3'!E17</f>
        <v>0</v>
      </c>
      <c r="F17" s="357">
        <f>'As-Filed Schedule 3'!F17</f>
        <v>16</v>
      </c>
      <c r="G17" s="356">
        <f>'As-Filed Schedule 3'!G17</f>
        <v>0</v>
      </c>
      <c r="H17" s="356">
        <f>'As-Filed Schedule 3'!H17</f>
        <v>0</v>
      </c>
      <c r="I17" s="205">
        <f>IF(B17=0,"",IF(AND(G17=0,H17=0),365,IF(AND(G17&gt;0,H17=0),$C$6-G17+1,IF(AND(G17=0,H17&gt;0),H17-($C$6-365),H17-G17+1))))</f>
        <v>365</v>
      </c>
      <c r="J17" s="98"/>
      <c r="K17" s="407">
        <f>SUM(K18:K20)</f>
        <v>2335</v>
      </c>
      <c r="L17" s="409">
        <f>SUM(L18:L20)</f>
        <v>0</v>
      </c>
      <c r="M17" s="411">
        <f>SUM(M18:M20)</f>
        <v>2335</v>
      </c>
      <c r="N17" s="207">
        <f>IF(K17&gt;0,K17/(F17*I17),"")</f>
        <v>0.39982876712328769</v>
      </c>
      <c r="O17" s="339">
        <f>IF(M17&gt;0,M17/(F17*I17),"")</f>
        <v>0.39982876712328769</v>
      </c>
      <c r="P17" s="118">
        <f>'As-Filed Schedule 3'!M17</f>
        <v>6708926.889866353</v>
      </c>
      <c r="Q17" s="342">
        <f>SUMIFS(Adjustments!$G:$G,Adjustments!$H:$H,"3",Adjustments!$I:$I,'Schedule 3 Adjustments'!$P$13,Adjustments!$J:$J,$A17)</f>
        <v>-849894.32</v>
      </c>
      <c r="R17" s="346">
        <f>SUM(P17:Q17)</f>
        <v>5859032.5698663527</v>
      </c>
      <c r="S17" s="85">
        <f>IFERROR(P17/K17,"")</f>
        <v>2873.202094161179</v>
      </c>
      <c r="T17" s="350">
        <f>IFERROR(R17/M17,"")</f>
        <v>2509.221657330344</v>
      </c>
      <c r="U17" s="118">
        <f>'As-Filed Schedule 3'!O17</f>
        <v>119836.27538423194</v>
      </c>
      <c r="V17" s="342">
        <f>SUMIFS(Adjustments!$G:$G,Adjustments!$H:$H,"3",Adjustments!$I:$I,'Schedule 3 Adjustments'!$U$13,Adjustments!$J:$J,$A17)</f>
        <v>0</v>
      </c>
      <c r="W17" s="346">
        <f>SUM(U17:V17)</f>
        <v>119836.27538423194</v>
      </c>
      <c r="X17" s="85">
        <f>IFERROR(U17/K17,"")</f>
        <v>51.321745346566139</v>
      </c>
      <c r="Y17" s="85">
        <f>IFERROR(W17/M17,"")</f>
        <v>51.321745346566139</v>
      </c>
      <c r="Z17" s="85">
        <f>IF(P17=0,"",P17-U17)</f>
        <v>6589090.6144821215</v>
      </c>
      <c r="AA17" s="85">
        <f>IF(R17=0,"",R17-W17)</f>
        <v>5739196.2944821212</v>
      </c>
      <c r="AB17" s="85">
        <f>IFERROR(Z17/K17,"")</f>
        <v>2821.8803488146132</v>
      </c>
      <c r="AC17" s="350">
        <f>IFERROR(AA17/M17,"")</f>
        <v>2457.8999119837777</v>
      </c>
    </row>
    <row r="18" spans="1:29" x14ac:dyDescent="0.35">
      <c r="A18" s="208" t="s">
        <v>447</v>
      </c>
      <c r="B18" s="209"/>
      <c r="C18" s="209"/>
      <c r="D18" s="209"/>
      <c r="E18" s="209"/>
      <c r="F18" s="210"/>
      <c r="G18" s="211"/>
      <c r="H18" s="211"/>
      <c r="I18" s="212"/>
      <c r="J18" s="362" t="str">
        <f>'As-Filed Schedule 3'!J18</f>
        <v>H0018</v>
      </c>
      <c r="K18" s="408">
        <f>'As-Filed Schedule 3'!K18</f>
        <v>2335</v>
      </c>
      <c r="L18" s="410">
        <f>SUMIFS(Adjustments!$G:$G,Adjustments!$H:$H,"3",Adjustments!$I:$I,'Schedule 3 Adjustments'!$K$13,Adjustments!$J:$J,"1a")</f>
        <v>0</v>
      </c>
      <c r="M18" s="412">
        <f>SUM(K18:L18)</f>
        <v>2335</v>
      </c>
      <c r="N18" s="214"/>
      <c r="O18" s="347"/>
      <c r="P18" s="87"/>
      <c r="Q18" s="343"/>
      <c r="R18" s="347"/>
      <c r="S18" s="87"/>
      <c r="T18" s="347"/>
      <c r="U18" s="87"/>
      <c r="V18" s="343"/>
      <c r="W18" s="347"/>
      <c r="X18" s="87"/>
      <c r="Y18" s="347"/>
      <c r="Z18" s="87"/>
      <c r="AA18" s="347"/>
      <c r="AB18" s="87"/>
      <c r="AC18" s="347"/>
    </row>
    <row r="19" spans="1:29" x14ac:dyDescent="0.35">
      <c r="A19" s="215" t="s">
        <v>448</v>
      </c>
      <c r="B19" s="216"/>
      <c r="C19" s="216"/>
      <c r="D19" s="216"/>
      <c r="E19" s="216"/>
      <c r="F19" s="217"/>
      <c r="G19" s="218"/>
      <c r="H19" s="218"/>
      <c r="I19" s="219"/>
      <c r="J19" s="362">
        <f>'As-Filed Schedule 3'!J19</f>
        <v>0</v>
      </c>
      <c r="K19" s="408">
        <f>'As-Filed Schedule 3'!K19</f>
        <v>0</v>
      </c>
      <c r="L19" s="410">
        <f>SUMIFS(Adjustments!$G:$G,Adjustments!$H:$H,"3",Adjustments!$I:$I,'Schedule 3 Adjustments'!$K$13,Adjustments!$J:$J,"1b")</f>
        <v>0</v>
      </c>
      <c r="M19" s="412">
        <f>SUM(K19:L19)</f>
        <v>0</v>
      </c>
      <c r="N19" s="221"/>
      <c r="O19" s="348"/>
      <c r="P19" s="88"/>
      <c r="Q19" s="344"/>
      <c r="R19" s="348"/>
      <c r="S19" s="88"/>
      <c r="T19" s="348"/>
      <c r="U19" s="88"/>
      <c r="V19" s="344"/>
      <c r="W19" s="348"/>
      <c r="X19" s="88"/>
      <c r="Y19" s="348"/>
      <c r="Z19" s="88"/>
      <c r="AA19" s="348"/>
      <c r="AB19" s="88"/>
      <c r="AC19" s="348"/>
    </row>
    <row r="20" spans="1:29" x14ac:dyDescent="0.35">
      <c r="A20" s="222" t="s">
        <v>449</v>
      </c>
      <c r="B20" s="216"/>
      <c r="C20" s="216"/>
      <c r="D20" s="216"/>
      <c r="E20" s="216"/>
      <c r="F20" s="217"/>
      <c r="G20" s="218"/>
      <c r="H20" s="218"/>
      <c r="I20" s="219"/>
      <c r="J20" s="362">
        <f>'As-Filed Schedule 3'!J20</f>
        <v>0</v>
      </c>
      <c r="K20" s="408">
        <f>'As-Filed Schedule 3'!K20</f>
        <v>0</v>
      </c>
      <c r="L20" s="410">
        <f>SUMIFS(Adjustments!$G:$G,Adjustments!$H:$H,"3",Adjustments!$I:$I,'Schedule 3 Adjustments'!$K$13,Adjustments!$J:$J,"1c")</f>
        <v>0</v>
      </c>
      <c r="M20" s="412">
        <f>SUM(K20:L20)</f>
        <v>0</v>
      </c>
      <c r="N20" s="221"/>
      <c r="O20" s="348"/>
      <c r="P20" s="88"/>
      <c r="Q20" s="344"/>
      <c r="R20" s="348"/>
      <c r="S20" s="88"/>
      <c r="T20" s="348"/>
      <c r="U20" s="88"/>
      <c r="V20" s="344"/>
      <c r="W20" s="348"/>
      <c r="X20" s="88"/>
      <c r="Y20" s="348"/>
      <c r="Z20" s="88"/>
      <c r="AA20" s="348"/>
      <c r="AB20" s="88"/>
      <c r="AC20" s="348"/>
    </row>
    <row r="21" spans="1:29" x14ac:dyDescent="0.35">
      <c r="J21" s="99"/>
      <c r="N21" s="28"/>
      <c r="O21" s="340"/>
    </row>
    <row r="22" spans="1:29" s="34" customFormat="1" x14ac:dyDescent="0.35">
      <c r="A22" s="84">
        <v>2</v>
      </c>
      <c r="B22" s="577" t="str">
        <f>'As-Filed Schedule 3'!B22:C22</f>
        <v>400-612-Monaco House</v>
      </c>
      <c r="C22" s="578"/>
      <c r="D22" s="358" t="str">
        <f>'As-Filed Schedule 3'!D22</f>
        <v>Residential</v>
      </c>
      <c r="E22" s="358" t="str">
        <f>'As-Filed Schedule 3'!E22</f>
        <v>ALR</v>
      </c>
      <c r="F22" s="357">
        <f>'As-Filed Schedule 3'!F22</f>
        <v>8</v>
      </c>
      <c r="G22" s="356">
        <f>'As-Filed Schedule 3'!G22</f>
        <v>0</v>
      </c>
      <c r="H22" s="356">
        <f>'As-Filed Schedule 3'!H22</f>
        <v>0</v>
      </c>
      <c r="I22" s="130">
        <f>IF(B22=0,"",IF(AND(G22=0,H22=0),365,IF(AND(G22&gt;0,H22=0),$C$6-G22+1,IF(AND(G22=0,H22&gt;0),H22-($C$6-365),H22-G22+1))))</f>
        <v>365</v>
      </c>
      <c r="J22" s="98"/>
      <c r="K22" s="407">
        <f>SUM(K23:K25)</f>
        <v>2321</v>
      </c>
      <c r="L22" s="409">
        <f>SUM(L23:L25)</f>
        <v>0</v>
      </c>
      <c r="M22" s="411">
        <f>SUM(M23:M25)</f>
        <v>2321</v>
      </c>
      <c r="N22" s="91">
        <f>IF(K22&gt;0,K22/(F22*I22),"")</f>
        <v>0.79486301369863011</v>
      </c>
      <c r="O22" s="339">
        <f>IF(M22&gt;0,M22/(F22*I22),"")</f>
        <v>0.79486301369863011</v>
      </c>
      <c r="P22" s="118">
        <f>'As-Filed Schedule 3'!M22</f>
        <v>860085.82522861415</v>
      </c>
      <c r="Q22" s="342">
        <f>SUMIFS(Adjustments!$G:$G,Adjustments!$H:$H,"3",Adjustments!$I:$I,'Schedule 3 Adjustments'!$P$13,Adjustments!$J:$J,$A22)</f>
        <v>0</v>
      </c>
      <c r="R22" s="346">
        <f>SUM(P22:Q22)</f>
        <v>860085.82522861415</v>
      </c>
      <c r="S22" s="85">
        <f>IFERROR(P22/K22,"")</f>
        <v>370.56692168402162</v>
      </c>
      <c r="T22" s="350">
        <f>IFERROR(R22/M22,"")</f>
        <v>370.56692168402162</v>
      </c>
      <c r="U22" s="118">
        <f>'As-Filed Schedule 3'!O22</f>
        <v>90213.141881695235</v>
      </c>
      <c r="V22" s="342">
        <f>SUMIFS(Adjustments!$G:$G,Adjustments!$H:$H,"3",Adjustments!$I:$I,'Schedule 3 Adjustments'!$U$13,Adjustments!$J:$J,$A22)</f>
        <v>0</v>
      </c>
      <c r="W22" s="346">
        <f>SUM(U22:V22)</f>
        <v>90213.141881695235</v>
      </c>
      <c r="X22" s="85">
        <f>IFERROR(U22/K22,"")</f>
        <v>38.86822140529739</v>
      </c>
      <c r="Y22" s="85">
        <f>IFERROR(W22/M22,"")</f>
        <v>38.86822140529739</v>
      </c>
      <c r="Z22" s="86">
        <f>IF(P22=0,"",P22-U22)</f>
        <v>769872.6833469189</v>
      </c>
      <c r="AA22" s="352">
        <f>IF(R22=0,"",R22-W22)</f>
        <v>769872.6833469189</v>
      </c>
      <c r="AB22" s="85">
        <f>IFERROR(Z22/K22,"")</f>
        <v>331.69870027872423</v>
      </c>
      <c r="AC22" s="350">
        <f>IFERROR(AA22/M22,"")</f>
        <v>331.69870027872423</v>
      </c>
    </row>
    <row r="23" spans="1:29" x14ac:dyDescent="0.35">
      <c r="A23" s="100" t="s">
        <v>447</v>
      </c>
      <c r="B23" s="87"/>
      <c r="C23" s="87"/>
      <c r="D23" s="87"/>
      <c r="E23" s="87"/>
      <c r="F23" s="124"/>
      <c r="G23" s="126"/>
      <c r="H23" s="126"/>
      <c r="I23" s="103"/>
      <c r="J23" s="362" t="str">
        <f>'As-Filed Schedule 3'!J23</f>
        <v>H0019</v>
      </c>
      <c r="K23" s="408">
        <f>'As-Filed Schedule 3'!K23</f>
        <v>2321</v>
      </c>
      <c r="L23" s="410">
        <f>SUMIFS(Adjustments!$G:$G,Adjustments!$H:$H,"3",Adjustments!$I:$I,'Schedule 3 Adjustments'!$K$13,Adjustments!$J:$J,"2a")</f>
        <v>0</v>
      </c>
      <c r="M23" s="412">
        <f>SUM(K23:L23)</f>
        <v>2321</v>
      </c>
      <c r="N23" s="89"/>
      <c r="O23" s="347"/>
      <c r="P23" s="87"/>
      <c r="Q23" s="343"/>
      <c r="R23" s="347"/>
      <c r="S23" s="87"/>
      <c r="T23" s="347"/>
      <c r="U23" s="87"/>
      <c r="V23" s="343"/>
      <c r="W23" s="347"/>
      <c r="X23" s="87"/>
      <c r="Y23" s="347"/>
      <c r="Z23" s="87"/>
      <c r="AA23" s="347"/>
      <c r="AB23" s="87"/>
      <c r="AC23" s="347"/>
    </row>
    <row r="24" spans="1:29" x14ac:dyDescent="0.35">
      <c r="A24" s="101" t="s">
        <v>448</v>
      </c>
      <c r="B24" s="88"/>
      <c r="C24" s="88"/>
      <c r="D24" s="88"/>
      <c r="E24" s="88"/>
      <c r="F24" s="125"/>
      <c r="G24" s="127"/>
      <c r="H24" s="127"/>
      <c r="I24" s="104"/>
      <c r="J24" s="362">
        <f>'As-Filed Schedule 3'!J24</f>
        <v>0</v>
      </c>
      <c r="K24" s="408">
        <f>'As-Filed Schedule 3'!K24</f>
        <v>0</v>
      </c>
      <c r="L24" s="410">
        <f>SUMIFS(Adjustments!$G:$G,Adjustments!$H:$H,"3",Adjustments!$I:$I,'Schedule 3 Adjustments'!$K$13,Adjustments!$J:$J,"2b")</f>
        <v>0</v>
      </c>
      <c r="M24" s="412">
        <f>SUM(K24:L24)</f>
        <v>0</v>
      </c>
      <c r="N24" s="90"/>
      <c r="O24" s="348"/>
      <c r="P24" s="88"/>
      <c r="Q24" s="344"/>
      <c r="R24" s="348"/>
      <c r="S24" s="88"/>
      <c r="T24" s="348"/>
      <c r="U24" s="88"/>
      <c r="V24" s="344"/>
      <c r="W24" s="348"/>
      <c r="X24" s="88"/>
      <c r="Y24" s="348"/>
      <c r="Z24" s="88"/>
      <c r="AA24" s="348"/>
      <c r="AB24" s="88"/>
      <c r="AC24" s="348"/>
    </row>
    <row r="25" spans="1:29" x14ac:dyDescent="0.35">
      <c r="A25" s="102" t="s">
        <v>449</v>
      </c>
      <c r="B25" s="88"/>
      <c r="C25" s="88"/>
      <c r="D25" s="88"/>
      <c r="E25" s="88"/>
      <c r="F25" s="125"/>
      <c r="G25" s="127"/>
      <c r="H25" s="127"/>
      <c r="I25" s="104"/>
      <c r="J25" s="362">
        <f>'As-Filed Schedule 3'!J25</f>
        <v>0</v>
      </c>
      <c r="K25" s="408">
        <f>'As-Filed Schedule 3'!K25</f>
        <v>0</v>
      </c>
      <c r="L25" s="410">
        <f>SUMIFS(Adjustments!$G:$G,Adjustments!$H:$H,"3",Adjustments!$I:$I,'Schedule 3 Adjustments'!$K$13,Adjustments!$J:$J,"2c")</f>
        <v>0</v>
      </c>
      <c r="M25" s="412">
        <f>SUM(K25:L25)</f>
        <v>0</v>
      </c>
      <c r="N25" s="90"/>
      <c r="O25" s="348"/>
      <c r="P25" s="88"/>
      <c r="Q25" s="344"/>
      <c r="R25" s="348"/>
      <c r="S25" s="88"/>
      <c r="T25" s="348"/>
      <c r="U25" s="88"/>
      <c r="V25" s="344"/>
      <c r="W25" s="348"/>
      <c r="X25" s="88"/>
      <c r="Y25" s="348"/>
      <c r="Z25" s="88"/>
      <c r="AA25" s="348"/>
      <c r="AB25" s="88"/>
      <c r="AC25" s="348"/>
    </row>
    <row r="26" spans="1:29" x14ac:dyDescent="0.35">
      <c r="J26" s="99"/>
      <c r="N26" s="28"/>
      <c r="O26" s="340"/>
    </row>
    <row r="27" spans="1:29" s="34" customFormat="1" x14ac:dyDescent="0.35">
      <c r="A27" s="84">
        <v>3</v>
      </c>
      <c r="B27" s="577" t="str">
        <f>'As-Filed Schedule 3'!B27:C27</f>
        <v>400-614-Monroe House</v>
      </c>
      <c r="C27" s="578"/>
      <c r="D27" s="358" t="str">
        <f>'As-Filed Schedule 3'!D27</f>
        <v>Residential</v>
      </c>
      <c r="E27" s="358" t="str">
        <f>'As-Filed Schedule 3'!E27</f>
        <v>ALR</v>
      </c>
      <c r="F27" s="357">
        <f>'As-Filed Schedule 3'!F27</f>
        <v>12</v>
      </c>
      <c r="G27" s="356">
        <f>'As-Filed Schedule 3'!G27</f>
        <v>0</v>
      </c>
      <c r="H27" s="356">
        <f>'As-Filed Schedule 3'!H27</f>
        <v>0</v>
      </c>
      <c r="I27" s="130">
        <f>IF(B27=0,"",IF(AND(G27=0,H27=0),365,IF(AND(G27&gt;0,H27=0),$C$6-G27+1,IF(AND(G27=0,H27&gt;0),H27-($C$6-365),H27-G27+1))))</f>
        <v>365</v>
      </c>
      <c r="J27" s="98"/>
      <c r="K27" s="407">
        <f>SUM(K28:K30)</f>
        <v>3654</v>
      </c>
      <c r="L27" s="409">
        <f>SUM(L28:L30)</f>
        <v>0</v>
      </c>
      <c r="M27" s="411">
        <f>SUM(M28:M30)</f>
        <v>3654</v>
      </c>
      <c r="N27" s="91">
        <f>IF(K27&gt;0,K27/(F27*I27),"")</f>
        <v>0.83424657534246571</v>
      </c>
      <c r="O27" s="339">
        <f>IF(M27&gt;0,M27/(F27*I27),"")</f>
        <v>0.83424657534246571</v>
      </c>
      <c r="P27" s="118">
        <f>'As-Filed Schedule 3'!M27</f>
        <v>1448893.9400124617</v>
      </c>
      <c r="Q27" s="342">
        <f>SUMIFS(Adjustments!$G:$G,Adjustments!$H:$H,"3",Adjustments!$I:$I,'Schedule 3 Adjustments'!$P$13,Adjustments!$J:$J,'As-Filed Schedule 3'!A27)</f>
        <v>0</v>
      </c>
      <c r="R27" s="346">
        <f>SUM(P27:Q27)</f>
        <v>1448893.9400124617</v>
      </c>
      <c r="S27" s="85">
        <f>IFERROR(P27/K27,"")</f>
        <v>396.52269841610882</v>
      </c>
      <c r="T27" s="350">
        <f>IFERROR(R27/M27,"")</f>
        <v>396.52269841610882</v>
      </c>
      <c r="U27" s="118">
        <f>'As-Filed Schedule 3'!O27</f>
        <v>132954.37419592525</v>
      </c>
      <c r="V27" s="342">
        <f>SUMIFS(Adjustments!$G:$G,Adjustments!$H:$H,"3",Adjustments!$I:$I,'Schedule 3 Adjustments'!$U$13,Adjustments!$J:$J,$A27)</f>
        <v>0</v>
      </c>
      <c r="W27" s="346">
        <f>SUM(U27:V27)</f>
        <v>132954.37419592525</v>
      </c>
      <c r="X27" s="85">
        <f>IFERROR(U27/K27,"")</f>
        <v>36.385980896531265</v>
      </c>
      <c r="Y27" s="85">
        <f>IFERROR(W27/M27,"")</f>
        <v>36.385980896531265</v>
      </c>
      <c r="Z27" s="86">
        <f>IF(P27=0,"",P27-U27)</f>
        <v>1315939.5658165365</v>
      </c>
      <c r="AA27" s="352">
        <f>IF(R27=0,"",R27-W27)</f>
        <v>1315939.5658165365</v>
      </c>
      <c r="AB27" s="85">
        <f>IFERROR(Z27/K27,"")</f>
        <v>360.13671751957759</v>
      </c>
      <c r="AC27" s="350">
        <f>IFERROR(AA27/M27,"")</f>
        <v>360.13671751957759</v>
      </c>
    </row>
    <row r="28" spans="1:29" x14ac:dyDescent="0.35">
      <c r="A28" s="100" t="s">
        <v>447</v>
      </c>
      <c r="B28" s="87"/>
      <c r="C28" s="87"/>
      <c r="D28" s="87"/>
      <c r="E28" s="87"/>
      <c r="F28" s="124"/>
      <c r="G28" s="126"/>
      <c r="H28" s="126"/>
      <c r="I28" s="103"/>
      <c r="J28" s="362" t="str">
        <f>'As-Filed Schedule 3'!J28</f>
        <v>H0019</v>
      </c>
      <c r="K28" s="408">
        <f>'As-Filed Schedule 3'!K28</f>
        <v>3654</v>
      </c>
      <c r="L28" s="410">
        <f>SUMIFS(Adjustments!$G:$G,Adjustments!$H:$H,"3",Adjustments!$I:$I,'Schedule 3 Adjustments'!$K$13,Adjustments!$J:$J,"3a")</f>
        <v>0</v>
      </c>
      <c r="M28" s="412">
        <f>SUM(K28:L28)</f>
        <v>3654</v>
      </c>
      <c r="N28" s="89"/>
      <c r="O28" s="347"/>
      <c r="P28" s="87"/>
      <c r="Q28" s="343"/>
      <c r="R28" s="347"/>
      <c r="S28" s="87"/>
      <c r="T28" s="347"/>
      <c r="U28" s="87"/>
      <c r="V28" s="343"/>
      <c r="W28" s="347"/>
      <c r="X28" s="87"/>
      <c r="Y28" s="347"/>
      <c r="Z28" s="87"/>
      <c r="AA28" s="347"/>
      <c r="AB28" s="87"/>
      <c r="AC28" s="347"/>
    </row>
    <row r="29" spans="1:29" x14ac:dyDescent="0.35">
      <c r="A29" s="101" t="s">
        <v>448</v>
      </c>
      <c r="B29" s="88"/>
      <c r="C29" s="88"/>
      <c r="D29" s="88"/>
      <c r="E29" s="88"/>
      <c r="F29" s="125"/>
      <c r="G29" s="127"/>
      <c r="H29" s="127"/>
      <c r="I29" s="104"/>
      <c r="J29" s="362">
        <f>'As-Filed Schedule 3'!J29</f>
        <v>0</v>
      </c>
      <c r="K29" s="408">
        <f>'As-Filed Schedule 3'!K29</f>
        <v>0</v>
      </c>
      <c r="L29" s="410">
        <f>SUMIFS(Adjustments!$G:$G,Adjustments!$H:$H,"3",Adjustments!$I:$I,'Schedule 3 Adjustments'!$K$13,Adjustments!$J:$J,"3b")</f>
        <v>0</v>
      </c>
      <c r="M29" s="412">
        <f>SUM(K29:L29)</f>
        <v>0</v>
      </c>
      <c r="N29" s="90"/>
      <c r="O29" s="348"/>
      <c r="P29" s="88"/>
      <c r="Q29" s="344"/>
      <c r="R29" s="348"/>
      <c r="S29" s="88"/>
      <c r="T29" s="348"/>
      <c r="U29" s="88"/>
      <c r="V29" s="344"/>
      <c r="W29" s="348"/>
      <c r="X29" s="88"/>
      <c r="Y29" s="348"/>
      <c r="Z29" s="88"/>
      <c r="AA29" s="348"/>
      <c r="AB29" s="88"/>
      <c r="AC29" s="348"/>
    </row>
    <row r="30" spans="1:29" x14ac:dyDescent="0.35">
      <c r="A30" s="102" t="s">
        <v>449</v>
      </c>
      <c r="B30" s="88"/>
      <c r="C30" s="88"/>
      <c r="D30" s="88"/>
      <c r="E30" s="88"/>
      <c r="F30" s="125"/>
      <c r="G30" s="127"/>
      <c r="H30" s="127"/>
      <c r="I30" s="104"/>
      <c r="J30" s="362">
        <f>'As-Filed Schedule 3'!J30</f>
        <v>0</v>
      </c>
      <c r="K30" s="408">
        <f>'As-Filed Schedule 3'!K30</f>
        <v>0</v>
      </c>
      <c r="L30" s="410">
        <f>SUMIFS(Adjustments!$G:$G,Adjustments!$H:$H,"3",Adjustments!$I:$I,'Schedule 3 Adjustments'!$K$13,Adjustments!$J:$J,"3c")</f>
        <v>0</v>
      </c>
      <c r="M30" s="412">
        <f>SUM(K30:L30)</f>
        <v>0</v>
      </c>
      <c r="N30" s="90"/>
      <c r="O30" s="348"/>
      <c r="P30" s="88"/>
      <c r="Q30" s="344"/>
      <c r="R30" s="348"/>
      <c r="S30" s="88"/>
      <c r="T30" s="348"/>
      <c r="U30" s="88"/>
      <c r="V30" s="344"/>
      <c r="W30" s="348"/>
      <c r="X30" s="88"/>
      <c r="Y30" s="348"/>
      <c r="Z30" s="88"/>
      <c r="AA30" s="348"/>
      <c r="AB30" s="88"/>
      <c r="AC30" s="348"/>
    </row>
    <row r="31" spans="1:29" x14ac:dyDescent="0.35">
      <c r="J31" s="99"/>
      <c r="N31" s="28"/>
      <c r="O31" s="340"/>
    </row>
    <row r="32" spans="1:29" s="34" customFormat="1" x14ac:dyDescent="0.35">
      <c r="A32" s="84">
        <v>4</v>
      </c>
      <c r="B32" s="577" t="str">
        <f>'As-Filed Schedule 3'!B32:C32</f>
        <v>400-626-New Visions</v>
      </c>
      <c r="C32" s="578"/>
      <c r="D32" s="358" t="str">
        <f>'As-Filed Schedule 3'!D32</f>
        <v>Residential</v>
      </c>
      <c r="E32" s="358" t="str">
        <f>'As-Filed Schedule 3'!E32</f>
        <v>ALR</v>
      </c>
      <c r="F32" s="357">
        <f>'As-Filed Schedule 3'!F32</f>
        <v>8</v>
      </c>
      <c r="G32" s="356">
        <f>'As-Filed Schedule 3'!G32</f>
        <v>0</v>
      </c>
      <c r="H32" s="356">
        <f>'As-Filed Schedule 3'!H32</f>
        <v>0</v>
      </c>
      <c r="I32" s="130">
        <f>IF(B32=0,"",IF(AND(G32=0,H32=0),365,IF(AND(G32&gt;0,H32=0),$C$6-G32+1,IF(AND(G32=0,H32&gt;0),H32-($C$6-365),H32-G32+1))))</f>
        <v>365</v>
      </c>
      <c r="J32" s="98"/>
      <c r="K32" s="407">
        <f>SUM(K33:K35)</f>
        <v>2191</v>
      </c>
      <c r="L32" s="409">
        <f>SUM(L33:L35)</f>
        <v>0</v>
      </c>
      <c r="M32" s="411">
        <f>SUM(M33:M35)</f>
        <v>2191</v>
      </c>
      <c r="N32" s="91">
        <f>IF(K32&gt;0,K32/(F32*I32),"")</f>
        <v>0.75034246575342467</v>
      </c>
      <c r="O32" s="339">
        <f>IF(M32&gt;0,M32/(F32*I32),"")</f>
        <v>0.75034246575342467</v>
      </c>
      <c r="P32" s="118">
        <f>'As-Filed Schedule 3'!M32</f>
        <v>672333.08350408101</v>
      </c>
      <c r="Q32" s="342">
        <f>SUMIFS(Adjustments!$G:$G,Adjustments!$H:$H,"3",Adjustments!$I:$I,'Schedule 3 Adjustments'!$P$13,Adjustments!$J:$J,'As-Filed Schedule 3'!A32)</f>
        <v>0</v>
      </c>
      <c r="R32" s="346">
        <f>SUM(P32:Q32)</f>
        <v>672333.08350408101</v>
      </c>
      <c r="S32" s="85">
        <f>IFERROR(P32/K32,"")</f>
        <v>306.86128868283021</v>
      </c>
      <c r="T32" s="350">
        <f>IFERROR(R32/M32,"")</f>
        <v>306.86128868283021</v>
      </c>
      <c r="U32" s="118">
        <f>'As-Filed Schedule 3'!O32</f>
        <v>65359.143796033713</v>
      </c>
      <c r="V32" s="342">
        <f>SUMIFS(Adjustments!$G:$G,Adjustments!$H:$H,"3",Adjustments!$I:$I,'Schedule 3 Adjustments'!$U$13,Adjustments!$J:$J,$A32)</f>
        <v>0</v>
      </c>
      <c r="W32" s="346">
        <f>SUM(U32:V32)</f>
        <v>65359.143796033713</v>
      </c>
      <c r="X32" s="85">
        <f>IFERROR(U32/K32,"")</f>
        <v>29.830736556838755</v>
      </c>
      <c r="Y32" s="85">
        <f>IFERROR(W32/M32,"")</f>
        <v>29.830736556838755</v>
      </c>
      <c r="Z32" s="86">
        <f>IF(P32=0,"",P32-U32)</f>
        <v>606973.93970804731</v>
      </c>
      <c r="AA32" s="352">
        <f>IF(R32=0,"",R32-W32)</f>
        <v>606973.93970804731</v>
      </c>
      <c r="AB32" s="85">
        <f>IFERROR(Z32/K32,"")</f>
        <v>277.03055212599145</v>
      </c>
      <c r="AC32" s="350">
        <f>IFERROR(AA32/M32,"")</f>
        <v>277.03055212599145</v>
      </c>
    </row>
    <row r="33" spans="1:29" x14ac:dyDescent="0.35">
      <c r="A33" s="100" t="s">
        <v>447</v>
      </c>
      <c r="B33" s="87"/>
      <c r="C33" s="87"/>
      <c r="D33" s="87"/>
      <c r="E33" s="87"/>
      <c r="F33" s="124"/>
      <c r="G33" s="126"/>
      <c r="H33" s="126"/>
      <c r="I33" s="103"/>
      <c r="J33" s="362" t="str">
        <f>'As-Filed Schedule 3'!J33</f>
        <v>H0019</v>
      </c>
      <c r="K33" s="408">
        <f>'As-Filed Schedule 3'!K33</f>
        <v>2191</v>
      </c>
      <c r="L33" s="410">
        <f>SUMIFS(Adjustments!$G:$G,Adjustments!$H:$H,"3",Adjustments!$I:$I,'Schedule 3 Adjustments'!$K$13,Adjustments!$J:$J,"4a")</f>
        <v>0</v>
      </c>
      <c r="M33" s="412">
        <f>SUM(K33:L33)</f>
        <v>2191</v>
      </c>
      <c r="N33" s="89"/>
      <c r="O33" s="347"/>
      <c r="P33" s="87"/>
      <c r="Q33" s="343"/>
      <c r="R33" s="347"/>
      <c r="S33" s="87"/>
      <c r="T33" s="347"/>
      <c r="U33" s="87"/>
      <c r="V33" s="343"/>
      <c r="W33" s="347"/>
      <c r="X33" s="87"/>
      <c r="Y33" s="347"/>
      <c r="Z33" s="87"/>
      <c r="AA33" s="347"/>
      <c r="AB33" s="87"/>
      <c r="AC33" s="347"/>
    </row>
    <row r="34" spans="1:29" x14ac:dyDescent="0.35">
      <c r="A34" s="101" t="s">
        <v>448</v>
      </c>
      <c r="B34" s="88"/>
      <c r="C34" s="88"/>
      <c r="D34" s="88"/>
      <c r="E34" s="88"/>
      <c r="F34" s="125"/>
      <c r="G34" s="127"/>
      <c r="H34" s="127"/>
      <c r="I34" s="104"/>
      <c r="J34" s="362">
        <f>'As-Filed Schedule 3'!J34</f>
        <v>0</v>
      </c>
      <c r="K34" s="408">
        <f>'As-Filed Schedule 3'!K34</f>
        <v>0</v>
      </c>
      <c r="L34" s="410">
        <f>SUMIFS(Adjustments!$G:$G,Adjustments!$H:$H,"3",Adjustments!$I:$I,'Schedule 3 Adjustments'!$K$13,Adjustments!$J:$J,"4b")</f>
        <v>0</v>
      </c>
      <c r="M34" s="412">
        <f>SUM(K34:L34)</f>
        <v>0</v>
      </c>
      <c r="N34" s="90"/>
      <c r="O34" s="348"/>
      <c r="P34" s="88"/>
      <c r="Q34" s="344"/>
      <c r="R34" s="348"/>
      <c r="S34" s="88"/>
      <c r="T34" s="348"/>
      <c r="U34" s="88"/>
      <c r="V34" s="344"/>
      <c r="W34" s="348"/>
      <c r="X34" s="88"/>
      <c r="Y34" s="348"/>
      <c r="Z34" s="88"/>
      <c r="AA34" s="348"/>
      <c r="AB34" s="88"/>
      <c r="AC34" s="348"/>
    </row>
    <row r="35" spans="1:29" x14ac:dyDescent="0.35">
      <c r="A35" s="102" t="s">
        <v>449</v>
      </c>
      <c r="B35" s="88"/>
      <c r="C35" s="88"/>
      <c r="D35" s="88"/>
      <c r="E35" s="88"/>
      <c r="F35" s="125"/>
      <c r="G35" s="127"/>
      <c r="H35" s="127"/>
      <c r="I35" s="104"/>
      <c r="J35" s="362">
        <f>'As-Filed Schedule 3'!J35</f>
        <v>0</v>
      </c>
      <c r="K35" s="408">
        <f>'As-Filed Schedule 3'!K35</f>
        <v>0</v>
      </c>
      <c r="L35" s="410">
        <f>SUMIFS(Adjustments!$G:$G,Adjustments!$H:$H,"3",Adjustments!$I:$I,'Schedule 3 Adjustments'!$K$13,Adjustments!$J:$J,"4c")</f>
        <v>0</v>
      </c>
      <c r="M35" s="412">
        <f>SUM(K35:L35)</f>
        <v>0</v>
      </c>
      <c r="N35" s="90"/>
      <c r="O35" s="348"/>
      <c r="P35" s="88"/>
      <c r="Q35" s="344"/>
      <c r="R35" s="348"/>
      <c r="S35" s="88"/>
      <c r="T35" s="348"/>
      <c r="U35" s="88"/>
      <c r="V35" s="344"/>
      <c r="W35" s="348"/>
      <c r="X35" s="88"/>
      <c r="Y35" s="348"/>
      <c r="Z35" s="88"/>
      <c r="AA35" s="348"/>
      <c r="AB35" s="88"/>
      <c r="AC35" s="348"/>
    </row>
    <row r="36" spans="1:29" x14ac:dyDescent="0.35">
      <c r="J36" s="99"/>
      <c r="N36" s="28"/>
      <c r="O36" s="340"/>
    </row>
    <row r="37" spans="1:29" s="34" customFormat="1" x14ac:dyDescent="0.35">
      <c r="A37" s="84">
        <v>5</v>
      </c>
      <c r="B37" s="577" t="str">
        <f>'As-Filed Schedule 3'!B37:C37</f>
        <v>400-628-Ash House</v>
      </c>
      <c r="C37" s="578"/>
      <c r="D37" s="358" t="str">
        <f>'As-Filed Schedule 3'!D37</f>
        <v>Residential</v>
      </c>
      <c r="E37" s="358" t="str">
        <f>'As-Filed Schedule 3'!E37</f>
        <v>ALR</v>
      </c>
      <c r="F37" s="357">
        <f>'As-Filed Schedule 3'!F37</f>
        <v>8</v>
      </c>
      <c r="G37" s="356">
        <f>'As-Filed Schedule 3'!G37</f>
        <v>0</v>
      </c>
      <c r="H37" s="356">
        <f>'As-Filed Schedule 3'!H37</f>
        <v>0</v>
      </c>
      <c r="I37" s="130">
        <f>IF(B37=0,"",IF(AND(G37=0,H37=0),365,IF(AND(G37&gt;0,H37=0),$C$6-G37+1,IF(AND(G37=0,H37&gt;0),H37-($C$6-365),H37-G37+1))))</f>
        <v>365</v>
      </c>
      <c r="J37" s="98"/>
      <c r="K37" s="407">
        <f>SUM(K38:K40)</f>
        <v>2291</v>
      </c>
      <c r="L37" s="409">
        <f>SUM(L38:L40)</f>
        <v>0</v>
      </c>
      <c r="M37" s="411">
        <f>SUM(M38:M40)</f>
        <v>2291</v>
      </c>
      <c r="N37" s="91">
        <f>IF(K37&gt;0,K37/(F37*I37),"")</f>
        <v>0.78458904109589045</v>
      </c>
      <c r="O37" s="339">
        <f>IF(M37&gt;0,M37/(F37*I37),"")</f>
        <v>0.78458904109589045</v>
      </c>
      <c r="P37" s="118">
        <f>'As-Filed Schedule 3'!M37</f>
        <v>852133.16824688774</v>
      </c>
      <c r="Q37" s="342">
        <f>SUMIFS(Adjustments!$G:$G,Adjustments!$H:$H,"3",Adjustments!$I:$I,'Schedule 3 Adjustments'!$P$13,Adjustments!$J:$J,'As-Filed Schedule 3'!A37)</f>
        <v>0</v>
      </c>
      <c r="R37" s="346">
        <f>SUM(P37:Q37)</f>
        <v>852133.16824688774</v>
      </c>
      <c r="S37" s="85">
        <f>IFERROR(P37/K37,"")</f>
        <v>371.94813105494882</v>
      </c>
      <c r="T37" s="350">
        <f>IFERROR(R37/M37,"")</f>
        <v>371.94813105494882</v>
      </c>
      <c r="U37" s="118">
        <f>'As-Filed Schedule 3'!O37</f>
        <v>99994.449243235897</v>
      </c>
      <c r="V37" s="342">
        <f>SUMIFS(Adjustments!$G:$G,Adjustments!$H:$H,"3",Adjustments!$I:$I,'Schedule 3 Adjustments'!$U$13,Adjustments!$J:$J,$A37)</f>
        <v>0</v>
      </c>
      <c r="W37" s="346">
        <f>SUM(U37:V37)</f>
        <v>99994.449243235897</v>
      </c>
      <c r="X37" s="85">
        <f>IFERROR(U37/K37,"")</f>
        <v>43.646638691940595</v>
      </c>
      <c r="Y37" s="85">
        <f>IFERROR(W37/M37,"")</f>
        <v>43.646638691940595</v>
      </c>
      <c r="Z37" s="86">
        <f>IF(P37=0,"",P37-U37)</f>
        <v>752138.71900365187</v>
      </c>
      <c r="AA37" s="352">
        <f>IF(R37=0,"",R37-W37)</f>
        <v>752138.71900365187</v>
      </c>
      <c r="AB37" s="85">
        <f>IFERROR(Z37/K37,"")</f>
        <v>328.30149236300826</v>
      </c>
      <c r="AC37" s="350">
        <f>IFERROR(AA37/M37,"")</f>
        <v>328.30149236300826</v>
      </c>
    </row>
    <row r="38" spans="1:29" x14ac:dyDescent="0.35">
      <c r="A38" s="100" t="s">
        <v>447</v>
      </c>
      <c r="B38" s="87"/>
      <c r="C38" s="87"/>
      <c r="D38" s="87"/>
      <c r="E38" s="87"/>
      <c r="F38" s="124"/>
      <c r="G38" s="126"/>
      <c r="H38" s="126"/>
      <c r="I38" s="103"/>
      <c r="J38" s="362" t="str">
        <f>'As-Filed Schedule 3'!J38</f>
        <v>H0019</v>
      </c>
      <c r="K38" s="408">
        <f>'As-Filed Schedule 3'!K38</f>
        <v>2291</v>
      </c>
      <c r="L38" s="410">
        <f>SUMIFS(Adjustments!$G:$G,Adjustments!$H:$H,"3",Adjustments!$I:$I,'Schedule 3 Adjustments'!$K$13,Adjustments!$J:$J,"5a")</f>
        <v>0</v>
      </c>
      <c r="M38" s="412">
        <f>SUM(K38:L38)</f>
        <v>2291</v>
      </c>
      <c r="N38" s="89"/>
      <c r="O38" s="347"/>
      <c r="P38" s="87"/>
      <c r="Q38" s="343"/>
      <c r="R38" s="347"/>
      <c r="S38" s="87"/>
      <c r="T38" s="347"/>
      <c r="U38" s="87"/>
      <c r="V38" s="343"/>
      <c r="W38" s="347"/>
      <c r="X38" s="87"/>
      <c r="Y38" s="347"/>
      <c r="Z38" s="87"/>
      <c r="AA38" s="347"/>
      <c r="AB38" s="87"/>
      <c r="AC38" s="347"/>
    </row>
    <row r="39" spans="1:29" x14ac:dyDescent="0.35">
      <c r="A39" s="101" t="s">
        <v>448</v>
      </c>
      <c r="B39" s="88"/>
      <c r="C39" s="88"/>
      <c r="D39" s="88"/>
      <c r="E39" s="88"/>
      <c r="F39" s="125"/>
      <c r="G39" s="127"/>
      <c r="H39" s="127"/>
      <c r="I39" s="104"/>
      <c r="J39" s="362">
        <f>'As-Filed Schedule 3'!J39</f>
        <v>0</v>
      </c>
      <c r="K39" s="408">
        <f>'As-Filed Schedule 3'!K39</f>
        <v>0</v>
      </c>
      <c r="L39" s="410">
        <f>SUMIFS(Adjustments!$G:$G,Adjustments!$H:$H,"3",Adjustments!$I:$I,'Schedule 3 Adjustments'!$K$13,Adjustments!$J:$J,"5b")</f>
        <v>0</v>
      </c>
      <c r="M39" s="412">
        <f>SUM(K39:L39)</f>
        <v>0</v>
      </c>
      <c r="N39" s="90"/>
      <c r="O39" s="348"/>
      <c r="P39" s="88"/>
      <c r="Q39" s="344"/>
      <c r="R39" s="348"/>
      <c r="S39" s="88"/>
      <c r="T39" s="348"/>
      <c r="U39" s="88"/>
      <c r="V39" s="344"/>
      <c r="W39" s="348"/>
      <c r="X39" s="88"/>
      <c r="Y39" s="348"/>
      <c r="Z39" s="88"/>
      <c r="AA39" s="348"/>
      <c r="AB39" s="88"/>
      <c r="AC39" s="348"/>
    </row>
    <row r="40" spans="1:29" x14ac:dyDescent="0.35">
      <c r="A40" s="102" t="s">
        <v>449</v>
      </c>
      <c r="B40" s="88"/>
      <c r="C40" s="88"/>
      <c r="D40" s="88"/>
      <c r="E40" s="88"/>
      <c r="F40" s="125"/>
      <c r="G40" s="127"/>
      <c r="H40" s="127"/>
      <c r="I40" s="104"/>
      <c r="J40" s="362">
        <f>'As-Filed Schedule 3'!J40</f>
        <v>0</v>
      </c>
      <c r="K40" s="408">
        <f>'As-Filed Schedule 3'!K40</f>
        <v>0</v>
      </c>
      <c r="L40" s="410">
        <f>SUMIFS(Adjustments!$G:$G,Adjustments!$H:$H,"3",Adjustments!$I:$I,'Schedule 3 Adjustments'!$K$13,Adjustments!$J:$J,"5c")</f>
        <v>0</v>
      </c>
      <c r="M40" s="412">
        <f>SUM(K40:L40)</f>
        <v>0</v>
      </c>
      <c r="N40" s="90"/>
      <c r="O40" s="348"/>
      <c r="P40" s="88"/>
      <c r="Q40" s="344"/>
      <c r="R40" s="348"/>
      <c r="S40" s="88"/>
      <c r="T40" s="348"/>
      <c r="U40" s="88"/>
      <c r="V40" s="344"/>
      <c r="W40" s="348"/>
      <c r="X40" s="88"/>
      <c r="Y40" s="348"/>
      <c r="Z40" s="88"/>
      <c r="AA40" s="348"/>
      <c r="AB40" s="88"/>
      <c r="AC40" s="348"/>
    </row>
    <row r="41" spans="1:29" x14ac:dyDescent="0.35">
      <c r="J41" s="99"/>
      <c r="N41" s="28"/>
      <c r="O41" s="340"/>
    </row>
    <row r="42" spans="1:29" s="34" customFormat="1" x14ac:dyDescent="0.35">
      <c r="A42" s="84">
        <v>6</v>
      </c>
      <c r="B42" s="577" t="str">
        <f>'As-Filed Schedule 3'!B42:C42</f>
        <v>400-630-Franklin House</v>
      </c>
      <c r="C42" s="578"/>
      <c r="D42" s="358" t="str">
        <f>'As-Filed Schedule 3'!D42</f>
        <v>Residential</v>
      </c>
      <c r="E42" s="358" t="str">
        <f>'As-Filed Schedule 3'!E42</f>
        <v>ALR</v>
      </c>
      <c r="F42" s="357">
        <f>'As-Filed Schedule 3'!F42</f>
        <v>11</v>
      </c>
      <c r="G42" s="356">
        <f>'As-Filed Schedule 3'!G42</f>
        <v>0</v>
      </c>
      <c r="H42" s="356">
        <f>'As-Filed Schedule 3'!H42</f>
        <v>0</v>
      </c>
      <c r="I42" s="130">
        <f>IF(B42=0,"",IF(AND(G42=0,H42=0),365,IF(AND(G42&gt;0,H42=0),$C$6-G42+1,IF(AND(G42=0,H42&gt;0),H42-($C$6-365),H42-G42+1))))</f>
        <v>365</v>
      </c>
      <c r="J42" s="98"/>
      <c r="K42" s="407">
        <f>SUM(K43:K45)</f>
        <v>3115</v>
      </c>
      <c r="L42" s="409">
        <f>SUM(L43:L45)</f>
        <v>0</v>
      </c>
      <c r="M42" s="411">
        <f>SUM(M43:M45)</f>
        <v>3115</v>
      </c>
      <c r="N42" s="91">
        <f>IF(K42&gt;0,K42/(F42*I42),"")</f>
        <v>0.77584059775840597</v>
      </c>
      <c r="O42" s="339">
        <f>IF(M42&gt;0,M42/(F42*I42),"")</f>
        <v>0.77584059775840597</v>
      </c>
      <c r="P42" s="118">
        <f>'As-Filed Schedule 3'!M42</f>
        <v>897484.74637888628</v>
      </c>
      <c r="Q42" s="342">
        <f>SUMIFS(Adjustments!$G:$G,Adjustments!$H:$H,"3",Adjustments!$I:$I,'Schedule 3 Adjustments'!$P$13,Adjustments!$J:$J,'As-Filed Schedule 3'!A42)</f>
        <v>0</v>
      </c>
      <c r="R42" s="346">
        <f>SUM(P42:Q42)</f>
        <v>897484.74637888628</v>
      </c>
      <c r="S42" s="85">
        <f>IFERROR(P42/K42,"")</f>
        <v>288.11709354057342</v>
      </c>
      <c r="T42" s="350">
        <f>IFERROR(R42/M42,"")</f>
        <v>288.11709354057342</v>
      </c>
      <c r="U42" s="118">
        <f>'As-Filed Schedule 3'!O42</f>
        <v>113982.9352477061</v>
      </c>
      <c r="V42" s="342">
        <f>SUMIFS(Adjustments!$G:$G,Adjustments!$H:$H,"3",Adjustments!$I:$I,'Schedule 3 Adjustments'!$U$13,Adjustments!$J:$J,$A42)</f>
        <v>0</v>
      </c>
      <c r="W42" s="346">
        <f>SUM(U42:V42)</f>
        <v>113982.9352477061</v>
      </c>
      <c r="X42" s="85">
        <f>IFERROR(U42/K42,"")</f>
        <v>36.591632503276436</v>
      </c>
      <c r="Y42" s="85">
        <f>IFERROR(W42/M42,"")</f>
        <v>36.591632503276436</v>
      </c>
      <c r="Z42" s="86">
        <f>IF(P42=0,"",P42-U42)</f>
        <v>783501.81113118015</v>
      </c>
      <c r="AA42" s="352">
        <f>IF(R42=0,"",R42-W42)</f>
        <v>783501.81113118015</v>
      </c>
      <c r="AB42" s="85">
        <f>IFERROR(Z42/K42,"")</f>
        <v>251.52546103729699</v>
      </c>
      <c r="AC42" s="350">
        <f>IFERROR(AA42/M42,"")</f>
        <v>251.52546103729699</v>
      </c>
    </row>
    <row r="43" spans="1:29" x14ac:dyDescent="0.35">
      <c r="A43" s="100" t="s">
        <v>447</v>
      </c>
      <c r="B43" s="87"/>
      <c r="C43" s="87"/>
      <c r="D43" s="87"/>
      <c r="E43" s="87"/>
      <c r="F43" s="124"/>
      <c r="G43" s="126"/>
      <c r="H43" s="126"/>
      <c r="I43" s="103"/>
      <c r="J43" s="362" t="str">
        <f>'As-Filed Schedule 3'!J43</f>
        <v>H0019</v>
      </c>
      <c r="K43" s="408">
        <f>'As-Filed Schedule 3'!K43</f>
        <v>3115</v>
      </c>
      <c r="L43" s="410">
        <f>SUMIFS(Adjustments!$G:$G,Adjustments!$H:$H,"3",Adjustments!$I:$I,'Schedule 3 Adjustments'!$K$13,Adjustments!$J:$J,"6a")</f>
        <v>0</v>
      </c>
      <c r="M43" s="412">
        <f>SUM(K43:L43)</f>
        <v>3115</v>
      </c>
      <c r="N43" s="89"/>
      <c r="O43" s="347"/>
      <c r="P43" s="87"/>
      <c r="Q43" s="343"/>
      <c r="R43" s="347"/>
      <c r="S43" s="87"/>
      <c r="T43" s="347"/>
      <c r="U43" s="87"/>
      <c r="V43" s="343"/>
      <c r="W43" s="347"/>
      <c r="X43" s="87"/>
      <c r="Y43" s="347"/>
      <c r="Z43" s="87"/>
      <c r="AA43" s="347"/>
      <c r="AB43" s="87"/>
      <c r="AC43" s="347"/>
    </row>
    <row r="44" spans="1:29" x14ac:dyDescent="0.35">
      <c r="A44" s="101" t="s">
        <v>448</v>
      </c>
      <c r="B44" s="88"/>
      <c r="C44" s="88"/>
      <c r="D44" s="88"/>
      <c r="E44" s="88"/>
      <c r="F44" s="125"/>
      <c r="G44" s="127"/>
      <c r="H44" s="127"/>
      <c r="I44" s="104"/>
      <c r="J44" s="362">
        <f>'As-Filed Schedule 3'!J44</f>
        <v>0</v>
      </c>
      <c r="K44" s="408">
        <f>'As-Filed Schedule 3'!K44</f>
        <v>0</v>
      </c>
      <c r="L44" s="410">
        <f>SUMIFS(Adjustments!$G:$G,Adjustments!$H:$H,"3",Adjustments!$I:$I,'Schedule 3 Adjustments'!$K$13,Adjustments!$J:$J,"6b")</f>
        <v>0</v>
      </c>
      <c r="M44" s="412">
        <f>SUM(K44:L44)</f>
        <v>0</v>
      </c>
      <c r="N44" s="90"/>
      <c r="O44" s="348"/>
      <c r="P44" s="88"/>
      <c r="Q44" s="344"/>
      <c r="R44" s="348"/>
      <c r="S44" s="88"/>
      <c r="T44" s="348"/>
      <c r="U44" s="88"/>
      <c r="V44" s="344"/>
      <c r="W44" s="348"/>
      <c r="X44" s="88"/>
      <c r="Y44" s="348"/>
      <c r="Z44" s="88"/>
      <c r="AA44" s="348"/>
      <c r="AB44" s="88"/>
      <c r="AC44" s="348"/>
    </row>
    <row r="45" spans="1:29" x14ac:dyDescent="0.35">
      <c r="A45" s="102" t="s">
        <v>449</v>
      </c>
      <c r="B45" s="88"/>
      <c r="C45" s="88"/>
      <c r="D45" s="88"/>
      <c r="E45" s="88"/>
      <c r="F45" s="125"/>
      <c r="G45" s="127"/>
      <c r="H45" s="127"/>
      <c r="I45" s="104"/>
      <c r="J45" s="362">
        <f>'As-Filed Schedule 3'!J45</f>
        <v>0</v>
      </c>
      <c r="K45" s="408">
        <f>'As-Filed Schedule 3'!K45</f>
        <v>0</v>
      </c>
      <c r="L45" s="410">
        <f>SUMIFS(Adjustments!$G:$G,Adjustments!$H:$H,"3",Adjustments!$I:$I,'Schedule 3 Adjustments'!$K$13,Adjustments!$J:$J,"6c")</f>
        <v>0</v>
      </c>
      <c r="M45" s="412">
        <f>SUM(K45:L45)</f>
        <v>0</v>
      </c>
      <c r="N45" s="90"/>
      <c r="O45" s="348"/>
      <c r="P45" s="88"/>
      <c r="Q45" s="344"/>
      <c r="R45" s="348"/>
      <c r="S45" s="88"/>
      <c r="T45" s="348"/>
      <c r="U45" s="88"/>
      <c r="V45" s="344"/>
      <c r="W45" s="348"/>
      <c r="X45" s="88"/>
      <c r="Y45" s="348"/>
      <c r="Z45" s="88"/>
      <c r="AA45" s="348"/>
      <c r="AB45" s="88"/>
      <c r="AC45" s="348"/>
    </row>
    <row r="46" spans="1:29" x14ac:dyDescent="0.35">
      <c r="J46" s="99"/>
      <c r="N46" s="28"/>
      <c r="O46" s="340"/>
    </row>
    <row r="47" spans="1:29" s="34" customFormat="1" x14ac:dyDescent="0.35">
      <c r="A47" s="84">
        <v>7</v>
      </c>
      <c r="B47" s="577" t="str">
        <f>'As-Filed Schedule 3'!B47:C47</f>
        <v xml:space="preserve"> 400-634-Vallegos House</v>
      </c>
      <c r="C47" s="578"/>
      <c r="D47" s="358" t="str">
        <f>'As-Filed Schedule 3'!D47</f>
        <v>Residential</v>
      </c>
      <c r="E47" s="358" t="str">
        <f>'As-Filed Schedule 3'!E47</f>
        <v>ALR</v>
      </c>
      <c r="F47" s="357">
        <f>'As-Filed Schedule 3'!F47</f>
        <v>8</v>
      </c>
      <c r="G47" s="356">
        <f>'As-Filed Schedule 3'!G47</f>
        <v>0</v>
      </c>
      <c r="H47" s="356">
        <f>'As-Filed Schedule 3'!H47</f>
        <v>0</v>
      </c>
      <c r="I47" s="130">
        <f>IF(B47=0,"",IF(AND(G47=0,H47=0),365,IF(AND(G47&gt;0,H47=0),$C$6-G47+1,IF(AND(G47=0,H47&gt;0),H47-($C$6-365),H47-G47+1))))</f>
        <v>365</v>
      </c>
      <c r="J47" s="98"/>
      <c r="K47" s="407">
        <f>SUM(K48:K50)</f>
        <v>1870</v>
      </c>
      <c r="L47" s="409">
        <f>SUM(L48:L50)</f>
        <v>0</v>
      </c>
      <c r="M47" s="411">
        <f>SUM(M48:M50)</f>
        <v>1870</v>
      </c>
      <c r="N47" s="91">
        <f>IF(K47&gt;0,K47/(F47*I47),"")</f>
        <v>0.6404109589041096</v>
      </c>
      <c r="O47" s="339">
        <f>IF(M47&gt;0,M47/(F47*I47),"")</f>
        <v>0.6404109589041096</v>
      </c>
      <c r="P47" s="118">
        <f>'As-Filed Schedule 3'!M47</f>
        <v>720819.88429848151</v>
      </c>
      <c r="Q47" s="342">
        <f>SUMIFS(Adjustments!$G:$G,Adjustments!$H:$H,"3",Adjustments!$I:$I,'Schedule 3 Adjustments'!$P$13,Adjustments!$J:$J,'As-Filed Schedule 3'!A47)</f>
        <v>0</v>
      </c>
      <c r="R47" s="346">
        <f>SUM(P47:Q47)</f>
        <v>720819.88429848151</v>
      </c>
      <c r="S47" s="85">
        <f>IFERROR(P47/K47,"")</f>
        <v>385.46517876924145</v>
      </c>
      <c r="T47" s="350">
        <f>IFERROR(R47/M47,"")</f>
        <v>385.46517876924145</v>
      </c>
      <c r="U47" s="118">
        <f>'As-Filed Schedule 3'!O47</f>
        <v>63032.212856927166</v>
      </c>
      <c r="V47" s="342">
        <f>SUMIFS(Adjustments!$G:$G,Adjustments!$H:$H,"3",Adjustments!$I:$I,'Schedule 3 Adjustments'!$U$13,Adjustments!$J:$J,$A47)</f>
        <v>0</v>
      </c>
      <c r="W47" s="346">
        <f>SUM(U47:V47)</f>
        <v>63032.212856927166</v>
      </c>
      <c r="X47" s="85">
        <f>IFERROR(U47/K47,"")</f>
        <v>33.707065698891533</v>
      </c>
      <c r="Y47" s="85">
        <f>IFERROR(W47/M47,"")</f>
        <v>33.707065698891533</v>
      </c>
      <c r="Z47" s="86">
        <f>IF(P47=0,"",P47-U47)</f>
        <v>657787.67144155432</v>
      </c>
      <c r="AA47" s="352">
        <f>IF(R47=0,"",R47-W47)</f>
        <v>657787.67144155432</v>
      </c>
      <c r="AB47" s="85">
        <f>IFERROR(Z47/K47,"")</f>
        <v>351.75811307034991</v>
      </c>
      <c r="AC47" s="350">
        <f>IFERROR(AA47/M47,"")</f>
        <v>351.75811307034991</v>
      </c>
    </row>
    <row r="48" spans="1:29" x14ac:dyDescent="0.35">
      <c r="A48" s="100" t="s">
        <v>447</v>
      </c>
      <c r="B48" s="87"/>
      <c r="C48" s="87"/>
      <c r="D48" s="87"/>
      <c r="E48" s="87"/>
      <c r="F48" s="124"/>
      <c r="G48" s="126"/>
      <c r="H48" s="126"/>
      <c r="I48" s="103"/>
      <c r="J48" s="362" t="str">
        <f>'As-Filed Schedule 3'!J48</f>
        <v>H0019</v>
      </c>
      <c r="K48" s="408">
        <f>'As-Filed Schedule 3'!K48</f>
        <v>1870</v>
      </c>
      <c r="L48" s="410">
        <f>SUMIFS(Adjustments!$G:$G,Adjustments!$H:$H,"3",Adjustments!$I:$I,'Schedule 3 Adjustments'!$K$13,Adjustments!$J:$J,"7a")</f>
        <v>0</v>
      </c>
      <c r="M48" s="412">
        <f>SUM(K48:L48)</f>
        <v>1870</v>
      </c>
      <c r="N48" s="89"/>
      <c r="O48" s="347"/>
      <c r="P48" s="87"/>
      <c r="Q48" s="343"/>
      <c r="R48" s="347"/>
      <c r="S48" s="87"/>
      <c r="T48" s="347"/>
      <c r="U48" s="87"/>
      <c r="V48" s="343"/>
      <c r="W48" s="347"/>
      <c r="X48" s="87"/>
      <c r="Y48" s="347"/>
      <c r="Z48" s="87"/>
      <c r="AA48" s="347"/>
      <c r="AB48" s="87"/>
      <c r="AC48" s="347"/>
    </row>
    <row r="49" spans="1:29" x14ac:dyDescent="0.35">
      <c r="A49" s="101" t="s">
        <v>448</v>
      </c>
      <c r="B49" s="88"/>
      <c r="C49" s="88"/>
      <c r="D49" s="88"/>
      <c r="E49" s="88"/>
      <c r="F49" s="125"/>
      <c r="G49" s="127"/>
      <c r="H49" s="127"/>
      <c r="I49" s="104"/>
      <c r="J49" s="362">
        <f>'As-Filed Schedule 3'!J49</f>
        <v>0</v>
      </c>
      <c r="K49" s="408">
        <f>'As-Filed Schedule 3'!K49</f>
        <v>0</v>
      </c>
      <c r="L49" s="410">
        <f>SUMIFS(Adjustments!$G:$G,Adjustments!$H:$H,"3",Adjustments!$I:$I,'Schedule 3 Adjustments'!$K$13,Adjustments!$J:$J,"7b")</f>
        <v>0</v>
      </c>
      <c r="M49" s="412">
        <f>SUM(K49:L49)</f>
        <v>0</v>
      </c>
      <c r="N49" s="90"/>
      <c r="O49" s="348"/>
      <c r="P49" s="88"/>
      <c r="Q49" s="344"/>
      <c r="R49" s="348"/>
      <c r="S49" s="88"/>
      <c r="T49" s="348"/>
      <c r="U49" s="88"/>
      <c r="V49" s="344"/>
      <c r="W49" s="348"/>
      <c r="X49" s="88"/>
      <c r="Y49" s="348"/>
      <c r="Z49" s="88"/>
      <c r="AA49" s="348"/>
      <c r="AB49" s="88"/>
      <c r="AC49" s="348"/>
    </row>
    <row r="50" spans="1:29" x14ac:dyDescent="0.35">
      <c r="A50" s="102" t="s">
        <v>449</v>
      </c>
      <c r="B50" s="88"/>
      <c r="C50" s="88"/>
      <c r="D50" s="88"/>
      <c r="E50" s="88"/>
      <c r="F50" s="125"/>
      <c r="G50" s="127"/>
      <c r="H50" s="127"/>
      <c r="I50" s="104"/>
      <c r="J50" s="362">
        <f>'As-Filed Schedule 3'!J50</f>
        <v>0</v>
      </c>
      <c r="K50" s="408">
        <f>'As-Filed Schedule 3'!K50</f>
        <v>0</v>
      </c>
      <c r="L50" s="410">
        <f>SUMIFS(Adjustments!$G:$G,Adjustments!$H:$H,"3",Adjustments!$I:$I,'Schedule 3 Adjustments'!$K$13,Adjustments!$J:$J,"7c")</f>
        <v>0</v>
      </c>
      <c r="M50" s="412">
        <f>SUM(K50:L50)</f>
        <v>0</v>
      </c>
      <c r="N50" s="90"/>
      <c r="O50" s="348"/>
      <c r="P50" s="88"/>
      <c r="Q50" s="344"/>
      <c r="R50" s="348"/>
      <c r="S50" s="88"/>
      <c r="T50" s="348"/>
      <c r="U50" s="88"/>
      <c r="V50" s="344"/>
      <c r="W50" s="348"/>
      <c r="X50" s="88"/>
      <c r="Y50" s="348"/>
      <c r="Z50" s="88"/>
      <c r="AA50" s="348"/>
      <c r="AB50" s="88"/>
      <c r="AC50" s="348"/>
    </row>
    <row r="51" spans="1:29" x14ac:dyDescent="0.35">
      <c r="J51" s="99"/>
      <c r="N51" s="28"/>
      <c r="O51" s="340"/>
    </row>
    <row r="52" spans="1:29" s="34" customFormat="1" x14ac:dyDescent="0.35">
      <c r="A52" s="84">
        <v>8</v>
      </c>
      <c r="B52" s="577" t="str">
        <f>'As-Filed Schedule 3'!B52:C52</f>
        <v>400-650-Beeler House</v>
      </c>
      <c r="C52" s="578"/>
      <c r="D52" s="358" t="str">
        <f>'As-Filed Schedule 3'!D52</f>
        <v>Residential</v>
      </c>
      <c r="E52" s="358" t="str">
        <f>'As-Filed Schedule 3'!E52</f>
        <v>ALR</v>
      </c>
      <c r="F52" s="357">
        <f>'As-Filed Schedule 3'!F52</f>
        <v>15</v>
      </c>
      <c r="G52" s="356">
        <f>'As-Filed Schedule 3'!G52</f>
        <v>0</v>
      </c>
      <c r="H52" s="356">
        <f>'As-Filed Schedule 3'!H52</f>
        <v>0</v>
      </c>
      <c r="I52" s="130">
        <f>IF(B52=0,"",IF(AND(G52=0,H52=0),365,IF(AND(G52&gt;0,H52=0),$C$6-G52+1,IF(AND(G52=0,H52&gt;0),H52-($C$6-365),H52-G52+1))))</f>
        <v>365</v>
      </c>
      <c r="J52" s="98"/>
      <c r="K52" s="407">
        <f>SUM(K53:K55)</f>
        <v>4087</v>
      </c>
      <c r="L52" s="409">
        <f>SUM(L53:L55)</f>
        <v>0</v>
      </c>
      <c r="M52" s="411">
        <f>SUM(M53:M55)</f>
        <v>4087</v>
      </c>
      <c r="N52" s="91">
        <f>IF(K52&gt;0,K52/(F52*I52),"")</f>
        <v>0.74648401826484023</v>
      </c>
      <c r="O52" s="339">
        <f>IF(M52&gt;0,M52/(F52*I52),"")</f>
        <v>0.74648401826484023</v>
      </c>
      <c r="P52" s="118">
        <f>'As-Filed Schedule 3'!M52</f>
        <v>1448183.1465178435</v>
      </c>
      <c r="Q52" s="342">
        <f>SUMIFS(Adjustments!$G:$G,Adjustments!$H:$H,"3",Adjustments!$I:$I,'Schedule 3 Adjustments'!$P$13,Adjustments!$J:$J,'As-Filed Schedule 3'!A52)</f>
        <v>0</v>
      </c>
      <c r="R52" s="346">
        <f>SUM(P52:Q52)</f>
        <v>1448183.1465178435</v>
      </c>
      <c r="S52" s="85">
        <f>IFERROR(P52/K52,"")</f>
        <v>354.33891522335296</v>
      </c>
      <c r="T52" s="350">
        <f>IFERROR(R52/M52,"")</f>
        <v>354.33891522335296</v>
      </c>
      <c r="U52" s="118">
        <f>'As-Filed Schedule 3'!O52</f>
        <v>205072.48514038994</v>
      </c>
      <c r="V52" s="342">
        <f>SUMIFS(Adjustments!$G:$G,Adjustments!$H:$H,"3",Adjustments!$I:$I,'Schedule 3 Adjustments'!$U$13,Adjustments!$J:$J,$A52)</f>
        <v>0</v>
      </c>
      <c r="W52" s="346">
        <f>SUM(U52:V52)</f>
        <v>205072.48514038994</v>
      </c>
      <c r="X52" s="85">
        <f>IFERROR(U52/K52,"")</f>
        <v>50.176776398431599</v>
      </c>
      <c r="Y52" s="85">
        <f>IFERROR(W52/M52,"")</f>
        <v>50.176776398431599</v>
      </c>
      <c r="Z52" s="86">
        <f>IF(P52=0,"",P52-U52)</f>
        <v>1243110.6613774535</v>
      </c>
      <c r="AA52" s="352">
        <f>IF(R52=0,"",R52-W52)</f>
        <v>1243110.6613774535</v>
      </c>
      <c r="AB52" s="85">
        <f>IFERROR(Z52/K52,"")</f>
        <v>304.16213882492133</v>
      </c>
      <c r="AC52" s="350">
        <f>IFERROR(AA52/M52,"")</f>
        <v>304.16213882492133</v>
      </c>
    </row>
    <row r="53" spans="1:29" x14ac:dyDescent="0.35">
      <c r="A53" s="100" t="s">
        <v>447</v>
      </c>
      <c r="B53" s="87"/>
      <c r="C53" s="87"/>
      <c r="D53" s="87"/>
      <c r="E53" s="87"/>
      <c r="F53" s="124"/>
      <c r="G53" s="126"/>
      <c r="H53" s="126"/>
      <c r="I53" s="103"/>
      <c r="J53" s="362" t="str">
        <f>'As-Filed Schedule 3'!J53</f>
        <v>H0019</v>
      </c>
      <c r="K53" s="408">
        <f>'As-Filed Schedule 3'!K53</f>
        <v>2187</v>
      </c>
      <c r="L53" s="410">
        <f>SUMIFS(Adjustments!$G:$G,Adjustments!$H:$H,"3",Adjustments!$I:$I,'Schedule 3 Adjustments'!$K$13,Adjustments!$J:$J,"8a")</f>
        <v>0</v>
      </c>
      <c r="M53" s="412">
        <f>SUM(K53:L53)</f>
        <v>2187</v>
      </c>
      <c r="N53" s="89"/>
      <c r="O53" s="347"/>
      <c r="P53" s="87"/>
      <c r="Q53" s="343"/>
      <c r="R53" s="347"/>
      <c r="S53" s="87"/>
      <c r="T53" s="347"/>
      <c r="U53" s="87"/>
      <c r="V53" s="343"/>
      <c r="W53" s="347"/>
      <c r="X53" s="87"/>
      <c r="Y53" s="347"/>
      <c r="Z53" s="87"/>
      <c r="AA53" s="347"/>
      <c r="AB53" s="87"/>
      <c r="AC53" s="347"/>
    </row>
    <row r="54" spans="1:29" x14ac:dyDescent="0.35">
      <c r="A54" s="101" t="s">
        <v>448</v>
      </c>
      <c r="B54" s="88"/>
      <c r="C54" s="88"/>
      <c r="D54" s="88"/>
      <c r="E54" s="88"/>
      <c r="F54" s="125"/>
      <c r="G54" s="127"/>
      <c r="H54" s="127"/>
      <c r="I54" s="104"/>
      <c r="J54" s="362" t="str">
        <f>'As-Filed Schedule 3'!J54</f>
        <v>H2036 3.7</v>
      </c>
      <c r="K54" s="408">
        <f>'As-Filed Schedule 3'!K54</f>
        <v>1900</v>
      </c>
      <c r="L54" s="410">
        <f>SUMIFS(Adjustments!$G:$G,Adjustments!$H:$H,"3",Adjustments!$I:$I,'Schedule 3 Adjustments'!$K$13,Adjustments!$J:$J,"8b")</f>
        <v>0</v>
      </c>
      <c r="M54" s="412">
        <f>SUM(K54:L54)</f>
        <v>1900</v>
      </c>
      <c r="N54" s="90"/>
      <c r="O54" s="348"/>
      <c r="P54" s="88"/>
      <c r="Q54" s="344"/>
      <c r="R54" s="348"/>
      <c r="S54" s="88"/>
      <c r="T54" s="348"/>
      <c r="U54" s="88"/>
      <c r="V54" s="344"/>
      <c r="W54" s="348"/>
      <c r="X54" s="88"/>
      <c r="Y54" s="348"/>
      <c r="Z54" s="88"/>
      <c r="AA54" s="348"/>
      <c r="AB54" s="88"/>
      <c r="AC54" s="348"/>
    </row>
    <row r="55" spans="1:29" x14ac:dyDescent="0.35">
      <c r="A55" s="102" t="s">
        <v>449</v>
      </c>
      <c r="B55" s="88"/>
      <c r="C55" s="88"/>
      <c r="D55" s="88"/>
      <c r="E55" s="88"/>
      <c r="F55" s="125"/>
      <c r="G55" s="127"/>
      <c r="H55" s="127"/>
      <c r="I55" s="104"/>
      <c r="J55" s="362">
        <f>'As-Filed Schedule 3'!J55</f>
        <v>0</v>
      </c>
      <c r="K55" s="408">
        <f>'As-Filed Schedule 3'!K55</f>
        <v>0</v>
      </c>
      <c r="L55" s="410">
        <f>SUMIFS(Adjustments!$G:$G,Adjustments!$H:$H,"3",Adjustments!$I:$I,'Schedule 3 Adjustments'!$K$13,Adjustments!$J:$J,"8c")</f>
        <v>0</v>
      </c>
      <c r="M55" s="412">
        <f>SUM(K55:L55)</f>
        <v>0</v>
      </c>
      <c r="N55" s="90"/>
      <c r="O55" s="348"/>
      <c r="P55" s="88"/>
      <c r="Q55" s="344"/>
      <c r="R55" s="348"/>
      <c r="S55" s="88"/>
      <c r="T55" s="348"/>
      <c r="U55" s="88"/>
      <c r="V55" s="344"/>
      <c r="W55" s="348"/>
      <c r="X55" s="88"/>
      <c r="Y55" s="348"/>
      <c r="Z55" s="88"/>
      <c r="AA55" s="348"/>
      <c r="AB55" s="88"/>
      <c r="AC55" s="348"/>
    </row>
    <row r="56" spans="1:29" x14ac:dyDescent="0.35">
      <c r="J56" s="99"/>
      <c r="N56" s="28"/>
      <c r="O56" s="340"/>
    </row>
    <row r="57" spans="1:29" s="34" customFormat="1" x14ac:dyDescent="0.35">
      <c r="A57" s="84">
        <v>9</v>
      </c>
      <c r="B57" s="577" t="str">
        <f>'As-Filed Schedule 3'!B57:C57</f>
        <v>400-652-Park Place</v>
      </c>
      <c r="C57" s="578"/>
      <c r="D57" s="358" t="str">
        <f>'As-Filed Schedule 3'!D57</f>
        <v>Residential</v>
      </c>
      <c r="E57" s="358" t="str">
        <f>'As-Filed Schedule 3'!E57</f>
        <v>ALR</v>
      </c>
      <c r="F57" s="357">
        <f>'As-Filed Schedule 3'!F57</f>
        <v>16</v>
      </c>
      <c r="G57" s="356">
        <f>'As-Filed Schedule 3'!G57</f>
        <v>0</v>
      </c>
      <c r="H57" s="356">
        <f>'As-Filed Schedule 3'!H57</f>
        <v>0</v>
      </c>
      <c r="I57" s="130">
        <f>IF(B57=0,"",IF(AND(G57=0,H57=0),365,IF(AND(G57&gt;0,H57=0),$C$6-G57+1,IF(AND(G57=0,H57&gt;0),H57-($C$6-365),H57-G57+1))))</f>
        <v>365</v>
      </c>
      <c r="J57" s="98"/>
      <c r="K57" s="407">
        <f>SUM(K58:K60)</f>
        <v>4325</v>
      </c>
      <c r="L57" s="409">
        <f>SUM(L58:L60)</f>
        <v>0</v>
      </c>
      <c r="M57" s="411">
        <f>SUM(M58:M60)</f>
        <v>4325</v>
      </c>
      <c r="N57" s="91">
        <f>IF(K57&gt;0,K57/(F57*I57),"")</f>
        <v>0.74058219178082196</v>
      </c>
      <c r="O57" s="339">
        <f>IF(M57&gt;0,M57/(F57*I57),"")</f>
        <v>0.74058219178082196</v>
      </c>
      <c r="P57" s="118">
        <f>'As-Filed Schedule 3'!M57</f>
        <v>1748821.7820320721</v>
      </c>
      <c r="Q57" s="342">
        <f>SUMIFS(Adjustments!$G:$G,Adjustments!$H:$H,"3",Adjustments!$I:$I,'Schedule 3 Adjustments'!$P$13,Adjustments!$J:$J,'As-Filed Schedule 3'!A57)</f>
        <v>0</v>
      </c>
      <c r="R57" s="346">
        <f>SUM(P57:Q57)</f>
        <v>1748821.7820320721</v>
      </c>
      <c r="S57" s="85">
        <f>IFERROR(P57/K57,"")</f>
        <v>404.3518571172421</v>
      </c>
      <c r="T57" s="350">
        <f>IFERROR(R57/M57,"")</f>
        <v>404.3518571172421</v>
      </c>
      <c r="U57" s="118">
        <f>'As-Filed Schedule 3'!O57</f>
        <v>180574.38645861091</v>
      </c>
      <c r="V57" s="342">
        <f>SUMIFS(Adjustments!$G:$G,Adjustments!$H:$H,"3",Adjustments!$I:$I,'Schedule 3 Adjustments'!$U$13,Adjustments!$J:$J,$A57)</f>
        <v>0</v>
      </c>
      <c r="W57" s="346">
        <f>SUM(U57:V57)</f>
        <v>180574.38645861091</v>
      </c>
      <c r="X57" s="85">
        <f>IFERROR(U57/K57,"")</f>
        <v>41.751303227424486</v>
      </c>
      <c r="Y57" s="85">
        <f>IFERROR(W57/M57,"")</f>
        <v>41.751303227424486</v>
      </c>
      <c r="Z57" s="86">
        <f>IF(P57=0,"",P57-U57)</f>
        <v>1568247.3955734612</v>
      </c>
      <c r="AA57" s="352">
        <f>IF(R57=0,"",R57-W57)</f>
        <v>1568247.3955734612</v>
      </c>
      <c r="AB57" s="85">
        <f>IFERROR(Z57/K57,"")</f>
        <v>362.6005538898176</v>
      </c>
      <c r="AC57" s="350">
        <f>IFERROR(AA57/M57,"")</f>
        <v>362.6005538898176</v>
      </c>
    </row>
    <row r="58" spans="1:29" x14ac:dyDescent="0.35">
      <c r="A58" s="100" t="s">
        <v>447</v>
      </c>
      <c r="B58" s="87"/>
      <c r="C58" s="87"/>
      <c r="D58" s="87"/>
      <c r="E58" s="87"/>
      <c r="F58" s="124"/>
      <c r="G58" s="126"/>
      <c r="H58" s="126"/>
      <c r="I58" s="103"/>
      <c r="J58" s="362" t="str">
        <f>'As-Filed Schedule 3'!J58</f>
        <v>H0018</v>
      </c>
      <c r="K58" s="408">
        <f>'As-Filed Schedule 3'!K58</f>
        <v>4325</v>
      </c>
      <c r="L58" s="410">
        <f>SUMIFS(Adjustments!$G:$G,Adjustments!$H:$H,"3",Adjustments!$I:$I,'Schedule 3 Adjustments'!$K$13,Adjustments!$J:$J,"9a")</f>
        <v>0</v>
      </c>
      <c r="M58" s="412">
        <f>SUM(K58:L58)</f>
        <v>4325</v>
      </c>
      <c r="N58" s="89"/>
      <c r="O58" s="347"/>
      <c r="P58" s="87"/>
      <c r="Q58" s="343"/>
      <c r="R58" s="347"/>
      <c r="S58" s="87"/>
      <c r="T58" s="347"/>
      <c r="U58" s="87"/>
      <c r="V58" s="343"/>
      <c r="W58" s="347"/>
      <c r="X58" s="87"/>
      <c r="Y58" s="347"/>
      <c r="Z58" s="87"/>
      <c r="AA58" s="347"/>
      <c r="AB58" s="87"/>
      <c r="AC58" s="347"/>
    </row>
    <row r="59" spans="1:29" x14ac:dyDescent="0.35">
      <c r="A59" s="101" t="s">
        <v>448</v>
      </c>
      <c r="B59" s="88"/>
      <c r="C59" s="88"/>
      <c r="D59" s="88"/>
      <c r="E59" s="88"/>
      <c r="F59" s="125"/>
      <c r="G59" s="127"/>
      <c r="H59" s="127"/>
      <c r="I59" s="104"/>
      <c r="J59" s="362">
        <f>'As-Filed Schedule 3'!J59</f>
        <v>0</v>
      </c>
      <c r="K59" s="408">
        <f>'As-Filed Schedule 3'!K59</f>
        <v>0</v>
      </c>
      <c r="L59" s="410">
        <f>SUMIFS(Adjustments!$G:$G,Adjustments!$H:$H,"3",Adjustments!$I:$I,'Schedule 3 Adjustments'!$K$13,Adjustments!$J:$J,"9b")</f>
        <v>0</v>
      </c>
      <c r="M59" s="412">
        <f>SUM(K59:L59)</f>
        <v>0</v>
      </c>
      <c r="N59" s="90"/>
      <c r="O59" s="348"/>
      <c r="P59" s="88"/>
      <c r="Q59" s="344"/>
      <c r="R59" s="348"/>
      <c r="S59" s="88"/>
      <c r="T59" s="348"/>
      <c r="U59" s="88"/>
      <c r="V59" s="344"/>
      <c r="W59" s="348"/>
      <c r="X59" s="88"/>
      <c r="Y59" s="348"/>
      <c r="Z59" s="88"/>
      <c r="AA59" s="348"/>
      <c r="AB59" s="88"/>
      <c r="AC59" s="348"/>
    </row>
    <row r="60" spans="1:29" x14ac:dyDescent="0.35">
      <c r="A60" s="102" t="s">
        <v>449</v>
      </c>
      <c r="B60" s="88"/>
      <c r="C60" s="88"/>
      <c r="D60" s="88"/>
      <c r="E60" s="88"/>
      <c r="F60" s="125"/>
      <c r="G60" s="127"/>
      <c r="H60" s="127"/>
      <c r="I60" s="104"/>
      <c r="J60" s="362">
        <f>'As-Filed Schedule 3'!J60</f>
        <v>0</v>
      </c>
      <c r="K60" s="408">
        <f>'As-Filed Schedule 3'!K60</f>
        <v>0</v>
      </c>
      <c r="L60" s="410">
        <f>SUMIFS(Adjustments!$G:$G,Adjustments!$H:$H,"3",Adjustments!$I:$I,'Schedule 3 Adjustments'!$K$13,Adjustments!$J:$J,"9c")</f>
        <v>0</v>
      </c>
      <c r="M60" s="412">
        <f>SUM(K60:L60)</f>
        <v>0</v>
      </c>
      <c r="N60" s="90"/>
      <c r="O60" s="348"/>
      <c r="P60" s="88"/>
      <c r="Q60" s="344"/>
      <c r="R60" s="348"/>
      <c r="S60" s="88"/>
      <c r="T60" s="348"/>
      <c r="U60" s="88"/>
      <c r="V60" s="344"/>
      <c r="W60" s="348"/>
      <c r="X60" s="88"/>
      <c r="Y60" s="348"/>
      <c r="Z60" s="88"/>
      <c r="AA60" s="348"/>
      <c r="AB60" s="88"/>
      <c r="AC60" s="348"/>
    </row>
    <row r="61" spans="1:29" x14ac:dyDescent="0.35">
      <c r="J61" s="99"/>
      <c r="N61" s="28"/>
      <c r="O61" s="340"/>
    </row>
    <row r="62" spans="1:29" s="34" customFormat="1" x14ac:dyDescent="0.35">
      <c r="A62" s="84">
        <v>10</v>
      </c>
      <c r="B62" s="577" t="str">
        <f>'As-Filed Schedule 3'!B62:C62</f>
        <v>400-660-Second Street</v>
      </c>
      <c r="C62" s="578"/>
      <c r="D62" s="358" t="str">
        <f>'As-Filed Schedule 3'!D62</f>
        <v>Residential</v>
      </c>
      <c r="E62" s="358" t="str">
        <f>'As-Filed Schedule 3'!E62</f>
        <v>ALR</v>
      </c>
      <c r="F62" s="357">
        <f>'As-Filed Schedule 3'!F62</f>
        <v>8</v>
      </c>
      <c r="G62" s="356">
        <f>'As-Filed Schedule 3'!G62</f>
        <v>0</v>
      </c>
      <c r="H62" s="356">
        <f>'As-Filed Schedule 3'!H62</f>
        <v>0</v>
      </c>
      <c r="I62" s="130">
        <f>IF(B62=0,"",IF(AND(G62=0,H62=0),365,IF(AND(G62&gt;0,H62=0),$C$6-G62+1,IF(AND(G62=0,H62&gt;0),H62-($C$6-365),H62-G62+1))))</f>
        <v>365</v>
      </c>
      <c r="J62" s="98"/>
      <c r="K62" s="407">
        <f>SUM(K63:K65)</f>
        <v>2425</v>
      </c>
      <c r="L62" s="409">
        <f>SUM(L63:L65)</f>
        <v>0</v>
      </c>
      <c r="M62" s="411">
        <f>SUM(M63:M65)</f>
        <v>2425</v>
      </c>
      <c r="N62" s="91">
        <f>IF(K62&gt;0,K62/(F62*I62),"")</f>
        <v>0.83047945205479456</v>
      </c>
      <c r="O62" s="339">
        <f>IF(M62&gt;0,M62/(F62*I62),"")</f>
        <v>0.83047945205479456</v>
      </c>
      <c r="P62" s="118">
        <f>'As-Filed Schedule 3'!M62</f>
        <v>1114301.9126722368</v>
      </c>
      <c r="Q62" s="342">
        <f>SUMIFS(Adjustments!$G:$G,Adjustments!$H:$H,"3",Adjustments!$I:$I,'Schedule 3 Adjustments'!$P$13,Adjustments!$J:$J,'As-Filed Schedule 3'!A62)</f>
        <v>0</v>
      </c>
      <c r="R62" s="346">
        <f>SUM(P62:Q62)</f>
        <v>1114301.9126722368</v>
      </c>
      <c r="S62" s="85">
        <f>IFERROR(P62/K62,"")</f>
        <v>459.50594336999455</v>
      </c>
      <c r="T62" s="350">
        <f>IFERROR(R62/M62,"")</f>
        <v>459.50594336999455</v>
      </c>
      <c r="U62" s="118">
        <f>'As-Filed Schedule 3'!O62</f>
        <v>106694.97208810414</v>
      </c>
      <c r="V62" s="342">
        <f>SUMIFS(Adjustments!$G:$G,Adjustments!$H:$H,"3",Adjustments!$I:$I,'Schedule 3 Adjustments'!$U$13,Adjustments!$J:$J,$A62)</f>
        <v>0</v>
      </c>
      <c r="W62" s="346">
        <f>SUM(U62:V62)</f>
        <v>106694.97208810414</v>
      </c>
      <c r="X62" s="85">
        <f>IFERROR(U62/K62,"")</f>
        <v>43.997926634269753</v>
      </c>
      <c r="Y62" s="85">
        <f>IFERROR(W62/M62,"")</f>
        <v>43.997926634269753</v>
      </c>
      <c r="Z62" s="86">
        <f>IF(P62=0,"",P62-U62)</f>
        <v>1007606.9405841327</v>
      </c>
      <c r="AA62" s="352">
        <f>IF(R62=0,"",R62-W62)</f>
        <v>1007606.9405841327</v>
      </c>
      <c r="AB62" s="85">
        <f>IFERROR(Z62/K62,"")</f>
        <v>415.50801673572482</v>
      </c>
      <c r="AC62" s="350">
        <f>IFERROR(AA62/M62,"")</f>
        <v>415.50801673572482</v>
      </c>
    </row>
    <row r="63" spans="1:29" x14ac:dyDescent="0.35">
      <c r="A63" s="100" t="s">
        <v>447</v>
      </c>
      <c r="B63" s="87"/>
      <c r="C63" s="87"/>
      <c r="D63" s="87"/>
      <c r="E63" s="87"/>
      <c r="F63" s="124"/>
      <c r="G63" s="126"/>
      <c r="H63" s="126"/>
      <c r="I63" s="103"/>
      <c r="J63" s="362" t="str">
        <f>'As-Filed Schedule 3'!J63</f>
        <v>H0019</v>
      </c>
      <c r="K63" s="408">
        <f>'As-Filed Schedule 3'!K63</f>
        <v>1231</v>
      </c>
      <c r="L63" s="410">
        <f>SUMIFS(Adjustments!$G:$G,Adjustments!$H:$H,"3",Adjustments!$I:$I,'Schedule 3 Adjustments'!$K$13,Adjustments!$J:$J,"10a")</f>
        <v>0</v>
      </c>
      <c r="M63" s="412">
        <f>SUM(K63:L63)</f>
        <v>1231</v>
      </c>
      <c r="N63" s="89"/>
      <c r="O63" s="347"/>
      <c r="P63" s="87"/>
      <c r="Q63" s="343"/>
      <c r="R63" s="347"/>
      <c r="S63" s="87"/>
      <c r="T63" s="347"/>
      <c r="U63" s="87"/>
      <c r="V63" s="343"/>
      <c r="W63" s="347"/>
      <c r="X63" s="87"/>
      <c r="Y63" s="347"/>
      <c r="Z63" s="87"/>
      <c r="AA63" s="347"/>
      <c r="AB63" s="87"/>
      <c r="AC63" s="347"/>
    </row>
    <row r="64" spans="1:29" x14ac:dyDescent="0.35">
      <c r="A64" s="101" t="s">
        <v>448</v>
      </c>
      <c r="B64" s="88"/>
      <c r="C64" s="88"/>
      <c r="D64" s="88"/>
      <c r="E64" s="88"/>
      <c r="F64" s="125"/>
      <c r="G64" s="127"/>
      <c r="H64" s="127"/>
      <c r="I64" s="104"/>
      <c r="J64" s="362" t="str">
        <f>'As-Filed Schedule 3'!J64</f>
        <v>H2036 3.7</v>
      </c>
      <c r="K64" s="408">
        <f>'As-Filed Schedule 3'!K64</f>
        <v>1194</v>
      </c>
      <c r="L64" s="410">
        <f>SUMIFS(Adjustments!$G:$G,Adjustments!$H:$H,"3",Adjustments!$I:$I,'Schedule 3 Adjustments'!$K$13,Adjustments!$J:$J,"10b")</f>
        <v>0</v>
      </c>
      <c r="M64" s="412">
        <f>SUM(K64:L64)</f>
        <v>1194</v>
      </c>
      <c r="N64" s="90"/>
      <c r="O64" s="348"/>
      <c r="P64" s="88"/>
      <c r="Q64" s="344"/>
      <c r="R64" s="348"/>
      <c r="S64" s="88"/>
      <c r="T64" s="348"/>
      <c r="U64" s="88"/>
      <c r="V64" s="344"/>
      <c r="W64" s="348"/>
      <c r="X64" s="88"/>
      <c r="Y64" s="348"/>
      <c r="Z64" s="88"/>
      <c r="AA64" s="348"/>
      <c r="AB64" s="88"/>
      <c r="AC64" s="348"/>
    </row>
    <row r="65" spans="1:29" x14ac:dyDescent="0.35">
      <c r="A65" s="102" t="s">
        <v>449</v>
      </c>
      <c r="B65" s="88"/>
      <c r="C65" s="88"/>
      <c r="D65" s="88"/>
      <c r="E65" s="88"/>
      <c r="F65" s="125"/>
      <c r="G65" s="127"/>
      <c r="H65" s="127"/>
      <c r="I65" s="104"/>
      <c r="J65" s="362">
        <f>'As-Filed Schedule 3'!J65</f>
        <v>0</v>
      </c>
      <c r="K65" s="408">
        <f>'As-Filed Schedule 3'!K65</f>
        <v>0</v>
      </c>
      <c r="L65" s="410">
        <f>SUMIFS(Adjustments!$G:$G,Adjustments!$H:$H,"3",Adjustments!$I:$I,'Schedule 3 Adjustments'!$K$13,Adjustments!$J:$J,"10c")</f>
        <v>0</v>
      </c>
      <c r="M65" s="412">
        <f>SUM(K65:L65)</f>
        <v>0</v>
      </c>
      <c r="N65" s="90"/>
      <c r="O65" s="348"/>
      <c r="P65" s="88"/>
      <c r="Q65" s="344"/>
      <c r="R65" s="348"/>
      <c r="S65" s="88"/>
      <c r="T65" s="348"/>
      <c r="U65" s="88"/>
      <c r="V65" s="344"/>
      <c r="W65" s="348"/>
      <c r="X65" s="88"/>
      <c r="Y65" s="348"/>
      <c r="Z65" s="88"/>
      <c r="AA65" s="348"/>
      <c r="AB65" s="88"/>
      <c r="AC65" s="348"/>
    </row>
    <row r="66" spans="1:29" x14ac:dyDescent="0.35">
      <c r="J66" s="99"/>
      <c r="N66" s="28"/>
      <c r="O66" s="340"/>
    </row>
    <row r="67" spans="1:29" s="34" customFormat="1" x14ac:dyDescent="0.35">
      <c r="A67" s="84">
        <v>11</v>
      </c>
      <c r="B67" s="577" t="str">
        <f>'As-Filed Schedule 3'!B67:C67</f>
        <v>400-670-Miller House</v>
      </c>
      <c r="C67" s="578"/>
      <c r="D67" s="358" t="str">
        <f>'As-Filed Schedule 3'!D67</f>
        <v>Residential</v>
      </c>
      <c r="E67" s="358" t="str">
        <f>'As-Filed Schedule 3'!E67</f>
        <v>ALR</v>
      </c>
      <c r="F67" s="357">
        <f>'As-Filed Schedule 3'!F67</f>
        <v>8</v>
      </c>
      <c r="G67" s="356">
        <f>'As-Filed Schedule 3'!G67</f>
        <v>0</v>
      </c>
      <c r="H67" s="356">
        <f>'As-Filed Schedule 3'!H67</f>
        <v>0</v>
      </c>
      <c r="I67" s="130">
        <f>IF(B67=0,"",IF(AND(G67=0,H67=0),365,IF(AND(G67&gt;0,H67=0),$C$6-G67+1,IF(AND(G67=0,H67&gt;0),H67-($C$6-365),H67-G67+1))))</f>
        <v>365</v>
      </c>
      <c r="J67" s="98"/>
      <c r="K67" s="407">
        <f>SUM(K68:K70)</f>
        <v>2388</v>
      </c>
      <c r="L67" s="409">
        <f>SUM(L68:L70)</f>
        <v>0</v>
      </c>
      <c r="M67" s="411">
        <f>SUM(M68:M70)</f>
        <v>2388</v>
      </c>
      <c r="N67" s="91">
        <f>IF(K67&gt;0,K67/(F67*I67),"")</f>
        <v>0.81780821917808222</v>
      </c>
      <c r="O67" s="339">
        <f>IF(M67&gt;0,M67/(F67*I67),"")</f>
        <v>0.81780821917808222</v>
      </c>
      <c r="P67" s="118">
        <f>'As-Filed Schedule 3'!M67</f>
        <v>841932.28507519246</v>
      </c>
      <c r="Q67" s="342">
        <f>SUMIFS(Adjustments!$G:$G,Adjustments!$H:$H,"3",Adjustments!$I:$I,'Schedule 3 Adjustments'!$P$13,Adjustments!$J:$J,'As-Filed Schedule 3'!A67)</f>
        <v>0</v>
      </c>
      <c r="R67" s="346">
        <f>SUM(P67:Q67)</f>
        <v>841932.28507519246</v>
      </c>
      <c r="S67" s="85">
        <f>IFERROR(P67/K67,"")</f>
        <v>352.56795857420121</v>
      </c>
      <c r="T67" s="350">
        <f>IFERROR(R67/M67,"")</f>
        <v>352.56795857420121</v>
      </c>
      <c r="U67" s="118">
        <f>'As-Filed Schedule 3'!O67</f>
        <v>112513.63253184987</v>
      </c>
      <c r="V67" s="342">
        <f>SUMIFS(Adjustments!$G:$G,Adjustments!$H:$H,"3",Adjustments!$I:$I,'Schedule 3 Adjustments'!$U$13,Adjustments!$J:$J,$A67)</f>
        <v>0</v>
      </c>
      <c r="W67" s="346">
        <f>SUM(U67:V67)</f>
        <v>112513.63253184987</v>
      </c>
      <c r="X67" s="85">
        <f>IFERROR(U67/K67,"")</f>
        <v>47.116261529250366</v>
      </c>
      <c r="Y67" s="85">
        <f>IFERROR(W67/M67,"")</f>
        <v>47.116261529250366</v>
      </c>
      <c r="Z67" s="86">
        <f>IF(P67=0,"",P67-U67)</f>
        <v>729418.65254334256</v>
      </c>
      <c r="AA67" s="352">
        <f>IF(R67=0,"",R67-W67)</f>
        <v>729418.65254334256</v>
      </c>
      <c r="AB67" s="85">
        <f>IFERROR(Z67/K67,"")</f>
        <v>305.45169704495083</v>
      </c>
      <c r="AC67" s="350">
        <f>IFERROR(AA67/M67,"")</f>
        <v>305.45169704495083</v>
      </c>
    </row>
    <row r="68" spans="1:29" x14ac:dyDescent="0.35">
      <c r="A68" s="100" t="s">
        <v>447</v>
      </c>
      <c r="B68" s="87"/>
      <c r="C68" s="87"/>
      <c r="D68" s="87"/>
      <c r="E68" s="87"/>
      <c r="F68" s="124"/>
      <c r="G68" s="126"/>
      <c r="H68" s="126"/>
      <c r="I68" s="103"/>
      <c r="J68" s="362" t="str">
        <f>'As-Filed Schedule 3'!J68</f>
        <v>H0019</v>
      </c>
      <c r="K68" s="408">
        <f>'As-Filed Schedule 3'!K68</f>
        <v>2388</v>
      </c>
      <c r="L68" s="410">
        <f>SUMIFS(Adjustments!$G:$G,Adjustments!$H:$H,"3",Adjustments!$I:$I,'Schedule 3 Adjustments'!$K$13,Adjustments!$J:$J,"11a")</f>
        <v>0</v>
      </c>
      <c r="M68" s="412">
        <f>SUM(K68:L68)</f>
        <v>2388</v>
      </c>
      <c r="N68" s="89"/>
      <c r="O68" s="347"/>
      <c r="P68" s="87"/>
      <c r="Q68" s="343"/>
      <c r="R68" s="347"/>
      <c r="S68" s="87"/>
      <c r="T68" s="347"/>
      <c r="U68" s="87"/>
      <c r="V68" s="343"/>
      <c r="W68" s="347"/>
      <c r="X68" s="87"/>
      <c r="Y68" s="347"/>
      <c r="Z68" s="87"/>
      <c r="AA68" s="347"/>
      <c r="AB68" s="87"/>
      <c r="AC68" s="347"/>
    </row>
    <row r="69" spans="1:29" x14ac:dyDescent="0.35">
      <c r="A69" s="101" t="s">
        <v>448</v>
      </c>
      <c r="B69" s="88"/>
      <c r="C69" s="88"/>
      <c r="D69" s="88"/>
      <c r="E69" s="88"/>
      <c r="F69" s="125"/>
      <c r="G69" s="127"/>
      <c r="H69" s="127"/>
      <c r="I69" s="104"/>
      <c r="J69" s="362">
        <f>'As-Filed Schedule 3'!J69</f>
        <v>0</v>
      </c>
      <c r="K69" s="408">
        <f>'As-Filed Schedule 3'!K69</f>
        <v>0</v>
      </c>
      <c r="L69" s="410">
        <f>SUMIFS(Adjustments!$G:$G,Adjustments!$H:$H,"3",Adjustments!$I:$I,'Schedule 3 Adjustments'!$K$13,Adjustments!$J:$J,"11b")</f>
        <v>0</v>
      </c>
      <c r="M69" s="412">
        <f>SUM(K69:L69)</f>
        <v>0</v>
      </c>
      <c r="N69" s="90"/>
      <c r="O69" s="348"/>
      <c r="P69" s="88"/>
      <c r="Q69" s="344"/>
      <c r="R69" s="348"/>
      <c r="S69" s="88"/>
      <c r="T69" s="348"/>
      <c r="U69" s="88"/>
      <c r="V69" s="344"/>
      <c r="W69" s="348"/>
      <c r="X69" s="88"/>
      <c r="Y69" s="348"/>
      <c r="Z69" s="88"/>
      <c r="AA69" s="348"/>
      <c r="AB69" s="88"/>
      <c r="AC69" s="348"/>
    </row>
    <row r="70" spans="1:29" x14ac:dyDescent="0.35">
      <c r="A70" s="102" t="s">
        <v>449</v>
      </c>
      <c r="B70" s="88"/>
      <c r="C70" s="88"/>
      <c r="D70" s="88"/>
      <c r="E70" s="88"/>
      <c r="F70" s="125"/>
      <c r="G70" s="127"/>
      <c r="H70" s="127"/>
      <c r="I70" s="104"/>
      <c r="J70" s="362">
        <f>'As-Filed Schedule 3'!J70</f>
        <v>0</v>
      </c>
      <c r="K70" s="408">
        <f>'As-Filed Schedule 3'!K70</f>
        <v>0</v>
      </c>
      <c r="L70" s="410">
        <f>SUMIFS(Adjustments!$G:$G,Adjustments!$H:$H,"3",Adjustments!$I:$I,'Schedule 3 Adjustments'!$K$13,Adjustments!$J:$J,"11c")</f>
        <v>0</v>
      </c>
      <c r="M70" s="412">
        <f>SUM(K70:L70)</f>
        <v>0</v>
      </c>
      <c r="N70" s="90"/>
      <c r="O70" s="348"/>
      <c r="P70" s="88"/>
      <c r="Q70" s="344"/>
      <c r="R70" s="348"/>
      <c r="S70" s="88"/>
      <c r="T70" s="348"/>
      <c r="U70" s="88"/>
      <c r="V70" s="344"/>
      <c r="W70" s="348"/>
      <c r="X70" s="88"/>
      <c r="Y70" s="348"/>
      <c r="Z70" s="88"/>
      <c r="AA70" s="348"/>
      <c r="AB70" s="88"/>
      <c r="AC70" s="348"/>
    </row>
    <row r="71" spans="1:29" x14ac:dyDescent="0.35">
      <c r="J71" s="99"/>
      <c r="N71" s="28"/>
      <c r="O71" s="340"/>
    </row>
    <row r="72" spans="1:29" s="34" customFormat="1" x14ac:dyDescent="0.35">
      <c r="A72" s="84">
        <v>12</v>
      </c>
      <c r="B72" s="577" t="str">
        <f>'As-Filed Schedule 3'!B72:C72</f>
        <v xml:space="preserve"> 400-672-Grant House</v>
      </c>
      <c r="C72" s="578"/>
      <c r="D72" s="358" t="str">
        <f>'As-Filed Schedule 3'!D72</f>
        <v>Residential</v>
      </c>
      <c r="E72" s="358" t="str">
        <f>'As-Filed Schedule 3'!E72</f>
        <v>ALR</v>
      </c>
      <c r="F72" s="357">
        <f>'As-Filed Schedule 3'!F72</f>
        <v>10</v>
      </c>
      <c r="G72" s="356">
        <f>'As-Filed Schedule 3'!G72</f>
        <v>0</v>
      </c>
      <c r="H72" s="356">
        <f>'As-Filed Schedule 3'!H72</f>
        <v>0</v>
      </c>
      <c r="I72" s="130">
        <f>IF(B72=0,"",IF(AND(G72=0,H72=0),365,IF(AND(G72&gt;0,H72=0),$C$6-G72+1,IF(AND(G72=0,H72&gt;0),H72-($C$6-365),H72-G72+1))))</f>
        <v>365</v>
      </c>
      <c r="J72" s="98"/>
      <c r="K72" s="407">
        <f>SUM(K73:K75)</f>
        <v>3162</v>
      </c>
      <c r="L72" s="409">
        <f>SUM(L73:L75)</f>
        <v>0</v>
      </c>
      <c r="M72" s="411">
        <f>SUM(M73:M75)</f>
        <v>3162</v>
      </c>
      <c r="N72" s="91">
        <f>IF(K72&gt;0,K72/(F72*I72),"")</f>
        <v>0.86630136986301365</v>
      </c>
      <c r="O72" s="339">
        <f>IF(M72&gt;0,M72/(F72*I72),"")</f>
        <v>0.86630136986301365</v>
      </c>
      <c r="P72" s="118">
        <f>'As-Filed Schedule 3'!M72</f>
        <v>1042920.1595276883</v>
      </c>
      <c r="Q72" s="342">
        <f>SUMIFS(Adjustments!$G:$G,Adjustments!$H:$H,"3",Adjustments!$I:$I,'Schedule 3 Adjustments'!$P$13,Adjustments!$J:$J,'As-Filed Schedule 3'!A72)</f>
        <v>0</v>
      </c>
      <c r="R72" s="346">
        <f>SUM(P72:Q72)</f>
        <v>1042920.1595276883</v>
      </c>
      <c r="S72" s="85">
        <f>IFERROR(P72/K72,"")</f>
        <v>329.8292724628995</v>
      </c>
      <c r="T72" s="350">
        <f>IFERROR(R72/M72,"")</f>
        <v>329.8292724628995</v>
      </c>
      <c r="U72" s="118">
        <f>'As-Filed Schedule 3'!O72</f>
        <v>181963.3767863416</v>
      </c>
      <c r="V72" s="342">
        <f>SUMIFS(Adjustments!$G:$G,Adjustments!$H:$H,"3",Adjustments!$I:$I,'Schedule 3 Adjustments'!$U$13,Adjustments!$J:$J,$A72)</f>
        <v>0</v>
      </c>
      <c r="W72" s="346">
        <f>SUM(U72:V72)</f>
        <v>181963.3767863416</v>
      </c>
      <c r="X72" s="85">
        <f>IFERROR(U72/K72,"")</f>
        <v>57.546924979867676</v>
      </c>
      <c r="Y72" s="85">
        <f>IFERROR(W72/M72,"")</f>
        <v>57.546924979867676</v>
      </c>
      <c r="Z72" s="86">
        <f>IF(P72=0,"",P72-U72)</f>
        <v>860956.78274134663</v>
      </c>
      <c r="AA72" s="352">
        <f>IF(R72=0,"",R72-W72)</f>
        <v>860956.78274134663</v>
      </c>
      <c r="AB72" s="85">
        <f>IFERROR(Z72/K72,"")</f>
        <v>272.2823474830318</v>
      </c>
      <c r="AC72" s="350">
        <f>IFERROR(AA72/M72,"")</f>
        <v>272.2823474830318</v>
      </c>
    </row>
    <row r="73" spans="1:29" x14ac:dyDescent="0.35">
      <c r="A73" s="100" t="s">
        <v>447</v>
      </c>
      <c r="B73" s="87"/>
      <c r="C73" s="87"/>
      <c r="D73" s="87"/>
      <c r="E73" s="87"/>
      <c r="F73" s="124"/>
      <c r="G73" s="126"/>
      <c r="H73" s="126"/>
      <c r="I73" s="103"/>
      <c r="J73" s="362" t="str">
        <f>'As-Filed Schedule 3'!J73</f>
        <v>H0019</v>
      </c>
      <c r="K73" s="408">
        <f>'As-Filed Schedule 3'!K73</f>
        <v>3162</v>
      </c>
      <c r="L73" s="410">
        <f>SUMIFS(Adjustments!$G:$G,Adjustments!$H:$H,"3",Adjustments!$I:$I,'Schedule 3 Adjustments'!$K$13,Adjustments!$J:$J,"12a")</f>
        <v>0</v>
      </c>
      <c r="M73" s="412">
        <f>SUM(K73:L73)</f>
        <v>3162</v>
      </c>
      <c r="N73" s="89"/>
      <c r="O73" s="347"/>
      <c r="P73" s="87"/>
      <c r="Q73" s="343"/>
      <c r="R73" s="347"/>
      <c r="S73" s="87"/>
      <c r="T73" s="347"/>
      <c r="U73" s="87"/>
      <c r="V73" s="343"/>
      <c r="W73" s="347"/>
      <c r="X73" s="87"/>
      <c r="Y73" s="347"/>
      <c r="Z73" s="87"/>
      <c r="AA73" s="347"/>
      <c r="AB73" s="87"/>
      <c r="AC73" s="347"/>
    </row>
    <row r="74" spans="1:29" x14ac:dyDescent="0.35">
      <c r="A74" s="101" t="s">
        <v>448</v>
      </c>
      <c r="B74" s="88"/>
      <c r="C74" s="88"/>
      <c r="D74" s="88"/>
      <c r="E74" s="88"/>
      <c r="F74" s="125"/>
      <c r="G74" s="127"/>
      <c r="H74" s="127"/>
      <c r="I74" s="104"/>
      <c r="J74" s="362">
        <f>'As-Filed Schedule 3'!J74</f>
        <v>0</v>
      </c>
      <c r="K74" s="408">
        <f>'As-Filed Schedule 3'!K74</f>
        <v>0</v>
      </c>
      <c r="L74" s="410">
        <f>SUMIFS(Adjustments!$G:$G,Adjustments!$H:$H,"3",Adjustments!$I:$I,'Schedule 3 Adjustments'!$K$13,Adjustments!$J:$J,"12b")</f>
        <v>0</v>
      </c>
      <c r="M74" s="412">
        <f>SUM(K74:L74)</f>
        <v>0</v>
      </c>
      <c r="N74" s="90"/>
      <c r="O74" s="348"/>
      <c r="P74" s="88"/>
      <c r="Q74" s="344"/>
      <c r="R74" s="348"/>
      <c r="S74" s="88"/>
      <c r="T74" s="348"/>
      <c r="U74" s="88"/>
      <c r="V74" s="344"/>
      <c r="W74" s="348"/>
      <c r="X74" s="88"/>
      <c r="Y74" s="348"/>
      <c r="Z74" s="88"/>
      <c r="AA74" s="348"/>
      <c r="AB74" s="88"/>
      <c r="AC74" s="348"/>
    </row>
    <row r="75" spans="1:29" x14ac:dyDescent="0.35">
      <c r="A75" s="102" t="s">
        <v>449</v>
      </c>
      <c r="B75" s="88"/>
      <c r="C75" s="88"/>
      <c r="D75" s="88"/>
      <c r="E75" s="88"/>
      <c r="F75" s="125"/>
      <c r="G75" s="127"/>
      <c r="H75" s="127"/>
      <c r="I75" s="104"/>
      <c r="J75" s="362">
        <f>'As-Filed Schedule 3'!J75</f>
        <v>0</v>
      </c>
      <c r="K75" s="408">
        <f>'As-Filed Schedule 3'!K75</f>
        <v>0</v>
      </c>
      <c r="L75" s="410">
        <f>SUMIFS(Adjustments!$G:$G,Adjustments!$H:$H,"3",Adjustments!$I:$I,'Schedule 3 Adjustments'!$K$13,Adjustments!$J:$J,"12c")</f>
        <v>0</v>
      </c>
      <c r="M75" s="412">
        <f>SUM(K75:L75)</f>
        <v>0</v>
      </c>
      <c r="N75" s="90"/>
      <c r="O75" s="348"/>
      <c r="P75" s="88"/>
      <c r="Q75" s="344"/>
      <c r="R75" s="348"/>
      <c r="S75" s="88"/>
      <c r="T75" s="348"/>
      <c r="U75" s="88"/>
      <c r="V75" s="344"/>
      <c r="W75" s="348"/>
      <c r="X75" s="88"/>
      <c r="Y75" s="348"/>
      <c r="Z75" s="88"/>
      <c r="AA75" s="348"/>
      <c r="AB75" s="88"/>
      <c r="AC75" s="348"/>
    </row>
    <row r="76" spans="1:29" x14ac:dyDescent="0.35">
      <c r="J76" s="99"/>
      <c r="N76" s="28"/>
      <c r="O76" s="340"/>
    </row>
    <row r="77" spans="1:29" s="34" customFormat="1" x14ac:dyDescent="0.35">
      <c r="A77" s="84">
        <v>13</v>
      </c>
      <c r="B77" s="577" t="str">
        <f>'As-Filed Schedule 3'!B77:C77</f>
        <v>400-673-Garfield Apartments</v>
      </c>
      <c r="C77" s="578"/>
      <c r="D77" s="358" t="str">
        <f>'As-Filed Schedule 3'!D77</f>
        <v>Apartments</v>
      </c>
      <c r="E77" s="358">
        <f>'As-Filed Schedule 3'!E77</f>
        <v>0</v>
      </c>
      <c r="F77" s="357">
        <f>'As-Filed Schedule 3'!F77</f>
        <v>0</v>
      </c>
      <c r="G77" s="356">
        <f>'As-Filed Schedule 3'!G77</f>
        <v>0</v>
      </c>
      <c r="H77" s="356">
        <f>'As-Filed Schedule 3'!H77</f>
        <v>0</v>
      </c>
      <c r="I77" s="130">
        <f>IF(B77=0,"",IF(AND(G77=0,H77=0),365,IF(AND(G77&gt;0,H77=0),$C$6-G77+1,IF(AND(G77=0,H77&gt;0),H77-($C$6-365),H77-G77+1))))</f>
        <v>365</v>
      </c>
      <c r="J77" s="98"/>
      <c r="K77" s="407">
        <f>SUM(K78:K80)</f>
        <v>0</v>
      </c>
      <c r="L77" s="409">
        <f>SUM(L78:L80)</f>
        <v>0</v>
      </c>
      <c r="M77" s="411">
        <f>SUM(M78:M80)</f>
        <v>0</v>
      </c>
      <c r="N77" s="91" t="str">
        <f>IF(K77&gt;0,K77/(F77*I77),"")</f>
        <v/>
      </c>
      <c r="O77" s="339" t="str">
        <f>IF(M77&gt;0,M77/(F77*I77),"")</f>
        <v/>
      </c>
      <c r="P77" s="118">
        <f>'As-Filed Schedule 3'!M77</f>
        <v>242820.01644591751</v>
      </c>
      <c r="Q77" s="342">
        <f>SUMIFS(Adjustments!$G:$G,Adjustments!$H:$H,"3",Adjustments!$I:$I,'Schedule 3 Adjustments'!$P$13,Adjustments!$J:$J,'As-Filed Schedule 3'!A77)</f>
        <v>0</v>
      </c>
      <c r="R77" s="346">
        <f>SUM(P77:Q77)</f>
        <v>242820.01644591751</v>
      </c>
      <c r="S77" s="85" t="str">
        <f>IFERROR(P77/K77,"")</f>
        <v/>
      </c>
      <c r="T77" s="350" t="str">
        <f>IFERROR(R77/M77,"")</f>
        <v/>
      </c>
      <c r="U77" s="118">
        <f>'As-Filed Schedule 3'!O77</f>
        <v>0</v>
      </c>
      <c r="V77" s="342">
        <f>SUMIFS(Adjustments!$G:$G,Adjustments!$H:$H,"3",Adjustments!$I:$I,'Schedule 3 Adjustments'!$U$13,Adjustments!$J:$J,$A77)</f>
        <v>0</v>
      </c>
      <c r="W77" s="346">
        <f>SUM(U77:V77)</f>
        <v>0</v>
      </c>
      <c r="X77" s="85" t="str">
        <f>IFERROR(U77/K77,"")</f>
        <v/>
      </c>
      <c r="Y77" s="85" t="str">
        <f>IFERROR(W77/M77,"")</f>
        <v/>
      </c>
      <c r="Z77" s="86">
        <f>IF(P77=0,"",P77-U77)</f>
        <v>242820.01644591751</v>
      </c>
      <c r="AA77" s="352">
        <f>IF(R77=0,"",R77-W77)</f>
        <v>242820.01644591751</v>
      </c>
      <c r="AB77" s="85" t="str">
        <f>IFERROR(Z77/K77,"")</f>
        <v/>
      </c>
      <c r="AC77" s="350" t="str">
        <f>IFERROR(AA77/M77,"")</f>
        <v/>
      </c>
    </row>
    <row r="78" spans="1:29" x14ac:dyDescent="0.35">
      <c r="A78" s="100" t="s">
        <v>447</v>
      </c>
      <c r="B78" s="87"/>
      <c r="C78" s="87"/>
      <c r="D78" s="87"/>
      <c r="E78" s="87"/>
      <c r="F78" s="124"/>
      <c r="G78" s="126"/>
      <c r="H78" s="126"/>
      <c r="I78" s="103"/>
      <c r="J78" s="362">
        <f>'As-Filed Schedule 3'!J78</f>
        <v>0</v>
      </c>
      <c r="K78" s="408">
        <f>'As-Filed Schedule 3'!K78</f>
        <v>0</v>
      </c>
      <c r="L78" s="410">
        <f>SUMIFS(Adjustments!$G:$G,Adjustments!$H:$H,"3",Adjustments!$I:$I,'Schedule 3 Adjustments'!$K$13,Adjustments!$J:$J,"13a")</f>
        <v>0</v>
      </c>
      <c r="M78" s="412">
        <f>SUM(K78:L78)</f>
        <v>0</v>
      </c>
      <c r="N78" s="89"/>
      <c r="O78" s="347"/>
      <c r="P78" s="87"/>
      <c r="Q78" s="343"/>
      <c r="R78" s="347"/>
      <c r="S78" s="87"/>
      <c r="T78" s="347"/>
      <c r="U78" s="87"/>
      <c r="V78" s="343"/>
      <c r="W78" s="347"/>
      <c r="X78" s="87"/>
      <c r="Y78" s="347"/>
      <c r="Z78" s="87"/>
      <c r="AA78" s="347"/>
      <c r="AB78" s="87"/>
      <c r="AC78" s="347"/>
    </row>
    <row r="79" spans="1:29" x14ac:dyDescent="0.35">
      <c r="A79" s="101" t="s">
        <v>448</v>
      </c>
      <c r="B79" s="88"/>
      <c r="C79" s="88"/>
      <c r="D79" s="88"/>
      <c r="E79" s="88"/>
      <c r="F79" s="125"/>
      <c r="G79" s="127"/>
      <c r="H79" s="127"/>
      <c r="I79" s="104"/>
      <c r="J79" s="362">
        <f>'As-Filed Schedule 3'!J79</f>
        <v>0</v>
      </c>
      <c r="K79" s="408">
        <f>'As-Filed Schedule 3'!K79</f>
        <v>0</v>
      </c>
      <c r="L79" s="410">
        <f>SUMIFS(Adjustments!$G:$G,Adjustments!$H:$H,"3",Adjustments!$I:$I,'Schedule 3 Adjustments'!$K$13,Adjustments!$J:$J,"13b")</f>
        <v>0</v>
      </c>
      <c r="M79" s="412">
        <f>SUM(K79:L79)</f>
        <v>0</v>
      </c>
      <c r="N79" s="90"/>
      <c r="O79" s="348"/>
      <c r="P79" s="88"/>
      <c r="Q79" s="344"/>
      <c r="R79" s="348"/>
      <c r="S79" s="88"/>
      <c r="T79" s="348"/>
      <c r="U79" s="88"/>
      <c r="V79" s="344"/>
      <c r="W79" s="348"/>
      <c r="X79" s="88"/>
      <c r="Y79" s="348"/>
      <c r="Z79" s="88"/>
      <c r="AA79" s="348"/>
      <c r="AB79" s="88"/>
      <c r="AC79" s="348"/>
    </row>
    <row r="80" spans="1:29" x14ac:dyDescent="0.35">
      <c r="A80" s="102" t="s">
        <v>449</v>
      </c>
      <c r="B80" s="88"/>
      <c r="C80" s="88"/>
      <c r="D80" s="88"/>
      <c r="E80" s="88"/>
      <c r="F80" s="125"/>
      <c r="G80" s="127"/>
      <c r="H80" s="127"/>
      <c r="I80" s="104"/>
      <c r="J80" s="362">
        <f>'As-Filed Schedule 3'!J80</f>
        <v>0</v>
      </c>
      <c r="K80" s="408">
        <f>'As-Filed Schedule 3'!K80</f>
        <v>0</v>
      </c>
      <c r="L80" s="410">
        <f>SUMIFS(Adjustments!$G:$G,Adjustments!$H:$H,"3",Adjustments!$I:$I,'Schedule 3 Adjustments'!$K$13,Adjustments!$J:$J,"13c")</f>
        <v>0</v>
      </c>
      <c r="M80" s="412">
        <f>SUM(K80:L80)</f>
        <v>0</v>
      </c>
      <c r="N80" s="90"/>
      <c r="O80" s="348"/>
      <c r="P80" s="88"/>
      <c r="Q80" s="344"/>
      <c r="R80" s="348"/>
      <c r="S80" s="88"/>
      <c r="T80" s="348"/>
      <c r="U80" s="88"/>
      <c r="V80" s="344"/>
      <c r="W80" s="348"/>
      <c r="X80" s="88"/>
      <c r="Y80" s="348"/>
      <c r="Z80" s="88"/>
      <c r="AA80" s="348"/>
      <c r="AB80" s="88"/>
      <c r="AC80" s="348"/>
    </row>
    <row r="81" spans="1:29" x14ac:dyDescent="0.35">
      <c r="J81" s="99"/>
      <c r="N81" s="28"/>
      <c r="O81" s="340"/>
    </row>
    <row r="82" spans="1:29" s="34" customFormat="1" x14ac:dyDescent="0.35">
      <c r="A82" s="84">
        <v>14</v>
      </c>
      <c r="B82" s="577" t="str">
        <f>'As-Filed Schedule 3'!B82:C82</f>
        <v xml:space="preserve"> 400-674-Vine Apartments</v>
      </c>
      <c r="C82" s="578"/>
      <c r="D82" s="358" t="str">
        <f>'As-Filed Schedule 3'!D82</f>
        <v>Apartments</v>
      </c>
      <c r="E82" s="358">
        <f>'As-Filed Schedule 3'!E82</f>
        <v>0</v>
      </c>
      <c r="F82" s="357">
        <f>'As-Filed Schedule 3'!F82</f>
        <v>0</v>
      </c>
      <c r="G82" s="356">
        <f>'As-Filed Schedule 3'!G82</f>
        <v>0</v>
      </c>
      <c r="H82" s="356">
        <f>'As-Filed Schedule 3'!H82</f>
        <v>0</v>
      </c>
      <c r="I82" s="130">
        <f>IF(B82=0,"",IF(AND(G82=0,H82=0),365,IF(AND(G82&gt;0,H82=0),$C$6-G82+1,IF(AND(G82=0,H82&gt;0),H82-($C$6-365),H82-G82+1))))</f>
        <v>365</v>
      </c>
      <c r="J82" s="98"/>
      <c r="K82" s="407">
        <f>SUM(K83:K85)</f>
        <v>0</v>
      </c>
      <c r="L82" s="409">
        <f>SUM(L83:L85)</f>
        <v>0</v>
      </c>
      <c r="M82" s="411">
        <f>SUM(M83:M85)</f>
        <v>0</v>
      </c>
      <c r="N82" s="91" t="str">
        <f>IF(K82&gt;0,K82/(F82*I82),"")</f>
        <v/>
      </c>
      <c r="O82" s="339" t="str">
        <f>IF(M82&gt;0,M82/(F82*I82),"")</f>
        <v/>
      </c>
      <c r="P82" s="118">
        <f>'As-Filed Schedule 3'!M82</f>
        <v>108935.4</v>
      </c>
      <c r="Q82" s="342">
        <f>SUMIFS(Adjustments!$G:$G,Adjustments!$H:$H,"3",Adjustments!$I:$I,'Schedule 3 Adjustments'!$P$13,Adjustments!$J:$J,'As-Filed Schedule 3'!A82)</f>
        <v>0</v>
      </c>
      <c r="R82" s="346">
        <f>SUM(P82:Q82)</f>
        <v>108935.4</v>
      </c>
      <c r="S82" s="85" t="str">
        <f>IFERROR(P82/K82,"")</f>
        <v/>
      </c>
      <c r="T82" s="350" t="str">
        <f>IFERROR(R82/M82,"")</f>
        <v/>
      </c>
      <c r="U82" s="118">
        <f>'As-Filed Schedule 3'!O82</f>
        <v>0</v>
      </c>
      <c r="V82" s="342">
        <f>SUMIFS(Adjustments!$G:$G,Adjustments!$H:$H,"3",Adjustments!$I:$I,'Schedule 3 Adjustments'!$U$13,Adjustments!$J:$J,$A82)</f>
        <v>0</v>
      </c>
      <c r="W82" s="346">
        <f>SUM(U82:V82)</f>
        <v>0</v>
      </c>
      <c r="X82" s="85" t="str">
        <f>IFERROR(U82/K82,"")</f>
        <v/>
      </c>
      <c r="Y82" s="85" t="str">
        <f>IFERROR(W82/M82,"")</f>
        <v/>
      </c>
      <c r="Z82" s="86">
        <f>IF(P82=0,"",P82-U82)</f>
        <v>108935.4</v>
      </c>
      <c r="AA82" s="352">
        <f>IF(R82=0,"",R82-W82)</f>
        <v>108935.4</v>
      </c>
      <c r="AB82" s="85" t="str">
        <f>IFERROR(Z82/K82,"")</f>
        <v/>
      </c>
      <c r="AC82" s="350" t="str">
        <f>IFERROR(AA82/M82,"")</f>
        <v/>
      </c>
    </row>
    <row r="83" spans="1:29" x14ac:dyDescent="0.35">
      <c r="A83" s="100" t="s">
        <v>447</v>
      </c>
      <c r="B83" s="87"/>
      <c r="C83" s="87"/>
      <c r="D83" s="87"/>
      <c r="E83" s="87"/>
      <c r="F83" s="124"/>
      <c r="G83" s="126"/>
      <c r="H83" s="126"/>
      <c r="I83" s="103"/>
      <c r="J83" s="362">
        <f>'As-Filed Schedule 3'!J83</f>
        <v>0</v>
      </c>
      <c r="K83" s="408">
        <f>'As-Filed Schedule 3'!K83</f>
        <v>0</v>
      </c>
      <c r="L83" s="410">
        <f>SUMIFS(Adjustments!$G:$G,Adjustments!$H:$H,"3",Adjustments!$I:$I,'Schedule 3 Adjustments'!$K$13,Adjustments!$J:$J,"14a")</f>
        <v>0</v>
      </c>
      <c r="M83" s="412">
        <f>SUM(K83:L83)</f>
        <v>0</v>
      </c>
      <c r="N83" s="89"/>
      <c r="O83" s="347"/>
      <c r="P83" s="87"/>
      <c r="Q83" s="343"/>
      <c r="R83" s="347"/>
      <c r="S83" s="87"/>
      <c r="T83" s="347"/>
      <c r="U83" s="87"/>
      <c r="V83" s="343"/>
      <c r="W83" s="347"/>
      <c r="X83" s="87"/>
      <c r="Y83" s="347"/>
      <c r="Z83" s="87"/>
      <c r="AA83" s="347"/>
      <c r="AB83" s="87"/>
      <c r="AC83" s="347"/>
    </row>
    <row r="84" spans="1:29" x14ac:dyDescent="0.35">
      <c r="A84" s="101" t="s">
        <v>448</v>
      </c>
      <c r="B84" s="88"/>
      <c r="C84" s="88"/>
      <c r="D84" s="88"/>
      <c r="E84" s="88"/>
      <c r="F84" s="125"/>
      <c r="G84" s="127"/>
      <c r="H84" s="127"/>
      <c r="I84" s="104"/>
      <c r="J84" s="362">
        <f>'As-Filed Schedule 3'!J84</f>
        <v>0</v>
      </c>
      <c r="K84" s="408">
        <f>'As-Filed Schedule 3'!K84</f>
        <v>0</v>
      </c>
      <c r="L84" s="410">
        <f>SUMIFS(Adjustments!$G:$G,Adjustments!$H:$H,"3",Adjustments!$I:$I,'Schedule 3 Adjustments'!$K$13,Adjustments!$J:$J,"14b")</f>
        <v>0</v>
      </c>
      <c r="M84" s="412">
        <f>SUM(K84:L84)</f>
        <v>0</v>
      </c>
      <c r="N84" s="90"/>
      <c r="O84" s="348"/>
      <c r="P84" s="88"/>
      <c r="Q84" s="344"/>
      <c r="R84" s="348"/>
      <c r="S84" s="88"/>
      <c r="T84" s="348"/>
      <c r="U84" s="88"/>
      <c r="V84" s="344"/>
      <c r="W84" s="348"/>
      <c r="X84" s="88"/>
      <c r="Y84" s="348"/>
      <c r="Z84" s="88"/>
      <c r="AA84" s="348"/>
      <c r="AB84" s="88"/>
      <c r="AC84" s="348"/>
    </row>
    <row r="85" spans="1:29" x14ac:dyDescent="0.35">
      <c r="A85" s="102" t="s">
        <v>449</v>
      </c>
      <c r="B85" s="88"/>
      <c r="C85" s="88"/>
      <c r="D85" s="88"/>
      <c r="E85" s="88"/>
      <c r="F85" s="125"/>
      <c r="G85" s="127"/>
      <c r="H85" s="127"/>
      <c r="I85" s="104"/>
      <c r="J85" s="362">
        <f>'As-Filed Schedule 3'!J85</f>
        <v>0</v>
      </c>
      <c r="K85" s="408">
        <f>'As-Filed Schedule 3'!K85</f>
        <v>0</v>
      </c>
      <c r="L85" s="410">
        <f>SUMIFS(Adjustments!$G:$G,Adjustments!$H:$H,"3",Adjustments!$I:$I,'Schedule 3 Adjustments'!$K$13,Adjustments!$J:$J,"14c")</f>
        <v>0</v>
      </c>
      <c r="M85" s="412">
        <f>SUM(K85:L85)</f>
        <v>0</v>
      </c>
      <c r="N85" s="90"/>
      <c r="O85" s="348"/>
      <c r="P85" s="88"/>
      <c r="Q85" s="344"/>
      <c r="R85" s="348"/>
      <c r="S85" s="88"/>
      <c r="T85" s="348"/>
      <c r="U85" s="88"/>
      <c r="V85" s="344"/>
      <c r="W85" s="348"/>
      <c r="X85" s="88"/>
      <c r="Y85" s="348"/>
      <c r="Z85" s="88"/>
      <c r="AA85" s="348"/>
      <c r="AB85" s="88"/>
      <c r="AC85" s="348"/>
    </row>
    <row r="86" spans="1:29" x14ac:dyDescent="0.35">
      <c r="J86" s="99"/>
      <c r="N86" s="28"/>
      <c r="O86" s="340"/>
    </row>
    <row r="87" spans="1:29" s="34" customFormat="1" x14ac:dyDescent="0.35">
      <c r="A87" s="84">
        <v>15</v>
      </c>
      <c r="B87" s="577" t="str">
        <f>'As-Filed Schedule 3'!B87:C87</f>
        <v xml:space="preserve"> 400-682-Narcissus House</v>
      </c>
      <c r="C87" s="578"/>
      <c r="D87" s="358" t="str">
        <f>'As-Filed Schedule 3'!D87</f>
        <v>Residential</v>
      </c>
      <c r="E87" s="358" t="str">
        <f>'As-Filed Schedule 3'!E87</f>
        <v>ALR</v>
      </c>
      <c r="F87" s="357">
        <f>'As-Filed Schedule 3'!F87</f>
        <v>6</v>
      </c>
      <c r="G87" s="356">
        <f>'As-Filed Schedule 3'!G87</f>
        <v>0</v>
      </c>
      <c r="H87" s="356">
        <f>'As-Filed Schedule 3'!H87</f>
        <v>0</v>
      </c>
      <c r="I87" s="130">
        <f>IF(B87=0,"",IF(AND(G87=0,H87=0),365,IF(AND(G87&gt;0,H87=0),$C$6-G87+1,IF(AND(G87=0,H87&gt;0),H87-($C$6-365),H87-G87+1))))</f>
        <v>365</v>
      </c>
      <c r="J87" s="98"/>
      <c r="K87" s="407">
        <f>SUM(K88:K90)</f>
        <v>2022</v>
      </c>
      <c r="L87" s="409">
        <f>SUM(L88:L90)</f>
        <v>0</v>
      </c>
      <c r="M87" s="411">
        <f>SUM(M88:M90)</f>
        <v>2022</v>
      </c>
      <c r="N87" s="91">
        <f>IF(K87&gt;0,K87/(F87*I87),"")</f>
        <v>0.92328767123287669</v>
      </c>
      <c r="O87" s="339">
        <f>IF(M87&gt;0,M87/(F87*I87),"")</f>
        <v>0.92328767123287669</v>
      </c>
      <c r="P87" s="118">
        <f>'As-Filed Schedule 3'!M87</f>
        <v>695206.86879630492</v>
      </c>
      <c r="Q87" s="342">
        <f>SUMIFS(Adjustments!$G:$G,Adjustments!$H:$H,"3",Adjustments!$I:$I,'Schedule 3 Adjustments'!$P$13,Adjustments!$J:$J,'As-Filed Schedule 3'!A87)</f>
        <v>0</v>
      </c>
      <c r="R87" s="346">
        <f>SUM(P87:Q87)</f>
        <v>695206.86879630492</v>
      </c>
      <c r="S87" s="85">
        <f>IFERROR(P87/K87,"")</f>
        <v>343.82139900905287</v>
      </c>
      <c r="T87" s="350">
        <f>IFERROR(R87/M87,"")</f>
        <v>343.82139900905287</v>
      </c>
      <c r="U87" s="118">
        <f>'As-Filed Schedule 3'!O87</f>
        <v>98068.57660649193</v>
      </c>
      <c r="V87" s="342">
        <f>SUMIFS(Adjustments!$G:$G,Adjustments!$H:$H,"3",Adjustments!$I:$I,'Schedule 3 Adjustments'!$U$13,Adjustments!$J:$J,$A87)</f>
        <v>0</v>
      </c>
      <c r="W87" s="346">
        <f>SUM(U87:V87)</f>
        <v>98068.57660649193</v>
      </c>
      <c r="X87" s="85">
        <f>IFERROR(U87/K87,"")</f>
        <v>48.500779726257136</v>
      </c>
      <c r="Y87" s="85">
        <f>IFERROR(W87/M87,"")</f>
        <v>48.500779726257136</v>
      </c>
      <c r="Z87" s="86">
        <f>IF(P87=0,"",P87-U87)</f>
        <v>597138.29218981299</v>
      </c>
      <c r="AA87" s="352">
        <f>IF(R87=0,"",R87-W87)</f>
        <v>597138.29218981299</v>
      </c>
      <c r="AB87" s="85">
        <f>IFERROR(Z87/K87,"")</f>
        <v>295.32061928279575</v>
      </c>
      <c r="AC87" s="350">
        <f>IFERROR(AA87/M87,"")</f>
        <v>295.32061928279575</v>
      </c>
    </row>
    <row r="88" spans="1:29" x14ac:dyDescent="0.35">
      <c r="A88" s="100" t="s">
        <v>447</v>
      </c>
      <c r="B88" s="87"/>
      <c r="C88" s="87"/>
      <c r="D88" s="87"/>
      <c r="E88" s="87"/>
      <c r="F88" s="124"/>
      <c r="G88" s="126"/>
      <c r="H88" s="126"/>
      <c r="I88" s="103"/>
      <c r="J88" s="362" t="str">
        <f>'As-Filed Schedule 3'!J88</f>
        <v>H0019</v>
      </c>
      <c r="K88" s="408">
        <f>'As-Filed Schedule 3'!K88</f>
        <v>2022</v>
      </c>
      <c r="L88" s="410">
        <f>SUMIFS(Adjustments!$G:$G,Adjustments!$H:$H,"3",Adjustments!$I:$I,'Schedule 3 Adjustments'!$K$13,Adjustments!$J:$J,"15a")</f>
        <v>0</v>
      </c>
      <c r="M88" s="412">
        <f>SUM(K88:L88)</f>
        <v>2022</v>
      </c>
      <c r="N88" s="89"/>
      <c r="O88" s="347"/>
      <c r="P88" s="87"/>
      <c r="Q88" s="343"/>
      <c r="R88" s="347"/>
      <c r="S88" s="87"/>
      <c r="T88" s="347"/>
      <c r="U88" s="87"/>
      <c r="V88" s="343"/>
      <c r="W88" s="347"/>
      <c r="X88" s="87"/>
      <c r="Y88" s="347"/>
      <c r="Z88" s="87"/>
      <c r="AA88" s="347"/>
      <c r="AB88" s="87"/>
      <c r="AC88" s="347"/>
    </row>
    <row r="89" spans="1:29" x14ac:dyDescent="0.35">
      <c r="A89" s="101" t="s">
        <v>448</v>
      </c>
      <c r="B89" s="88"/>
      <c r="C89" s="88"/>
      <c r="D89" s="88"/>
      <c r="E89" s="88"/>
      <c r="F89" s="125"/>
      <c r="G89" s="127"/>
      <c r="H89" s="127"/>
      <c r="I89" s="104"/>
      <c r="J89" s="362">
        <f>'As-Filed Schedule 3'!J89</f>
        <v>0</v>
      </c>
      <c r="K89" s="408">
        <f>'As-Filed Schedule 3'!K89</f>
        <v>0</v>
      </c>
      <c r="L89" s="410">
        <f>SUMIFS(Adjustments!$G:$G,Adjustments!$H:$H,"3",Adjustments!$I:$I,'Schedule 3 Adjustments'!$K$13,Adjustments!$J:$J,"15b")</f>
        <v>0</v>
      </c>
      <c r="M89" s="412">
        <f>SUM(K89:L89)</f>
        <v>0</v>
      </c>
      <c r="N89" s="90"/>
      <c r="O89" s="348"/>
      <c r="P89" s="88"/>
      <c r="Q89" s="344"/>
      <c r="R89" s="348"/>
      <c r="S89" s="88"/>
      <c r="T89" s="348"/>
      <c r="U89" s="88"/>
      <c r="V89" s="344"/>
      <c r="W89" s="348"/>
      <c r="X89" s="88"/>
      <c r="Y89" s="348"/>
      <c r="Z89" s="88"/>
      <c r="AA89" s="348"/>
      <c r="AB89" s="88"/>
      <c r="AC89" s="348"/>
    </row>
    <row r="90" spans="1:29" x14ac:dyDescent="0.35">
      <c r="A90" s="102" t="s">
        <v>449</v>
      </c>
      <c r="B90" s="88"/>
      <c r="C90" s="88"/>
      <c r="D90" s="88"/>
      <c r="E90" s="88"/>
      <c r="F90" s="125"/>
      <c r="G90" s="127"/>
      <c r="H90" s="127"/>
      <c r="I90" s="104"/>
      <c r="J90" s="362">
        <f>'As-Filed Schedule 3'!J90</f>
        <v>0</v>
      </c>
      <c r="K90" s="408">
        <f>'As-Filed Schedule 3'!K90</f>
        <v>0</v>
      </c>
      <c r="L90" s="410">
        <f>SUMIFS(Adjustments!$G:$G,Adjustments!$H:$H,"3",Adjustments!$I:$I,'Schedule 3 Adjustments'!$K$13,Adjustments!$J:$J,"15c")</f>
        <v>0</v>
      </c>
      <c r="M90" s="412">
        <f>SUM(K90:L90)</f>
        <v>0</v>
      </c>
      <c r="N90" s="90"/>
      <c r="O90" s="348"/>
      <c r="P90" s="88"/>
      <c r="Q90" s="344"/>
      <c r="R90" s="348"/>
      <c r="S90" s="88"/>
      <c r="T90" s="348"/>
      <c r="U90" s="88"/>
      <c r="V90" s="344"/>
      <c r="W90" s="348"/>
      <c r="X90" s="88"/>
      <c r="Y90" s="348"/>
      <c r="Z90" s="88"/>
      <c r="AA90" s="348"/>
      <c r="AB90" s="88"/>
      <c r="AC90" s="348"/>
    </row>
    <row r="91" spans="1:29" x14ac:dyDescent="0.35">
      <c r="J91" s="99"/>
      <c r="N91" s="28"/>
      <c r="O91" s="340"/>
    </row>
    <row r="92" spans="1:29" s="34" customFormat="1" x14ac:dyDescent="0.35">
      <c r="A92" s="84">
        <v>16</v>
      </c>
      <c r="B92" s="577" t="str">
        <f>'As-Filed Schedule 3'!B92:C92</f>
        <v>400-684-Roanoke Apartments</v>
      </c>
      <c r="C92" s="578"/>
      <c r="D92" s="358" t="str">
        <f>'As-Filed Schedule 3'!D92</f>
        <v>Apartments</v>
      </c>
      <c r="E92" s="358">
        <f>'As-Filed Schedule 3'!E92</f>
        <v>0</v>
      </c>
      <c r="F92" s="357">
        <f>'As-Filed Schedule 3'!F92</f>
        <v>0</v>
      </c>
      <c r="G92" s="356">
        <f>'As-Filed Schedule 3'!G92</f>
        <v>0</v>
      </c>
      <c r="H92" s="356">
        <f>'As-Filed Schedule 3'!H92</f>
        <v>0</v>
      </c>
      <c r="I92" s="130">
        <f>IF(B92=0,"",IF(AND(G92=0,H92=0),365,IF(AND(G92&gt;0,H92=0),$C$6-G92+1,IF(AND(G92=0,H92&gt;0),H92-($C$6-365),H92-G92+1))))</f>
        <v>365</v>
      </c>
      <c r="J92" s="98"/>
      <c r="K92" s="407">
        <f>SUM(K93:K95)</f>
        <v>0</v>
      </c>
      <c r="L92" s="409">
        <f>SUM(L93:L95)</f>
        <v>0</v>
      </c>
      <c r="M92" s="411">
        <f>SUM(M93:M95)</f>
        <v>0</v>
      </c>
      <c r="N92" s="91" t="str">
        <f>IF(K92&gt;0,K92/(F92*I92),"")</f>
        <v/>
      </c>
      <c r="O92" s="339" t="str">
        <f>IF(M92&gt;0,M92/(F92*I92),"")</f>
        <v/>
      </c>
      <c r="P92" s="118">
        <f>'As-Filed Schedule 3'!M92</f>
        <v>102551.39999999998</v>
      </c>
      <c r="Q92" s="342">
        <f>SUMIFS(Adjustments!$G:$G,Adjustments!$H:$H,"3",Adjustments!$I:$I,'Schedule 3 Adjustments'!$P$13,Adjustments!$J:$J,'As-Filed Schedule 3'!A92)</f>
        <v>0</v>
      </c>
      <c r="R92" s="346">
        <f>SUM(P92:Q92)</f>
        <v>102551.39999999998</v>
      </c>
      <c r="S92" s="85" t="str">
        <f>IFERROR(P92/K92,"")</f>
        <v/>
      </c>
      <c r="T92" s="350" t="str">
        <f>IFERROR(R92/M92,"")</f>
        <v/>
      </c>
      <c r="U92" s="118">
        <f>'As-Filed Schedule 3'!O92</f>
        <v>0</v>
      </c>
      <c r="V92" s="342">
        <f>SUMIFS(Adjustments!$G:$G,Adjustments!$H:$H,"3",Adjustments!$I:$I,'Schedule 3 Adjustments'!$U$13,Adjustments!$J:$J,$A92)</f>
        <v>0</v>
      </c>
      <c r="W92" s="346">
        <f>SUM(U92:V92)</f>
        <v>0</v>
      </c>
      <c r="X92" s="85" t="str">
        <f>IFERROR(U92/K92,"")</f>
        <v/>
      </c>
      <c r="Y92" s="85" t="str">
        <f>IFERROR(W92/M92,"")</f>
        <v/>
      </c>
      <c r="Z92" s="86">
        <f>IF(P92=0,"",P92-U92)</f>
        <v>102551.39999999998</v>
      </c>
      <c r="AA92" s="352">
        <f>IF(R92=0,"",R92-W92)</f>
        <v>102551.39999999998</v>
      </c>
      <c r="AB92" s="85" t="str">
        <f>IFERROR(Z92/K92,"")</f>
        <v/>
      </c>
      <c r="AC92" s="350" t="str">
        <f>IFERROR(AA92/M92,"")</f>
        <v/>
      </c>
    </row>
    <row r="93" spans="1:29" x14ac:dyDescent="0.35">
      <c r="A93" s="100" t="s">
        <v>447</v>
      </c>
      <c r="B93" s="87"/>
      <c r="C93" s="87"/>
      <c r="D93" s="87"/>
      <c r="E93" s="87"/>
      <c r="F93" s="124"/>
      <c r="G93" s="126"/>
      <c r="H93" s="126"/>
      <c r="I93" s="103"/>
      <c r="J93" s="362">
        <f>'As-Filed Schedule 3'!J93</f>
        <v>0</v>
      </c>
      <c r="K93" s="408">
        <f>'As-Filed Schedule 3'!K93</f>
        <v>0</v>
      </c>
      <c r="L93" s="410">
        <f>SUMIFS(Adjustments!$G:$G,Adjustments!$H:$H,"3",Adjustments!$I:$I,'Schedule 3 Adjustments'!$K$13,Adjustments!$J:$J,"16a")</f>
        <v>0</v>
      </c>
      <c r="M93" s="412">
        <f>SUM(K93:L93)</f>
        <v>0</v>
      </c>
      <c r="N93" s="89"/>
      <c r="O93" s="347"/>
      <c r="P93" s="87"/>
      <c r="Q93" s="343"/>
      <c r="R93" s="347"/>
      <c r="S93" s="87"/>
      <c r="T93" s="347"/>
      <c r="U93" s="87"/>
      <c r="V93" s="343"/>
      <c r="W93" s="347"/>
      <c r="X93" s="87"/>
      <c r="Y93" s="347"/>
      <c r="Z93" s="87"/>
      <c r="AA93" s="347"/>
      <c r="AB93" s="87"/>
      <c r="AC93" s="347"/>
    </row>
    <row r="94" spans="1:29" x14ac:dyDescent="0.35">
      <c r="A94" s="101" t="s">
        <v>448</v>
      </c>
      <c r="B94" s="88"/>
      <c r="C94" s="88"/>
      <c r="D94" s="88"/>
      <c r="E94" s="88"/>
      <c r="F94" s="125"/>
      <c r="G94" s="127"/>
      <c r="H94" s="127"/>
      <c r="I94" s="104"/>
      <c r="J94" s="362">
        <f>'As-Filed Schedule 3'!J94</f>
        <v>0</v>
      </c>
      <c r="K94" s="408">
        <f>'As-Filed Schedule 3'!K94</f>
        <v>0</v>
      </c>
      <c r="L94" s="410">
        <f>SUMIFS(Adjustments!$G:$G,Adjustments!$H:$H,"3",Adjustments!$I:$I,'Schedule 3 Adjustments'!$K$13,Adjustments!$J:$J,"16b")</f>
        <v>0</v>
      </c>
      <c r="M94" s="412">
        <f>SUM(K94:L94)</f>
        <v>0</v>
      </c>
      <c r="N94" s="90"/>
      <c r="O94" s="348"/>
      <c r="P94" s="88"/>
      <c r="Q94" s="344"/>
      <c r="R94" s="348"/>
      <c r="S94" s="88"/>
      <c r="T94" s="348"/>
      <c r="U94" s="88"/>
      <c r="V94" s="344"/>
      <c r="W94" s="348"/>
      <c r="X94" s="88"/>
      <c r="Y94" s="348"/>
      <c r="Z94" s="88"/>
      <c r="AA94" s="348"/>
      <c r="AB94" s="88"/>
      <c r="AC94" s="348"/>
    </row>
    <row r="95" spans="1:29" x14ac:dyDescent="0.35">
      <c r="A95" s="102" t="s">
        <v>449</v>
      </c>
      <c r="B95" s="88"/>
      <c r="C95" s="88"/>
      <c r="D95" s="88"/>
      <c r="E95" s="88"/>
      <c r="F95" s="125"/>
      <c r="G95" s="127"/>
      <c r="H95" s="127"/>
      <c r="I95" s="104"/>
      <c r="J95" s="362">
        <f>'As-Filed Schedule 3'!J95</f>
        <v>0</v>
      </c>
      <c r="K95" s="408">
        <f>'As-Filed Schedule 3'!K95</f>
        <v>0</v>
      </c>
      <c r="L95" s="410">
        <f>SUMIFS(Adjustments!$G:$G,Adjustments!$H:$H,"3",Adjustments!$I:$I,'Schedule 3 Adjustments'!$K$13,Adjustments!$J:$J,"16c")</f>
        <v>0</v>
      </c>
      <c r="M95" s="412">
        <f>SUM(K95:L95)</f>
        <v>0</v>
      </c>
      <c r="N95" s="90"/>
      <c r="O95" s="348"/>
      <c r="P95" s="88"/>
      <c r="Q95" s="344"/>
      <c r="R95" s="348"/>
      <c r="S95" s="88"/>
      <c r="T95" s="348"/>
      <c r="U95" s="88"/>
      <c r="V95" s="344"/>
      <c r="W95" s="348"/>
      <c r="X95" s="88"/>
      <c r="Y95" s="348"/>
      <c r="Z95" s="88"/>
      <c r="AA95" s="348"/>
      <c r="AB95" s="88"/>
      <c r="AC95" s="348"/>
    </row>
    <row r="96" spans="1:29" x14ac:dyDescent="0.35">
      <c r="J96" s="99"/>
      <c r="N96" s="28"/>
      <c r="O96" s="340"/>
    </row>
    <row r="97" spans="1:29" s="34" customFormat="1" x14ac:dyDescent="0.35">
      <c r="A97" s="84">
        <v>17</v>
      </c>
      <c r="B97" s="577" t="str">
        <f>'As-Filed Schedule 3'!B97:C97</f>
        <v>400-685-Anchor Apartments</v>
      </c>
      <c r="C97" s="578"/>
      <c r="D97" s="358" t="str">
        <f>'As-Filed Schedule 3'!D97</f>
        <v>Apartments</v>
      </c>
      <c r="E97" s="358">
        <f>'As-Filed Schedule 3'!E97</f>
        <v>0</v>
      </c>
      <c r="F97" s="357">
        <f>'As-Filed Schedule 3'!F97</f>
        <v>0</v>
      </c>
      <c r="G97" s="356">
        <f>'As-Filed Schedule 3'!G97</f>
        <v>0</v>
      </c>
      <c r="H97" s="356">
        <f>'As-Filed Schedule 3'!H97</f>
        <v>0</v>
      </c>
      <c r="I97" s="130">
        <f>IF(B97=0,"",IF(AND(G97=0,H97=0),365,IF(AND(G97&gt;0,H97=0),$C$6-G97+1,IF(AND(G97=0,H97&gt;0),H97-($C$6-365),H97-G97+1))))</f>
        <v>365</v>
      </c>
      <c r="J97" s="98"/>
      <c r="K97" s="407">
        <f>SUM(K98:K100)</f>
        <v>0</v>
      </c>
      <c r="L97" s="409">
        <f>SUM(L98:L100)</f>
        <v>0</v>
      </c>
      <c r="M97" s="411">
        <f>SUM(M98:M100)</f>
        <v>0</v>
      </c>
      <c r="N97" s="91" t="str">
        <f>IF(K97&gt;0,K97/(F97*I97),"")</f>
        <v/>
      </c>
      <c r="O97" s="339" t="str">
        <f>IF(M97&gt;0,M97/(F97*I97),"")</f>
        <v/>
      </c>
      <c r="P97" s="118">
        <f>'As-Filed Schedule 3'!M97</f>
        <v>95335.49000000002</v>
      </c>
      <c r="Q97" s="342">
        <f>SUMIFS(Adjustments!$G:$G,Adjustments!$H:$H,"3",Adjustments!$I:$I,'Schedule 3 Adjustments'!$P$13,Adjustments!$J:$J,'As-Filed Schedule 3'!A97)</f>
        <v>0</v>
      </c>
      <c r="R97" s="346">
        <f>SUM(P97:Q97)</f>
        <v>95335.49000000002</v>
      </c>
      <c r="S97" s="85" t="str">
        <f>IFERROR(P97/K97,"")</f>
        <v/>
      </c>
      <c r="T97" s="350" t="str">
        <f>IFERROR(R97/M97,"")</f>
        <v/>
      </c>
      <c r="U97" s="118">
        <f>'As-Filed Schedule 3'!O97</f>
        <v>0</v>
      </c>
      <c r="V97" s="342">
        <f>SUMIFS(Adjustments!$G:$G,Adjustments!$H:$H,"3",Adjustments!$I:$I,'Schedule 3 Adjustments'!$U$13,Adjustments!$J:$J,$A97)</f>
        <v>0</v>
      </c>
      <c r="W97" s="346">
        <f>SUM(U97:V97)</f>
        <v>0</v>
      </c>
      <c r="X97" s="85" t="str">
        <f>IFERROR(U97/K97,"")</f>
        <v/>
      </c>
      <c r="Y97" s="85" t="str">
        <f>IFERROR(W97/M97,"")</f>
        <v/>
      </c>
      <c r="Z97" s="86">
        <f>IF(P97=0,"",P97-U97)</f>
        <v>95335.49000000002</v>
      </c>
      <c r="AA97" s="352">
        <f>IF(R97=0,"",R97-W97)</f>
        <v>95335.49000000002</v>
      </c>
      <c r="AB97" s="85" t="str">
        <f>IFERROR(Z97/K97,"")</f>
        <v/>
      </c>
      <c r="AC97" s="350" t="str">
        <f>IFERROR(AA97/M97,"")</f>
        <v/>
      </c>
    </row>
    <row r="98" spans="1:29" x14ac:dyDescent="0.35">
      <c r="A98" s="100" t="s">
        <v>447</v>
      </c>
      <c r="B98" s="87"/>
      <c r="C98" s="87"/>
      <c r="D98" s="87"/>
      <c r="E98" s="87"/>
      <c r="F98" s="124"/>
      <c r="G98" s="126"/>
      <c r="H98" s="126"/>
      <c r="I98" s="103"/>
      <c r="J98" s="362">
        <f>'As-Filed Schedule 3'!J98</f>
        <v>0</v>
      </c>
      <c r="K98" s="408">
        <f>'As-Filed Schedule 3'!K98</f>
        <v>0</v>
      </c>
      <c r="L98" s="410">
        <f>SUMIFS(Adjustments!$G:$G,Adjustments!$H:$H,"3",Adjustments!$I:$I,'Schedule 3 Adjustments'!$K$13,Adjustments!$J:$J,"17a")</f>
        <v>0</v>
      </c>
      <c r="M98" s="412">
        <f>SUM(K98:L98)</f>
        <v>0</v>
      </c>
      <c r="N98" s="89"/>
      <c r="O98" s="347"/>
      <c r="P98" s="87"/>
      <c r="Q98" s="343"/>
      <c r="R98" s="347"/>
      <c r="S98" s="87"/>
      <c r="T98" s="347"/>
      <c r="U98" s="87"/>
      <c r="V98" s="343"/>
      <c r="W98" s="347"/>
      <c r="X98" s="87"/>
      <c r="Y98" s="347"/>
      <c r="Z98" s="87"/>
      <c r="AA98" s="347"/>
      <c r="AB98" s="87"/>
      <c r="AC98" s="347"/>
    </row>
    <row r="99" spans="1:29" x14ac:dyDescent="0.35">
      <c r="A99" s="101" t="s">
        <v>448</v>
      </c>
      <c r="B99" s="88"/>
      <c r="C99" s="88"/>
      <c r="D99" s="88"/>
      <c r="E99" s="88"/>
      <c r="F99" s="125"/>
      <c r="G99" s="127"/>
      <c r="H99" s="127"/>
      <c r="I99" s="104"/>
      <c r="J99" s="362">
        <f>'As-Filed Schedule 3'!J99</f>
        <v>0</v>
      </c>
      <c r="K99" s="408">
        <f>'As-Filed Schedule 3'!K99</f>
        <v>0</v>
      </c>
      <c r="L99" s="410">
        <f>SUMIFS(Adjustments!$G:$G,Adjustments!$H:$H,"3",Adjustments!$I:$I,'Schedule 3 Adjustments'!$K$13,Adjustments!$J:$J,"17b")</f>
        <v>0</v>
      </c>
      <c r="M99" s="412">
        <f>SUM(K99:L99)</f>
        <v>0</v>
      </c>
      <c r="N99" s="90"/>
      <c r="O99" s="348"/>
      <c r="P99" s="88"/>
      <c r="Q99" s="344"/>
      <c r="R99" s="348"/>
      <c r="S99" s="88"/>
      <c r="T99" s="348"/>
      <c r="U99" s="88"/>
      <c r="V99" s="344"/>
      <c r="W99" s="348"/>
      <c r="X99" s="88"/>
      <c r="Y99" s="348"/>
      <c r="Z99" s="88"/>
      <c r="AA99" s="348"/>
      <c r="AB99" s="88"/>
      <c r="AC99" s="348"/>
    </row>
    <row r="100" spans="1:29" x14ac:dyDescent="0.35">
      <c r="A100" s="102" t="s">
        <v>449</v>
      </c>
      <c r="B100" s="88"/>
      <c r="C100" s="88"/>
      <c r="D100" s="88"/>
      <c r="E100" s="88"/>
      <c r="F100" s="125"/>
      <c r="G100" s="127"/>
      <c r="H100" s="127"/>
      <c r="I100" s="104"/>
      <c r="J100" s="362">
        <f>'As-Filed Schedule 3'!J100</f>
        <v>0</v>
      </c>
      <c r="K100" s="408">
        <f>'As-Filed Schedule 3'!K100</f>
        <v>0</v>
      </c>
      <c r="L100" s="410">
        <f>SUMIFS(Adjustments!$G:$G,Adjustments!$H:$H,"3",Adjustments!$I:$I,'Schedule 3 Adjustments'!$K$13,Adjustments!$J:$J,"17c")</f>
        <v>0</v>
      </c>
      <c r="M100" s="412">
        <f>SUM(K100:L100)</f>
        <v>0</v>
      </c>
      <c r="N100" s="90"/>
      <c r="O100" s="348"/>
      <c r="P100" s="88"/>
      <c r="Q100" s="344"/>
      <c r="R100" s="348"/>
      <c r="S100" s="88"/>
      <c r="T100" s="348"/>
      <c r="U100" s="88"/>
      <c r="V100" s="344"/>
      <c r="W100" s="348"/>
      <c r="X100" s="88"/>
      <c r="Y100" s="348"/>
      <c r="Z100" s="88"/>
      <c r="AA100" s="348"/>
      <c r="AB100" s="88"/>
      <c r="AC100" s="348"/>
    </row>
    <row r="101" spans="1:29" x14ac:dyDescent="0.35">
      <c r="J101" s="99"/>
      <c r="N101" s="28"/>
      <c r="O101" s="340"/>
    </row>
    <row r="102" spans="1:29" s="34" customFormat="1" x14ac:dyDescent="0.35">
      <c r="A102" s="84">
        <v>18</v>
      </c>
      <c r="B102" s="577" t="str">
        <f>'As-Filed Schedule 3'!B102:C102</f>
        <v>400-686-Humboldt Apartments</v>
      </c>
      <c r="C102" s="578"/>
      <c r="D102" s="358" t="str">
        <f>'As-Filed Schedule 3'!D102</f>
        <v>Apartments</v>
      </c>
      <c r="E102" s="358">
        <f>'As-Filed Schedule 3'!E102</f>
        <v>0</v>
      </c>
      <c r="F102" s="357">
        <f>'As-Filed Schedule 3'!F102</f>
        <v>0</v>
      </c>
      <c r="G102" s="356">
        <f>'As-Filed Schedule 3'!G102</f>
        <v>0</v>
      </c>
      <c r="H102" s="356">
        <f>'As-Filed Schedule 3'!H102</f>
        <v>0</v>
      </c>
      <c r="I102" s="130">
        <f>IF(B102=0,"",IF(AND(G102=0,H102=0),365,IF(AND(G102&gt;0,H102=0),$C$6-G102+1,IF(AND(G102=0,H102&gt;0),H102-($C$6-365),H102-G102+1))))</f>
        <v>365</v>
      </c>
      <c r="J102" s="98"/>
      <c r="K102" s="407">
        <f>SUM(K103:K105)</f>
        <v>0</v>
      </c>
      <c r="L102" s="409">
        <f>SUM(L103:L105)</f>
        <v>0</v>
      </c>
      <c r="M102" s="411">
        <f>SUM(M103:M105)</f>
        <v>0</v>
      </c>
      <c r="N102" s="91" t="str">
        <f>IF(K102&gt;0,K102/(F102*I102),"")</f>
        <v/>
      </c>
      <c r="O102" s="339" t="str">
        <f>IF(M102&gt;0,M102/(F102*I102),"")</f>
        <v/>
      </c>
      <c r="P102" s="118">
        <f>'As-Filed Schedule 3'!M102</f>
        <v>163334.32999999999</v>
      </c>
      <c r="Q102" s="342">
        <f>SUMIFS(Adjustments!$G:$G,Adjustments!$H:$H,"3",Adjustments!$I:$I,'Schedule 3 Adjustments'!$P$13,Adjustments!$J:$J,'As-Filed Schedule 3'!A102)</f>
        <v>0</v>
      </c>
      <c r="R102" s="346">
        <f>SUM(P102:Q102)</f>
        <v>163334.32999999999</v>
      </c>
      <c r="S102" s="85" t="str">
        <f>IFERROR(P102/K102,"")</f>
        <v/>
      </c>
      <c r="T102" s="350" t="str">
        <f>IFERROR(R102/M102,"")</f>
        <v/>
      </c>
      <c r="U102" s="118">
        <f>'As-Filed Schedule 3'!O102</f>
        <v>0</v>
      </c>
      <c r="V102" s="342">
        <f>SUMIFS(Adjustments!$G:$G,Adjustments!$H:$H,"3",Adjustments!$I:$I,'Schedule 3 Adjustments'!$U$13,Adjustments!$J:$J,$A102)</f>
        <v>0</v>
      </c>
      <c r="W102" s="346">
        <f>SUM(U102:V102)</f>
        <v>0</v>
      </c>
      <c r="X102" s="85" t="str">
        <f>IFERROR(U102/K102,"")</f>
        <v/>
      </c>
      <c r="Y102" s="85" t="str">
        <f>IFERROR(W102/M102,"")</f>
        <v/>
      </c>
      <c r="Z102" s="86">
        <f>IF(P102=0,"",P102-U102)</f>
        <v>163334.32999999999</v>
      </c>
      <c r="AA102" s="352">
        <f>IF(R102=0,"",R102-W102)</f>
        <v>163334.32999999999</v>
      </c>
      <c r="AB102" s="85" t="str">
        <f>IFERROR(Z102/K102,"")</f>
        <v/>
      </c>
      <c r="AC102" s="350" t="str">
        <f>IFERROR(AA102/M102,"")</f>
        <v/>
      </c>
    </row>
    <row r="103" spans="1:29" x14ac:dyDescent="0.35">
      <c r="A103" s="100" t="s">
        <v>447</v>
      </c>
      <c r="B103" s="87"/>
      <c r="C103" s="87"/>
      <c r="D103" s="87"/>
      <c r="E103" s="87"/>
      <c r="F103" s="124"/>
      <c r="G103" s="126"/>
      <c r="H103" s="126"/>
      <c r="I103" s="103"/>
      <c r="J103" s="362">
        <f>'As-Filed Schedule 3'!J103</f>
        <v>0</v>
      </c>
      <c r="K103" s="408">
        <f>'As-Filed Schedule 3'!K103</f>
        <v>0</v>
      </c>
      <c r="L103" s="410">
        <f>SUMIFS(Adjustments!$G:$G,Adjustments!$H:$H,"3",Adjustments!$I:$I,'Schedule 3 Adjustments'!$K$13,Adjustments!$J:$J,"18a")</f>
        <v>0</v>
      </c>
      <c r="M103" s="412">
        <f>SUM(K103:L103)</f>
        <v>0</v>
      </c>
      <c r="N103" s="89"/>
      <c r="O103" s="347"/>
      <c r="P103" s="87"/>
      <c r="Q103" s="343"/>
      <c r="R103" s="347"/>
      <c r="S103" s="87"/>
      <c r="T103" s="347"/>
      <c r="U103" s="87"/>
      <c r="V103" s="343"/>
      <c r="W103" s="347"/>
      <c r="X103" s="87"/>
      <c r="Y103" s="347"/>
      <c r="Z103" s="87"/>
      <c r="AA103" s="347"/>
      <c r="AB103" s="87"/>
      <c r="AC103" s="347"/>
    </row>
    <row r="104" spans="1:29" x14ac:dyDescent="0.35">
      <c r="A104" s="101" t="s">
        <v>448</v>
      </c>
      <c r="B104" s="88"/>
      <c r="C104" s="88"/>
      <c r="D104" s="88"/>
      <c r="E104" s="88"/>
      <c r="F104" s="125"/>
      <c r="G104" s="127"/>
      <c r="H104" s="127"/>
      <c r="I104" s="104"/>
      <c r="J104" s="362">
        <f>'As-Filed Schedule 3'!J104</f>
        <v>0</v>
      </c>
      <c r="K104" s="408">
        <f>'As-Filed Schedule 3'!K104</f>
        <v>0</v>
      </c>
      <c r="L104" s="410">
        <f>SUMIFS(Adjustments!$G:$G,Adjustments!$H:$H,"3",Adjustments!$I:$I,'Schedule 3 Adjustments'!$K$13,Adjustments!$J:$J,"18b")</f>
        <v>0</v>
      </c>
      <c r="M104" s="412">
        <f>SUM(K104:L104)</f>
        <v>0</v>
      </c>
      <c r="N104" s="90"/>
      <c r="O104" s="348"/>
      <c r="P104" s="88"/>
      <c r="Q104" s="344"/>
      <c r="R104" s="348"/>
      <c r="S104" s="88"/>
      <c r="T104" s="348"/>
      <c r="U104" s="88"/>
      <c r="V104" s="344"/>
      <c r="W104" s="348"/>
      <c r="X104" s="88"/>
      <c r="Y104" s="348"/>
      <c r="Z104" s="88"/>
      <c r="AA104" s="348"/>
      <c r="AB104" s="88"/>
      <c r="AC104" s="348"/>
    </row>
    <row r="105" spans="1:29" x14ac:dyDescent="0.35">
      <c r="A105" s="102" t="s">
        <v>449</v>
      </c>
      <c r="B105" s="88"/>
      <c r="C105" s="88"/>
      <c r="D105" s="88"/>
      <c r="E105" s="88"/>
      <c r="F105" s="125"/>
      <c r="G105" s="127"/>
      <c r="H105" s="127"/>
      <c r="I105" s="104"/>
      <c r="J105" s="362">
        <f>'As-Filed Schedule 3'!J105</f>
        <v>0</v>
      </c>
      <c r="K105" s="408">
        <f>'As-Filed Schedule 3'!K105</f>
        <v>0</v>
      </c>
      <c r="L105" s="410">
        <f>SUMIFS(Adjustments!$G:$G,Adjustments!$H:$H,"3",Adjustments!$I:$I,'Schedule 3 Adjustments'!$K$13,Adjustments!$J:$J,"18c")</f>
        <v>0</v>
      </c>
      <c r="M105" s="412">
        <f>SUM(K105:L105)</f>
        <v>0</v>
      </c>
      <c r="N105" s="90"/>
      <c r="O105" s="348"/>
      <c r="P105" s="88"/>
      <c r="Q105" s="344"/>
      <c r="R105" s="348"/>
      <c r="S105" s="88"/>
      <c r="T105" s="348"/>
      <c r="U105" s="88"/>
      <c r="V105" s="344"/>
      <c r="W105" s="348"/>
      <c r="X105" s="88"/>
      <c r="Y105" s="348"/>
      <c r="Z105" s="88"/>
      <c r="AA105" s="348"/>
      <c r="AB105" s="88"/>
      <c r="AC105" s="348"/>
    </row>
    <row r="106" spans="1:29" x14ac:dyDescent="0.35">
      <c r="J106" s="99"/>
      <c r="K106" s="385"/>
      <c r="L106" s="388"/>
      <c r="M106" s="389"/>
      <c r="N106" s="28"/>
      <c r="O106" s="340"/>
    </row>
    <row r="107" spans="1:29" s="34" customFormat="1" x14ac:dyDescent="0.35">
      <c r="A107" s="84">
        <v>19</v>
      </c>
      <c r="B107" s="577" t="str">
        <f>'As-Filed Schedule 3'!B107:C107</f>
        <v>400-690-Sanderson Apartments</v>
      </c>
      <c r="C107" s="578"/>
      <c r="D107" s="358">
        <f>'As-Filed Schedule 3'!D107</f>
        <v>0</v>
      </c>
      <c r="E107" s="358">
        <f>'As-Filed Schedule 3'!E107</f>
        <v>0</v>
      </c>
      <c r="F107" s="357">
        <f>'As-Filed Schedule 3'!F107</f>
        <v>0</v>
      </c>
      <c r="G107" s="356">
        <f>'As-Filed Schedule 3'!G107</f>
        <v>0</v>
      </c>
      <c r="H107" s="356">
        <f>'As-Filed Schedule 3'!H107</f>
        <v>0</v>
      </c>
      <c r="I107" s="130">
        <f>IF(B107=0,"",IF(AND(G107=0,H107=0),365,IF(AND(G107&gt;0,H107=0),$C$6-G107+1,IF(AND(G107=0,H107&gt;0),H107-($C$6-365),H107-G107+1))))</f>
        <v>365</v>
      </c>
      <c r="J107" s="98"/>
      <c r="K107" s="407">
        <f>SUM(K108:K110)</f>
        <v>0</v>
      </c>
      <c r="L107" s="409">
        <f>SUM(L108:L110)</f>
        <v>0</v>
      </c>
      <c r="M107" s="411">
        <f>SUM(M108:M110)</f>
        <v>0</v>
      </c>
      <c r="N107" s="91" t="str">
        <f>IF(K107&gt;0,K107/(F107*I107),"")</f>
        <v/>
      </c>
      <c r="O107" s="339" t="str">
        <f>IF(M107&gt;0,M107/(F107*I107),"")</f>
        <v/>
      </c>
      <c r="P107" s="118">
        <f>'As-Filed Schedule 3'!M107</f>
        <v>1384511.9411448182</v>
      </c>
      <c r="Q107" s="342">
        <f>SUMIFS(Adjustments!$G:$G,Adjustments!$H:$H,"3",Adjustments!$I:$I,'Schedule 3 Adjustments'!$P$13,Adjustments!$J:$J,'As-Filed Schedule 3'!A107)</f>
        <v>-76054</v>
      </c>
      <c r="R107" s="346">
        <f>SUM(P107:Q107)</f>
        <v>1308457.9411448182</v>
      </c>
      <c r="S107" s="85" t="str">
        <f>IFERROR(P107/K107,"")</f>
        <v/>
      </c>
      <c r="T107" s="350" t="str">
        <f>IFERROR(R107/M107,"")</f>
        <v/>
      </c>
      <c r="U107" s="118">
        <f>'As-Filed Schedule 3'!O107</f>
        <v>0</v>
      </c>
      <c r="V107" s="342">
        <f>SUMIFS(Adjustments!$G:$G,Adjustments!$H:$H,"3",Adjustments!$I:$I,'Schedule 3 Adjustments'!$U$13,Adjustments!$J:$J,$A107)</f>
        <v>0</v>
      </c>
      <c r="W107" s="346">
        <f>SUM(U107:V107)</f>
        <v>0</v>
      </c>
      <c r="X107" s="85" t="str">
        <f>IFERROR(U107/K107,"")</f>
        <v/>
      </c>
      <c r="Y107" s="85" t="str">
        <f>IFERROR(W107/M107,"")</f>
        <v/>
      </c>
      <c r="Z107" s="86">
        <f>IF(P107=0,"",P107-U107)</f>
        <v>1384511.9411448182</v>
      </c>
      <c r="AA107" s="352">
        <f>IF(R107=0,"",R107-W107)</f>
        <v>1308457.9411448182</v>
      </c>
      <c r="AB107" s="85" t="str">
        <f>IFERROR(Z107/K107,"")</f>
        <v/>
      </c>
      <c r="AC107" s="350" t="str">
        <f>IFERROR(AA107/M107,"")</f>
        <v/>
      </c>
    </row>
    <row r="108" spans="1:29" x14ac:dyDescent="0.35">
      <c r="A108" s="100" t="s">
        <v>447</v>
      </c>
      <c r="B108" s="87"/>
      <c r="C108" s="87"/>
      <c r="D108" s="87"/>
      <c r="E108" s="87"/>
      <c r="F108" s="124"/>
      <c r="G108" s="126"/>
      <c r="H108" s="126"/>
      <c r="I108" s="103"/>
      <c r="J108" s="362">
        <f>'As-Filed Schedule 3'!J108</f>
        <v>0</v>
      </c>
      <c r="K108" s="408">
        <f>'As-Filed Schedule 3'!K108</f>
        <v>0</v>
      </c>
      <c r="L108" s="410">
        <f>SUMIFS(Adjustments!$G:$G,Adjustments!$H:$H,"3",Adjustments!$I:$I,'Schedule 3 Adjustments'!$K$13,Adjustments!$J:$J,"19a")</f>
        <v>0</v>
      </c>
      <c r="M108" s="412">
        <f>SUM(K108:L108)</f>
        <v>0</v>
      </c>
      <c r="N108" s="89"/>
      <c r="O108" s="347"/>
      <c r="P108" s="87"/>
      <c r="Q108" s="343"/>
      <c r="R108" s="347"/>
      <c r="S108" s="87"/>
      <c r="T108" s="347"/>
      <c r="U108" s="87"/>
      <c r="V108" s="343"/>
      <c r="W108" s="347"/>
      <c r="X108" s="87"/>
      <c r="Y108" s="347"/>
      <c r="Z108" s="87"/>
      <c r="AA108" s="347"/>
      <c r="AB108" s="87"/>
      <c r="AC108" s="347"/>
    </row>
    <row r="109" spans="1:29" x14ac:dyDescent="0.35">
      <c r="A109" s="101" t="s">
        <v>448</v>
      </c>
      <c r="B109" s="88"/>
      <c r="C109" s="88"/>
      <c r="D109" s="88"/>
      <c r="E109" s="88"/>
      <c r="F109" s="125"/>
      <c r="G109" s="127"/>
      <c r="H109" s="127"/>
      <c r="I109" s="104"/>
      <c r="J109" s="362">
        <f>'As-Filed Schedule 3'!J109</f>
        <v>0</v>
      </c>
      <c r="K109" s="408">
        <f>'As-Filed Schedule 3'!K109</f>
        <v>0</v>
      </c>
      <c r="L109" s="410">
        <f>SUMIFS(Adjustments!$G:$G,Adjustments!$H:$H,"3",Adjustments!$I:$I,'Schedule 3 Adjustments'!$K$13,Adjustments!$J:$J,"19b")</f>
        <v>0</v>
      </c>
      <c r="M109" s="412">
        <f>SUM(K109:L109)</f>
        <v>0</v>
      </c>
      <c r="N109" s="90"/>
      <c r="O109" s="348"/>
      <c r="P109" s="88"/>
      <c r="Q109" s="344"/>
      <c r="R109" s="348"/>
      <c r="S109" s="88"/>
      <c r="T109" s="348"/>
      <c r="U109" s="88"/>
      <c r="V109" s="344"/>
      <c r="W109" s="348"/>
      <c r="X109" s="88"/>
      <c r="Y109" s="348"/>
      <c r="Z109" s="88"/>
      <c r="AA109" s="348"/>
      <c r="AB109" s="88"/>
      <c r="AC109" s="348"/>
    </row>
    <row r="110" spans="1:29" x14ac:dyDescent="0.35">
      <c r="A110" s="102" t="s">
        <v>449</v>
      </c>
      <c r="B110" s="88"/>
      <c r="C110" s="88"/>
      <c r="D110" s="88"/>
      <c r="E110" s="88"/>
      <c r="F110" s="125"/>
      <c r="G110" s="127"/>
      <c r="H110" s="127"/>
      <c r="I110" s="104"/>
      <c r="J110" s="362">
        <f>'As-Filed Schedule 3'!J110</f>
        <v>0</v>
      </c>
      <c r="K110" s="408">
        <f>'As-Filed Schedule 3'!K110</f>
        <v>0</v>
      </c>
      <c r="L110" s="410">
        <f>SUMIFS(Adjustments!$G:$G,Adjustments!$H:$H,"3",Adjustments!$I:$I,'Schedule 3 Adjustments'!$K$13,Adjustments!$J:$J,"19c")</f>
        <v>0</v>
      </c>
      <c r="M110" s="412">
        <f>SUM(K110:L110)</f>
        <v>0</v>
      </c>
      <c r="N110" s="90"/>
      <c r="O110" s="348"/>
      <c r="P110" s="88"/>
      <c r="Q110" s="344"/>
      <c r="R110" s="348"/>
      <c r="S110" s="88"/>
      <c r="T110" s="348"/>
      <c r="U110" s="88"/>
      <c r="V110" s="344"/>
      <c r="W110" s="348"/>
      <c r="X110" s="88"/>
      <c r="Y110" s="348"/>
      <c r="Z110" s="88"/>
      <c r="AA110" s="348"/>
      <c r="AB110" s="88"/>
      <c r="AC110" s="348"/>
    </row>
    <row r="111" spans="1:29" x14ac:dyDescent="0.35">
      <c r="J111" s="99"/>
      <c r="N111" s="28"/>
      <c r="O111" s="340"/>
    </row>
    <row r="112" spans="1:29" s="34" customFormat="1" x14ac:dyDescent="0.35">
      <c r="A112" s="84">
        <v>20</v>
      </c>
      <c r="B112" s="577" t="str">
        <f>'As-Filed Schedule 3'!B112:C112</f>
        <v>400-699-Rental Assistance</v>
      </c>
      <c r="C112" s="578"/>
      <c r="D112" s="358">
        <f>'As-Filed Schedule 3'!D112</f>
        <v>0</v>
      </c>
      <c r="E112" s="358">
        <f>'As-Filed Schedule 3'!E112</f>
        <v>0</v>
      </c>
      <c r="F112" s="357">
        <f>'As-Filed Schedule 3'!F112</f>
        <v>0</v>
      </c>
      <c r="G112" s="356">
        <f>'As-Filed Schedule 3'!G112</f>
        <v>0</v>
      </c>
      <c r="H112" s="356">
        <f>'As-Filed Schedule 3'!H112</f>
        <v>0</v>
      </c>
      <c r="I112" s="130">
        <f>IF(B112=0,"",IF(AND(G112=0,H112=0),365,IF(AND(G112&gt;0,H112=0),$C$6-G112+1,IF(AND(G112=0,H112&gt;0),H112-($C$6-365),H112-G112+1))))</f>
        <v>365</v>
      </c>
      <c r="J112" s="98"/>
      <c r="K112" s="407">
        <f>SUM(K113:K115)</f>
        <v>0</v>
      </c>
      <c r="L112" s="409">
        <f>SUM(L113:L115)</f>
        <v>0</v>
      </c>
      <c r="M112" s="411">
        <f>SUM(M113:M115)</f>
        <v>0</v>
      </c>
      <c r="N112" s="91" t="str">
        <f>IF(K112&gt;0,K112/(F112*I112),"")</f>
        <v/>
      </c>
      <c r="O112" s="339" t="str">
        <f>IF(M112&gt;0,M112/(F112*I112),"")</f>
        <v/>
      </c>
      <c r="P112" s="118">
        <f>'As-Filed Schedule 3'!M112</f>
        <v>2059085.3864190921</v>
      </c>
      <c r="Q112" s="342">
        <f>SUMIFS(Adjustments!$G:$G,Adjustments!$H:$H,"3",Adjustments!$I:$I,'Schedule 3 Adjustments'!$P$13,Adjustments!$J:$J,'As-Filed Schedule 3'!A112)</f>
        <v>0</v>
      </c>
      <c r="R112" s="346">
        <f>SUM(P112:Q112)</f>
        <v>2059085.3864190921</v>
      </c>
      <c r="S112" s="85" t="str">
        <f>IFERROR(P112/K112,"")</f>
        <v/>
      </c>
      <c r="T112" s="350" t="str">
        <f>IFERROR(R112/M112,"")</f>
        <v/>
      </c>
      <c r="U112" s="118">
        <f>'As-Filed Schedule 3'!O112</f>
        <v>0</v>
      </c>
      <c r="V112" s="342">
        <f>SUMIFS(Adjustments!$G:$G,Adjustments!$H:$H,"3",Adjustments!$I:$I,'Schedule 3 Adjustments'!$U$13,Adjustments!$J:$J,$A112)</f>
        <v>0</v>
      </c>
      <c r="W112" s="346">
        <f>SUM(U112:V112)</f>
        <v>0</v>
      </c>
      <c r="X112" s="85" t="str">
        <f>IFERROR(U112/K112,"")</f>
        <v/>
      </c>
      <c r="Y112" s="85" t="str">
        <f>IFERROR(W112/M112,"")</f>
        <v/>
      </c>
      <c r="Z112" s="86">
        <f>IF(P112=0,"",P112-U112)</f>
        <v>2059085.3864190921</v>
      </c>
      <c r="AA112" s="352">
        <f>IF(R112=0,"",R112-W112)</f>
        <v>2059085.3864190921</v>
      </c>
      <c r="AB112" s="85" t="str">
        <f>IFERROR(Z112/K112,"")</f>
        <v/>
      </c>
      <c r="AC112" s="350" t="str">
        <f>IFERROR(AA112/M112,"")</f>
        <v/>
      </c>
    </row>
    <row r="113" spans="1:29" x14ac:dyDescent="0.35">
      <c r="A113" s="100" t="s">
        <v>447</v>
      </c>
      <c r="B113" s="87"/>
      <c r="C113" s="87"/>
      <c r="D113" s="87"/>
      <c r="E113" s="87"/>
      <c r="F113" s="124"/>
      <c r="G113" s="126"/>
      <c r="H113" s="126"/>
      <c r="I113" s="103"/>
      <c r="J113" s="362">
        <f>'As-Filed Schedule 3'!J113</f>
        <v>0</v>
      </c>
      <c r="K113" s="408">
        <f>'As-Filed Schedule 3'!K113</f>
        <v>0</v>
      </c>
      <c r="L113" s="410">
        <f>SUMIFS(Adjustments!$G:$G,Adjustments!$H:$H,"3",Adjustments!$I:$I,'Schedule 3 Adjustments'!$K$13,Adjustments!$J:$J,"20a")</f>
        <v>0</v>
      </c>
      <c r="M113" s="412">
        <f>SUM(K113:L113)</f>
        <v>0</v>
      </c>
      <c r="N113" s="89"/>
      <c r="O113" s="347"/>
      <c r="P113" s="87"/>
      <c r="Q113" s="343"/>
      <c r="R113" s="347"/>
      <c r="S113" s="87"/>
      <c r="T113" s="347"/>
      <c r="U113" s="87"/>
      <c r="V113" s="343"/>
      <c r="W113" s="347"/>
      <c r="X113" s="87"/>
      <c r="Y113" s="347"/>
      <c r="Z113" s="87"/>
      <c r="AA113" s="347"/>
      <c r="AB113" s="87"/>
      <c r="AC113" s="347"/>
    </row>
    <row r="114" spans="1:29" x14ac:dyDescent="0.35">
      <c r="A114" s="101" t="s">
        <v>448</v>
      </c>
      <c r="B114" s="88"/>
      <c r="C114" s="88"/>
      <c r="D114" s="88"/>
      <c r="E114" s="88"/>
      <c r="F114" s="125"/>
      <c r="G114" s="127"/>
      <c r="H114" s="127"/>
      <c r="I114" s="104"/>
      <c r="J114" s="362">
        <f>'As-Filed Schedule 3'!J114</f>
        <v>0</v>
      </c>
      <c r="K114" s="408">
        <f>'As-Filed Schedule 3'!K114</f>
        <v>0</v>
      </c>
      <c r="L114" s="410">
        <f>SUMIFS(Adjustments!$G:$G,Adjustments!$H:$H,"3",Adjustments!$I:$I,'Schedule 3 Adjustments'!$K$13,Adjustments!$J:$J,"20b")</f>
        <v>0</v>
      </c>
      <c r="M114" s="412">
        <f>SUM(K114:L114)</f>
        <v>0</v>
      </c>
      <c r="N114" s="90"/>
      <c r="O114" s="348"/>
      <c r="P114" s="88"/>
      <c r="Q114" s="344"/>
      <c r="R114" s="348"/>
      <c r="S114" s="88"/>
      <c r="T114" s="348"/>
      <c r="U114" s="88"/>
      <c r="V114" s="344"/>
      <c r="W114" s="348"/>
      <c r="X114" s="88"/>
      <c r="Y114" s="348"/>
      <c r="Z114" s="88"/>
      <c r="AA114" s="348"/>
      <c r="AB114" s="88"/>
      <c r="AC114" s="348"/>
    </row>
    <row r="115" spans="1:29" x14ac:dyDescent="0.35">
      <c r="A115" s="102" t="s">
        <v>449</v>
      </c>
      <c r="B115" s="88"/>
      <c r="C115" s="88"/>
      <c r="D115" s="88"/>
      <c r="E115" s="88"/>
      <c r="F115" s="125"/>
      <c r="G115" s="127"/>
      <c r="H115" s="127"/>
      <c r="I115" s="104"/>
      <c r="J115" s="362">
        <f>'As-Filed Schedule 3'!J115</f>
        <v>0</v>
      </c>
      <c r="K115" s="408">
        <f>'As-Filed Schedule 3'!K115</f>
        <v>0</v>
      </c>
      <c r="L115" s="410">
        <f>SUMIFS(Adjustments!$G:$G,Adjustments!$H:$H,"3",Adjustments!$I:$I,'Schedule 3 Adjustments'!$K$13,Adjustments!$J:$J,"20c")</f>
        <v>0</v>
      </c>
      <c r="M115" s="412">
        <f>SUM(K115:L115)</f>
        <v>0</v>
      </c>
      <c r="N115" s="90"/>
      <c r="O115" s="348"/>
      <c r="P115" s="88"/>
      <c r="Q115" s="344"/>
      <c r="R115" s="348"/>
      <c r="S115" s="88"/>
      <c r="T115" s="348"/>
      <c r="U115" s="88"/>
      <c r="V115" s="344"/>
      <c r="W115" s="348"/>
      <c r="X115" s="88"/>
      <c r="Y115" s="348"/>
      <c r="Z115" s="88"/>
      <c r="AA115" s="348"/>
      <c r="AB115" s="88"/>
      <c r="AC115" s="348"/>
    </row>
    <row r="116" spans="1:29" x14ac:dyDescent="0.35">
      <c r="J116" s="99"/>
      <c r="N116" s="28"/>
      <c r="O116" s="340"/>
    </row>
    <row r="117" spans="1:29" s="34" customFormat="1" x14ac:dyDescent="0.35">
      <c r="A117" s="84">
        <v>21</v>
      </c>
      <c r="B117" s="577" t="str">
        <f>'As-Filed Schedule 3'!B117:C117</f>
        <v xml:space="preserve"> Sabin Group</v>
      </c>
      <c r="C117" s="578"/>
      <c r="D117" s="358">
        <f>'As-Filed Schedule 3'!D117</f>
        <v>0</v>
      </c>
      <c r="E117" s="358">
        <f>'As-Filed Schedule 3'!E117</f>
        <v>0</v>
      </c>
      <c r="F117" s="357">
        <f>'As-Filed Schedule 3'!F117</f>
        <v>0</v>
      </c>
      <c r="G117" s="356">
        <f>'As-Filed Schedule 3'!G117</f>
        <v>0</v>
      </c>
      <c r="H117" s="356">
        <f>'As-Filed Schedule 3'!H117</f>
        <v>0</v>
      </c>
      <c r="I117" s="130">
        <f>IF(B117=0,"",IF(AND(G117=0,H117=0),365,IF(AND(G117&gt;0,H117=0),$C$6-G117+1,IF(AND(G117=0,H117&gt;0),H117-($C$6-365),H117-G117+1))))</f>
        <v>365</v>
      </c>
      <c r="J117" s="98"/>
      <c r="K117" s="407">
        <f>SUM(K118:K120)</f>
        <v>0</v>
      </c>
      <c r="L117" s="409">
        <f>SUM(L118:L120)</f>
        <v>0</v>
      </c>
      <c r="M117" s="411">
        <f>SUM(M118:M120)</f>
        <v>0</v>
      </c>
      <c r="N117" s="91" t="str">
        <f>IF(K117&gt;0,K117/(F117*I117),"")</f>
        <v/>
      </c>
      <c r="O117" s="339" t="str">
        <f>IF(M117&gt;0,M117/(F117*I117),"")</f>
        <v/>
      </c>
      <c r="P117" s="118">
        <f>'As-Filed Schedule 3'!M117</f>
        <v>1402944.4</v>
      </c>
      <c r="Q117" s="342">
        <f>SUMIFS(Adjustments!$G:$G,Adjustments!$H:$H,"3",Adjustments!$I:$I,'Schedule 3 Adjustments'!$P$13,Adjustments!$J:$J,'As-Filed Schedule 3'!A117)</f>
        <v>0</v>
      </c>
      <c r="R117" s="346">
        <f>SUM(P117:Q117)</f>
        <v>1402944.4</v>
      </c>
      <c r="S117" s="85" t="str">
        <f>IFERROR(P117/K117,"")</f>
        <v/>
      </c>
      <c r="T117" s="350" t="str">
        <f>IFERROR(R117/M117,"")</f>
        <v/>
      </c>
      <c r="U117" s="118">
        <f>'As-Filed Schedule 3'!O117</f>
        <v>0</v>
      </c>
      <c r="V117" s="342">
        <f>SUMIFS(Adjustments!$G:$G,Adjustments!$H:$H,"3",Adjustments!$I:$I,'Schedule 3 Adjustments'!$U$13,Adjustments!$J:$J,$A117)</f>
        <v>0</v>
      </c>
      <c r="W117" s="346">
        <f>SUM(U117:V117)</f>
        <v>0</v>
      </c>
      <c r="X117" s="85" t="str">
        <f>IFERROR(U117/K117,"")</f>
        <v/>
      </c>
      <c r="Y117" s="85" t="str">
        <f>IFERROR(W117/M117,"")</f>
        <v/>
      </c>
      <c r="Z117" s="86">
        <f>IF(P117=0,"",P117-U117)</f>
        <v>1402944.4</v>
      </c>
      <c r="AA117" s="352">
        <f>IF(R117=0,"",R117-W117)</f>
        <v>1402944.4</v>
      </c>
      <c r="AB117" s="85" t="str">
        <f>IFERROR(Z117/K117,"")</f>
        <v/>
      </c>
      <c r="AC117" s="350" t="str">
        <f>IFERROR(AA117/M117,"")</f>
        <v/>
      </c>
    </row>
    <row r="118" spans="1:29" x14ac:dyDescent="0.35">
      <c r="A118" s="100" t="s">
        <v>447</v>
      </c>
      <c r="B118" s="87"/>
      <c r="C118" s="87"/>
      <c r="D118" s="87"/>
      <c r="E118" s="87"/>
      <c r="F118" s="124"/>
      <c r="G118" s="126"/>
      <c r="H118" s="126"/>
      <c r="I118" s="103"/>
      <c r="J118" s="362">
        <f>'As-Filed Schedule 3'!J118</f>
        <v>0</v>
      </c>
      <c r="K118" s="408">
        <f>'As-Filed Schedule 3'!K118</f>
        <v>0</v>
      </c>
      <c r="L118" s="410">
        <f>SUMIFS(Adjustments!$G:$G,Adjustments!$H:$H,"3",Adjustments!$I:$I,'Schedule 3 Adjustments'!$K$13,Adjustments!$J:$J,"21a")</f>
        <v>0</v>
      </c>
      <c r="M118" s="412">
        <f>SUM(K118:L118)</f>
        <v>0</v>
      </c>
      <c r="N118" s="89"/>
      <c r="O118" s="347"/>
      <c r="P118" s="87"/>
      <c r="Q118" s="343"/>
      <c r="R118" s="347"/>
      <c r="S118" s="87"/>
      <c r="T118" s="347"/>
      <c r="U118" s="87"/>
      <c r="V118" s="343"/>
      <c r="W118" s="347"/>
      <c r="X118" s="87"/>
      <c r="Y118" s="347"/>
      <c r="Z118" s="87"/>
      <c r="AA118" s="347"/>
      <c r="AB118" s="87"/>
      <c r="AC118" s="347"/>
    </row>
    <row r="119" spans="1:29" x14ac:dyDescent="0.35">
      <c r="A119" s="101" t="s">
        <v>448</v>
      </c>
      <c r="B119" s="88"/>
      <c r="C119" s="88"/>
      <c r="D119" s="88"/>
      <c r="E119" s="88"/>
      <c r="F119" s="125"/>
      <c r="G119" s="127"/>
      <c r="H119" s="127"/>
      <c r="I119" s="104"/>
      <c r="J119" s="362">
        <f>'As-Filed Schedule 3'!J119</f>
        <v>0</v>
      </c>
      <c r="K119" s="408">
        <f>'As-Filed Schedule 3'!K119</f>
        <v>0</v>
      </c>
      <c r="L119" s="410">
        <f>SUMIFS(Adjustments!$G:$G,Adjustments!$H:$H,"3",Adjustments!$I:$I,'Schedule 3 Adjustments'!$K$13,Adjustments!$J:$J,"21b")</f>
        <v>0</v>
      </c>
      <c r="M119" s="412">
        <f>SUM(K119:L119)</f>
        <v>0</v>
      </c>
      <c r="N119" s="90"/>
      <c r="O119" s="348"/>
      <c r="P119" s="88"/>
      <c r="Q119" s="344"/>
      <c r="R119" s="348"/>
      <c r="S119" s="88"/>
      <c r="T119" s="348"/>
      <c r="U119" s="88"/>
      <c r="V119" s="344"/>
      <c r="W119" s="348"/>
      <c r="X119" s="88"/>
      <c r="Y119" s="348"/>
      <c r="Z119" s="88"/>
      <c r="AA119" s="348"/>
      <c r="AB119" s="88"/>
      <c r="AC119" s="348"/>
    </row>
    <row r="120" spans="1:29" x14ac:dyDescent="0.35">
      <c r="A120" s="102" t="s">
        <v>449</v>
      </c>
      <c r="B120" s="88"/>
      <c r="C120" s="88"/>
      <c r="D120" s="88"/>
      <c r="E120" s="88"/>
      <c r="F120" s="125"/>
      <c r="G120" s="127"/>
      <c r="H120" s="127"/>
      <c r="I120" s="104"/>
      <c r="J120" s="362">
        <f>'As-Filed Schedule 3'!J120</f>
        <v>0</v>
      </c>
      <c r="K120" s="408">
        <f>'As-Filed Schedule 3'!K120</f>
        <v>0</v>
      </c>
      <c r="L120" s="410">
        <f>SUMIFS(Adjustments!$G:$G,Adjustments!$H:$H,"3",Adjustments!$I:$I,'Schedule 3 Adjustments'!$K$13,Adjustments!$J:$J,"21c")</f>
        <v>0</v>
      </c>
      <c r="M120" s="412">
        <f>SUM(K120:L120)</f>
        <v>0</v>
      </c>
      <c r="N120" s="90"/>
      <c r="O120" s="348"/>
      <c r="P120" s="88"/>
      <c r="Q120" s="344"/>
      <c r="R120" s="348"/>
      <c r="S120" s="88"/>
      <c r="T120" s="348"/>
      <c r="U120" s="88"/>
      <c r="V120" s="344"/>
      <c r="W120" s="348"/>
      <c r="X120" s="88"/>
      <c r="Y120" s="348"/>
      <c r="Z120" s="88"/>
      <c r="AA120" s="348"/>
      <c r="AB120" s="88"/>
      <c r="AC120" s="348"/>
    </row>
    <row r="121" spans="1:29" x14ac:dyDescent="0.35">
      <c r="J121" s="99"/>
      <c r="N121" s="28"/>
      <c r="O121" s="340"/>
    </row>
    <row r="122" spans="1:29" s="34" customFormat="1" x14ac:dyDescent="0.35">
      <c r="A122" s="84">
        <v>22</v>
      </c>
      <c r="B122" s="577" t="str">
        <f>'As-Filed Schedule 3'!B122:C122</f>
        <v>Sanderson LLC-Sanderson Apartments</v>
      </c>
      <c r="C122" s="578"/>
      <c r="D122" s="358">
        <f>'As-Filed Schedule 3'!D122</f>
        <v>0</v>
      </c>
      <c r="E122" s="358">
        <f>'As-Filed Schedule 3'!E122</f>
        <v>0</v>
      </c>
      <c r="F122" s="357">
        <f>'As-Filed Schedule 3'!F122</f>
        <v>0</v>
      </c>
      <c r="G122" s="356">
        <f>'As-Filed Schedule 3'!G122</f>
        <v>0</v>
      </c>
      <c r="H122" s="356">
        <f>'As-Filed Schedule 3'!H122</f>
        <v>0</v>
      </c>
      <c r="I122" s="130">
        <f>IF(B122=0,"",IF(AND(G122=0,H122=0),365,IF(AND(G122&gt;0,H122=0),$C$6-G122+1,IF(AND(G122=0,H122&gt;0),H122-($C$6-365),H122-G122+1))))</f>
        <v>365</v>
      </c>
      <c r="J122" s="98"/>
      <c r="K122" s="407">
        <f>SUM(K123:K125)</f>
        <v>0</v>
      </c>
      <c r="L122" s="409">
        <f>SUM(L123:L125)</f>
        <v>0</v>
      </c>
      <c r="M122" s="411">
        <f>SUM(M123:M125)</f>
        <v>0</v>
      </c>
      <c r="N122" s="91" t="str">
        <f>IF(K122&gt;0,K122/(F122*I122),"")</f>
        <v/>
      </c>
      <c r="O122" s="339" t="str">
        <f>IF(M122&gt;0,M122/(F122*I122),"")</f>
        <v/>
      </c>
      <c r="P122" s="118">
        <f>'As-Filed Schedule 3'!M122</f>
        <v>1093347.5</v>
      </c>
      <c r="Q122" s="342">
        <f>SUMIFS(Adjustments!$G:$G,Adjustments!$H:$H,"3",Adjustments!$I:$I,'Schedule 3 Adjustments'!$P$13,Adjustments!$J:$J,'As-Filed Schedule 3'!A122)</f>
        <v>0</v>
      </c>
      <c r="R122" s="346">
        <f>SUM(P122:Q122)</f>
        <v>1093347.5</v>
      </c>
      <c r="S122" s="85" t="str">
        <f>IFERROR(P122/K122,"")</f>
        <v/>
      </c>
      <c r="T122" s="350" t="str">
        <f>IFERROR(R122/M122,"")</f>
        <v/>
      </c>
      <c r="U122" s="118">
        <f>'As-Filed Schedule 3'!O122</f>
        <v>0</v>
      </c>
      <c r="V122" s="342">
        <f>SUMIFS(Adjustments!$G:$G,Adjustments!$H:$H,"3",Adjustments!$I:$I,'Schedule 3 Adjustments'!$U$13,Adjustments!$J:$J,$A122)</f>
        <v>0</v>
      </c>
      <c r="W122" s="346">
        <f>SUM(U122:V122)</f>
        <v>0</v>
      </c>
      <c r="X122" s="85" t="str">
        <f>IFERROR(U122/K122,"")</f>
        <v/>
      </c>
      <c r="Y122" s="85" t="str">
        <f>IFERROR(W122/M122,"")</f>
        <v/>
      </c>
      <c r="Z122" s="86">
        <f>IF(P122=0,"",P122-U122)</f>
        <v>1093347.5</v>
      </c>
      <c r="AA122" s="352">
        <f>IF(R122=0,"",R122-W122)</f>
        <v>1093347.5</v>
      </c>
      <c r="AB122" s="85" t="str">
        <f>IFERROR(Z122/K122,"")</f>
        <v/>
      </c>
      <c r="AC122" s="350" t="str">
        <f>IFERROR(AA122/M122,"")</f>
        <v/>
      </c>
    </row>
    <row r="123" spans="1:29" x14ac:dyDescent="0.35">
      <c r="A123" s="100" t="s">
        <v>447</v>
      </c>
      <c r="B123" s="87"/>
      <c r="C123" s="87"/>
      <c r="D123" s="87"/>
      <c r="E123" s="87"/>
      <c r="F123" s="124"/>
      <c r="G123" s="126"/>
      <c r="H123" s="126"/>
      <c r="I123" s="103"/>
      <c r="J123" s="362">
        <f>'As-Filed Schedule 3'!J123</f>
        <v>0</v>
      </c>
      <c r="K123" s="408">
        <f>'As-Filed Schedule 3'!K123</f>
        <v>0</v>
      </c>
      <c r="L123" s="410">
        <f>SUMIFS(Adjustments!$G:$G,Adjustments!$H:$H,"3",Adjustments!$I:$I,'Schedule 3 Adjustments'!$K$13,Adjustments!$J:$J,"22a")</f>
        <v>0</v>
      </c>
      <c r="M123" s="412">
        <f>SUM(K123:L123)</f>
        <v>0</v>
      </c>
      <c r="N123" s="89"/>
      <c r="O123" s="347"/>
      <c r="P123" s="87"/>
      <c r="Q123" s="343"/>
      <c r="R123" s="347"/>
      <c r="S123" s="87"/>
      <c r="T123" s="347"/>
      <c r="U123" s="87"/>
      <c r="V123" s="343"/>
      <c r="W123" s="347"/>
      <c r="X123" s="87"/>
      <c r="Y123" s="347"/>
      <c r="Z123" s="87"/>
      <c r="AA123" s="347"/>
      <c r="AB123" s="87"/>
      <c r="AC123" s="347"/>
    </row>
    <row r="124" spans="1:29" x14ac:dyDescent="0.35">
      <c r="A124" s="101" t="s">
        <v>448</v>
      </c>
      <c r="B124" s="88"/>
      <c r="C124" s="88"/>
      <c r="D124" s="88"/>
      <c r="E124" s="88"/>
      <c r="F124" s="125"/>
      <c r="G124" s="127"/>
      <c r="H124" s="127"/>
      <c r="I124" s="104"/>
      <c r="J124" s="362">
        <f>'As-Filed Schedule 3'!J124</f>
        <v>0</v>
      </c>
      <c r="K124" s="408">
        <f>'As-Filed Schedule 3'!K124</f>
        <v>0</v>
      </c>
      <c r="L124" s="410">
        <f>SUMIFS(Adjustments!$G:$G,Adjustments!$H:$H,"3",Adjustments!$I:$I,'Schedule 3 Adjustments'!$K$13,Adjustments!$J:$J,"22b")</f>
        <v>0</v>
      </c>
      <c r="M124" s="412">
        <f>SUM(K124:L124)</f>
        <v>0</v>
      </c>
      <c r="N124" s="90"/>
      <c r="O124" s="348"/>
      <c r="P124" s="88"/>
      <c r="Q124" s="344"/>
      <c r="R124" s="348"/>
      <c r="S124" s="88"/>
      <c r="T124" s="348"/>
      <c r="U124" s="88"/>
      <c r="V124" s="344"/>
      <c r="W124" s="348"/>
      <c r="X124" s="88"/>
      <c r="Y124" s="348"/>
      <c r="Z124" s="88"/>
      <c r="AA124" s="348"/>
      <c r="AB124" s="88"/>
      <c r="AC124" s="348"/>
    </row>
    <row r="125" spans="1:29" x14ac:dyDescent="0.35">
      <c r="A125" s="102" t="s">
        <v>449</v>
      </c>
      <c r="B125" s="88"/>
      <c r="C125" s="88"/>
      <c r="D125" s="88"/>
      <c r="E125" s="88"/>
      <c r="F125" s="125"/>
      <c r="G125" s="127"/>
      <c r="H125" s="127"/>
      <c r="I125" s="104"/>
      <c r="J125" s="362">
        <f>'As-Filed Schedule 3'!J125</f>
        <v>0</v>
      </c>
      <c r="K125" s="408">
        <f>'As-Filed Schedule 3'!K125</f>
        <v>0</v>
      </c>
      <c r="L125" s="410">
        <f>SUMIFS(Adjustments!$G:$G,Adjustments!$H:$H,"3",Adjustments!$I:$I,'Schedule 3 Adjustments'!$K$13,Adjustments!$J:$J,"22c")</f>
        <v>0</v>
      </c>
      <c r="M125" s="412">
        <f>SUM(K125:L125)</f>
        <v>0</v>
      </c>
      <c r="N125" s="90"/>
      <c r="O125" s="348"/>
      <c r="P125" s="88"/>
      <c r="Q125" s="344"/>
      <c r="R125" s="348"/>
      <c r="S125" s="88"/>
      <c r="T125" s="348"/>
      <c r="U125" s="88"/>
      <c r="V125" s="344"/>
      <c r="W125" s="348"/>
      <c r="X125" s="88"/>
      <c r="Y125" s="348"/>
      <c r="Z125" s="88"/>
      <c r="AA125" s="348"/>
      <c r="AB125" s="88"/>
      <c r="AC125" s="348"/>
    </row>
    <row r="126" spans="1:29" x14ac:dyDescent="0.35">
      <c r="J126" s="99"/>
      <c r="N126" s="28"/>
      <c r="O126" s="340"/>
    </row>
    <row r="127" spans="1:29" s="34" customFormat="1" x14ac:dyDescent="0.35">
      <c r="A127" s="84">
        <v>23</v>
      </c>
      <c r="B127" s="577">
        <f>'As-Filed Schedule 3'!B127:C127</f>
        <v>0</v>
      </c>
      <c r="C127" s="578"/>
      <c r="D127" s="358">
        <f>'As-Filed Schedule 3'!D127</f>
        <v>0</v>
      </c>
      <c r="E127" s="358">
        <f>'As-Filed Schedule 3'!E127</f>
        <v>0</v>
      </c>
      <c r="F127" s="357">
        <f>'As-Filed Schedule 3'!F127</f>
        <v>0</v>
      </c>
      <c r="G127" s="356">
        <f>'As-Filed Schedule 3'!G127</f>
        <v>0</v>
      </c>
      <c r="H127" s="356">
        <f>'As-Filed Schedule 3'!H127</f>
        <v>0</v>
      </c>
      <c r="I127" s="130" t="str">
        <f>IF(B127=0,"",IF(AND(G127=0,H127=0),365,IF(AND(G127&gt;0,H127=0),$C$6-G127+1,IF(AND(G127=0,H127&gt;0),H127-($C$6-365),H127-G127+1))))</f>
        <v/>
      </c>
      <c r="J127" s="98"/>
      <c r="K127" s="407">
        <f>SUM(K128:K130)</f>
        <v>0</v>
      </c>
      <c r="L127" s="409">
        <f>SUM(L128:L130)</f>
        <v>0</v>
      </c>
      <c r="M127" s="411">
        <f>SUM(M128:M130)</f>
        <v>0</v>
      </c>
      <c r="N127" s="91" t="str">
        <f>IF(K127&gt;0,K127/(F127*I127),"")</f>
        <v/>
      </c>
      <c r="O127" s="339" t="str">
        <f>IF(M127&gt;0,M127/(F127*I127),"")</f>
        <v/>
      </c>
      <c r="P127" s="118">
        <f>'As-Filed Schedule 3'!M127</f>
        <v>0</v>
      </c>
      <c r="Q127" s="342">
        <f>SUMIFS(Adjustments!$G:$G,Adjustments!$H:$H,"3",Adjustments!$I:$I,'Schedule 3 Adjustments'!$P$13,Adjustments!$J:$J,'As-Filed Schedule 3'!A127)</f>
        <v>0</v>
      </c>
      <c r="R127" s="346">
        <f>SUM(P127:Q127)</f>
        <v>0</v>
      </c>
      <c r="S127" s="85" t="str">
        <f>IFERROR(P127/K127,"")</f>
        <v/>
      </c>
      <c r="T127" s="350" t="str">
        <f>IFERROR(R127/M127,"")</f>
        <v/>
      </c>
      <c r="U127" s="118">
        <f>'As-Filed Schedule 3'!O127</f>
        <v>0</v>
      </c>
      <c r="V127" s="342">
        <f>SUMIFS(Adjustments!$G:$G,Adjustments!$H:$H,"3",Adjustments!$I:$I,'Schedule 3 Adjustments'!$U$13,Adjustments!$J:$J,$A127)</f>
        <v>0</v>
      </c>
      <c r="W127" s="346">
        <f>SUM(U127:V127)</f>
        <v>0</v>
      </c>
      <c r="X127" s="85" t="str">
        <f>IFERROR(U127/K127,"")</f>
        <v/>
      </c>
      <c r="Y127" s="85" t="str">
        <f>IFERROR(W127/M127,"")</f>
        <v/>
      </c>
      <c r="Z127" s="86" t="str">
        <f>IF(P127=0,"",P127-U127)</f>
        <v/>
      </c>
      <c r="AA127" s="352" t="str">
        <f>IF(R127=0,"",R127-W127)</f>
        <v/>
      </c>
      <c r="AB127" s="85" t="str">
        <f>IFERROR(Z127/K127,"")</f>
        <v/>
      </c>
      <c r="AC127" s="350" t="str">
        <f>IFERROR(AA127/M127,"")</f>
        <v/>
      </c>
    </row>
    <row r="128" spans="1:29" x14ac:dyDescent="0.35">
      <c r="A128" s="100" t="s">
        <v>447</v>
      </c>
      <c r="B128" s="87"/>
      <c r="C128" s="87"/>
      <c r="D128" s="87"/>
      <c r="E128" s="87"/>
      <c r="F128" s="124"/>
      <c r="G128" s="126"/>
      <c r="H128" s="126"/>
      <c r="I128" s="103"/>
      <c r="J128" s="362">
        <f>'As-Filed Schedule 3'!J128</f>
        <v>0</v>
      </c>
      <c r="K128" s="408">
        <f>'As-Filed Schedule 3'!K128</f>
        <v>0</v>
      </c>
      <c r="L128" s="410">
        <f>SUMIFS(Adjustments!$G:$G,Adjustments!$H:$H,"3",Adjustments!$I:$I,'Schedule 3 Adjustments'!$K$13,Adjustments!$J:$J,"23a")</f>
        <v>0</v>
      </c>
      <c r="M128" s="412">
        <f>SUM(K128:L128)</f>
        <v>0</v>
      </c>
      <c r="N128" s="89"/>
      <c r="O128" s="347"/>
      <c r="P128" s="87"/>
      <c r="Q128" s="343"/>
      <c r="R128" s="347"/>
      <c r="S128" s="87"/>
      <c r="T128" s="347"/>
      <c r="U128" s="87"/>
      <c r="V128" s="343"/>
      <c r="W128" s="347"/>
      <c r="X128" s="87"/>
      <c r="Y128" s="347"/>
      <c r="Z128" s="87"/>
      <c r="AA128" s="347"/>
      <c r="AB128" s="87"/>
      <c r="AC128" s="347"/>
    </row>
    <row r="129" spans="1:29" x14ac:dyDescent="0.35">
      <c r="A129" s="101" t="s">
        <v>448</v>
      </c>
      <c r="B129" s="88"/>
      <c r="C129" s="88"/>
      <c r="D129" s="88"/>
      <c r="E129" s="88"/>
      <c r="F129" s="125"/>
      <c r="G129" s="127"/>
      <c r="H129" s="127"/>
      <c r="I129" s="104"/>
      <c r="J129" s="362">
        <f>'As-Filed Schedule 3'!J129</f>
        <v>0</v>
      </c>
      <c r="K129" s="408">
        <f>'As-Filed Schedule 3'!K129</f>
        <v>0</v>
      </c>
      <c r="L129" s="410">
        <f>SUMIFS(Adjustments!$G:$G,Adjustments!$H:$H,"3",Adjustments!$I:$I,'Schedule 3 Adjustments'!$K$13,Adjustments!$J:$J,"23b")</f>
        <v>0</v>
      </c>
      <c r="M129" s="412">
        <f>SUM(K129:L129)</f>
        <v>0</v>
      </c>
      <c r="N129" s="90"/>
      <c r="O129" s="348"/>
      <c r="P129" s="88"/>
      <c r="Q129" s="344"/>
      <c r="R129" s="348"/>
      <c r="S129" s="88"/>
      <c r="T129" s="348"/>
      <c r="U129" s="88"/>
      <c r="V129" s="344"/>
      <c r="W129" s="348"/>
      <c r="X129" s="88"/>
      <c r="Y129" s="348"/>
      <c r="Z129" s="88"/>
      <c r="AA129" s="348"/>
      <c r="AB129" s="88"/>
      <c r="AC129" s="348"/>
    </row>
    <row r="130" spans="1:29" x14ac:dyDescent="0.35">
      <c r="A130" s="102" t="s">
        <v>449</v>
      </c>
      <c r="B130" s="88"/>
      <c r="C130" s="88"/>
      <c r="D130" s="88"/>
      <c r="E130" s="88"/>
      <c r="F130" s="125"/>
      <c r="G130" s="127"/>
      <c r="H130" s="127"/>
      <c r="I130" s="104"/>
      <c r="J130" s="362">
        <f>'As-Filed Schedule 3'!J130</f>
        <v>0</v>
      </c>
      <c r="K130" s="408">
        <f>'As-Filed Schedule 3'!K130</f>
        <v>0</v>
      </c>
      <c r="L130" s="410">
        <f>SUMIFS(Adjustments!$G:$G,Adjustments!$H:$H,"3",Adjustments!$I:$I,'Schedule 3 Adjustments'!$K$13,Adjustments!$J:$J,"23c")</f>
        <v>0</v>
      </c>
      <c r="M130" s="412">
        <f>SUM(K130:L130)</f>
        <v>0</v>
      </c>
      <c r="N130" s="90"/>
      <c r="O130" s="348"/>
      <c r="P130" s="88"/>
      <c r="Q130" s="344"/>
      <c r="R130" s="348"/>
      <c r="S130" s="88"/>
      <c r="T130" s="348"/>
      <c r="U130" s="88"/>
      <c r="V130" s="344"/>
      <c r="W130" s="348"/>
      <c r="X130" s="88"/>
      <c r="Y130" s="348"/>
      <c r="Z130" s="88"/>
      <c r="AA130" s="348"/>
      <c r="AB130" s="88"/>
      <c r="AC130" s="348"/>
    </row>
    <row r="131" spans="1:29" x14ac:dyDescent="0.35">
      <c r="J131" s="99"/>
      <c r="N131" s="28"/>
      <c r="O131" s="340"/>
    </row>
    <row r="132" spans="1:29" s="34" customFormat="1" x14ac:dyDescent="0.35">
      <c r="A132" s="84">
        <v>24</v>
      </c>
      <c r="B132" s="577">
        <f>'As-Filed Schedule 3'!B132:C132</f>
        <v>0</v>
      </c>
      <c r="C132" s="578"/>
      <c r="D132" s="358">
        <f>'As-Filed Schedule 3'!D132</f>
        <v>0</v>
      </c>
      <c r="E132" s="358">
        <f>'As-Filed Schedule 3'!E132</f>
        <v>0</v>
      </c>
      <c r="F132" s="357">
        <f>'As-Filed Schedule 3'!F132</f>
        <v>0</v>
      </c>
      <c r="G132" s="356">
        <f>'As-Filed Schedule 3'!G132</f>
        <v>0</v>
      </c>
      <c r="H132" s="356">
        <f>'As-Filed Schedule 3'!H132</f>
        <v>0</v>
      </c>
      <c r="I132" s="130" t="str">
        <f>IF(B132=0,"",IF(AND(G132=0,H132=0),365,IF(AND(G132&gt;0,H132=0),$C$6-G132+1,IF(AND(G132=0,H132&gt;0),H132-($C$6-365),H132-G132+1))))</f>
        <v/>
      </c>
      <c r="J132" s="98"/>
      <c r="K132" s="407">
        <f>SUM(K133:K135)</f>
        <v>0</v>
      </c>
      <c r="L132" s="409">
        <f>SUM(L133:L135)</f>
        <v>0</v>
      </c>
      <c r="M132" s="411">
        <f>SUM(M133:M135)</f>
        <v>0</v>
      </c>
      <c r="N132" s="91" t="str">
        <f>IF(K132&gt;0,K132/(F132*I132),"")</f>
        <v/>
      </c>
      <c r="O132" s="339" t="str">
        <f>IF(M132&gt;0,M132/(F132*I132),"")</f>
        <v/>
      </c>
      <c r="P132" s="118">
        <f>'As-Filed Schedule 3'!M132</f>
        <v>0</v>
      </c>
      <c r="Q132" s="342">
        <f>SUMIFS(Adjustments!$G:$G,Adjustments!$H:$H,"3",Adjustments!$I:$I,'Schedule 3 Adjustments'!$P$13,Adjustments!$J:$J,'As-Filed Schedule 3'!A132)</f>
        <v>0</v>
      </c>
      <c r="R132" s="346">
        <f>SUM(P132:Q132)</f>
        <v>0</v>
      </c>
      <c r="S132" s="85" t="str">
        <f>IFERROR(P132/K132,"")</f>
        <v/>
      </c>
      <c r="T132" s="350" t="str">
        <f>IFERROR(R132/M132,"")</f>
        <v/>
      </c>
      <c r="U132" s="118">
        <f>'As-Filed Schedule 3'!O132</f>
        <v>0</v>
      </c>
      <c r="V132" s="342">
        <f>SUMIFS(Adjustments!$G:$G,Adjustments!$H:$H,"3",Adjustments!$I:$I,'Schedule 3 Adjustments'!$U$13,Adjustments!$J:$J,$A132)</f>
        <v>0</v>
      </c>
      <c r="W132" s="346">
        <f>SUM(U132:V132)</f>
        <v>0</v>
      </c>
      <c r="X132" s="85" t="str">
        <f>IFERROR(U132/K132,"")</f>
        <v/>
      </c>
      <c r="Y132" s="85" t="str">
        <f>IFERROR(W132/M132,"")</f>
        <v/>
      </c>
      <c r="Z132" s="86" t="str">
        <f>IF(P132=0,"",P132-U132)</f>
        <v/>
      </c>
      <c r="AA132" s="352" t="str">
        <f>IF(R132=0,"",R132-W132)</f>
        <v/>
      </c>
      <c r="AB132" s="85" t="str">
        <f>IFERROR(Z132/K132,"")</f>
        <v/>
      </c>
      <c r="AC132" s="350" t="str">
        <f>IFERROR(AA132/M132,"")</f>
        <v/>
      </c>
    </row>
    <row r="133" spans="1:29" x14ac:dyDescent="0.35">
      <c r="A133" s="100" t="s">
        <v>447</v>
      </c>
      <c r="B133" s="87"/>
      <c r="C133" s="87"/>
      <c r="D133" s="87"/>
      <c r="E133" s="87"/>
      <c r="F133" s="124"/>
      <c r="G133" s="126"/>
      <c r="H133" s="126"/>
      <c r="I133" s="103"/>
      <c r="J133" s="362">
        <f>'As-Filed Schedule 3'!J133</f>
        <v>0</v>
      </c>
      <c r="K133" s="408">
        <f>'As-Filed Schedule 3'!K133</f>
        <v>0</v>
      </c>
      <c r="L133" s="410">
        <f>SUMIFS(Adjustments!$G:$G,Adjustments!$H:$H,"3",Adjustments!$I:$I,'Schedule 3 Adjustments'!$K$13,Adjustments!$J:$J,"24a")</f>
        <v>0</v>
      </c>
      <c r="M133" s="412">
        <f>SUM(K133:L133)</f>
        <v>0</v>
      </c>
      <c r="N133" s="89"/>
      <c r="O133" s="347"/>
      <c r="P133" s="87"/>
      <c r="Q133" s="343"/>
      <c r="R133" s="347"/>
      <c r="S133" s="87"/>
      <c r="T133" s="347"/>
      <c r="U133" s="87"/>
      <c r="V133" s="343"/>
      <c r="W133" s="347"/>
      <c r="X133" s="87"/>
      <c r="Y133" s="347"/>
      <c r="Z133" s="87"/>
      <c r="AA133" s="347"/>
      <c r="AB133" s="87"/>
      <c r="AC133" s="347"/>
    </row>
    <row r="134" spans="1:29" x14ac:dyDescent="0.35">
      <c r="A134" s="101" t="s">
        <v>448</v>
      </c>
      <c r="B134" s="88"/>
      <c r="C134" s="88"/>
      <c r="D134" s="88"/>
      <c r="E134" s="88"/>
      <c r="F134" s="125"/>
      <c r="G134" s="127"/>
      <c r="H134" s="127"/>
      <c r="I134" s="104"/>
      <c r="J134" s="362">
        <f>'As-Filed Schedule 3'!J134</f>
        <v>0</v>
      </c>
      <c r="K134" s="408">
        <f>'As-Filed Schedule 3'!K134</f>
        <v>0</v>
      </c>
      <c r="L134" s="410">
        <f>SUMIFS(Adjustments!$G:$G,Adjustments!$H:$H,"3",Adjustments!$I:$I,'Schedule 3 Adjustments'!$K$13,Adjustments!$J:$J,"24b")</f>
        <v>0</v>
      </c>
      <c r="M134" s="412">
        <f>SUM(K134:L134)</f>
        <v>0</v>
      </c>
      <c r="N134" s="90"/>
      <c r="O134" s="348"/>
      <c r="P134" s="88"/>
      <c r="Q134" s="344"/>
      <c r="R134" s="348"/>
      <c r="S134" s="88"/>
      <c r="T134" s="348"/>
      <c r="U134" s="88"/>
      <c r="V134" s="344"/>
      <c r="W134" s="348"/>
      <c r="X134" s="88"/>
      <c r="Y134" s="348"/>
      <c r="Z134" s="88"/>
      <c r="AA134" s="348"/>
      <c r="AB134" s="88"/>
      <c r="AC134" s="348"/>
    </row>
    <row r="135" spans="1:29" x14ac:dyDescent="0.35">
      <c r="A135" s="102" t="s">
        <v>449</v>
      </c>
      <c r="B135" s="88"/>
      <c r="C135" s="88"/>
      <c r="D135" s="88"/>
      <c r="E135" s="88"/>
      <c r="F135" s="125"/>
      <c r="G135" s="127"/>
      <c r="H135" s="127"/>
      <c r="I135" s="104"/>
      <c r="J135" s="362">
        <f>'As-Filed Schedule 3'!J135</f>
        <v>0</v>
      </c>
      <c r="K135" s="408">
        <f>'As-Filed Schedule 3'!K135</f>
        <v>0</v>
      </c>
      <c r="L135" s="410">
        <f>SUMIFS(Adjustments!$G:$G,Adjustments!$H:$H,"3",Adjustments!$I:$I,'Schedule 3 Adjustments'!$K$13,Adjustments!$J:$J,"24c")</f>
        <v>0</v>
      </c>
      <c r="M135" s="412">
        <f>SUM(K135:L135)</f>
        <v>0</v>
      </c>
      <c r="N135" s="90"/>
      <c r="O135" s="348"/>
      <c r="P135" s="88"/>
      <c r="Q135" s="344"/>
      <c r="R135" s="348"/>
      <c r="S135" s="88"/>
      <c r="T135" s="348"/>
      <c r="U135" s="88"/>
      <c r="V135" s="344"/>
      <c r="W135" s="348"/>
      <c r="X135" s="88"/>
      <c r="Y135" s="348"/>
      <c r="Z135" s="88"/>
      <c r="AA135" s="348"/>
      <c r="AB135" s="88"/>
      <c r="AC135" s="348"/>
    </row>
    <row r="136" spans="1:29" x14ac:dyDescent="0.35">
      <c r="J136" s="99"/>
      <c r="N136" s="28"/>
      <c r="O136" s="340"/>
    </row>
    <row r="137" spans="1:29" s="34" customFormat="1" x14ac:dyDescent="0.35">
      <c r="A137" s="84">
        <v>25</v>
      </c>
      <c r="B137" s="577">
        <f>'As-Filed Schedule 3'!B137:C137</f>
        <v>0</v>
      </c>
      <c r="C137" s="578"/>
      <c r="D137" s="358">
        <f>'As-Filed Schedule 3'!D137</f>
        <v>0</v>
      </c>
      <c r="E137" s="358">
        <f>'As-Filed Schedule 3'!E137</f>
        <v>0</v>
      </c>
      <c r="F137" s="357">
        <f>'As-Filed Schedule 3'!F137</f>
        <v>0</v>
      </c>
      <c r="G137" s="356">
        <f>'As-Filed Schedule 3'!G137</f>
        <v>0</v>
      </c>
      <c r="H137" s="356">
        <f>'As-Filed Schedule 3'!H137</f>
        <v>0</v>
      </c>
      <c r="I137" s="130" t="str">
        <f>IF(B137=0,"",IF(AND(G137=0,H137=0),365,IF(AND(G137&gt;0,H137=0),$C$6-G137+1,IF(AND(G137=0,H137&gt;0),H137-($C$6-365),H137-G137+1))))</f>
        <v/>
      </c>
      <c r="J137" s="98"/>
      <c r="K137" s="407">
        <f>SUM(K138:K140)</f>
        <v>0</v>
      </c>
      <c r="L137" s="409">
        <f>SUM(L138:L140)</f>
        <v>0</v>
      </c>
      <c r="M137" s="411">
        <f>SUM(M138:M140)</f>
        <v>0</v>
      </c>
      <c r="N137" s="91" t="str">
        <f>IF(K137&gt;0,K137/(F137*I137),"")</f>
        <v/>
      </c>
      <c r="O137" s="339" t="str">
        <f>IF(M137&gt;0,M137/(F137*I137),"")</f>
        <v/>
      </c>
      <c r="P137" s="118">
        <f>'As-Filed Schedule 3'!M137</f>
        <v>0</v>
      </c>
      <c r="Q137" s="342">
        <f>SUMIFS(Adjustments!$G:$G,Adjustments!$H:$H,"3",Adjustments!$I:$I,'Schedule 3 Adjustments'!$P$13,Adjustments!$J:$J,'As-Filed Schedule 3'!A137)</f>
        <v>0</v>
      </c>
      <c r="R137" s="346">
        <f>SUM(P137:Q137)</f>
        <v>0</v>
      </c>
      <c r="S137" s="85" t="str">
        <f>IFERROR(P137/K137,"")</f>
        <v/>
      </c>
      <c r="T137" s="350" t="str">
        <f>IFERROR(R137/M137,"")</f>
        <v/>
      </c>
      <c r="U137" s="118">
        <f>'As-Filed Schedule 3'!O137</f>
        <v>0</v>
      </c>
      <c r="V137" s="342">
        <f>SUMIFS(Adjustments!$G:$G,Adjustments!$H:$H,"3",Adjustments!$I:$I,'Schedule 3 Adjustments'!$U$13,Adjustments!$J:$J,$A137)</f>
        <v>0</v>
      </c>
      <c r="W137" s="346">
        <f>SUM(U137:V137)</f>
        <v>0</v>
      </c>
      <c r="X137" s="85" t="str">
        <f>IFERROR(U137/K137,"")</f>
        <v/>
      </c>
      <c r="Y137" s="85" t="str">
        <f>IFERROR(W137/M137,"")</f>
        <v/>
      </c>
      <c r="Z137" s="86" t="str">
        <f>IF(P137=0,"",P137-U137)</f>
        <v/>
      </c>
      <c r="AA137" s="352" t="str">
        <f>IF(R137=0,"",R137-W137)</f>
        <v/>
      </c>
      <c r="AB137" s="85" t="str">
        <f>IFERROR(Z137/K137,"")</f>
        <v/>
      </c>
      <c r="AC137" s="350" t="str">
        <f>IFERROR(AA137/M137,"")</f>
        <v/>
      </c>
    </row>
    <row r="138" spans="1:29" x14ac:dyDescent="0.35">
      <c r="A138" s="100" t="s">
        <v>447</v>
      </c>
      <c r="B138" s="87"/>
      <c r="C138" s="87"/>
      <c r="D138" s="87"/>
      <c r="E138" s="87"/>
      <c r="F138" s="124"/>
      <c r="G138" s="126"/>
      <c r="H138" s="126"/>
      <c r="I138" s="103"/>
      <c r="J138" s="362">
        <f>'As-Filed Schedule 3'!J138</f>
        <v>0</v>
      </c>
      <c r="K138" s="408">
        <f>'As-Filed Schedule 3'!K138</f>
        <v>0</v>
      </c>
      <c r="L138" s="410">
        <f>SUMIFS(Adjustments!$G:$G,Adjustments!$H:$H,"3",Adjustments!$I:$I,'Schedule 3 Adjustments'!$K$13,Adjustments!$J:$J,"25a")</f>
        <v>0</v>
      </c>
      <c r="M138" s="412">
        <f>SUM(K138:L138)</f>
        <v>0</v>
      </c>
      <c r="N138" s="89"/>
      <c r="O138" s="347"/>
      <c r="P138" s="87"/>
      <c r="Q138" s="343"/>
      <c r="R138" s="347"/>
      <c r="S138" s="87"/>
      <c r="T138" s="347"/>
      <c r="U138" s="87"/>
      <c r="V138" s="343"/>
      <c r="W138" s="347"/>
      <c r="X138" s="87"/>
      <c r="Y138" s="347"/>
      <c r="Z138" s="87"/>
      <c r="AA138" s="347"/>
      <c r="AB138" s="87"/>
      <c r="AC138" s="347"/>
    </row>
    <row r="139" spans="1:29" x14ac:dyDescent="0.35">
      <c r="A139" s="101" t="s">
        <v>448</v>
      </c>
      <c r="B139" s="88"/>
      <c r="C139" s="88"/>
      <c r="D139" s="88"/>
      <c r="E139" s="88"/>
      <c r="F139" s="125"/>
      <c r="G139" s="127"/>
      <c r="H139" s="127"/>
      <c r="I139" s="104"/>
      <c r="J139" s="362">
        <f>'As-Filed Schedule 3'!J139</f>
        <v>0</v>
      </c>
      <c r="K139" s="408">
        <f>'As-Filed Schedule 3'!K139</f>
        <v>0</v>
      </c>
      <c r="L139" s="410">
        <f>SUMIFS(Adjustments!$G:$G,Adjustments!$H:$H,"3",Adjustments!$I:$I,'Schedule 3 Adjustments'!$K$13,Adjustments!$J:$J,"25b")</f>
        <v>0</v>
      </c>
      <c r="M139" s="412">
        <f>SUM(K139:L139)</f>
        <v>0</v>
      </c>
      <c r="N139" s="90"/>
      <c r="O139" s="348"/>
      <c r="P139" s="88"/>
      <c r="Q139" s="344"/>
      <c r="R139" s="348"/>
      <c r="S139" s="88"/>
      <c r="T139" s="348"/>
      <c r="U139" s="88"/>
      <c r="V139" s="344"/>
      <c r="W139" s="348"/>
      <c r="X139" s="88"/>
      <c r="Y139" s="348"/>
      <c r="Z139" s="88"/>
      <c r="AA139" s="348"/>
      <c r="AB139" s="88"/>
      <c r="AC139" s="348"/>
    </row>
    <row r="140" spans="1:29" x14ac:dyDescent="0.35">
      <c r="A140" s="102" t="s">
        <v>449</v>
      </c>
      <c r="B140" s="88"/>
      <c r="C140" s="88"/>
      <c r="D140" s="88"/>
      <c r="E140" s="88"/>
      <c r="F140" s="125"/>
      <c r="G140" s="127"/>
      <c r="H140" s="127"/>
      <c r="I140" s="104"/>
      <c r="J140" s="362">
        <f>'As-Filed Schedule 3'!J140</f>
        <v>0</v>
      </c>
      <c r="K140" s="408">
        <f>'As-Filed Schedule 3'!K140</f>
        <v>0</v>
      </c>
      <c r="L140" s="410">
        <f>SUMIFS(Adjustments!$G:$G,Adjustments!$H:$H,"3",Adjustments!$I:$I,'Schedule 3 Adjustments'!$K$13,Adjustments!$J:$J,"25c")</f>
        <v>0</v>
      </c>
      <c r="M140" s="412">
        <f>SUM(K140:L140)</f>
        <v>0</v>
      </c>
      <c r="N140" s="90"/>
      <c r="O140" s="348"/>
      <c r="P140" s="88"/>
      <c r="Q140" s="344"/>
      <c r="R140" s="348"/>
      <c r="S140" s="88"/>
      <c r="T140" s="348"/>
      <c r="U140" s="88"/>
      <c r="V140" s="344"/>
      <c r="W140" s="348"/>
      <c r="X140" s="88"/>
      <c r="Y140" s="348"/>
      <c r="Z140" s="88"/>
      <c r="AA140" s="348"/>
      <c r="AB140" s="88"/>
      <c r="AC140" s="348"/>
    </row>
    <row r="141" spans="1:29" x14ac:dyDescent="0.35">
      <c r="J141" s="99"/>
      <c r="N141" s="28"/>
      <c r="O141" s="340"/>
    </row>
    <row r="142" spans="1:29" s="34" customFormat="1" x14ac:dyDescent="0.35">
      <c r="A142" s="84">
        <v>26</v>
      </c>
      <c r="B142" s="577">
        <f>'As-Filed Schedule 3'!B142:C142</f>
        <v>0</v>
      </c>
      <c r="C142" s="578"/>
      <c r="D142" s="358">
        <f>'As-Filed Schedule 3'!D142</f>
        <v>0</v>
      </c>
      <c r="E142" s="358">
        <f>'As-Filed Schedule 3'!E142</f>
        <v>0</v>
      </c>
      <c r="F142" s="357">
        <f>'As-Filed Schedule 3'!F142</f>
        <v>0</v>
      </c>
      <c r="G142" s="356">
        <f>'As-Filed Schedule 3'!G142</f>
        <v>0</v>
      </c>
      <c r="H142" s="356">
        <f>'As-Filed Schedule 3'!H142</f>
        <v>0</v>
      </c>
      <c r="I142" s="130" t="str">
        <f>IF(B142=0,"",IF(AND(G142=0,H142=0),365,IF(AND(G142&gt;0,H142=0),$C$6-G142+1,IF(AND(G142=0,H142&gt;0),H142-($C$6-365),H142-G142+1))))</f>
        <v/>
      </c>
      <c r="J142" s="98"/>
      <c r="K142" s="407">
        <f>SUM(K143:K145)</f>
        <v>0</v>
      </c>
      <c r="L142" s="409">
        <f>SUM(L143:L145)</f>
        <v>0</v>
      </c>
      <c r="M142" s="411">
        <f>SUM(M143:M145)</f>
        <v>0</v>
      </c>
      <c r="N142" s="91" t="str">
        <f>IF(K142&gt;0,K142/(F142*I142),"")</f>
        <v/>
      </c>
      <c r="O142" s="339" t="str">
        <f>IF(M142&gt;0,M142/(F142*I142),"")</f>
        <v/>
      </c>
      <c r="P142" s="118">
        <f>'As-Filed Schedule 3'!M142</f>
        <v>0</v>
      </c>
      <c r="Q142" s="342">
        <f>SUMIFS(Adjustments!$G:$G,Adjustments!$H:$H,"3",Adjustments!$I:$I,'Schedule 3 Adjustments'!$P$13,Adjustments!$J:$J,'As-Filed Schedule 3'!A142)</f>
        <v>0</v>
      </c>
      <c r="R142" s="346">
        <f>SUM(P142:Q142)</f>
        <v>0</v>
      </c>
      <c r="S142" s="85" t="str">
        <f>IFERROR(P142/K142,"")</f>
        <v/>
      </c>
      <c r="T142" s="350" t="str">
        <f>IFERROR(R142/M142,"")</f>
        <v/>
      </c>
      <c r="U142" s="118">
        <f>'As-Filed Schedule 3'!O142</f>
        <v>0</v>
      </c>
      <c r="V142" s="342">
        <f>SUMIFS(Adjustments!$G:$G,Adjustments!$H:$H,"3",Adjustments!$I:$I,'Schedule 3 Adjustments'!$U$13,Adjustments!$J:$J,$A142)</f>
        <v>0</v>
      </c>
      <c r="W142" s="346">
        <f>SUM(U142:V142)</f>
        <v>0</v>
      </c>
      <c r="X142" s="85" t="str">
        <f>IFERROR(U142/K142,"")</f>
        <v/>
      </c>
      <c r="Y142" s="85" t="str">
        <f>IFERROR(W142/M142,"")</f>
        <v/>
      </c>
      <c r="Z142" s="86" t="str">
        <f>IF(P142=0,"",P142-U142)</f>
        <v/>
      </c>
      <c r="AA142" s="352" t="str">
        <f>IF(R142=0,"",R142-W142)</f>
        <v/>
      </c>
      <c r="AB142" s="85" t="str">
        <f>IFERROR(Z142/K142,"")</f>
        <v/>
      </c>
      <c r="AC142" s="350" t="str">
        <f>IFERROR(AA142/M142,"")</f>
        <v/>
      </c>
    </row>
    <row r="143" spans="1:29" x14ac:dyDescent="0.35">
      <c r="A143" s="100" t="s">
        <v>447</v>
      </c>
      <c r="B143" s="87"/>
      <c r="C143" s="87"/>
      <c r="D143" s="87"/>
      <c r="E143" s="87"/>
      <c r="F143" s="124"/>
      <c r="G143" s="126"/>
      <c r="H143" s="126"/>
      <c r="I143" s="103"/>
      <c r="J143" s="362">
        <f>'As-Filed Schedule 3'!J143</f>
        <v>0</v>
      </c>
      <c r="K143" s="408">
        <f>'As-Filed Schedule 3'!K143</f>
        <v>0</v>
      </c>
      <c r="L143" s="410">
        <f>SUMIFS(Adjustments!$G:$G,Adjustments!$H:$H,"3",Adjustments!$I:$I,'Schedule 3 Adjustments'!$K$13,Adjustments!$J:$J,"26a")</f>
        <v>0</v>
      </c>
      <c r="M143" s="412">
        <f>SUM(K143:L143)</f>
        <v>0</v>
      </c>
      <c r="N143" s="89"/>
      <c r="O143" s="347"/>
      <c r="P143" s="87"/>
      <c r="Q143" s="343"/>
      <c r="R143" s="347"/>
      <c r="S143" s="87"/>
      <c r="T143" s="347"/>
      <c r="U143" s="87"/>
      <c r="V143" s="343"/>
      <c r="W143" s="347"/>
      <c r="X143" s="87"/>
      <c r="Y143" s="347"/>
      <c r="Z143" s="87"/>
      <c r="AA143" s="347"/>
      <c r="AB143" s="87"/>
      <c r="AC143" s="347"/>
    </row>
    <row r="144" spans="1:29" x14ac:dyDescent="0.35">
      <c r="A144" s="101" t="s">
        <v>448</v>
      </c>
      <c r="B144" s="88"/>
      <c r="C144" s="88"/>
      <c r="D144" s="88"/>
      <c r="E144" s="88"/>
      <c r="F144" s="125"/>
      <c r="G144" s="127"/>
      <c r="H144" s="127"/>
      <c r="I144" s="104"/>
      <c r="J144" s="362">
        <f>'As-Filed Schedule 3'!J144</f>
        <v>0</v>
      </c>
      <c r="K144" s="408">
        <f>'As-Filed Schedule 3'!K144</f>
        <v>0</v>
      </c>
      <c r="L144" s="410">
        <f>SUMIFS(Adjustments!$G:$G,Adjustments!$H:$H,"3",Adjustments!$I:$I,'Schedule 3 Adjustments'!$K$13,Adjustments!$J:$J,"26b")</f>
        <v>0</v>
      </c>
      <c r="M144" s="412">
        <f>SUM(K144:L144)</f>
        <v>0</v>
      </c>
      <c r="N144" s="90"/>
      <c r="O144" s="348"/>
      <c r="P144" s="88"/>
      <c r="Q144" s="344"/>
      <c r="R144" s="348"/>
      <c r="S144" s="88"/>
      <c r="T144" s="348"/>
      <c r="U144" s="88"/>
      <c r="V144" s="344"/>
      <c r="W144" s="348"/>
      <c r="X144" s="88"/>
      <c r="Y144" s="348"/>
      <c r="Z144" s="88"/>
      <c r="AA144" s="348"/>
      <c r="AB144" s="88"/>
      <c r="AC144" s="348"/>
    </row>
    <row r="145" spans="1:29" x14ac:dyDescent="0.35">
      <c r="A145" s="102" t="s">
        <v>449</v>
      </c>
      <c r="B145" s="88"/>
      <c r="C145" s="88"/>
      <c r="D145" s="88"/>
      <c r="E145" s="88"/>
      <c r="F145" s="125"/>
      <c r="G145" s="127"/>
      <c r="H145" s="127"/>
      <c r="I145" s="104"/>
      <c r="J145" s="362">
        <f>'As-Filed Schedule 3'!J145</f>
        <v>0</v>
      </c>
      <c r="K145" s="408">
        <f>'As-Filed Schedule 3'!K145</f>
        <v>0</v>
      </c>
      <c r="L145" s="410">
        <f>SUMIFS(Adjustments!$G:$G,Adjustments!$H:$H,"3",Adjustments!$I:$I,'Schedule 3 Adjustments'!$K$13,Adjustments!$J:$J,"26c")</f>
        <v>0</v>
      </c>
      <c r="M145" s="412">
        <f>SUM(K145:L145)</f>
        <v>0</v>
      </c>
      <c r="N145" s="90"/>
      <c r="O145" s="348"/>
      <c r="P145" s="88"/>
      <c r="Q145" s="344"/>
      <c r="R145" s="348"/>
      <c r="S145" s="88"/>
      <c r="T145" s="348"/>
      <c r="U145" s="88"/>
      <c r="V145" s="344"/>
      <c r="W145" s="348"/>
      <c r="X145" s="88"/>
      <c r="Y145" s="348"/>
      <c r="Z145" s="88"/>
      <c r="AA145" s="348"/>
      <c r="AB145" s="88"/>
      <c r="AC145" s="348"/>
    </row>
    <row r="146" spans="1:29" x14ac:dyDescent="0.35">
      <c r="J146" s="99"/>
      <c r="N146" s="28"/>
      <c r="O146" s="340"/>
    </row>
    <row r="147" spans="1:29" s="34" customFormat="1" x14ac:dyDescent="0.35">
      <c r="A147" s="84">
        <v>27</v>
      </c>
      <c r="B147" s="577">
        <f>'As-Filed Schedule 3'!B147:C147</f>
        <v>0</v>
      </c>
      <c r="C147" s="578"/>
      <c r="D147" s="358">
        <f>'As-Filed Schedule 3'!D147</f>
        <v>0</v>
      </c>
      <c r="E147" s="358">
        <f>'As-Filed Schedule 3'!E147</f>
        <v>0</v>
      </c>
      <c r="F147" s="357">
        <f>'As-Filed Schedule 3'!F147</f>
        <v>0</v>
      </c>
      <c r="G147" s="356">
        <f>'As-Filed Schedule 3'!G147</f>
        <v>0</v>
      </c>
      <c r="H147" s="356">
        <f>'As-Filed Schedule 3'!H147</f>
        <v>0</v>
      </c>
      <c r="I147" s="130" t="str">
        <f>IF(B147=0,"",IF(AND(G147=0,H147=0),365,IF(AND(G147&gt;0,H147=0),$C$6-G147+1,IF(AND(G147=0,H147&gt;0),H147-($C$6-365),H147-G147+1))))</f>
        <v/>
      </c>
      <c r="J147" s="98"/>
      <c r="K147" s="407">
        <f>SUM(K148:K150)</f>
        <v>0</v>
      </c>
      <c r="L147" s="409">
        <f>SUM(L148:L150)</f>
        <v>0</v>
      </c>
      <c r="M147" s="411">
        <f>SUM(M148:M150)</f>
        <v>0</v>
      </c>
      <c r="N147" s="91" t="str">
        <f>IF(K147&gt;0,K147/(F147*I147),"")</f>
        <v/>
      </c>
      <c r="O147" s="339" t="str">
        <f>IF(M147&gt;0,M147/(F147*I147),"")</f>
        <v/>
      </c>
      <c r="P147" s="118">
        <f>'As-Filed Schedule 3'!M147</f>
        <v>0</v>
      </c>
      <c r="Q147" s="342">
        <f>SUMIFS(Adjustments!$G:$G,Adjustments!$H:$H,"3",Adjustments!$I:$I,'Schedule 3 Adjustments'!$P$13,Adjustments!$J:$J,'As-Filed Schedule 3'!A147)</f>
        <v>0</v>
      </c>
      <c r="R147" s="346">
        <f>SUM(P147:Q147)</f>
        <v>0</v>
      </c>
      <c r="S147" s="85" t="str">
        <f>IFERROR(P147/K147,"")</f>
        <v/>
      </c>
      <c r="T147" s="350" t="str">
        <f>IFERROR(R147/M147,"")</f>
        <v/>
      </c>
      <c r="U147" s="118">
        <f>'As-Filed Schedule 3'!O147</f>
        <v>0</v>
      </c>
      <c r="V147" s="342">
        <f>SUMIFS(Adjustments!$G:$G,Adjustments!$H:$H,"3",Adjustments!$I:$I,'Schedule 3 Adjustments'!$U$13,Adjustments!$J:$J,$A147)</f>
        <v>0</v>
      </c>
      <c r="W147" s="346">
        <f>SUM(U147:V147)</f>
        <v>0</v>
      </c>
      <c r="X147" s="85" t="str">
        <f>IFERROR(U147/K147,"")</f>
        <v/>
      </c>
      <c r="Y147" s="85" t="str">
        <f>IFERROR(W147/M147,"")</f>
        <v/>
      </c>
      <c r="Z147" s="86" t="str">
        <f>IF(P147=0,"",P147-U147)</f>
        <v/>
      </c>
      <c r="AA147" s="352" t="str">
        <f>IF(R147=0,"",R147-W147)</f>
        <v/>
      </c>
      <c r="AB147" s="85" t="str">
        <f>IFERROR(Z147/K147,"")</f>
        <v/>
      </c>
      <c r="AC147" s="350" t="str">
        <f>IFERROR(AA147/M147,"")</f>
        <v/>
      </c>
    </row>
    <row r="148" spans="1:29" x14ac:dyDescent="0.35">
      <c r="A148" s="100" t="s">
        <v>447</v>
      </c>
      <c r="B148" s="87"/>
      <c r="C148" s="87"/>
      <c r="D148" s="87"/>
      <c r="E148" s="87"/>
      <c r="F148" s="124"/>
      <c r="G148" s="126"/>
      <c r="H148" s="126"/>
      <c r="I148" s="103"/>
      <c r="J148" s="362">
        <f>'As-Filed Schedule 3'!J148</f>
        <v>0</v>
      </c>
      <c r="K148" s="408">
        <f>'As-Filed Schedule 3'!K148</f>
        <v>0</v>
      </c>
      <c r="L148" s="410">
        <f>SUMIFS(Adjustments!$G:$G,Adjustments!$H:$H,"3",Adjustments!$I:$I,'Schedule 3 Adjustments'!$K$13,Adjustments!$J:$J,"27a")</f>
        <v>0</v>
      </c>
      <c r="M148" s="412">
        <f>SUM(K148:L148)</f>
        <v>0</v>
      </c>
      <c r="N148" s="89"/>
      <c r="O148" s="347"/>
      <c r="P148" s="87"/>
      <c r="Q148" s="343"/>
      <c r="R148" s="347"/>
      <c r="S148" s="87"/>
      <c r="T148" s="347"/>
      <c r="U148" s="87"/>
      <c r="V148" s="343"/>
      <c r="W148" s="347"/>
      <c r="X148" s="87"/>
      <c r="Y148" s="347"/>
      <c r="Z148" s="87"/>
      <c r="AA148" s="347"/>
      <c r="AB148" s="87"/>
      <c r="AC148" s="347"/>
    </row>
    <row r="149" spans="1:29" x14ac:dyDescent="0.35">
      <c r="A149" s="101" t="s">
        <v>448</v>
      </c>
      <c r="B149" s="88"/>
      <c r="C149" s="88"/>
      <c r="D149" s="88"/>
      <c r="E149" s="88"/>
      <c r="F149" s="125"/>
      <c r="G149" s="127"/>
      <c r="H149" s="127"/>
      <c r="I149" s="104"/>
      <c r="J149" s="362">
        <f>'As-Filed Schedule 3'!J149</f>
        <v>0</v>
      </c>
      <c r="K149" s="408">
        <f>'As-Filed Schedule 3'!K149</f>
        <v>0</v>
      </c>
      <c r="L149" s="410">
        <f>SUMIFS(Adjustments!$G:$G,Adjustments!$H:$H,"3",Adjustments!$I:$I,'Schedule 3 Adjustments'!$K$13,Adjustments!$J:$J,"27b")</f>
        <v>0</v>
      </c>
      <c r="M149" s="412">
        <f>SUM(K149:L149)</f>
        <v>0</v>
      </c>
      <c r="N149" s="90"/>
      <c r="O149" s="348"/>
      <c r="P149" s="88"/>
      <c r="Q149" s="344"/>
      <c r="R149" s="348"/>
      <c r="S149" s="88"/>
      <c r="T149" s="348"/>
      <c r="U149" s="88"/>
      <c r="V149" s="344"/>
      <c r="W149" s="348"/>
      <c r="X149" s="88"/>
      <c r="Y149" s="348"/>
      <c r="Z149" s="88"/>
      <c r="AA149" s="348"/>
      <c r="AB149" s="88"/>
      <c r="AC149" s="348"/>
    </row>
    <row r="150" spans="1:29" x14ac:dyDescent="0.35">
      <c r="A150" s="102" t="s">
        <v>449</v>
      </c>
      <c r="B150" s="88"/>
      <c r="C150" s="88"/>
      <c r="D150" s="88"/>
      <c r="E150" s="88"/>
      <c r="F150" s="125"/>
      <c r="G150" s="127"/>
      <c r="H150" s="127"/>
      <c r="I150" s="104"/>
      <c r="J150" s="362">
        <f>'As-Filed Schedule 3'!J150</f>
        <v>0</v>
      </c>
      <c r="K150" s="408">
        <f>'As-Filed Schedule 3'!K150</f>
        <v>0</v>
      </c>
      <c r="L150" s="410">
        <f>SUMIFS(Adjustments!$G:$G,Adjustments!$H:$H,"3",Adjustments!$I:$I,'Schedule 3 Adjustments'!$K$13,Adjustments!$J:$J,"27c")</f>
        <v>0</v>
      </c>
      <c r="M150" s="412">
        <f>SUM(K150:L150)</f>
        <v>0</v>
      </c>
      <c r="N150" s="90"/>
      <c r="O150" s="348"/>
      <c r="P150" s="88"/>
      <c r="Q150" s="344"/>
      <c r="R150" s="348"/>
      <c r="S150" s="88"/>
      <c r="T150" s="348"/>
      <c r="U150" s="88"/>
      <c r="V150" s="344"/>
      <c r="W150" s="348"/>
      <c r="X150" s="88"/>
      <c r="Y150" s="348"/>
      <c r="Z150" s="88"/>
      <c r="AA150" s="348"/>
      <c r="AB150" s="88"/>
      <c r="AC150" s="348"/>
    </row>
    <row r="151" spans="1:29" x14ac:dyDescent="0.35">
      <c r="J151" s="99"/>
      <c r="N151" s="28"/>
      <c r="O151" s="340"/>
    </row>
    <row r="152" spans="1:29" s="34" customFormat="1" x14ac:dyDescent="0.35">
      <c r="A152" s="84">
        <v>28</v>
      </c>
      <c r="B152" s="577">
        <f>'As-Filed Schedule 3'!B152:C152</f>
        <v>0</v>
      </c>
      <c r="C152" s="578"/>
      <c r="D152" s="358">
        <f>'As-Filed Schedule 3'!D152</f>
        <v>0</v>
      </c>
      <c r="E152" s="358">
        <f>'As-Filed Schedule 3'!E152</f>
        <v>0</v>
      </c>
      <c r="F152" s="357">
        <f>'As-Filed Schedule 3'!F152</f>
        <v>0</v>
      </c>
      <c r="G152" s="356">
        <f>'As-Filed Schedule 3'!G152</f>
        <v>0</v>
      </c>
      <c r="H152" s="356">
        <f>'As-Filed Schedule 3'!H152</f>
        <v>0</v>
      </c>
      <c r="I152" s="130" t="str">
        <f>IF(B152=0,"",IF(AND(G152=0,H152=0),365,IF(AND(G152&gt;0,H152=0),$C$6-G152+1,IF(AND(G152=0,H152&gt;0),H152-($C$6-365),H152-G152+1))))</f>
        <v/>
      </c>
      <c r="J152" s="98"/>
      <c r="K152" s="407">
        <f>SUM(K153:K155)</f>
        <v>0</v>
      </c>
      <c r="L152" s="409">
        <f>SUM(L153:L155)</f>
        <v>0</v>
      </c>
      <c r="M152" s="411">
        <f>SUM(M153:M155)</f>
        <v>0</v>
      </c>
      <c r="N152" s="91" t="str">
        <f>IF(K152&gt;0,K152/(F152*I152),"")</f>
        <v/>
      </c>
      <c r="O152" s="339" t="str">
        <f>IF(M152&gt;0,M152/(F152*I152),"")</f>
        <v/>
      </c>
      <c r="P152" s="118">
        <f>'As-Filed Schedule 3'!M152</f>
        <v>0</v>
      </c>
      <c r="Q152" s="342">
        <f>SUMIFS(Adjustments!$G:$G,Adjustments!$H:$H,"3",Adjustments!$I:$I,'Schedule 3 Adjustments'!$P$13,Adjustments!$J:$J,'As-Filed Schedule 3'!A152)</f>
        <v>0</v>
      </c>
      <c r="R152" s="346">
        <f>SUM(P152:Q152)</f>
        <v>0</v>
      </c>
      <c r="S152" s="85" t="str">
        <f>IFERROR(P152/K152,"")</f>
        <v/>
      </c>
      <c r="T152" s="350" t="str">
        <f>IFERROR(R152/M152,"")</f>
        <v/>
      </c>
      <c r="U152" s="118">
        <f>'As-Filed Schedule 3'!O152</f>
        <v>0</v>
      </c>
      <c r="V152" s="342">
        <f>SUMIFS(Adjustments!$G:$G,Adjustments!$H:$H,"3",Adjustments!$I:$I,'Schedule 3 Adjustments'!$U$13,Adjustments!$J:$J,$A152)</f>
        <v>0</v>
      </c>
      <c r="W152" s="346">
        <f>SUM(U152:V152)</f>
        <v>0</v>
      </c>
      <c r="X152" s="85" t="str">
        <f>IFERROR(U152/K152,"")</f>
        <v/>
      </c>
      <c r="Y152" s="85" t="str">
        <f>IFERROR(W152/M152,"")</f>
        <v/>
      </c>
      <c r="Z152" s="86" t="str">
        <f>IF(P152=0,"",P152-U152)</f>
        <v/>
      </c>
      <c r="AA152" s="352" t="str">
        <f>IF(R152=0,"",R152-W152)</f>
        <v/>
      </c>
      <c r="AB152" s="85" t="str">
        <f>IFERROR(Z152/K152,"")</f>
        <v/>
      </c>
      <c r="AC152" s="350" t="str">
        <f>IFERROR(AA152/M152,"")</f>
        <v/>
      </c>
    </row>
    <row r="153" spans="1:29" x14ac:dyDescent="0.35">
      <c r="A153" s="100" t="s">
        <v>447</v>
      </c>
      <c r="B153" s="87"/>
      <c r="C153" s="87"/>
      <c r="D153" s="87"/>
      <c r="E153" s="87"/>
      <c r="F153" s="124"/>
      <c r="G153" s="126"/>
      <c r="H153" s="126"/>
      <c r="I153" s="103"/>
      <c r="J153" s="362">
        <f>'As-Filed Schedule 3'!J153</f>
        <v>0</v>
      </c>
      <c r="K153" s="408">
        <f>'As-Filed Schedule 3'!K153</f>
        <v>0</v>
      </c>
      <c r="L153" s="410">
        <f>SUMIFS(Adjustments!$G:$G,Adjustments!$H:$H,"3",Adjustments!$I:$I,'Schedule 3 Adjustments'!$K$13,Adjustments!$J:$J,"28a")</f>
        <v>0</v>
      </c>
      <c r="M153" s="412">
        <f>SUM(K153:L153)</f>
        <v>0</v>
      </c>
      <c r="N153" s="89"/>
      <c r="O153" s="347"/>
      <c r="P153" s="87"/>
      <c r="Q153" s="343"/>
      <c r="R153" s="347"/>
      <c r="S153" s="87"/>
      <c r="T153" s="347"/>
      <c r="U153" s="87"/>
      <c r="V153" s="343"/>
      <c r="W153" s="347"/>
      <c r="X153" s="87"/>
      <c r="Y153" s="347"/>
      <c r="Z153" s="87"/>
      <c r="AA153" s="347"/>
      <c r="AB153" s="87"/>
      <c r="AC153" s="347"/>
    </row>
    <row r="154" spans="1:29" x14ac:dyDescent="0.35">
      <c r="A154" s="101" t="s">
        <v>448</v>
      </c>
      <c r="B154" s="88"/>
      <c r="C154" s="88"/>
      <c r="D154" s="88"/>
      <c r="E154" s="88"/>
      <c r="F154" s="125"/>
      <c r="G154" s="127"/>
      <c r="H154" s="127"/>
      <c r="I154" s="104"/>
      <c r="J154" s="362">
        <f>'As-Filed Schedule 3'!J154</f>
        <v>0</v>
      </c>
      <c r="K154" s="408">
        <f>'As-Filed Schedule 3'!K154</f>
        <v>0</v>
      </c>
      <c r="L154" s="410">
        <f>SUMIFS(Adjustments!$G:$G,Adjustments!$H:$H,"3",Adjustments!$I:$I,'Schedule 3 Adjustments'!$K$13,Adjustments!$J:$J,"28b")</f>
        <v>0</v>
      </c>
      <c r="M154" s="412">
        <f>SUM(K154:L154)</f>
        <v>0</v>
      </c>
      <c r="N154" s="90"/>
      <c r="O154" s="348"/>
      <c r="P154" s="88"/>
      <c r="Q154" s="344"/>
      <c r="R154" s="348"/>
      <c r="S154" s="88"/>
      <c r="T154" s="348"/>
      <c r="U154" s="88"/>
      <c r="V154" s="344"/>
      <c r="W154" s="348"/>
      <c r="X154" s="88"/>
      <c r="Y154" s="348"/>
      <c r="Z154" s="88"/>
      <c r="AA154" s="348"/>
      <c r="AB154" s="88"/>
      <c r="AC154" s="348"/>
    </row>
    <row r="155" spans="1:29" x14ac:dyDescent="0.35">
      <c r="A155" s="102" t="s">
        <v>449</v>
      </c>
      <c r="B155" s="88"/>
      <c r="C155" s="88"/>
      <c r="D155" s="88"/>
      <c r="E155" s="88"/>
      <c r="F155" s="125"/>
      <c r="G155" s="127"/>
      <c r="H155" s="127"/>
      <c r="I155" s="104"/>
      <c r="J155" s="362">
        <f>'As-Filed Schedule 3'!J155</f>
        <v>0</v>
      </c>
      <c r="K155" s="408">
        <f>'As-Filed Schedule 3'!K155</f>
        <v>0</v>
      </c>
      <c r="L155" s="410">
        <f>SUMIFS(Adjustments!$G:$G,Adjustments!$H:$H,"3",Adjustments!$I:$I,'Schedule 3 Adjustments'!$K$13,Adjustments!$J:$J,"28c")</f>
        <v>0</v>
      </c>
      <c r="M155" s="412">
        <f>SUM(K155:L155)</f>
        <v>0</v>
      </c>
      <c r="N155" s="90"/>
      <c r="O155" s="348"/>
      <c r="P155" s="88"/>
      <c r="Q155" s="344"/>
      <c r="R155" s="348"/>
      <c r="S155" s="88"/>
      <c r="T155" s="348"/>
      <c r="U155" s="88"/>
      <c r="V155" s="344"/>
      <c r="W155" s="348"/>
      <c r="X155" s="88"/>
      <c r="Y155" s="348"/>
      <c r="Z155" s="88"/>
      <c r="AA155" s="348"/>
      <c r="AB155" s="88"/>
      <c r="AC155" s="348"/>
    </row>
    <row r="156" spans="1:29" x14ac:dyDescent="0.35">
      <c r="J156" s="99"/>
      <c r="N156" s="28"/>
      <c r="O156" s="340"/>
    </row>
    <row r="157" spans="1:29" s="34" customFormat="1" x14ac:dyDescent="0.35">
      <c r="A157" s="84">
        <v>29</v>
      </c>
      <c r="B157" s="577">
        <f>'As-Filed Schedule 3'!B157:C157</f>
        <v>0</v>
      </c>
      <c r="C157" s="578"/>
      <c r="D157" s="358">
        <f>'As-Filed Schedule 3'!D157</f>
        <v>0</v>
      </c>
      <c r="E157" s="358">
        <f>'As-Filed Schedule 3'!E157</f>
        <v>0</v>
      </c>
      <c r="F157" s="357">
        <f>'As-Filed Schedule 3'!F157</f>
        <v>0</v>
      </c>
      <c r="G157" s="356">
        <f>'As-Filed Schedule 3'!G157</f>
        <v>0</v>
      </c>
      <c r="H157" s="356">
        <f>'As-Filed Schedule 3'!H157</f>
        <v>0</v>
      </c>
      <c r="I157" s="130" t="str">
        <f>IF(B157=0,"",IF(AND(G157=0,H157=0),365,IF(AND(G157&gt;0,H157=0),$C$6-G157+1,IF(AND(G157=0,H157&gt;0),H157-($C$6-365),H157-G157+1))))</f>
        <v/>
      </c>
      <c r="J157" s="98"/>
      <c r="K157" s="407">
        <f>SUM(K158:K160)</f>
        <v>0</v>
      </c>
      <c r="L157" s="409">
        <f>SUM(L158:L160)</f>
        <v>0</v>
      </c>
      <c r="M157" s="411">
        <f>SUM(M158:M160)</f>
        <v>0</v>
      </c>
      <c r="N157" s="91" t="str">
        <f>IF(K157&gt;0,K157/(F157*I157),"")</f>
        <v/>
      </c>
      <c r="O157" s="339" t="str">
        <f>IF(M157&gt;0,M157/(F157*I157),"")</f>
        <v/>
      </c>
      <c r="P157" s="118">
        <f>'As-Filed Schedule 3'!M157</f>
        <v>0</v>
      </c>
      <c r="Q157" s="342">
        <f>SUMIFS(Adjustments!$G:$G,Adjustments!$H:$H,"3",Adjustments!$I:$I,'Schedule 3 Adjustments'!$P$13,Adjustments!$J:$J,'As-Filed Schedule 3'!A157)</f>
        <v>0</v>
      </c>
      <c r="R157" s="346">
        <f>SUM(P157:Q157)</f>
        <v>0</v>
      </c>
      <c r="S157" s="85" t="str">
        <f>IFERROR(P157/K157,"")</f>
        <v/>
      </c>
      <c r="T157" s="350" t="str">
        <f>IFERROR(R157/M157,"")</f>
        <v/>
      </c>
      <c r="U157" s="118">
        <f>'As-Filed Schedule 3'!O157</f>
        <v>0</v>
      </c>
      <c r="V157" s="342">
        <f>SUMIFS(Adjustments!$G:$G,Adjustments!$H:$H,"3",Adjustments!$I:$I,'Schedule 3 Adjustments'!$U$13,Adjustments!$J:$J,$A157)</f>
        <v>0</v>
      </c>
      <c r="W157" s="346">
        <f>SUM(U157:V157)</f>
        <v>0</v>
      </c>
      <c r="X157" s="85" t="str">
        <f>IFERROR(U157/K157,"")</f>
        <v/>
      </c>
      <c r="Y157" s="85" t="str">
        <f>IFERROR(W157/M157,"")</f>
        <v/>
      </c>
      <c r="Z157" s="86" t="str">
        <f>IF(P157=0,"",P157-U157)</f>
        <v/>
      </c>
      <c r="AA157" s="352" t="str">
        <f>IF(R157=0,"",R157-W157)</f>
        <v/>
      </c>
      <c r="AB157" s="85" t="str">
        <f>IFERROR(Z157/K157,"")</f>
        <v/>
      </c>
      <c r="AC157" s="350" t="str">
        <f>IFERROR(AA157/M157,"")</f>
        <v/>
      </c>
    </row>
    <row r="158" spans="1:29" x14ac:dyDescent="0.35">
      <c r="A158" s="100" t="s">
        <v>447</v>
      </c>
      <c r="B158" s="87"/>
      <c r="C158" s="87"/>
      <c r="D158" s="87"/>
      <c r="E158" s="87"/>
      <c r="F158" s="124"/>
      <c r="G158" s="126"/>
      <c r="H158" s="126"/>
      <c r="I158" s="103"/>
      <c r="J158" s="362">
        <f>'As-Filed Schedule 3'!J158</f>
        <v>0</v>
      </c>
      <c r="K158" s="408">
        <f>'As-Filed Schedule 3'!K158</f>
        <v>0</v>
      </c>
      <c r="L158" s="410">
        <f>SUMIFS(Adjustments!$G:$G,Adjustments!$H:$H,"3",Adjustments!$I:$I,'Schedule 3 Adjustments'!$K$13,Adjustments!$J:$J,"29a")</f>
        <v>0</v>
      </c>
      <c r="M158" s="412">
        <f>SUM(K158:L158)</f>
        <v>0</v>
      </c>
      <c r="N158" s="89"/>
      <c r="O158" s="347"/>
      <c r="P158" s="87"/>
      <c r="Q158" s="343"/>
      <c r="R158" s="347"/>
      <c r="S158" s="87"/>
      <c r="T158" s="347"/>
      <c r="U158" s="87"/>
      <c r="V158" s="343"/>
      <c r="W158" s="347"/>
      <c r="X158" s="87"/>
      <c r="Y158" s="347"/>
      <c r="Z158" s="87"/>
      <c r="AA158" s="347"/>
      <c r="AB158" s="87"/>
      <c r="AC158" s="347"/>
    </row>
    <row r="159" spans="1:29" x14ac:dyDescent="0.35">
      <c r="A159" s="101" t="s">
        <v>448</v>
      </c>
      <c r="B159" s="88"/>
      <c r="C159" s="88"/>
      <c r="D159" s="88"/>
      <c r="E159" s="88"/>
      <c r="F159" s="125"/>
      <c r="G159" s="127"/>
      <c r="H159" s="127"/>
      <c r="I159" s="104"/>
      <c r="J159" s="362">
        <f>'As-Filed Schedule 3'!J159</f>
        <v>0</v>
      </c>
      <c r="K159" s="408">
        <f>'As-Filed Schedule 3'!K159</f>
        <v>0</v>
      </c>
      <c r="L159" s="410">
        <f>SUMIFS(Adjustments!$G:$G,Adjustments!$H:$H,"3",Adjustments!$I:$I,'Schedule 3 Adjustments'!$K$13,Adjustments!$J:$J,"29b")</f>
        <v>0</v>
      </c>
      <c r="M159" s="412">
        <f>SUM(K159:L159)</f>
        <v>0</v>
      </c>
      <c r="N159" s="90"/>
      <c r="O159" s="348"/>
      <c r="P159" s="88"/>
      <c r="Q159" s="344"/>
      <c r="R159" s="348"/>
      <c r="S159" s="88"/>
      <c r="T159" s="348"/>
      <c r="U159" s="88"/>
      <c r="V159" s="344"/>
      <c r="W159" s="348"/>
      <c r="X159" s="88"/>
      <c r="Y159" s="348"/>
      <c r="Z159" s="88"/>
      <c r="AA159" s="348"/>
      <c r="AB159" s="88"/>
      <c r="AC159" s="348"/>
    </row>
    <row r="160" spans="1:29" x14ac:dyDescent="0.35">
      <c r="A160" s="102" t="s">
        <v>449</v>
      </c>
      <c r="B160" s="88"/>
      <c r="C160" s="88"/>
      <c r="D160" s="88"/>
      <c r="E160" s="88"/>
      <c r="F160" s="125"/>
      <c r="G160" s="127"/>
      <c r="H160" s="127"/>
      <c r="I160" s="104"/>
      <c r="J160" s="362">
        <f>'As-Filed Schedule 3'!J160</f>
        <v>0</v>
      </c>
      <c r="K160" s="408">
        <f>'As-Filed Schedule 3'!K160</f>
        <v>0</v>
      </c>
      <c r="L160" s="410">
        <f>SUMIFS(Adjustments!$G:$G,Adjustments!$H:$H,"3",Adjustments!$I:$I,'Schedule 3 Adjustments'!$K$13,Adjustments!$J:$J,"29c")</f>
        <v>0</v>
      </c>
      <c r="M160" s="412">
        <f>SUM(K160:L160)</f>
        <v>0</v>
      </c>
      <c r="N160" s="90"/>
      <c r="O160" s="348"/>
      <c r="P160" s="88"/>
      <c r="Q160" s="344"/>
      <c r="R160" s="348"/>
      <c r="S160" s="88"/>
      <c r="T160" s="348"/>
      <c r="U160" s="88"/>
      <c r="V160" s="344"/>
      <c r="W160" s="348"/>
      <c r="X160" s="88"/>
      <c r="Y160" s="348"/>
      <c r="Z160" s="88"/>
      <c r="AA160" s="348"/>
      <c r="AB160" s="88"/>
      <c r="AC160" s="348"/>
    </row>
    <row r="161" spans="1:29" x14ac:dyDescent="0.35">
      <c r="J161" s="99"/>
      <c r="N161" s="28"/>
      <c r="O161" s="340"/>
    </row>
    <row r="162" spans="1:29" s="34" customFormat="1" x14ac:dyDescent="0.35">
      <c r="A162" s="84">
        <v>30</v>
      </c>
      <c r="B162" s="577">
        <f>'As-Filed Schedule 3'!B162:C162</f>
        <v>0</v>
      </c>
      <c r="C162" s="578"/>
      <c r="D162" s="358">
        <f>'As-Filed Schedule 3'!D162</f>
        <v>0</v>
      </c>
      <c r="E162" s="358">
        <f>'As-Filed Schedule 3'!E162</f>
        <v>0</v>
      </c>
      <c r="F162" s="357">
        <f>'As-Filed Schedule 3'!F162</f>
        <v>0</v>
      </c>
      <c r="G162" s="356">
        <f>'As-Filed Schedule 3'!G162</f>
        <v>0</v>
      </c>
      <c r="H162" s="356">
        <f>'As-Filed Schedule 3'!H162</f>
        <v>0</v>
      </c>
      <c r="I162" s="130" t="str">
        <f>IF(B162=0,"",IF(AND(G162=0,H162=0),365,IF(AND(G162&gt;0,H162=0),$C$6-G162+1,IF(AND(G162=0,H162&gt;0),H162-($C$6-365),H162-G162+1))))</f>
        <v/>
      </c>
      <c r="J162" s="98"/>
      <c r="K162" s="407">
        <f>SUM(K163:K165)</f>
        <v>0</v>
      </c>
      <c r="L162" s="409">
        <f>SUM(L163:L165)</f>
        <v>0</v>
      </c>
      <c r="M162" s="411">
        <f>SUM(M163:M165)</f>
        <v>0</v>
      </c>
      <c r="N162" s="91" t="str">
        <f>IF(K162&gt;0,K162/(F162*I162),"")</f>
        <v/>
      </c>
      <c r="O162" s="339" t="str">
        <f>IF(M162&gt;0,M162/(F162*I162),"")</f>
        <v/>
      </c>
      <c r="P162" s="118">
        <f>'As-Filed Schedule 3'!M162</f>
        <v>0</v>
      </c>
      <c r="Q162" s="342">
        <f>SUMIFS(Adjustments!$G:$G,Adjustments!$H:$H,"3",Adjustments!$I:$I,'Schedule 3 Adjustments'!$P$13,Adjustments!$J:$J,'As-Filed Schedule 3'!A162)</f>
        <v>0</v>
      </c>
      <c r="R162" s="346">
        <f>SUM(P162:Q162)</f>
        <v>0</v>
      </c>
      <c r="S162" s="85" t="str">
        <f>IFERROR(P162/K162,"")</f>
        <v/>
      </c>
      <c r="T162" s="350" t="str">
        <f>IFERROR(R162/M162,"")</f>
        <v/>
      </c>
      <c r="U162" s="118">
        <f>'As-Filed Schedule 3'!O162</f>
        <v>0</v>
      </c>
      <c r="V162" s="342">
        <f>SUMIFS(Adjustments!$G:$G,Adjustments!$H:$H,"3",Adjustments!$I:$I,'Schedule 3 Adjustments'!$U$13,Adjustments!$J:$J,$A162)</f>
        <v>0</v>
      </c>
      <c r="W162" s="346">
        <f>SUM(U162:V162)</f>
        <v>0</v>
      </c>
      <c r="X162" s="85" t="str">
        <f>IFERROR(U162/K162,"")</f>
        <v/>
      </c>
      <c r="Y162" s="85" t="str">
        <f>IFERROR(W162/M162,"")</f>
        <v/>
      </c>
      <c r="Z162" s="86" t="str">
        <f>IF(P162=0,"",P162-U162)</f>
        <v/>
      </c>
      <c r="AA162" s="352" t="str">
        <f>IF(R162=0,"",R162-W162)</f>
        <v/>
      </c>
      <c r="AB162" s="85" t="str">
        <f>IFERROR(Z162/K162,"")</f>
        <v/>
      </c>
      <c r="AC162" s="350" t="str">
        <f>IFERROR(AA162/M162,"")</f>
        <v/>
      </c>
    </row>
    <row r="163" spans="1:29" x14ac:dyDescent="0.35">
      <c r="A163" s="100" t="s">
        <v>447</v>
      </c>
      <c r="B163" s="87"/>
      <c r="C163" s="87"/>
      <c r="D163" s="87"/>
      <c r="E163" s="87"/>
      <c r="F163" s="124"/>
      <c r="G163" s="126"/>
      <c r="H163" s="126"/>
      <c r="I163" s="103"/>
      <c r="J163" s="362">
        <f>'As-Filed Schedule 3'!J163</f>
        <v>0</v>
      </c>
      <c r="K163" s="408">
        <f>'As-Filed Schedule 3'!K163</f>
        <v>0</v>
      </c>
      <c r="L163" s="410">
        <f>SUMIFS(Adjustments!$G:$G,Adjustments!$H:$H,"3",Adjustments!$I:$I,'Schedule 3 Adjustments'!$K$13,Adjustments!$J:$J,"30a")</f>
        <v>0</v>
      </c>
      <c r="M163" s="412">
        <f>SUM(K163:L163)</f>
        <v>0</v>
      </c>
      <c r="N163" s="89"/>
      <c r="O163" s="347"/>
      <c r="P163" s="87"/>
      <c r="Q163" s="343"/>
      <c r="R163" s="347"/>
      <c r="S163" s="87"/>
      <c r="T163" s="347"/>
      <c r="U163" s="87"/>
      <c r="V163" s="343"/>
      <c r="W163" s="347"/>
      <c r="X163" s="87"/>
      <c r="Y163" s="347"/>
      <c r="Z163" s="87"/>
      <c r="AA163" s="347"/>
      <c r="AB163" s="87"/>
      <c r="AC163" s="347"/>
    </row>
    <row r="164" spans="1:29" x14ac:dyDescent="0.35">
      <c r="A164" s="101" t="s">
        <v>448</v>
      </c>
      <c r="B164" s="88"/>
      <c r="C164" s="88"/>
      <c r="D164" s="88"/>
      <c r="E164" s="88"/>
      <c r="F164" s="125"/>
      <c r="G164" s="127"/>
      <c r="H164" s="127"/>
      <c r="I164" s="104"/>
      <c r="J164" s="362">
        <f>'As-Filed Schedule 3'!J164</f>
        <v>0</v>
      </c>
      <c r="K164" s="408">
        <f>'As-Filed Schedule 3'!K164</f>
        <v>0</v>
      </c>
      <c r="L164" s="410">
        <f>SUMIFS(Adjustments!$G:$G,Adjustments!$H:$H,"3",Adjustments!$I:$I,'Schedule 3 Adjustments'!$K$13,Adjustments!$J:$J,"30b")</f>
        <v>0</v>
      </c>
      <c r="M164" s="412">
        <f>SUM(K164:L164)</f>
        <v>0</v>
      </c>
      <c r="N164" s="90"/>
      <c r="O164" s="348"/>
      <c r="P164" s="88"/>
      <c r="Q164" s="344"/>
      <c r="R164" s="348"/>
      <c r="S164" s="88"/>
      <c r="T164" s="348"/>
      <c r="U164" s="88"/>
      <c r="V164" s="344"/>
      <c r="W164" s="348"/>
      <c r="X164" s="88"/>
      <c r="Y164" s="348"/>
      <c r="Z164" s="88"/>
      <c r="AA164" s="348"/>
      <c r="AB164" s="88"/>
      <c r="AC164" s="348"/>
    </row>
    <row r="165" spans="1:29" x14ac:dyDescent="0.35">
      <c r="A165" s="102" t="s">
        <v>449</v>
      </c>
      <c r="B165" s="88"/>
      <c r="C165" s="88"/>
      <c r="D165" s="88"/>
      <c r="E165" s="88"/>
      <c r="F165" s="125"/>
      <c r="G165" s="127"/>
      <c r="H165" s="127"/>
      <c r="I165" s="104"/>
      <c r="J165" s="362">
        <f>'As-Filed Schedule 3'!J165</f>
        <v>0</v>
      </c>
      <c r="K165" s="408">
        <f>'As-Filed Schedule 3'!K165</f>
        <v>0</v>
      </c>
      <c r="L165" s="410">
        <f>SUMIFS(Adjustments!$G:$G,Adjustments!$H:$H,"3",Adjustments!$I:$I,'Schedule 3 Adjustments'!$K$13,Adjustments!$J:$J,"30c")</f>
        <v>0</v>
      </c>
      <c r="M165" s="412">
        <f>SUM(K165:L165)</f>
        <v>0</v>
      </c>
      <c r="N165" s="90"/>
      <c r="O165" s="348"/>
      <c r="P165" s="88"/>
      <c r="Q165" s="344"/>
      <c r="R165" s="348"/>
      <c r="S165" s="88"/>
      <c r="T165" s="348"/>
      <c r="U165" s="88"/>
      <c r="V165" s="344"/>
      <c r="W165" s="348"/>
      <c r="X165" s="88"/>
      <c r="Y165" s="348"/>
      <c r="Z165" s="88"/>
      <c r="AA165" s="348"/>
      <c r="AB165" s="88"/>
      <c r="AC165" s="348"/>
    </row>
    <row r="166" spans="1:29" x14ac:dyDescent="0.35">
      <c r="J166" s="99"/>
      <c r="N166" s="28"/>
      <c r="O166" s="340"/>
    </row>
    <row r="167" spans="1:29" x14ac:dyDescent="0.35">
      <c r="A167" s="19">
        <v>31</v>
      </c>
      <c r="B167" s="576" t="s">
        <v>173</v>
      </c>
      <c r="C167" s="576"/>
      <c r="D167" s="576"/>
      <c r="E167" s="576"/>
      <c r="F167" s="27">
        <f>F162+F157+F152+F147+F142+F137+F132+F127+F122+F117+F112+F107+F102+F97+F92+F87+F82+F77+F72+F67+F62+F57+F52+F47+F42+F37+F32+F27+F22+F17</f>
        <v>134</v>
      </c>
      <c r="G167" s="32"/>
      <c r="H167" s="32"/>
      <c r="I167" s="32"/>
      <c r="J167" s="32"/>
      <c r="K167" s="27">
        <f>K162+K157+K152+K147+K142+K137+K132+K127+K122+K117+K112+K107+K102+K97+K92+K87+K82+K77+K72+K67+K62+K57+K52+K47+K42+K37+K32+K27+K22+K17</f>
        <v>36186</v>
      </c>
      <c r="L167" s="338">
        <f>L162+L157+L152+L147+L142+L137+L132+L127+L122+L117+L112+L107+L102+L97+L92+L87+L82+L77+L72+L67+L62+L57+L52+L47+L42+L37+L32+L27+L22+L17</f>
        <v>0</v>
      </c>
      <c r="M167" s="332">
        <f>M162+M157+M152+M147+M142+M137+M132+M127+M122+M117+M112+M107+M102+M97+M92+M87+M82+M77+M72+M67+M62+M57+M52+M47+M42+M37+M32+M27+M22+M17</f>
        <v>36186</v>
      </c>
      <c r="N167" s="29">
        <f>IF(K167&gt;0,K167/(F167*365),"")</f>
        <v>0.73984870169699446</v>
      </c>
      <c r="O167" s="341">
        <f>IF(M167&gt;0,M167/(F167*365),"")</f>
        <v>0.73984870169699446</v>
      </c>
      <c r="P167" s="27">
        <f>P162+P157+P152+P147+P142+P137+P132+P127+P122+P117+P112+P107+P102+P97+P92+P87+P82+P77+P72+P67+P62+P57+P52+P47+P42+P37+P32+P27+P22+P17</f>
        <v>25704909.556166928</v>
      </c>
      <c r="Q167" s="338">
        <f>Q162+Q157+Q152+Q147+Q142+Q137+Q132+Q127+Q122+Q117+Q112+Q107+Q102+Q97+Q92+Q87+Q82+Q77+Q72+Q67+Q62+Q57+Q52+Q47+Q42+Q37+Q32+Q27+Q22+Q17</f>
        <v>-925948.32</v>
      </c>
      <c r="R167" s="332">
        <f>R162+R157+R152+R147+R142+R137+R132+R127+R122+R117+R112+R107+R102+R97+R92+R87+R82+R77+R72+R67+R62+R57+R52+R47+R42+R37+R32+R27+R22+R17</f>
        <v>24778961.236166928</v>
      </c>
      <c r="S167" s="17">
        <f>IFERROR(P167/K167,"")</f>
        <v>710.35509744561239</v>
      </c>
      <c r="T167" s="351">
        <f>IFERROR(R167/M167,"")</f>
        <v>684.76651843715604</v>
      </c>
      <c r="U167" s="27">
        <f>U162+U157+U152+U147+U142+U137+U132+U127+U122+U117+U112+U107+U102+U97+U92+U87+U82+U77+U72+U67+U62+U57+U52+U47+U42+U37+U32+U27+U22+U17</f>
        <v>1570259.9622175435</v>
      </c>
      <c r="V167" s="338">
        <f>V162+V157+V152+V147+V142+V137+V132+V127+V122+V117+V112+V107+V102+V97+V92+V87+V82+V77+V72+V67+V62+V57+V52+V47+V42+V37+V32+V27+V22+V17</f>
        <v>0</v>
      </c>
      <c r="W167" s="332">
        <f>W162+W157+W152+W147+W142+W137+W132+W127+W122+W117+W112+W107+W102+W97+W92+W87+W82+W77+W72+W67+W62+W57+W52+W47+W42+W37+W32+W27+W22+W17</f>
        <v>1570259.9622175435</v>
      </c>
      <c r="X167" s="17">
        <f t="shared" ref="X167" si="0">IFERROR(U167/K167,"")</f>
        <v>43.394129282527594</v>
      </c>
      <c r="Y167" s="351">
        <f>IFERROR(W167/M167,"")</f>
        <v>43.394129282527594</v>
      </c>
      <c r="Z167" s="30">
        <f t="shared" ref="Z167" si="1">IF(P167=0,"",P167-U167)</f>
        <v>24134649.593949385</v>
      </c>
      <c r="AA167" s="353">
        <f>IF(R167=0,"",R167-W167)</f>
        <v>23208701.273949385</v>
      </c>
      <c r="AB167" s="17">
        <f>IFERROR(Z167/K167,"")</f>
        <v>666.96096816308477</v>
      </c>
      <c r="AC167" s="351">
        <f>IFERROR(AA167/M167,"")</f>
        <v>641.37238915462842</v>
      </c>
    </row>
    <row r="169" spans="1:29" x14ac:dyDescent="0.35">
      <c r="A169" s="19">
        <v>32</v>
      </c>
      <c r="O169" s="37" t="s">
        <v>199</v>
      </c>
      <c r="P169" s="39">
        <f>'As-Filed Schedule 1'!G91</f>
        <v>19988348.439320475</v>
      </c>
      <c r="Q169"/>
      <c r="R169" s="304">
        <f>'Schedule 1 Adjustments'!O92</f>
        <v>19062400.119320475</v>
      </c>
    </row>
    <row r="170" spans="1:29" x14ac:dyDescent="0.35">
      <c r="A170" s="19">
        <v>33</v>
      </c>
      <c r="O170" s="37" t="s">
        <v>186</v>
      </c>
      <c r="P170" s="39">
        <f>'As-Filed Schedule 1'!G93</f>
        <v>5716561.1168464525</v>
      </c>
      <c r="Q170"/>
      <c r="R170" s="304">
        <f>'Schedule 1 Adjustments'!O94</f>
        <v>5716561.1168464525</v>
      </c>
    </row>
    <row r="171" spans="1:29" x14ac:dyDescent="0.35">
      <c r="A171" s="19">
        <v>34</v>
      </c>
      <c r="O171" s="37" t="s">
        <v>200</v>
      </c>
      <c r="P171" s="18">
        <f>SUM(P169:P170)</f>
        <v>25704909.556166928</v>
      </c>
      <c r="Q171"/>
      <c r="R171" s="305">
        <f>SUM(R169:R170)</f>
        <v>24778961.236166928</v>
      </c>
    </row>
    <row r="172" spans="1:29" x14ac:dyDescent="0.35">
      <c r="A172" s="19">
        <v>35</v>
      </c>
      <c r="O172" s="37" t="s">
        <v>10</v>
      </c>
      <c r="P172" s="18">
        <f>P167-P171</f>
        <v>0</v>
      </c>
      <c r="Q172"/>
      <c r="R172" s="305">
        <f>R167-R171</f>
        <v>0</v>
      </c>
    </row>
    <row r="173" spans="1:29" x14ac:dyDescent="0.35">
      <c r="P173" s="38" t="str">
        <f>IF(P172&lt;&gt;0,"ERROR","")</f>
        <v/>
      </c>
      <c r="Q173" s="345" t="str">
        <f>IF(Q172&lt;&gt;0,"ERROR","")</f>
        <v/>
      </c>
      <c r="R173" s="38" t="str">
        <f>IF(R172&lt;&gt;0,"ERROR","")</f>
        <v/>
      </c>
    </row>
    <row r="174" spans="1:29" ht="43.5" x14ac:dyDescent="0.35">
      <c r="J174" s="6" t="s">
        <v>40</v>
      </c>
      <c r="K174" s="6" t="s">
        <v>446</v>
      </c>
      <c r="L174" s="121" t="s">
        <v>652</v>
      </c>
      <c r="M174" s="6" t="s">
        <v>445</v>
      </c>
      <c r="N174" s="121" t="s">
        <v>653</v>
      </c>
      <c r="O174" s="78" t="s">
        <v>10</v>
      </c>
      <c r="P174" s="121" t="s">
        <v>654</v>
      </c>
      <c r="Q174"/>
    </row>
    <row r="175" spans="1:29" x14ac:dyDescent="0.35">
      <c r="A175" s="19">
        <v>36</v>
      </c>
      <c r="J175" s="93" t="s">
        <v>442</v>
      </c>
      <c r="K175" s="27">
        <f>SUMIF($J$17:$J$167,"H0010 3.2 WM",$K$17:$K$167)</f>
        <v>0</v>
      </c>
      <c r="L175" s="332">
        <f>SUMIF($J$17:$J$167,"H0010 3.2 WM",$M$17:$M$167)</f>
        <v>0</v>
      </c>
      <c r="M175" s="27">
        <f>'As-Filed Schedule 4'!D122+'As-Filed Schedule 4'!H122</f>
        <v>0</v>
      </c>
      <c r="N175" s="332">
        <f>'Adjusted Schedule 4'!D123+'Adjusted Schedule 4'!H123</f>
        <v>0</v>
      </c>
      <c r="O175" s="27">
        <f t="shared" ref="O175:P179" si="2">M175-K175</f>
        <v>0</v>
      </c>
      <c r="P175" s="332">
        <f t="shared" si="2"/>
        <v>0</v>
      </c>
      <c r="Q175"/>
      <c r="S175" s="92" t="str">
        <f>IF(O175&lt;&gt;0,"ERROR","")</f>
        <v/>
      </c>
      <c r="T175" s="92" t="str">
        <f>IF(Q175&lt;&gt;0,"ERROR","")</f>
        <v/>
      </c>
    </row>
    <row r="176" spans="1:29" x14ac:dyDescent="0.35">
      <c r="A176" s="19">
        <v>37</v>
      </c>
      <c r="J176" s="94" t="s">
        <v>443</v>
      </c>
      <c r="K176" s="27">
        <f>SUMIF($J$17:$J$167,"H0011 3.7 WM",$K$17:$K$167)</f>
        <v>0</v>
      </c>
      <c r="L176" s="332">
        <f>SUMIF($J$17:$J$167,"H0011 3.7 WM",$M$17:$M$167)</f>
        <v>0</v>
      </c>
      <c r="M176" s="27">
        <f>'As-Filed Schedule 4'!D123+'As-Filed Schedule 4'!H123</f>
        <v>0</v>
      </c>
      <c r="N176" s="332">
        <f>'Adjusted Schedule 4'!D124+'Adjusted Schedule 4'!H124</f>
        <v>0</v>
      </c>
      <c r="O176" s="27">
        <f t="shared" si="2"/>
        <v>0</v>
      </c>
      <c r="P176" s="332">
        <f t="shared" si="2"/>
        <v>0</v>
      </c>
      <c r="Q176"/>
      <c r="S176" s="92" t="str">
        <f>IF(O176&lt;&gt;0,"ERROR","")</f>
        <v/>
      </c>
      <c r="T176" s="92" t="str">
        <f t="shared" ref="T176:T179" si="3">IF(Q176&lt;&gt;0,"ERROR","")</f>
        <v/>
      </c>
    </row>
    <row r="177" spans="1:20" x14ac:dyDescent="0.35">
      <c r="A177" s="19">
        <v>38</v>
      </c>
      <c r="C177" s="224" t="s">
        <v>476</v>
      </c>
      <c r="D177" s="225"/>
      <c r="E177" s="225"/>
      <c r="F177" s="225"/>
      <c r="G177" s="136"/>
      <c r="J177" s="94" t="s">
        <v>51</v>
      </c>
      <c r="K177" s="27">
        <f t="shared" ref="K177:K184" si="4">SUMIF($J$17:$J$167,J177,$K$17:$K$167)</f>
        <v>0</v>
      </c>
      <c r="L177" s="332">
        <f>SUMIF($J$17:$J$167,#REF!,$M$17:$M$167)</f>
        <v>0</v>
      </c>
      <c r="M177" s="27">
        <f>'As-Filed Schedule 4'!D125+'As-Filed Schedule 4'!H125</f>
        <v>0</v>
      </c>
      <c r="N177" s="332">
        <f>'Adjusted Schedule 4'!D126+'Adjusted Schedule 4'!H126</f>
        <v>0</v>
      </c>
      <c r="O177" s="27">
        <f t="shared" si="2"/>
        <v>0</v>
      </c>
      <c r="P177" s="332">
        <f t="shared" si="2"/>
        <v>0</v>
      </c>
      <c r="Q177"/>
      <c r="S177" s="92" t="str">
        <f>IF(O177&lt;&gt;0,"ERROR","")</f>
        <v/>
      </c>
      <c r="T177" s="92" t="str">
        <f t="shared" si="3"/>
        <v/>
      </c>
    </row>
    <row r="178" spans="1:20" x14ac:dyDescent="0.35">
      <c r="A178" s="19">
        <v>39</v>
      </c>
      <c r="C178" s="226" t="s">
        <v>468</v>
      </c>
      <c r="D178" s="227"/>
      <c r="E178" s="227" t="s">
        <v>472</v>
      </c>
      <c r="F178" s="99"/>
      <c r="G178" s="137"/>
      <c r="J178" s="94" t="s">
        <v>52</v>
      </c>
      <c r="K178" s="27">
        <f t="shared" si="4"/>
        <v>6660</v>
      </c>
      <c r="L178" s="332">
        <f>SUMIF($J$17:$J$167,#REF!,$M$17:$M$167)</f>
        <v>0</v>
      </c>
      <c r="M178" s="27">
        <f>'As-Filed Schedule 4'!D126+'As-Filed Schedule 4'!H126</f>
        <v>6660</v>
      </c>
      <c r="N178" s="332">
        <f>'Adjusted Schedule 4'!D127+'Adjusted Schedule 4'!H127</f>
        <v>6660</v>
      </c>
      <c r="O178" s="27">
        <f t="shared" si="2"/>
        <v>0</v>
      </c>
      <c r="P178" s="332">
        <f t="shared" si="2"/>
        <v>6660</v>
      </c>
      <c r="Q178"/>
      <c r="S178" s="92" t="str">
        <f>IF(O178&lt;&gt;0,"ERROR","")</f>
        <v/>
      </c>
      <c r="T178" s="92" t="str">
        <f t="shared" si="3"/>
        <v/>
      </c>
    </row>
    <row r="179" spans="1:20" x14ac:dyDescent="0.35">
      <c r="A179" s="19">
        <v>40</v>
      </c>
      <c r="C179" s="226" t="s">
        <v>477</v>
      </c>
      <c r="D179" s="227"/>
      <c r="E179" s="227" t="s">
        <v>474</v>
      </c>
      <c r="F179" s="99"/>
      <c r="G179" s="137"/>
      <c r="J179" s="94" t="s">
        <v>53</v>
      </c>
      <c r="K179" s="27">
        <f t="shared" si="4"/>
        <v>26432</v>
      </c>
      <c r="L179" s="332">
        <f>SUMIF($J$17:$J$167,#REF!,$M$17:$M$167)</f>
        <v>0</v>
      </c>
      <c r="M179" s="27">
        <f>'As-Filed Schedule 4'!D127+'As-Filed Schedule 4'!H127</f>
        <v>26432</v>
      </c>
      <c r="N179" s="332">
        <f>'Adjusted Schedule 4'!D128+'Adjusted Schedule 4'!H128</f>
        <v>26432</v>
      </c>
      <c r="O179" s="27">
        <f t="shared" si="2"/>
        <v>0</v>
      </c>
      <c r="P179" s="332">
        <f t="shared" si="2"/>
        <v>26432</v>
      </c>
      <c r="Q179"/>
      <c r="S179" s="92" t="str">
        <f>IF(O179&lt;&gt;0,"ERROR","")</f>
        <v/>
      </c>
      <c r="T179" s="92" t="str">
        <f t="shared" si="3"/>
        <v/>
      </c>
    </row>
    <row r="180" spans="1:20" x14ac:dyDescent="0.35">
      <c r="A180" s="19">
        <v>41</v>
      </c>
      <c r="C180" s="226" t="s">
        <v>469</v>
      </c>
      <c r="D180" s="227"/>
      <c r="E180" s="227" t="s">
        <v>473</v>
      </c>
      <c r="F180" s="99"/>
      <c r="G180" s="137"/>
      <c r="J180" s="95" t="s">
        <v>440</v>
      </c>
      <c r="K180" s="105">
        <f t="shared" si="4"/>
        <v>0</v>
      </c>
      <c r="L180" s="333">
        <f>SUMIF($J$17:$J$167,#REF!,$M$17:$M$167)</f>
        <v>0</v>
      </c>
      <c r="M180" s="89"/>
      <c r="N180" s="347"/>
      <c r="O180" s="87"/>
      <c r="P180" s="347"/>
      <c r="Q180"/>
    </row>
    <row r="181" spans="1:20" x14ac:dyDescent="0.35">
      <c r="A181" s="19">
        <v>42</v>
      </c>
      <c r="C181" s="226" t="s">
        <v>470</v>
      </c>
      <c r="D181" s="227"/>
      <c r="E181" s="227" t="s">
        <v>471</v>
      </c>
      <c r="F181" s="99"/>
      <c r="G181" s="137"/>
      <c r="J181" s="95" t="s">
        <v>444</v>
      </c>
      <c r="K181" s="107">
        <f t="shared" si="4"/>
        <v>0</v>
      </c>
      <c r="L181" s="334">
        <f>SUMIF($J$17:$J$167,#REF!,$M$17:$M$167)</f>
        <v>0</v>
      </c>
      <c r="M181" s="90"/>
      <c r="N181" s="348"/>
      <c r="O181" s="88"/>
      <c r="P181" s="348"/>
      <c r="Q181"/>
    </row>
    <row r="182" spans="1:20" x14ac:dyDescent="0.35">
      <c r="A182" s="19">
        <v>43</v>
      </c>
      <c r="C182" s="228" t="s">
        <v>478</v>
      </c>
      <c r="D182" s="229"/>
      <c r="E182" s="229" t="s">
        <v>475</v>
      </c>
      <c r="F182" s="230"/>
      <c r="G182" s="138"/>
      <c r="J182" s="95" t="s">
        <v>439</v>
      </c>
      <c r="K182" s="107">
        <f t="shared" si="4"/>
        <v>0</v>
      </c>
      <c r="L182" s="334">
        <f>SUMIF($J$17:$J$167,#REF!,$M$17:$M$167)</f>
        <v>0</v>
      </c>
      <c r="M182" s="108"/>
      <c r="N182" s="349"/>
      <c r="O182" s="109"/>
      <c r="P182" s="349"/>
      <c r="Q182"/>
    </row>
    <row r="183" spans="1:20" x14ac:dyDescent="0.35">
      <c r="A183" s="19">
        <v>44</v>
      </c>
      <c r="C183" s="99"/>
      <c r="D183" s="99"/>
      <c r="E183" s="99"/>
      <c r="F183" s="99"/>
      <c r="J183" s="96" t="s">
        <v>438</v>
      </c>
      <c r="K183" s="106">
        <f t="shared" si="4"/>
        <v>3094</v>
      </c>
      <c r="L183" s="335">
        <f>SUMIF($J$17:$J$167,#REF!,$M$17:$M$167)</f>
        <v>0</v>
      </c>
      <c r="M183" s="27">
        <f>'As-Filed Schedule 4'!D180+'As-Filed Schedule 4'!H180</f>
        <v>3094</v>
      </c>
      <c r="N183" s="332">
        <f>'Adjusted Schedule 4'!E181+'Adjusted Schedule 4'!I181</f>
        <v>0</v>
      </c>
      <c r="O183" s="27">
        <f>M183-SUM(K180:K183)</f>
        <v>0</v>
      </c>
      <c r="P183" s="332">
        <f>N183-SUM(L180:L183)</f>
        <v>0</v>
      </c>
      <c r="Q183"/>
      <c r="S183" s="92" t="str">
        <f>IF(O183&lt;&gt;0,"ERROR","")</f>
        <v/>
      </c>
      <c r="T183" s="92" t="str">
        <f t="shared" ref="T183" si="5">IF(Q183&lt;&gt;0,"ERROR","")</f>
        <v/>
      </c>
    </row>
    <row r="184" spans="1:20" x14ac:dyDescent="0.35">
      <c r="A184" s="19">
        <v>45</v>
      </c>
      <c r="C184" s="99"/>
      <c r="D184" s="99"/>
      <c r="E184" s="99"/>
      <c r="F184" s="99"/>
      <c r="J184" s="94" t="s">
        <v>481</v>
      </c>
      <c r="K184" s="27">
        <f t="shared" si="4"/>
        <v>0</v>
      </c>
      <c r="L184" s="332">
        <f>SUMIF($J$17:$J$167,#REF!,$M$17:$M$167)</f>
        <v>0</v>
      </c>
      <c r="M184" s="90"/>
      <c r="N184" s="347"/>
      <c r="O184" s="88"/>
      <c r="P184" s="348"/>
      <c r="Q184" s="344"/>
    </row>
    <row r="185" spans="1:20" x14ac:dyDescent="0.35">
      <c r="C185" s="99"/>
      <c r="D185" s="99"/>
      <c r="E185" s="99"/>
      <c r="F185" s="99"/>
      <c r="L185" s="48"/>
      <c r="M185"/>
      <c r="N185" s="48"/>
      <c r="O185"/>
      <c r="P185" s="48"/>
    </row>
    <row r="249" spans="4:10" ht="17.25" customHeight="1" x14ac:dyDescent="0.35"/>
    <row r="251" spans="4:10" hidden="1" x14ac:dyDescent="0.35">
      <c r="D251" t="s">
        <v>456</v>
      </c>
      <c r="E251" t="s">
        <v>159</v>
      </c>
      <c r="J251" s="110" t="s">
        <v>450</v>
      </c>
    </row>
    <row r="252" spans="4:10" hidden="1" x14ac:dyDescent="0.35">
      <c r="D252" t="s">
        <v>176</v>
      </c>
      <c r="E252" t="s">
        <v>456</v>
      </c>
      <c r="J252" s="111" t="s">
        <v>451</v>
      </c>
    </row>
    <row r="253" spans="4:10" hidden="1" x14ac:dyDescent="0.35">
      <c r="D253" t="s">
        <v>175</v>
      </c>
      <c r="E253" t="s">
        <v>467</v>
      </c>
      <c r="J253" s="111" t="s">
        <v>51</v>
      </c>
    </row>
    <row r="254" spans="4:10" hidden="1" x14ac:dyDescent="0.35">
      <c r="D254" t="s">
        <v>435</v>
      </c>
      <c r="E254" t="s">
        <v>466</v>
      </c>
      <c r="J254" s="111" t="s">
        <v>52</v>
      </c>
    </row>
    <row r="255" spans="4:10" hidden="1" x14ac:dyDescent="0.35">
      <c r="D255" t="s">
        <v>170</v>
      </c>
      <c r="E255" t="s">
        <v>174</v>
      </c>
      <c r="J255" s="111" t="s">
        <v>53</v>
      </c>
    </row>
    <row r="256" spans="4:10" hidden="1" x14ac:dyDescent="0.35">
      <c r="D256" t="s">
        <v>482</v>
      </c>
      <c r="E256" t="s">
        <v>172</v>
      </c>
      <c r="J256" s="111" t="s">
        <v>440</v>
      </c>
    </row>
    <row r="257" spans="5:10" hidden="1" x14ac:dyDescent="0.35">
      <c r="E257" t="s">
        <v>171</v>
      </c>
      <c r="J257" s="111" t="s">
        <v>444</v>
      </c>
    </row>
    <row r="258" spans="5:10" hidden="1" x14ac:dyDescent="0.35">
      <c r="E258" t="s">
        <v>465</v>
      </c>
      <c r="J258" s="111" t="s">
        <v>439</v>
      </c>
    </row>
    <row r="259" spans="5:10" hidden="1" x14ac:dyDescent="0.35">
      <c r="E259" t="s">
        <v>436</v>
      </c>
      <c r="J259" s="112" t="s">
        <v>438</v>
      </c>
    </row>
    <row r="260" spans="5:10" hidden="1" x14ac:dyDescent="0.35">
      <c r="J260" s="112" t="s">
        <v>481</v>
      </c>
    </row>
    <row r="261" spans="5:10" hidden="1" x14ac:dyDescent="0.35">
      <c r="J261" s="112" t="s">
        <v>455</v>
      </c>
    </row>
  </sheetData>
  <sheetProtection sheet="1" objects="1" scenarios="1"/>
  <customSheetViews>
    <customSheetView guid="{17302493-42B1-4877-869E-E424A97AE78B}" hiddenRows="1">
      <selection activeCell="L19" sqref="L19"/>
      <pageMargins left="0.7" right="0.7" top="0.75" bottom="0.75" header="0.3" footer="0.3"/>
      <pageSetup orientation="portrait" horizontalDpi="1200" verticalDpi="1200" r:id="rId1"/>
    </customSheetView>
    <customSheetView guid="{5C0BA3A5-859C-46C2-B685-44D9A90065E4}" hiddenRows="1">
      <selection activeCell="L19" sqref="L19"/>
      <pageMargins left="0.7" right="0.7" top="0.75" bottom="0.75" header="0.3" footer="0.3"/>
      <pageSetup orientation="portrait" horizontalDpi="1200" verticalDpi="1200" r:id="rId2"/>
    </customSheetView>
  </customSheetViews>
  <mergeCells count="47">
    <mergeCell ref="Z14:AC14"/>
    <mergeCell ref="O14:O15"/>
    <mergeCell ref="P14:T14"/>
    <mergeCell ref="U14:Y14"/>
    <mergeCell ref="B17:C17"/>
    <mergeCell ref="A9:K11"/>
    <mergeCell ref="B13:C13"/>
    <mergeCell ref="B14:C15"/>
    <mergeCell ref="D14:D15"/>
    <mergeCell ref="E14:E15"/>
    <mergeCell ref="F14:F15"/>
    <mergeCell ref="G14:G15"/>
    <mergeCell ref="H14:H15"/>
    <mergeCell ref="B47:C47"/>
    <mergeCell ref="K14:K15"/>
    <mergeCell ref="N14:N15"/>
    <mergeCell ref="B22:C22"/>
    <mergeCell ref="B27:C27"/>
    <mergeCell ref="B32:C32"/>
    <mergeCell ref="B37:C37"/>
    <mergeCell ref="B42:C42"/>
    <mergeCell ref="L14:L15"/>
    <mergeCell ref="M14:M15"/>
    <mergeCell ref="B107:C107"/>
    <mergeCell ref="B52:C52"/>
    <mergeCell ref="B57:C57"/>
    <mergeCell ref="B62:C62"/>
    <mergeCell ref="B67:C67"/>
    <mergeCell ref="B72:C72"/>
    <mergeCell ref="B77:C77"/>
    <mergeCell ref="B82:C82"/>
    <mergeCell ref="B87:C87"/>
    <mergeCell ref="B92:C92"/>
    <mergeCell ref="B97:C97"/>
    <mergeCell ref="B102:C102"/>
    <mergeCell ref="B167:E167"/>
    <mergeCell ref="B112:C112"/>
    <mergeCell ref="B117:C117"/>
    <mergeCell ref="B122:C122"/>
    <mergeCell ref="B127:C127"/>
    <mergeCell ref="B132:C132"/>
    <mergeCell ref="B137:C137"/>
    <mergeCell ref="B142:C142"/>
    <mergeCell ref="B147:C147"/>
    <mergeCell ref="B152:C152"/>
    <mergeCell ref="B157:C157"/>
    <mergeCell ref="B162:C162"/>
  </mergeCells>
  <pageMargins left="0.7" right="0.7" top="0.75" bottom="0.75" header="0.3" footer="0.3"/>
  <pageSetup orientation="portrait" horizontalDpi="1200" verticalDpi="1200"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4"/>
  <dimension ref="A1:T197"/>
  <sheetViews>
    <sheetView topLeftCell="H1" workbookViewId="0">
      <selection activeCell="L2" sqref="L2"/>
    </sheetView>
  </sheetViews>
  <sheetFormatPr defaultColWidth="9.1796875" defaultRowHeight="14.5" x14ac:dyDescent="0.35"/>
  <cols>
    <col min="2" max="2" width="15.54296875" customWidth="1"/>
    <col min="3" max="3" width="77" style="4" customWidth="1"/>
    <col min="4" max="4" width="18.54296875" style="4" customWidth="1"/>
    <col min="5" max="5" width="18.54296875" style="380" customWidth="1"/>
    <col min="6" max="6" width="18.54296875" style="49" customWidth="1"/>
    <col min="7" max="8" width="18.54296875" style="4" customWidth="1"/>
    <col min="9" max="9" width="18.54296875" style="49" customWidth="1"/>
    <col min="10" max="10" width="21" style="13" customWidth="1"/>
    <col min="11" max="11" width="21" style="50" customWidth="1"/>
    <col min="12" max="12" width="21" style="13" customWidth="1"/>
    <col min="13" max="13" width="21" style="382" customWidth="1"/>
    <col min="14" max="14" width="21" style="50" customWidth="1"/>
    <col min="15" max="16" width="21" style="13" customWidth="1"/>
    <col min="17" max="17" width="21" style="50" customWidth="1"/>
    <col min="18" max="18" width="21" style="13" customWidth="1"/>
    <col min="19" max="19" width="21" style="50" customWidth="1"/>
    <col min="20" max="20" width="16" customWidth="1"/>
  </cols>
  <sheetData>
    <row r="1" spans="1:20" ht="26" x14ac:dyDescent="0.6">
      <c r="A1" s="3" t="s">
        <v>777</v>
      </c>
      <c r="D1" s="48"/>
      <c r="E1" s="253"/>
      <c r="F1" s="48"/>
      <c r="G1" s="49"/>
      <c r="H1" s="49"/>
      <c r="J1" s="50"/>
      <c r="L1" s="50"/>
    </row>
    <row r="2" spans="1:20" ht="21" x14ac:dyDescent="0.5">
      <c r="A2" s="2" t="s">
        <v>775</v>
      </c>
      <c r="D2" s="54"/>
      <c r="E2" s="378"/>
      <c r="F2" s="54"/>
      <c r="G2" s="49"/>
      <c r="H2" s="49"/>
      <c r="J2" s="50"/>
      <c r="L2" s="50"/>
    </row>
    <row r="3" spans="1:20" ht="25" customHeight="1" x14ac:dyDescent="0.5">
      <c r="A3" s="5" t="s">
        <v>750</v>
      </c>
      <c r="B3" s="5"/>
      <c r="C3" s="7"/>
      <c r="D3" s="54"/>
      <c r="E3" s="378"/>
      <c r="F3" s="54"/>
      <c r="G3" s="51"/>
      <c r="H3" s="51"/>
      <c r="I3" s="51"/>
      <c r="J3" s="52"/>
      <c r="K3" s="52"/>
      <c r="L3" s="52"/>
      <c r="M3" s="383"/>
      <c r="N3" s="52"/>
      <c r="O3" s="14"/>
      <c r="P3" s="14"/>
      <c r="Q3" s="52"/>
    </row>
    <row r="4" spans="1:20" x14ac:dyDescent="0.35">
      <c r="D4" s="54"/>
      <c r="E4" s="378"/>
      <c r="F4" s="54"/>
      <c r="G4" s="49"/>
      <c r="H4" s="49"/>
      <c r="J4" s="50"/>
      <c r="L4" s="50"/>
      <c r="R4" s="588"/>
      <c r="S4" s="623"/>
      <c r="T4" s="588"/>
    </row>
    <row r="5" spans="1:20" ht="15" customHeight="1" x14ac:dyDescent="0.35">
      <c r="A5" s="1" t="s">
        <v>776</v>
      </c>
      <c r="C5" s="414" t="str">
        <f>Results!$C$6</f>
        <v>WellPower</v>
      </c>
      <c r="D5" s="55"/>
      <c r="E5" s="379"/>
      <c r="F5" s="55"/>
      <c r="G5" s="53"/>
      <c r="H5" s="53"/>
      <c r="I5" s="53"/>
      <c r="J5" s="50"/>
      <c r="L5" s="50"/>
      <c r="R5" s="588"/>
      <c r="S5" s="623"/>
      <c r="T5" s="588"/>
    </row>
    <row r="6" spans="1:20" x14ac:dyDescent="0.35">
      <c r="A6" s="1" t="s">
        <v>0</v>
      </c>
      <c r="C6" s="35">
        <f>Results!$C$7</f>
        <v>45473</v>
      </c>
      <c r="D6" s="35"/>
      <c r="E6" s="313"/>
      <c r="F6" s="60"/>
      <c r="G6" s="35"/>
      <c r="H6" s="35"/>
      <c r="I6" s="60"/>
      <c r="R6" s="588"/>
      <c r="S6" s="623"/>
      <c r="T6" s="588"/>
    </row>
    <row r="7" spans="1:20" x14ac:dyDescent="0.35">
      <c r="A7" s="1"/>
      <c r="C7" s="35"/>
      <c r="D7" s="23">
        <v>1</v>
      </c>
      <c r="E7" s="248" t="s">
        <v>546</v>
      </c>
      <c r="F7" s="249" t="s">
        <v>547</v>
      </c>
      <c r="G7" s="35"/>
      <c r="H7" s="23">
        <v>3</v>
      </c>
      <c r="I7" s="249" t="s">
        <v>555</v>
      </c>
      <c r="L7" s="197"/>
      <c r="M7" s="167">
        <v>6</v>
      </c>
      <c r="N7" s="248" t="s">
        <v>564</v>
      </c>
      <c r="O7" s="249" t="s">
        <v>565</v>
      </c>
      <c r="P7" s="197"/>
      <c r="Q7" s="167">
        <v>8</v>
      </c>
      <c r="R7" s="248" t="s">
        <v>610</v>
      </c>
      <c r="S7" s="249" t="s">
        <v>611</v>
      </c>
      <c r="T7" s="81"/>
    </row>
    <row r="8" spans="1:20" x14ac:dyDescent="0.35">
      <c r="A8" s="19">
        <v>1</v>
      </c>
      <c r="C8" s="46" t="s">
        <v>193</v>
      </c>
      <c r="D8" s="26">
        <f>'As-Filed Schedule 1'!F95</f>
        <v>96346182.010182574</v>
      </c>
      <c r="E8" s="400" t="s">
        <v>760</v>
      </c>
      <c r="F8" s="377">
        <f>'Schedule 1 Adjustments'!L96</f>
        <v>97430173.330182582</v>
      </c>
      <c r="G8" s="46" t="s">
        <v>197</v>
      </c>
      <c r="H8" s="31">
        <f>H197</f>
        <v>406327.73000000016</v>
      </c>
      <c r="I8" s="375">
        <f>I197</f>
        <v>406327.73000000016</v>
      </c>
      <c r="L8" s="420" t="s">
        <v>860</v>
      </c>
      <c r="M8" s="26">
        <f>'As-Filed Schedule 1'!F95</f>
        <v>96346182.010182574</v>
      </c>
      <c r="N8" s="400" t="s">
        <v>760</v>
      </c>
      <c r="O8" s="377">
        <f>'Schedule 1 Adjustments'!L96</f>
        <v>97430173.330182582</v>
      </c>
      <c r="P8" s="420" t="s">
        <v>861</v>
      </c>
      <c r="Q8" s="172">
        <f>'As-Filed Schedule 4'!K8</f>
        <v>217443</v>
      </c>
      <c r="R8" s="381">
        <f>SUMIFS(Adjustments!$G:$G,Adjustments!$H:$H,"4",Adjustments!$I:$I,'Schedule 4 Adjustments'!$Q$7,Adjustments!$J:$J,'Schedule 4 Adjustments'!$A8)</f>
        <v>0</v>
      </c>
      <c r="S8" s="303">
        <f>SUM(Q8:R8)</f>
        <v>217443</v>
      </c>
      <c r="T8" s="25"/>
    </row>
    <row r="9" spans="1:20" x14ac:dyDescent="0.35">
      <c r="A9" s="19">
        <v>2</v>
      </c>
      <c r="C9" s="46" t="s">
        <v>251</v>
      </c>
      <c r="D9" s="114">
        <f>'As-Filed Schedule 4'!D9</f>
        <v>0</v>
      </c>
      <c r="E9" s="381">
        <f>SUMIFS(Adjustments!$G:$G,Adjustments!$H:$H,"4",Adjustments!$I:$I,'Schedule 4 Adjustments'!$D$7,Adjustments!$J:$J,'Schedule 4 Adjustments'!$A9)</f>
        <v>0</v>
      </c>
      <c r="F9" s="303">
        <f>SUM(D9:E9)</f>
        <v>0</v>
      </c>
      <c r="G9" s="46" t="s">
        <v>198</v>
      </c>
      <c r="H9" s="31">
        <f>P197</f>
        <v>199367.74</v>
      </c>
      <c r="I9" s="375">
        <f>Q197</f>
        <v>199367.74</v>
      </c>
      <c r="L9" s="420" t="s">
        <v>862</v>
      </c>
      <c r="M9" s="172">
        <f>'As-Filed Schedule 4'!I9</f>
        <v>0</v>
      </c>
      <c r="N9" s="381">
        <f>SUMIFS(Adjustments!$G:$G,Adjustments!$H:$H,"4",Adjustments!$I:$I,'Schedule 4 Adjustments'!$M$7,Adjustments!$J:$J,'Schedule 4 Adjustments'!$A9)</f>
        <v>0</v>
      </c>
      <c r="O9" s="303">
        <f>SUM(M9:N9)</f>
        <v>0</v>
      </c>
      <c r="P9" s="425"/>
      <c r="Q9" s="425"/>
      <c r="T9" s="45"/>
    </row>
    <row r="10" spans="1:20" x14ac:dyDescent="0.35">
      <c r="A10" s="19">
        <v>3</v>
      </c>
      <c r="C10" s="42" t="s">
        <v>194</v>
      </c>
      <c r="D10" s="18">
        <f>D8-D9</f>
        <v>96346182.010182574</v>
      </c>
      <c r="E10" s="401" t="s">
        <v>760</v>
      </c>
      <c r="F10" s="305">
        <f>F8-F9</f>
        <v>97430173.330182582</v>
      </c>
      <c r="G10" s="42" t="s">
        <v>195</v>
      </c>
      <c r="H10" s="9">
        <f>SUM(H8:H9)</f>
        <v>605695.4700000002</v>
      </c>
      <c r="I10" s="372">
        <f>SUM(I8:I9)</f>
        <v>605695.4700000002</v>
      </c>
      <c r="L10" s="421" t="s">
        <v>863</v>
      </c>
      <c r="M10" s="177">
        <f>M8-M9</f>
        <v>96346182.010182574</v>
      </c>
      <c r="N10" s="401" t="s">
        <v>760</v>
      </c>
      <c r="O10" s="305">
        <f>O8-O9</f>
        <v>97430173.330182582</v>
      </c>
      <c r="P10" s="425"/>
      <c r="Q10" s="425"/>
      <c r="T10" s="45"/>
    </row>
    <row r="11" spans="1:20" x14ac:dyDescent="0.35">
      <c r="A11" s="1"/>
      <c r="L11" s="198"/>
      <c r="M11" s="198"/>
      <c r="N11" s="424"/>
      <c r="O11" s="424"/>
      <c r="P11" s="425"/>
      <c r="Q11" s="426"/>
      <c r="T11" s="45"/>
    </row>
    <row r="12" spans="1:20" ht="18.5" x14ac:dyDescent="0.45">
      <c r="A12" s="19">
        <v>4</v>
      </c>
      <c r="G12" s="44" t="s">
        <v>196</v>
      </c>
      <c r="H12" s="43">
        <f>D10/H10</f>
        <v>159.06703414866641</v>
      </c>
      <c r="I12" s="376">
        <f>F10/I10</f>
        <v>160.85669805353265</v>
      </c>
      <c r="L12" s="198"/>
      <c r="M12" s="198"/>
      <c r="N12" s="422"/>
      <c r="O12" s="445"/>
      <c r="P12" s="422" t="s">
        <v>864</v>
      </c>
      <c r="Q12" s="423">
        <f>M10/Q8</f>
        <v>443.08707114132244</v>
      </c>
      <c r="S12" s="423">
        <f>O10/S8</f>
        <v>448.07224573880319</v>
      </c>
      <c r="T12" s="45"/>
    </row>
    <row r="13" spans="1:20" x14ac:dyDescent="0.35">
      <c r="A13" s="1"/>
      <c r="C13" s="35"/>
      <c r="D13" s="35"/>
      <c r="E13" s="313"/>
      <c r="F13" s="60"/>
      <c r="G13" s="35"/>
      <c r="H13" s="35"/>
      <c r="I13" s="60"/>
      <c r="K13" s="13"/>
      <c r="L13" s="135"/>
      <c r="M13" s="13"/>
      <c r="N13" s="135"/>
      <c r="P13" s="50"/>
      <c r="Q13" s="13"/>
      <c r="R13" s="50"/>
    </row>
    <row r="14" spans="1:20" x14ac:dyDescent="0.35">
      <c r="D14" s="23">
        <v>1</v>
      </c>
      <c r="E14" s="248" t="s">
        <v>546</v>
      </c>
      <c r="F14" s="249" t="s">
        <v>547</v>
      </c>
      <c r="G14" s="23">
        <v>2</v>
      </c>
      <c r="H14" s="23">
        <v>3</v>
      </c>
      <c r="I14" s="249" t="s">
        <v>555</v>
      </c>
      <c r="J14" s="23">
        <v>4</v>
      </c>
      <c r="K14" s="249" t="s">
        <v>559</v>
      </c>
      <c r="L14" s="23">
        <v>5</v>
      </c>
      <c r="M14" s="248" t="s">
        <v>560</v>
      </c>
      <c r="N14" s="249" t="s">
        <v>561</v>
      </c>
      <c r="O14" s="23">
        <v>6</v>
      </c>
      <c r="P14" s="23">
        <v>7</v>
      </c>
      <c r="Q14" s="249" t="s">
        <v>569</v>
      </c>
      <c r="R14" s="23">
        <v>8</v>
      </c>
      <c r="S14" s="249" t="s">
        <v>611</v>
      </c>
    </row>
    <row r="15" spans="1:20" x14ac:dyDescent="0.35">
      <c r="A15" s="1"/>
      <c r="C15" s="35"/>
      <c r="D15" s="589" t="s">
        <v>191</v>
      </c>
      <c r="E15" s="590"/>
      <c r="F15" s="590"/>
      <c r="G15" s="590"/>
      <c r="H15" s="590"/>
      <c r="I15" s="590"/>
      <c r="J15" s="591"/>
      <c r="K15" s="374"/>
      <c r="L15" s="589" t="s">
        <v>192</v>
      </c>
      <c r="M15" s="590"/>
      <c r="N15" s="590"/>
      <c r="O15" s="590"/>
      <c r="P15" s="590"/>
      <c r="Q15" s="590"/>
      <c r="R15" s="591"/>
      <c r="S15" s="367"/>
    </row>
    <row r="16" spans="1:20" ht="43.5" x14ac:dyDescent="0.35">
      <c r="B16" s="200" t="s">
        <v>40</v>
      </c>
      <c r="C16" s="200" t="s">
        <v>11</v>
      </c>
      <c r="D16" s="200" t="s">
        <v>187</v>
      </c>
      <c r="E16" s="355" t="s">
        <v>655</v>
      </c>
      <c r="F16" s="402" t="s">
        <v>656</v>
      </c>
      <c r="G16" s="231" t="s">
        <v>483</v>
      </c>
      <c r="H16" s="231" t="s">
        <v>189</v>
      </c>
      <c r="I16" s="370" t="s">
        <v>657</v>
      </c>
      <c r="J16" s="232" t="s">
        <v>156</v>
      </c>
      <c r="K16" s="368" t="s">
        <v>658</v>
      </c>
      <c r="L16" s="232" t="s">
        <v>188</v>
      </c>
      <c r="M16" s="384" t="s">
        <v>659</v>
      </c>
      <c r="N16" s="368" t="s">
        <v>660</v>
      </c>
      <c r="O16" s="231" t="s">
        <v>484</v>
      </c>
      <c r="P16" s="16" t="s">
        <v>190</v>
      </c>
      <c r="Q16" s="370" t="s">
        <v>661</v>
      </c>
      <c r="R16" s="15" t="s">
        <v>157</v>
      </c>
      <c r="S16" s="368" t="s">
        <v>662</v>
      </c>
    </row>
    <row r="17" spans="1:19" s="22" customFormat="1" x14ac:dyDescent="0.35">
      <c r="A17" s="19">
        <v>5</v>
      </c>
      <c r="B17" s="417" t="s">
        <v>790</v>
      </c>
      <c r="C17" s="20" t="s">
        <v>791</v>
      </c>
      <c r="D17" s="113">
        <f>'As-Filed Schedule 4'!D17</f>
        <v>0</v>
      </c>
      <c r="E17" s="381">
        <f>SUMIFS(Adjustments!$G:$G,Adjustments!$H:$H,"4",Adjustments!$I:$I,'Schedule 4 Adjustments'!$D$14,Adjustments!$J:$J,'Schedule 4 Adjustments'!$A17)</f>
        <v>0</v>
      </c>
      <c r="F17" s="373">
        <f>SUM(D17:E17)</f>
        <v>0</v>
      </c>
      <c r="G17" s="403">
        <v>0</v>
      </c>
      <c r="H17" s="139">
        <f>D17*G17</f>
        <v>0</v>
      </c>
      <c r="I17" s="371">
        <f>F17*G17</f>
        <v>0</v>
      </c>
      <c r="J17" s="140">
        <f>G17*$H$12</f>
        <v>0</v>
      </c>
      <c r="K17" s="369">
        <f>G17*$I$12</f>
        <v>0</v>
      </c>
      <c r="L17" s="141">
        <f>'As-Filed Schedule 4'!H17</f>
        <v>0</v>
      </c>
      <c r="M17" s="381">
        <f>SUMIFS(Adjustments!$G:$G,Adjustments!$H:$H,"4",Adjustments!$I:$I,'Schedule 4 Adjustments'!$L$14,Adjustments!$J:$J,'Schedule 4 Adjustments'!$A17)</f>
        <v>0</v>
      </c>
      <c r="N17" s="373">
        <f>SUM(L17:M17)</f>
        <v>0</v>
      </c>
      <c r="O17" s="403">
        <v>0</v>
      </c>
      <c r="P17" s="47">
        <f>L17*O17</f>
        <v>0</v>
      </c>
      <c r="Q17" s="371">
        <f>N17*O17</f>
        <v>0</v>
      </c>
      <c r="R17" s="21">
        <f>O17*$H$12</f>
        <v>0</v>
      </c>
      <c r="S17" s="369">
        <f>O17*$I$12</f>
        <v>0</v>
      </c>
    </row>
    <row r="18" spans="1:19" s="22" customFormat="1" x14ac:dyDescent="0.35">
      <c r="A18" s="19">
        <v>6</v>
      </c>
      <c r="B18" s="19">
        <v>80305</v>
      </c>
      <c r="C18" s="20" t="s">
        <v>111</v>
      </c>
      <c r="D18" s="113">
        <f>'As-Filed Schedule 4'!D18</f>
        <v>0</v>
      </c>
      <c r="E18" s="381">
        <f>SUMIFS(Adjustments!$G:$G,Adjustments!$H:$H,"4",Adjustments!$I:$I,'Schedule 4 Adjustments'!$D$14,Adjustments!$J:$J,'Schedule 4 Adjustments'!$A18)</f>
        <v>0</v>
      </c>
      <c r="F18" s="373">
        <f>SUM(D18:E18)</f>
        <v>0</v>
      </c>
      <c r="G18" s="403">
        <v>0</v>
      </c>
      <c r="H18" s="139">
        <f>D18*G18</f>
        <v>0</v>
      </c>
      <c r="I18" s="371">
        <f>F18*G18</f>
        <v>0</v>
      </c>
      <c r="J18" s="140">
        <f>G18*$H$12</f>
        <v>0</v>
      </c>
      <c r="K18" s="369">
        <f>G18*$I$12</f>
        <v>0</v>
      </c>
      <c r="L18" s="141">
        <f>'As-Filed Schedule 4'!H18</f>
        <v>0</v>
      </c>
      <c r="M18" s="381">
        <f>SUMIFS(Adjustments!$G:$G,Adjustments!$H:$H,"4",Adjustments!$I:$I,'Schedule 4 Adjustments'!$L$14,Adjustments!$J:$J,'Schedule 4 Adjustments'!$A18)</f>
        <v>0</v>
      </c>
      <c r="N18" s="373">
        <f>SUM(L18:M18)</f>
        <v>0</v>
      </c>
      <c r="O18" s="403">
        <v>0</v>
      </c>
      <c r="P18" s="47">
        <f>L18*O18</f>
        <v>0</v>
      </c>
      <c r="Q18" s="371">
        <f>N18*O18</f>
        <v>0</v>
      </c>
      <c r="R18" s="21">
        <f>O18*$H$12</f>
        <v>0</v>
      </c>
      <c r="S18" s="369">
        <f>O18*$I$12</f>
        <v>0</v>
      </c>
    </row>
    <row r="19" spans="1:19" s="22" customFormat="1" x14ac:dyDescent="0.35">
      <c r="A19" s="19">
        <v>7</v>
      </c>
      <c r="B19" s="19">
        <v>80306</v>
      </c>
      <c r="C19" s="20" t="s">
        <v>41</v>
      </c>
      <c r="D19" s="113">
        <f>'As-Filed Schedule 4'!D19</f>
        <v>0</v>
      </c>
      <c r="E19" s="381">
        <f>SUMIFS(Adjustments!$G:$G,Adjustments!$H:$H,"4",Adjustments!$I:$I,'Schedule 4 Adjustments'!$D$14,Adjustments!$J:$J,'Schedule 4 Adjustments'!$A19)</f>
        <v>0</v>
      </c>
      <c r="F19" s="373">
        <f t="shared" ref="F19:F82" si="0">SUM(D19:E19)</f>
        <v>0</v>
      </c>
      <c r="G19" s="403">
        <v>0</v>
      </c>
      <c r="H19" s="139">
        <f>D19*G19</f>
        <v>0</v>
      </c>
      <c r="I19" s="371">
        <f t="shared" ref="I19:I82" si="1">F19*G19</f>
        <v>0</v>
      </c>
      <c r="J19" s="140">
        <f t="shared" ref="J19:J81" si="2">G19*$H$12</f>
        <v>0</v>
      </c>
      <c r="K19" s="369">
        <f t="shared" ref="K19:K82" si="3">G19*$I$12</f>
        <v>0</v>
      </c>
      <c r="L19" s="141">
        <f>'As-Filed Schedule 4'!H19</f>
        <v>0</v>
      </c>
      <c r="M19" s="381">
        <f>SUMIFS(Adjustments!$G:$G,Adjustments!$H:$H,"4",Adjustments!$I:$I,'Schedule 4 Adjustments'!$L$14,Adjustments!$J:$J,'Schedule 4 Adjustments'!$A19)</f>
        <v>0</v>
      </c>
      <c r="N19" s="373">
        <f t="shared" ref="N19:N82" si="4">SUM(L19:M19)</f>
        <v>0</v>
      </c>
      <c r="O19" s="403">
        <v>0</v>
      </c>
      <c r="P19" s="47">
        <f>L19*O19</f>
        <v>0</v>
      </c>
      <c r="Q19" s="371">
        <f t="shared" ref="Q19:Q82" si="5">N19*O19</f>
        <v>0</v>
      </c>
      <c r="R19" s="21">
        <f t="shared" ref="R19:R81" si="6">O19*$H$12</f>
        <v>0</v>
      </c>
      <c r="S19" s="369">
        <f t="shared" ref="S19:S82" si="7">O19*$I$12</f>
        <v>0</v>
      </c>
    </row>
    <row r="20" spans="1:19" s="22" customFormat="1" x14ac:dyDescent="0.35">
      <c r="A20" s="19">
        <v>8</v>
      </c>
      <c r="B20" s="19">
        <v>82075</v>
      </c>
      <c r="C20" s="20" t="s">
        <v>112</v>
      </c>
      <c r="D20" s="113">
        <f>'As-Filed Schedule 4'!D20</f>
        <v>0</v>
      </c>
      <c r="E20" s="381">
        <f>SUMIFS(Adjustments!$G:$G,Adjustments!$H:$H,"4",Adjustments!$I:$I,'Schedule 4 Adjustments'!$D$14,Adjustments!$J:$J,'Schedule 4 Adjustments'!$A20)</f>
        <v>0</v>
      </c>
      <c r="F20" s="373">
        <f>SUM(D20:E20)</f>
        <v>0</v>
      </c>
      <c r="G20" s="403">
        <v>0</v>
      </c>
      <c r="H20" s="139">
        <f t="shared" ref="H20:H83" si="8">D20*G20</f>
        <v>0</v>
      </c>
      <c r="I20" s="371">
        <f t="shared" si="1"/>
        <v>0</v>
      </c>
      <c r="J20" s="140">
        <f t="shared" si="2"/>
        <v>0</v>
      </c>
      <c r="K20" s="369">
        <f t="shared" si="3"/>
        <v>0</v>
      </c>
      <c r="L20" s="141">
        <f>'As-Filed Schedule 4'!H20</f>
        <v>0</v>
      </c>
      <c r="M20" s="381">
        <f>SUMIFS(Adjustments!$G:$G,Adjustments!$H:$H,"4",Adjustments!$I:$I,'Schedule 4 Adjustments'!$L$14,Adjustments!$J:$J,'Schedule 4 Adjustments'!$A20)</f>
        <v>0</v>
      </c>
      <c r="N20" s="373">
        <f t="shared" si="4"/>
        <v>0</v>
      </c>
      <c r="O20" s="403">
        <v>0</v>
      </c>
      <c r="P20" s="47">
        <f t="shared" ref="P20:P82" si="9">L20*O20</f>
        <v>0</v>
      </c>
      <c r="Q20" s="371">
        <f>N20*O20</f>
        <v>0</v>
      </c>
      <c r="R20" s="21">
        <f t="shared" si="6"/>
        <v>0</v>
      </c>
      <c r="S20" s="369">
        <f t="shared" si="7"/>
        <v>0</v>
      </c>
    </row>
    <row r="21" spans="1:19" s="22" customFormat="1" x14ac:dyDescent="0.35">
      <c r="A21" s="19">
        <v>9</v>
      </c>
      <c r="B21" s="19">
        <v>90785</v>
      </c>
      <c r="C21" s="20" t="s">
        <v>319</v>
      </c>
      <c r="D21" s="113">
        <f>'As-Filed Schedule 4'!D21</f>
        <v>1061</v>
      </c>
      <c r="E21" s="381">
        <f>SUMIFS(Adjustments!$G:$G,Adjustments!$H:$H,"4",Adjustments!$I:$I,'Schedule 4 Adjustments'!$D$14,Adjustments!$J:$J,'Schedule 4 Adjustments'!$A21)</f>
        <v>0</v>
      </c>
      <c r="F21" s="373">
        <f t="shared" si="0"/>
        <v>1061</v>
      </c>
      <c r="G21" s="403">
        <v>0.44</v>
      </c>
      <c r="H21" s="47">
        <f t="shared" si="8"/>
        <v>466.84</v>
      </c>
      <c r="I21" s="371">
        <f t="shared" si="1"/>
        <v>466.84</v>
      </c>
      <c r="J21" s="21">
        <f t="shared" si="2"/>
        <v>69.98949502541322</v>
      </c>
      <c r="K21" s="369">
        <f t="shared" si="3"/>
        <v>70.776947143554366</v>
      </c>
      <c r="L21" s="141">
        <f>'As-Filed Schedule 4'!H21</f>
        <v>34</v>
      </c>
      <c r="M21" s="381">
        <f>SUMIFS(Adjustments!$G:$G,Adjustments!$H:$H,"4",Adjustments!$I:$I,'Schedule 4 Adjustments'!$L$14,Adjustments!$J:$J,'Schedule 4 Adjustments'!$A21)</f>
        <v>0</v>
      </c>
      <c r="N21" s="373">
        <f t="shared" si="4"/>
        <v>34</v>
      </c>
      <c r="O21" s="403">
        <v>0.39</v>
      </c>
      <c r="P21" s="47">
        <f t="shared" si="9"/>
        <v>13.26</v>
      </c>
      <c r="Q21" s="371">
        <f>N21*O21</f>
        <v>13.26</v>
      </c>
      <c r="R21" s="21">
        <f t="shared" si="6"/>
        <v>62.036143317979899</v>
      </c>
      <c r="S21" s="369">
        <f t="shared" si="7"/>
        <v>62.734112240877735</v>
      </c>
    </row>
    <row r="22" spans="1:19" s="22" customFormat="1" x14ac:dyDescent="0.35">
      <c r="A22" s="19">
        <v>10</v>
      </c>
      <c r="B22" s="19">
        <v>90791</v>
      </c>
      <c r="C22" s="20" t="s">
        <v>320</v>
      </c>
      <c r="D22" s="113">
        <f>'As-Filed Schedule 4'!D22</f>
        <v>1935</v>
      </c>
      <c r="E22" s="381">
        <f>SUMIFS(Adjustments!$G:$G,Adjustments!$H:$H,"4",Adjustments!$I:$I,'Schedule 4 Adjustments'!$D$14,Adjustments!$J:$J,'Schedule 4 Adjustments'!$A22)</f>
        <v>0</v>
      </c>
      <c r="F22" s="373">
        <f t="shared" si="0"/>
        <v>1935</v>
      </c>
      <c r="G22" s="403">
        <v>5.17</v>
      </c>
      <c r="H22" s="47">
        <f t="shared" si="8"/>
        <v>10003.950000000001</v>
      </c>
      <c r="I22" s="371">
        <f t="shared" si="1"/>
        <v>10003.950000000001</v>
      </c>
      <c r="J22" s="21">
        <f t="shared" si="2"/>
        <v>822.3765665486053</v>
      </c>
      <c r="K22" s="369">
        <f t="shared" si="3"/>
        <v>831.62912893676378</v>
      </c>
      <c r="L22" s="141">
        <f>'As-Filed Schedule 4'!H22</f>
        <v>783</v>
      </c>
      <c r="M22" s="381">
        <f>SUMIFS(Adjustments!$G:$G,Adjustments!$H:$H,"4",Adjustments!$I:$I,'Schedule 4 Adjustments'!$L$14,Adjustments!$J:$J,'Schedule 4 Adjustments'!$A22)</f>
        <v>0</v>
      </c>
      <c r="N22" s="373">
        <f t="shared" si="4"/>
        <v>783</v>
      </c>
      <c r="O22" s="403">
        <v>4.43</v>
      </c>
      <c r="P22" s="47">
        <f t="shared" si="9"/>
        <v>3468.6899999999996</v>
      </c>
      <c r="Q22" s="371">
        <f>N22*O22</f>
        <v>3468.6899999999996</v>
      </c>
      <c r="R22" s="21">
        <f t="shared" si="6"/>
        <v>704.66696127859211</v>
      </c>
      <c r="S22" s="369">
        <f t="shared" si="7"/>
        <v>712.59517237714965</v>
      </c>
    </row>
    <row r="23" spans="1:19" s="22" customFormat="1" x14ac:dyDescent="0.35">
      <c r="A23" s="19">
        <v>11</v>
      </c>
      <c r="B23" s="19">
        <v>90792</v>
      </c>
      <c r="C23" s="20" t="s">
        <v>321</v>
      </c>
      <c r="D23" s="113">
        <f>'As-Filed Schedule 4'!D23</f>
        <v>92</v>
      </c>
      <c r="E23" s="381">
        <f>SUMIFS(Adjustments!$G:$G,Adjustments!$H:$H,"4",Adjustments!$I:$I,'Schedule 4 Adjustments'!$D$14,Adjustments!$J:$J,'Schedule 4 Adjustments'!$A23)</f>
        <v>0</v>
      </c>
      <c r="F23" s="373">
        <f t="shared" si="0"/>
        <v>92</v>
      </c>
      <c r="G23" s="403">
        <v>5.82</v>
      </c>
      <c r="H23" s="47">
        <f t="shared" si="8"/>
        <v>535.44000000000005</v>
      </c>
      <c r="I23" s="371">
        <f t="shared" si="1"/>
        <v>535.44000000000005</v>
      </c>
      <c r="J23" s="21">
        <f t="shared" si="2"/>
        <v>925.77013874523857</v>
      </c>
      <c r="K23" s="369">
        <f t="shared" si="3"/>
        <v>936.18598267156005</v>
      </c>
      <c r="L23" s="141">
        <f>'As-Filed Schedule 4'!H23</f>
        <v>45</v>
      </c>
      <c r="M23" s="381">
        <f>SUMIFS(Adjustments!$G:$G,Adjustments!$H:$H,"4",Adjustments!$I:$I,'Schedule 4 Adjustments'!$L$14,Adjustments!$J:$J,'Schedule 4 Adjustments'!$A23)</f>
        <v>0</v>
      </c>
      <c r="N23" s="373">
        <f t="shared" si="4"/>
        <v>45</v>
      </c>
      <c r="O23" s="403">
        <v>5.08</v>
      </c>
      <c r="P23" s="47">
        <f t="shared" si="9"/>
        <v>228.6</v>
      </c>
      <c r="Q23" s="371">
        <f t="shared" si="5"/>
        <v>228.6</v>
      </c>
      <c r="R23" s="21">
        <f t="shared" si="6"/>
        <v>808.06053347522538</v>
      </c>
      <c r="S23" s="369">
        <f>O23*$I$12</f>
        <v>817.15202611194593</v>
      </c>
    </row>
    <row r="24" spans="1:19" s="22" customFormat="1" x14ac:dyDescent="0.35">
      <c r="A24" s="19">
        <v>12</v>
      </c>
      <c r="B24" s="19">
        <v>90832</v>
      </c>
      <c r="C24" s="20" t="s">
        <v>325</v>
      </c>
      <c r="D24" s="113">
        <f>'As-Filed Schedule 4'!D24</f>
        <v>6459</v>
      </c>
      <c r="E24" s="381">
        <f>SUMIFS(Adjustments!$G:$G,Adjustments!$H:$H,"4",Adjustments!$I:$I,'Schedule 4 Adjustments'!$D$14,Adjustments!$J:$J,'Schedule 4 Adjustments'!$A24)</f>
        <v>0</v>
      </c>
      <c r="F24" s="373">
        <f t="shared" si="0"/>
        <v>6459</v>
      </c>
      <c r="G24" s="403">
        <v>2.35</v>
      </c>
      <c r="H24" s="47">
        <f t="shared" si="8"/>
        <v>15178.650000000001</v>
      </c>
      <c r="I24" s="371">
        <f t="shared" si="1"/>
        <v>15178.650000000001</v>
      </c>
      <c r="J24" s="21">
        <f t="shared" si="2"/>
        <v>373.8075302493661</v>
      </c>
      <c r="K24" s="369">
        <f t="shared" si="3"/>
        <v>378.01324042580177</v>
      </c>
      <c r="L24" s="141">
        <f>'As-Filed Schedule 4'!H24</f>
        <v>627</v>
      </c>
      <c r="M24" s="381">
        <f>SUMIFS(Adjustments!$G:$G,Adjustments!$H:$H,"4",Adjustments!$I:$I,'Schedule 4 Adjustments'!$L$14,Adjustments!$J:$J,'Schedule 4 Adjustments'!$A24)</f>
        <v>0</v>
      </c>
      <c r="N24" s="373">
        <f t="shared" si="4"/>
        <v>627</v>
      </c>
      <c r="O24" s="403">
        <v>2.0499999999999998</v>
      </c>
      <c r="P24" s="47">
        <f t="shared" si="9"/>
        <v>1285.3499999999999</v>
      </c>
      <c r="Q24" s="371">
        <f t="shared" si="5"/>
        <v>1285.3499999999999</v>
      </c>
      <c r="R24" s="21">
        <f t="shared" si="6"/>
        <v>326.0874200047661</v>
      </c>
      <c r="S24" s="369">
        <f>O24*$I$12</f>
        <v>329.7562310097419</v>
      </c>
    </row>
    <row r="25" spans="1:19" s="22" customFormat="1" x14ac:dyDescent="0.35">
      <c r="A25" s="19">
        <v>13</v>
      </c>
      <c r="B25" s="19">
        <v>90833</v>
      </c>
      <c r="C25" s="20" t="s">
        <v>322</v>
      </c>
      <c r="D25" s="113">
        <f>'As-Filed Schedule 4'!D25</f>
        <v>0</v>
      </c>
      <c r="E25" s="381">
        <f>SUMIFS(Adjustments!$G:$G,Adjustments!$H:$H,"4",Adjustments!$I:$I,'Schedule 4 Adjustments'!$D$14,Adjustments!$J:$J,'Schedule 4 Adjustments'!$A25)</f>
        <v>0</v>
      </c>
      <c r="F25" s="373">
        <f t="shared" si="0"/>
        <v>0</v>
      </c>
      <c r="G25" s="403">
        <v>2.16</v>
      </c>
      <c r="H25" s="47">
        <f t="shared" si="8"/>
        <v>0</v>
      </c>
      <c r="I25" s="371">
        <f t="shared" si="1"/>
        <v>0</v>
      </c>
      <c r="J25" s="21">
        <f t="shared" si="2"/>
        <v>343.58479376111944</v>
      </c>
      <c r="K25" s="369">
        <f t="shared" si="3"/>
        <v>347.45046779563057</v>
      </c>
      <c r="L25" s="141">
        <f>'As-Filed Schedule 4'!H25</f>
        <v>0</v>
      </c>
      <c r="M25" s="381">
        <f>SUMIFS(Adjustments!$G:$G,Adjustments!$H:$H,"4",Adjustments!$I:$I,'Schedule 4 Adjustments'!$L$14,Adjustments!$J:$J,'Schedule 4 Adjustments'!$A25)</f>
        <v>0</v>
      </c>
      <c r="N25" s="373">
        <f t="shared" si="4"/>
        <v>0</v>
      </c>
      <c r="O25" s="403">
        <v>1.92</v>
      </c>
      <c r="P25" s="47">
        <f t="shared" si="9"/>
        <v>0</v>
      </c>
      <c r="Q25" s="371">
        <f t="shared" si="5"/>
        <v>0</v>
      </c>
      <c r="R25" s="21">
        <f t="shared" si="6"/>
        <v>305.4087055654395</v>
      </c>
      <c r="S25" s="369">
        <f t="shared" si="7"/>
        <v>308.84486026278267</v>
      </c>
    </row>
    <row r="26" spans="1:19" s="22" customFormat="1" x14ac:dyDescent="0.35">
      <c r="A26" s="19">
        <v>14</v>
      </c>
      <c r="B26" s="19">
        <v>90834</v>
      </c>
      <c r="C26" s="20" t="s">
        <v>323</v>
      </c>
      <c r="D26" s="113">
        <f>'As-Filed Schedule 4'!D26</f>
        <v>7036</v>
      </c>
      <c r="E26" s="381">
        <f>SUMIFS(Adjustments!$G:$G,Adjustments!$H:$H,"4",Adjustments!$I:$I,'Schedule 4 Adjustments'!$D$14,Adjustments!$J:$J,'Schedule 4 Adjustments'!$A26)</f>
        <v>0</v>
      </c>
      <c r="F26" s="373">
        <f t="shared" si="0"/>
        <v>7036</v>
      </c>
      <c r="G26" s="403">
        <v>3.1</v>
      </c>
      <c r="H26" s="47">
        <f t="shared" si="8"/>
        <v>21811.600000000002</v>
      </c>
      <c r="I26" s="371">
        <f t="shared" si="1"/>
        <v>21811.600000000002</v>
      </c>
      <c r="J26" s="21">
        <f t="shared" si="2"/>
        <v>493.10780586086588</v>
      </c>
      <c r="K26" s="369">
        <f t="shared" si="3"/>
        <v>498.65576396595122</v>
      </c>
      <c r="L26" s="141">
        <f>'As-Filed Schedule 4'!H26</f>
        <v>2166</v>
      </c>
      <c r="M26" s="381">
        <f>SUMIFS(Adjustments!$G:$G,Adjustments!$H:$H,"4",Adjustments!$I:$I,'Schedule 4 Adjustments'!$L$14,Adjustments!$J:$J,'Schedule 4 Adjustments'!$A26)</f>
        <v>0</v>
      </c>
      <c r="N26" s="373">
        <f t="shared" si="4"/>
        <v>2166</v>
      </c>
      <c r="O26" s="403">
        <v>2.71</v>
      </c>
      <c r="P26" s="47">
        <f t="shared" si="9"/>
        <v>5869.86</v>
      </c>
      <c r="Q26" s="371">
        <f t="shared" si="5"/>
        <v>5869.86</v>
      </c>
      <c r="R26" s="21">
        <f t="shared" si="6"/>
        <v>431.07166254288597</v>
      </c>
      <c r="S26" s="369">
        <f t="shared" si="7"/>
        <v>435.9216517250735</v>
      </c>
    </row>
    <row r="27" spans="1:19" s="22" customFormat="1" x14ac:dyDescent="0.35">
      <c r="A27" s="19">
        <v>15</v>
      </c>
      <c r="B27" s="19">
        <v>90836</v>
      </c>
      <c r="C27" s="20" t="s">
        <v>326</v>
      </c>
      <c r="D27" s="113">
        <f>'As-Filed Schedule 4'!D27</f>
        <v>0</v>
      </c>
      <c r="E27" s="381">
        <f>SUMIFS(Adjustments!$G:$G,Adjustments!$H:$H,"4",Adjustments!$I:$I,'Schedule 4 Adjustments'!$D$14,Adjustments!$J:$J,'Schedule 4 Adjustments'!$A27)</f>
        <v>0</v>
      </c>
      <c r="F27" s="373">
        <f t="shared" si="0"/>
        <v>0</v>
      </c>
      <c r="G27" s="403">
        <v>2.73</v>
      </c>
      <c r="H27" s="47">
        <f t="shared" si="8"/>
        <v>0</v>
      </c>
      <c r="I27" s="371">
        <f t="shared" si="1"/>
        <v>0</v>
      </c>
      <c r="J27" s="21">
        <f t="shared" si="2"/>
        <v>434.25300322585929</v>
      </c>
      <c r="K27" s="369">
        <f t="shared" si="3"/>
        <v>439.13878568614416</v>
      </c>
      <c r="L27" s="141">
        <f>'As-Filed Schedule 4'!H27</f>
        <v>0</v>
      </c>
      <c r="M27" s="381">
        <f>SUMIFS(Adjustments!$G:$G,Adjustments!$H:$H,"4",Adjustments!$I:$I,'Schedule 4 Adjustments'!$L$14,Adjustments!$J:$J,'Schedule 4 Adjustments'!$A27)</f>
        <v>0</v>
      </c>
      <c r="N27" s="373">
        <f t="shared" si="4"/>
        <v>0</v>
      </c>
      <c r="O27" s="403">
        <v>2.4300000000000002</v>
      </c>
      <c r="P27" s="47">
        <f t="shared" si="9"/>
        <v>0</v>
      </c>
      <c r="Q27" s="371">
        <f t="shared" si="5"/>
        <v>0</v>
      </c>
      <c r="R27" s="21">
        <f t="shared" si="6"/>
        <v>386.53289298125941</v>
      </c>
      <c r="S27" s="369">
        <f>O27*$I$12</f>
        <v>390.8817762700844</v>
      </c>
    </row>
    <row r="28" spans="1:19" s="22" customFormat="1" x14ac:dyDescent="0.35">
      <c r="A28" s="19">
        <v>16</v>
      </c>
      <c r="B28" s="19">
        <v>90837</v>
      </c>
      <c r="C28" s="20" t="s">
        <v>324</v>
      </c>
      <c r="D28" s="113">
        <f>'As-Filed Schedule 4'!D28</f>
        <v>25857</v>
      </c>
      <c r="E28" s="381">
        <f>SUMIFS(Adjustments!$G:$G,Adjustments!$H:$H,"4",Adjustments!$I:$I,'Schedule 4 Adjustments'!$D$14,Adjustments!$J:$J,'Schedule 4 Adjustments'!$A28)</f>
        <v>0</v>
      </c>
      <c r="F28" s="373">
        <f t="shared" si="0"/>
        <v>25857</v>
      </c>
      <c r="G28" s="403">
        <v>4.57</v>
      </c>
      <c r="H28" s="47">
        <f t="shared" si="8"/>
        <v>118166.49</v>
      </c>
      <c r="I28" s="371">
        <f t="shared" si="1"/>
        <v>118166.49</v>
      </c>
      <c r="J28" s="21">
        <f t="shared" si="2"/>
        <v>726.93634605940554</v>
      </c>
      <c r="K28" s="369">
        <f t="shared" si="3"/>
        <v>735.11511010464426</v>
      </c>
      <c r="L28" s="141">
        <f>'As-Filed Schedule 4'!H28</f>
        <v>11475</v>
      </c>
      <c r="M28" s="381">
        <f>SUMIFS(Adjustments!$G:$G,Adjustments!$H:$H,"4",Adjustments!$I:$I,'Schedule 4 Adjustments'!$L$14,Adjustments!$J:$J,'Schedule 4 Adjustments'!$A28)</f>
        <v>0</v>
      </c>
      <c r="N28" s="373">
        <f t="shared" si="4"/>
        <v>11475</v>
      </c>
      <c r="O28" s="403">
        <v>4</v>
      </c>
      <c r="P28" s="47">
        <f t="shared" si="9"/>
        <v>45900</v>
      </c>
      <c r="Q28" s="371">
        <f t="shared" si="5"/>
        <v>45900</v>
      </c>
      <c r="R28" s="21">
        <f t="shared" si="6"/>
        <v>636.26813659466563</v>
      </c>
      <c r="S28" s="369">
        <f t="shared" si="7"/>
        <v>643.42679221413061</v>
      </c>
    </row>
    <row r="29" spans="1:19" s="22" customFormat="1" x14ac:dyDescent="0.35">
      <c r="A29" s="19">
        <v>17</v>
      </c>
      <c r="B29" s="19">
        <v>90838</v>
      </c>
      <c r="C29" s="20" t="s">
        <v>327</v>
      </c>
      <c r="D29" s="113">
        <f>'As-Filed Schedule 4'!D29</f>
        <v>0</v>
      </c>
      <c r="E29" s="381">
        <f>SUMIFS(Adjustments!$G:$G,Adjustments!$H:$H,"4",Adjustments!$I:$I,'Schedule 4 Adjustments'!$D$14,Adjustments!$J:$J,'Schedule 4 Adjustments'!$A29)</f>
        <v>0</v>
      </c>
      <c r="F29" s="373">
        <f t="shared" si="0"/>
        <v>0</v>
      </c>
      <c r="G29" s="403">
        <v>3.62</v>
      </c>
      <c r="H29" s="47">
        <f t="shared" si="8"/>
        <v>0</v>
      </c>
      <c r="I29" s="371">
        <f t="shared" si="1"/>
        <v>0</v>
      </c>
      <c r="J29" s="21">
        <f t="shared" si="2"/>
        <v>575.82266361817244</v>
      </c>
      <c r="K29" s="369">
        <f t="shared" si="3"/>
        <v>582.30124695378822</v>
      </c>
      <c r="L29" s="141">
        <f>'As-Filed Schedule 4'!H29</f>
        <v>0</v>
      </c>
      <c r="M29" s="381">
        <f>SUMIFS(Adjustments!$G:$G,Adjustments!$H:$H,"4",Adjustments!$I:$I,'Schedule 4 Adjustments'!$L$14,Adjustments!$J:$J,'Schedule 4 Adjustments'!$A29)</f>
        <v>0</v>
      </c>
      <c r="N29" s="373">
        <f t="shared" si="4"/>
        <v>0</v>
      </c>
      <c r="O29" s="403">
        <v>3.22</v>
      </c>
      <c r="P29" s="47">
        <f t="shared" si="9"/>
        <v>0</v>
      </c>
      <c r="Q29" s="371">
        <f t="shared" si="5"/>
        <v>0</v>
      </c>
      <c r="R29" s="21">
        <f t="shared" si="6"/>
        <v>512.19584995870582</v>
      </c>
      <c r="S29" s="369">
        <f t="shared" si="7"/>
        <v>517.95856773237517</v>
      </c>
    </row>
    <row r="30" spans="1:19" s="22" customFormat="1" x14ac:dyDescent="0.35">
      <c r="A30" s="19">
        <v>18</v>
      </c>
      <c r="B30" s="19">
        <v>90839</v>
      </c>
      <c r="C30" s="20" t="s">
        <v>329</v>
      </c>
      <c r="D30" s="113">
        <f>'As-Filed Schedule 4'!D30</f>
        <v>17</v>
      </c>
      <c r="E30" s="381">
        <f>SUMIFS(Adjustments!$G:$G,Adjustments!$H:$H,"4",Adjustments!$I:$I,'Schedule 4 Adjustments'!$D$14,Adjustments!$J:$J,'Schedule 4 Adjustments'!$A30)</f>
        <v>0</v>
      </c>
      <c r="F30" s="373">
        <f t="shared" si="0"/>
        <v>17</v>
      </c>
      <c r="G30" s="403">
        <v>4.4000000000000004</v>
      </c>
      <c r="H30" s="47">
        <f t="shared" si="8"/>
        <v>74.800000000000011</v>
      </c>
      <c r="I30" s="371">
        <f t="shared" si="1"/>
        <v>74.800000000000011</v>
      </c>
      <c r="J30" s="21">
        <f t="shared" si="2"/>
        <v>699.89495025413225</v>
      </c>
      <c r="K30" s="369">
        <f t="shared" si="3"/>
        <v>707.76947143554378</v>
      </c>
      <c r="L30" s="141">
        <f>'As-Filed Schedule 4'!H30</f>
        <v>8</v>
      </c>
      <c r="M30" s="381">
        <f>SUMIFS(Adjustments!$G:$G,Adjustments!$H:$H,"4",Adjustments!$I:$I,'Schedule 4 Adjustments'!$L$14,Adjustments!$J:$J,'Schedule 4 Adjustments'!$A30)</f>
        <v>0</v>
      </c>
      <c r="N30" s="373">
        <f t="shared" si="4"/>
        <v>8</v>
      </c>
      <c r="O30" s="403">
        <v>3.87</v>
      </c>
      <c r="P30" s="47">
        <f t="shared" si="9"/>
        <v>30.96</v>
      </c>
      <c r="Q30" s="371">
        <f t="shared" si="5"/>
        <v>30.96</v>
      </c>
      <c r="R30" s="21">
        <f t="shared" si="6"/>
        <v>615.58942215533898</v>
      </c>
      <c r="S30" s="369">
        <f t="shared" si="7"/>
        <v>622.51542146717134</v>
      </c>
    </row>
    <row r="31" spans="1:19" s="22" customFormat="1" x14ac:dyDescent="0.35">
      <c r="A31" s="19">
        <v>19</v>
      </c>
      <c r="B31" s="19">
        <v>90840</v>
      </c>
      <c r="C31" s="20" t="s">
        <v>328</v>
      </c>
      <c r="D31" s="113">
        <f>'As-Filed Schedule 4'!D31</f>
        <v>27</v>
      </c>
      <c r="E31" s="381">
        <f>SUMIFS(Adjustments!$G:$G,Adjustments!$H:$H,"4",Adjustments!$I:$I,'Schedule 4 Adjustments'!$D$14,Adjustments!$J:$J,'Schedule 4 Adjustments'!$A31)</f>
        <v>0</v>
      </c>
      <c r="F31" s="373">
        <f t="shared" si="0"/>
        <v>27</v>
      </c>
      <c r="G31" s="403">
        <v>2.1800000000000002</v>
      </c>
      <c r="H31" s="47">
        <f t="shared" si="8"/>
        <v>58.860000000000007</v>
      </c>
      <c r="I31" s="371">
        <f t="shared" si="1"/>
        <v>58.860000000000007</v>
      </c>
      <c r="J31" s="21">
        <f t="shared" si="2"/>
        <v>346.76613444409281</v>
      </c>
      <c r="K31" s="369">
        <f t="shared" si="3"/>
        <v>350.66760175670123</v>
      </c>
      <c r="L31" s="141">
        <f>'As-Filed Schedule 4'!H31</f>
        <v>0</v>
      </c>
      <c r="M31" s="381">
        <f>SUMIFS(Adjustments!$G:$G,Adjustments!$H:$H,"4",Adjustments!$I:$I,'Schedule 4 Adjustments'!$L$14,Adjustments!$J:$J,'Schedule 4 Adjustments'!$A31)</f>
        <v>0</v>
      </c>
      <c r="N31" s="373">
        <f t="shared" si="4"/>
        <v>0</v>
      </c>
      <c r="O31" s="403">
        <v>1.94</v>
      </c>
      <c r="P31" s="47">
        <f t="shared" si="9"/>
        <v>0</v>
      </c>
      <c r="Q31" s="371">
        <f>N31*O31</f>
        <v>0</v>
      </c>
      <c r="R31" s="21">
        <f t="shared" si="6"/>
        <v>308.59004624841282</v>
      </c>
      <c r="S31" s="369">
        <f t="shared" si="7"/>
        <v>312.06199422385333</v>
      </c>
    </row>
    <row r="32" spans="1:19" s="22" customFormat="1" x14ac:dyDescent="0.35">
      <c r="A32" s="19">
        <v>20</v>
      </c>
      <c r="B32" s="19">
        <v>90846</v>
      </c>
      <c r="C32" s="20" t="s">
        <v>113</v>
      </c>
      <c r="D32" s="113">
        <f>'As-Filed Schedule 4'!D32</f>
        <v>2207</v>
      </c>
      <c r="E32" s="381">
        <f>SUMIFS(Adjustments!$G:$G,Adjustments!$H:$H,"4",Adjustments!$I:$I,'Schedule 4 Adjustments'!$D$14,Adjustments!$J:$J,'Schedule 4 Adjustments'!$A32)</f>
        <v>0</v>
      </c>
      <c r="F32" s="373">
        <f t="shared" si="0"/>
        <v>2207</v>
      </c>
      <c r="G32" s="403">
        <v>2.93</v>
      </c>
      <c r="H32" s="47">
        <f t="shared" si="8"/>
        <v>6466.51</v>
      </c>
      <c r="I32" s="371">
        <f t="shared" si="1"/>
        <v>6466.51</v>
      </c>
      <c r="J32" s="21">
        <f t="shared" si="2"/>
        <v>466.0664100555926</v>
      </c>
      <c r="K32" s="369">
        <f t="shared" si="3"/>
        <v>471.31012529685069</v>
      </c>
      <c r="L32" s="141">
        <f>'As-Filed Schedule 4'!H32</f>
        <v>338</v>
      </c>
      <c r="M32" s="381">
        <f>SUMIFS(Adjustments!$G:$G,Adjustments!$H:$H,"4",Adjustments!$I:$I,'Schedule 4 Adjustments'!$L$14,Adjustments!$J:$J,'Schedule 4 Adjustments'!$A32)</f>
        <v>0</v>
      </c>
      <c r="N32" s="373">
        <f t="shared" si="4"/>
        <v>338</v>
      </c>
      <c r="O32" s="403">
        <v>2.92</v>
      </c>
      <c r="P32" s="47">
        <f t="shared" si="9"/>
        <v>986.95999999999992</v>
      </c>
      <c r="Q32" s="371">
        <f t="shared" si="5"/>
        <v>986.95999999999992</v>
      </c>
      <c r="R32" s="21">
        <f t="shared" si="6"/>
        <v>464.47573971410588</v>
      </c>
      <c r="S32" s="369">
        <f t="shared" si="7"/>
        <v>469.70155831631536</v>
      </c>
    </row>
    <row r="33" spans="1:19" s="22" customFormat="1" x14ac:dyDescent="0.35">
      <c r="A33" s="19">
        <v>21</v>
      </c>
      <c r="B33" s="19">
        <v>90847</v>
      </c>
      <c r="C33" s="20" t="s">
        <v>114</v>
      </c>
      <c r="D33" s="113">
        <f>'As-Filed Schedule 4'!D33</f>
        <v>1181</v>
      </c>
      <c r="E33" s="381">
        <f>SUMIFS(Adjustments!$G:$G,Adjustments!$H:$H,"4",Adjustments!$I:$I,'Schedule 4 Adjustments'!$D$14,Adjustments!$J:$J,'Schedule 4 Adjustments'!$A33)</f>
        <v>0</v>
      </c>
      <c r="F33" s="373">
        <f t="shared" si="0"/>
        <v>1181</v>
      </c>
      <c r="G33" s="403">
        <v>3.07</v>
      </c>
      <c r="H33" s="47">
        <f t="shared" si="8"/>
        <v>3625.6699999999996</v>
      </c>
      <c r="I33" s="371">
        <f t="shared" si="1"/>
        <v>3625.6699999999996</v>
      </c>
      <c r="J33" s="21">
        <f t="shared" si="2"/>
        <v>488.33579483640585</v>
      </c>
      <c r="K33" s="369">
        <f t="shared" si="3"/>
        <v>493.83006302434524</v>
      </c>
      <c r="L33" s="141">
        <f>'As-Filed Schedule 4'!H33</f>
        <v>2528</v>
      </c>
      <c r="M33" s="381">
        <f>SUMIFS(Adjustments!$G:$G,Adjustments!$H:$H,"4",Adjustments!$I:$I,'Schedule 4 Adjustments'!$L$14,Adjustments!$J:$J,'Schedule 4 Adjustments'!$A33)</f>
        <v>0</v>
      </c>
      <c r="N33" s="373">
        <f t="shared" si="4"/>
        <v>2528</v>
      </c>
      <c r="O33" s="403">
        <v>3.05</v>
      </c>
      <c r="P33" s="47">
        <f t="shared" si="9"/>
        <v>7710.4</v>
      </c>
      <c r="Q33" s="371">
        <f t="shared" si="5"/>
        <v>7710.4</v>
      </c>
      <c r="R33" s="21">
        <f t="shared" si="6"/>
        <v>485.15445415343254</v>
      </c>
      <c r="S33" s="369">
        <f t="shared" si="7"/>
        <v>490.61292906327458</v>
      </c>
    </row>
    <row r="34" spans="1:19" s="22" customFormat="1" x14ac:dyDescent="0.35">
      <c r="A34" s="19">
        <v>22</v>
      </c>
      <c r="B34" s="19">
        <v>90849</v>
      </c>
      <c r="C34" s="20" t="s">
        <v>115</v>
      </c>
      <c r="D34" s="113">
        <f>'As-Filed Schedule 4'!D34</f>
        <v>5</v>
      </c>
      <c r="E34" s="381">
        <f>SUMIFS(Adjustments!$G:$G,Adjustments!$H:$H,"4",Adjustments!$I:$I,'Schedule 4 Adjustments'!$D$14,Adjustments!$J:$J,'Schedule 4 Adjustments'!$A34)</f>
        <v>0</v>
      </c>
      <c r="F34" s="373">
        <f t="shared" si="0"/>
        <v>5</v>
      </c>
      <c r="G34" s="403">
        <v>1.1299999999999999</v>
      </c>
      <c r="H34" s="47">
        <f t="shared" si="8"/>
        <v>5.6499999999999995</v>
      </c>
      <c r="I34" s="371">
        <f t="shared" si="1"/>
        <v>5.6499999999999995</v>
      </c>
      <c r="J34" s="21">
        <f t="shared" si="2"/>
        <v>179.74574858799303</v>
      </c>
      <c r="K34" s="369">
        <f t="shared" si="3"/>
        <v>181.76806880049187</v>
      </c>
      <c r="L34" s="141">
        <f>'As-Filed Schedule 4'!H34</f>
        <v>38</v>
      </c>
      <c r="M34" s="381">
        <f>SUMIFS(Adjustments!$G:$G,Adjustments!$H:$H,"4",Adjustments!$I:$I,'Schedule 4 Adjustments'!$L$14,Adjustments!$J:$J,'Schedule 4 Adjustments'!$A34)</f>
        <v>0</v>
      </c>
      <c r="N34" s="373">
        <f t="shared" si="4"/>
        <v>38</v>
      </c>
      <c r="O34" s="403">
        <v>0.88</v>
      </c>
      <c r="P34" s="47">
        <f t="shared" si="9"/>
        <v>33.44</v>
      </c>
      <c r="Q34" s="371">
        <f t="shared" si="5"/>
        <v>33.44</v>
      </c>
      <c r="R34" s="21">
        <f t="shared" si="6"/>
        <v>139.97899005082644</v>
      </c>
      <c r="S34" s="369">
        <f t="shared" si="7"/>
        <v>141.55389428710873</v>
      </c>
    </row>
    <row r="35" spans="1:19" s="22" customFormat="1" x14ac:dyDescent="0.35">
      <c r="A35" s="19">
        <v>23</v>
      </c>
      <c r="B35" s="19">
        <v>90853</v>
      </c>
      <c r="C35" s="20" t="s">
        <v>116</v>
      </c>
      <c r="D35" s="113">
        <f>'As-Filed Schedule 4'!D35</f>
        <v>1943</v>
      </c>
      <c r="E35" s="381">
        <f>SUMIFS(Adjustments!$G:$G,Adjustments!$H:$H,"4",Adjustments!$I:$I,'Schedule 4 Adjustments'!$D$14,Adjustments!$J:$J,'Schedule 4 Adjustments'!$A35)</f>
        <v>0</v>
      </c>
      <c r="F35" s="373">
        <f t="shared" si="0"/>
        <v>1943</v>
      </c>
      <c r="G35" s="403">
        <v>0.83</v>
      </c>
      <c r="H35" s="47">
        <f t="shared" si="8"/>
        <v>1612.6899999999998</v>
      </c>
      <c r="I35" s="371">
        <f t="shared" si="1"/>
        <v>1612.6899999999998</v>
      </c>
      <c r="J35" s="21">
        <f t="shared" si="2"/>
        <v>132.02563834339313</v>
      </c>
      <c r="K35" s="369">
        <f t="shared" si="3"/>
        <v>133.51105938443209</v>
      </c>
      <c r="L35" s="141">
        <f>'As-Filed Schedule 4'!H35</f>
        <v>750</v>
      </c>
      <c r="M35" s="381">
        <f>SUMIFS(Adjustments!$G:$G,Adjustments!$H:$H,"4",Adjustments!$I:$I,'Schedule 4 Adjustments'!$L$14,Adjustments!$J:$J,'Schedule 4 Adjustments'!$A35)</f>
        <v>0</v>
      </c>
      <c r="N35" s="373">
        <f t="shared" si="4"/>
        <v>750</v>
      </c>
      <c r="O35" s="403">
        <v>0.72</v>
      </c>
      <c r="P35" s="47">
        <f t="shared" si="9"/>
        <v>540</v>
      </c>
      <c r="Q35" s="371">
        <f t="shared" si="5"/>
        <v>540</v>
      </c>
      <c r="R35" s="21">
        <f t="shared" si="6"/>
        <v>114.52826458703981</v>
      </c>
      <c r="S35" s="369">
        <f t="shared" si="7"/>
        <v>115.81682259854351</v>
      </c>
    </row>
    <row r="36" spans="1:19" s="22" customFormat="1" x14ac:dyDescent="0.35">
      <c r="A36" s="19">
        <v>24</v>
      </c>
      <c r="B36" s="19">
        <v>90870</v>
      </c>
      <c r="C36" s="20" t="s">
        <v>117</v>
      </c>
      <c r="D36" s="113">
        <f>'As-Filed Schedule 4'!D36</f>
        <v>0</v>
      </c>
      <c r="E36" s="381">
        <f>SUMIFS(Adjustments!$G:$G,Adjustments!$H:$H,"4",Adjustments!$I:$I,'Schedule 4 Adjustments'!$D$14,Adjustments!$J:$J,'Schedule 4 Adjustments'!$A36)</f>
        <v>0</v>
      </c>
      <c r="F36" s="373">
        <f t="shared" si="0"/>
        <v>0</v>
      </c>
      <c r="G36" s="403">
        <v>5.18</v>
      </c>
      <c r="H36" s="47">
        <f t="shared" si="8"/>
        <v>0</v>
      </c>
      <c r="I36" s="371">
        <f t="shared" si="1"/>
        <v>0</v>
      </c>
      <c r="J36" s="21">
        <f t="shared" si="2"/>
        <v>823.96723689009195</v>
      </c>
      <c r="K36" s="369">
        <f t="shared" si="3"/>
        <v>833.23769591729911</v>
      </c>
      <c r="L36" s="141">
        <f>'As-Filed Schedule 4'!H36</f>
        <v>0</v>
      </c>
      <c r="M36" s="381">
        <f>SUMIFS(Adjustments!$G:$G,Adjustments!$H:$H,"4",Adjustments!$I:$I,'Schedule 4 Adjustments'!$L$14,Adjustments!$J:$J,'Schedule 4 Adjustments'!$A36)</f>
        <v>0</v>
      </c>
      <c r="N36" s="373">
        <f t="shared" si="4"/>
        <v>0</v>
      </c>
      <c r="O36" s="403">
        <v>3.12</v>
      </c>
      <c r="P36" s="47">
        <f t="shared" si="9"/>
        <v>0</v>
      </c>
      <c r="Q36" s="371">
        <f t="shared" si="5"/>
        <v>0</v>
      </c>
      <c r="R36" s="21">
        <f t="shared" si="6"/>
        <v>496.28914654383919</v>
      </c>
      <c r="S36" s="369">
        <f t="shared" si="7"/>
        <v>501.87289792702188</v>
      </c>
    </row>
    <row r="37" spans="1:19" s="22" customFormat="1" x14ac:dyDescent="0.35">
      <c r="A37" s="19">
        <v>25</v>
      </c>
      <c r="B37" s="19">
        <v>90875</v>
      </c>
      <c r="C37" s="20" t="s">
        <v>152</v>
      </c>
      <c r="D37" s="113">
        <f>'As-Filed Schedule 4'!D37</f>
        <v>0</v>
      </c>
      <c r="E37" s="381">
        <f>SUMIFS(Adjustments!$G:$G,Adjustments!$H:$H,"4",Adjustments!$I:$I,'Schedule 4 Adjustments'!$D$14,Adjustments!$J:$J,'Schedule 4 Adjustments'!$A37)</f>
        <v>0</v>
      </c>
      <c r="F37" s="373">
        <f t="shared" si="0"/>
        <v>0</v>
      </c>
      <c r="G37" s="403">
        <v>1.75</v>
      </c>
      <c r="H37" s="47">
        <f t="shared" si="8"/>
        <v>0</v>
      </c>
      <c r="I37" s="371">
        <f t="shared" si="1"/>
        <v>0</v>
      </c>
      <c r="J37" s="21">
        <f t="shared" si="2"/>
        <v>278.36730976016622</v>
      </c>
      <c r="K37" s="369">
        <f t="shared" si="3"/>
        <v>281.49922159368214</v>
      </c>
      <c r="L37" s="141">
        <f>'As-Filed Schedule 4'!H37</f>
        <v>0</v>
      </c>
      <c r="M37" s="381">
        <f>SUMIFS(Adjustments!$G:$G,Adjustments!$H:$H,"4",Adjustments!$I:$I,'Schedule 4 Adjustments'!$L$14,Adjustments!$J:$J,'Schedule 4 Adjustments'!$A37)</f>
        <v>0</v>
      </c>
      <c r="N37" s="373">
        <f t="shared" si="4"/>
        <v>0</v>
      </c>
      <c r="O37" s="403">
        <v>1.74</v>
      </c>
      <c r="P37" s="47">
        <f t="shared" si="9"/>
        <v>0</v>
      </c>
      <c r="Q37" s="371">
        <f t="shared" si="5"/>
        <v>0</v>
      </c>
      <c r="R37" s="21">
        <f t="shared" si="6"/>
        <v>276.77663941867957</v>
      </c>
      <c r="S37" s="369">
        <f t="shared" si="7"/>
        <v>279.89065461314681</v>
      </c>
    </row>
    <row r="38" spans="1:19" s="22" customFormat="1" x14ac:dyDescent="0.35">
      <c r="A38" s="19">
        <v>26</v>
      </c>
      <c r="B38" s="19">
        <v>90876</v>
      </c>
      <c r="C38" s="20" t="s">
        <v>153</v>
      </c>
      <c r="D38" s="113">
        <f>'As-Filed Schedule 4'!D38</f>
        <v>0</v>
      </c>
      <c r="E38" s="381">
        <f>SUMIFS(Adjustments!$G:$G,Adjustments!$H:$H,"4",Adjustments!$I:$I,'Schedule 4 Adjustments'!$D$14,Adjustments!$J:$J,'Schedule 4 Adjustments'!$A38)</f>
        <v>0</v>
      </c>
      <c r="F38" s="373">
        <f t="shared" si="0"/>
        <v>0</v>
      </c>
      <c r="G38" s="403">
        <v>3.08</v>
      </c>
      <c r="H38" s="47">
        <f t="shared" si="8"/>
        <v>0</v>
      </c>
      <c r="I38" s="371">
        <f t="shared" si="1"/>
        <v>0</v>
      </c>
      <c r="J38" s="21">
        <f t="shared" si="2"/>
        <v>489.92646517789257</v>
      </c>
      <c r="K38" s="369">
        <f t="shared" si="3"/>
        <v>495.43863000488057</v>
      </c>
      <c r="L38" s="141">
        <f>'As-Filed Schedule 4'!H38</f>
        <v>0</v>
      </c>
      <c r="M38" s="381">
        <f>SUMIFS(Adjustments!$G:$G,Adjustments!$H:$H,"4",Adjustments!$I:$I,'Schedule 4 Adjustments'!$L$14,Adjustments!$J:$J,'Schedule 4 Adjustments'!$A38)</f>
        <v>0</v>
      </c>
      <c r="N38" s="373">
        <f t="shared" si="4"/>
        <v>0</v>
      </c>
      <c r="O38" s="403">
        <v>2.76</v>
      </c>
      <c r="P38" s="47">
        <f t="shared" si="9"/>
        <v>0</v>
      </c>
      <c r="Q38" s="371">
        <f t="shared" si="5"/>
        <v>0</v>
      </c>
      <c r="R38" s="21">
        <f t="shared" si="6"/>
        <v>439.02501425031926</v>
      </c>
      <c r="S38" s="369">
        <f t="shared" si="7"/>
        <v>443.96448662775009</v>
      </c>
    </row>
    <row r="39" spans="1:19" s="22" customFormat="1" x14ac:dyDescent="0.35">
      <c r="A39" s="19">
        <v>27</v>
      </c>
      <c r="B39" s="19">
        <v>90887</v>
      </c>
      <c r="C39" s="20" t="s">
        <v>330</v>
      </c>
      <c r="D39" s="113">
        <f>'As-Filed Schedule 4'!D39</f>
        <v>0</v>
      </c>
      <c r="E39" s="381">
        <f>SUMIFS(Adjustments!$G:$G,Adjustments!$H:$H,"4",Adjustments!$I:$I,'Schedule 4 Adjustments'!$D$14,Adjustments!$J:$J,'Schedule 4 Adjustments'!$A39)</f>
        <v>0</v>
      </c>
      <c r="F39" s="373">
        <f t="shared" si="0"/>
        <v>0</v>
      </c>
      <c r="G39" s="403">
        <v>2.56</v>
      </c>
      <c r="H39" s="47">
        <f t="shared" si="8"/>
        <v>0</v>
      </c>
      <c r="I39" s="371">
        <f t="shared" si="1"/>
        <v>0</v>
      </c>
      <c r="J39" s="21">
        <f t="shared" si="2"/>
        <v>407.21160742058601</v>
      </c>
      <c r="K39" s="369">
        <f t="shared" si="3"/>
        <v>411.79314701704362</v>
      </c>
      <c r="L39" s="141">
        <f>'As-Filed Schedule 4'!H39</f>
        <v>0</v>
      </c>
      <c r="M39" s="381">
        <f>SUMIFS(Adjustments!$G:$G,Adjustments!$H:$H,"4",Adjustments!$I:$I,'Schedule 4 Adjustments'!$L$14,Adjustments!$J:$J,'Schedule 4 Adjustments'!$A39)</f>
        <v>0</v>
      </c>
      <c r="N39" s="373">
        <f t="shared" si="4"/>
        <v>0</v>
      </c>
      <c r="O39" s="403">
        <v>2.14</v>
      </c>
      <c r="P39" s="47">
        <f t="shared" si="9"/>
        <v>0</v>
      </c>
      <c r="Q39" s="371">
        <f t="shared" si="5"/>
        <v>0</v>
      </c>
      <c r="R39" s="21">
        <f t="shared" si="6"/>
        <v>340.40345307814613</v>
      </c>
      <c r="S39" s="369">
        <f t="shared" si="7"/>
        <v>344.23333383455991</v>
      </c>
    </row>
    <row r="40" spans="1:19" s="22" customFormat="1" x14ac:dyDescent="0.35">
      <c r="A40" s="19">
        <v>28</v>
      </c>
      <c r="B40" s="19">
        <v>96116</v>
      </c>
      <c r="C40" s="20" t="s">
        <v>341</v>
      </c>
      <c r="D40" s="113">
        <f>'As-Filed Schedule 4'!D40</f>
        <v>1</v>
      </c>
      <c r="E40" s="381">
        <f>SUMIFS(Adjustments!$G:$G,Adjustments!$H:$H,"4",Adjustments!$I:$I,'Schedule 4 Adjustments'!$D$14,Adjustments!$J:$J,'Schedule 4 Adjustments'!$A40)</f>
        <v>0</v>
      </c>
      <c r="F40" s="373">
        <f t="shared" si="0"/>
        <v>1</v>
      </c>
      <c r="G40" s="403">
        <v>2.76</v>
      </c>
      <c r="H40" s="47">
        <f t="shared" si="8"/>
        <v>2.76</v>
      </c>
      <c r="I40" s="371">
        <f t="shared" si="1"/>
        <v>2.76</v>
      </c>
      <c r="J40" s="21">
        <f t="shared" si="2"/>
        <v>439.02501425031926</v>
      </c>
      <c r="K40" s="369">
        <f t="shared" si="3"/>
        <v>443.96448662775009</v>
      </c>
      <c r="L40" s="141">
        <f>'As-Filed Schedule 4'!H40</f>
        <v>19</v>
      </c>
      <c r="M40" s="381">
        <f>SUMIFS(Adjustments!$G:$G,Adjustments!$H:$H,"4",Adjustments!$I:$I,'Schedule 4 Adjustments'!$L$14,Adjustments!$J:$J,'Schedule 4 Adjustments'!$A40)</f>
        <v>0</v>
      </c>
      <c r="N40" s="373">
        <f t="shared" si="4"/>
        <v>19</v>
      </c>
      <c r="O40" s="403">
        <v>2.37</v>
      </c>
      <c r="P40" s="47">
        <f t="shared" si="9"/>
        <v>45.03</v>
      </c>
      <c r="Q40" s="371">
        <f t="shared" si="5"/>
        <v>45.03</v>
      </c>
      <c r="R40" s="21">
        <f t="shared" si="6"/>
        <v>376.98887093233941</v>
      </c>
      <c r="S40" s="369">
        <f t="shared" si="7"/>
        <v>381.23037438687243</v>
      </c>
    </row>
    <row r="41" spans="1:19" s="22" customFormat="1" x14ac:dyDescent="0.35">
      <c r="A41" s="19">
        <v>29</v>
      </c>
      <c r="B41" s="19">
        <v>96121</v>
      </c>
      <c r="C41" s="20" t="s">
        <v>340</v>
      </c>
      <c r="D41" s="113">
        <f>'As-Filed Schedule 4'!D41</f>
        <v>0</v>
      </c>
      <c r="E41" s="381">
        <f>SUMIFS(Adjustments!$G:$G,Adjustments!$H:$H,"4",Adjustments!$I:$I,'Schedule 4 Adjustments'!$D$14,Adjustments!$J:$J,'Schedule 4 Adjustments'!$A41)</f>
        <v>0</v>
      </c>
      <c r="F41" s="373">
        <f t="shared" si="0"/>
        <v>0</v>
      </c>
      <c r="G41" s="403">
        <v>2.25</v>
      </c>
      <c r="H41" s="47">
        <f t="shared" si="8"/>
        <v>0</v>
      </c>
      <c r="I41" s="371">
        <f t="shared" si="1"/>
        <v>0</v>
      </c>
      <c r="J41" s="21">
        <f t="shared" si="2"/>
        <v>357.90082683449941</v>
      </c>
      <c r="K41" s="369">
        <f t="shared" si="3"/>
        <v>361.92757062044848</v>
      </c>
      <c r="L41" s="141">
        <f>'As-Filed Schedule 4'!H41</f>
        <v>0</v>
      </c>
      <c r="M41" s="381">
        <f>SUMIFS(Adjustments!$G:$G,Adjustments!$H:$H,"4",Adjustments!$I:$I,'Schedule 4 Adjustments'!$L$14,Adjustments!$J:$J,'Schedule 4 Adjustments'!$A41)</f>
        <v>0</v>
      </c>
      <c r="N41" s="373">
        <f t="shared" si="4"/>
        <v>0</v>
      </c>
      <c r="O41" s="403">
        <v>1.97</v>
      </c>
      <c r="P41" s="47">
        <f t="shared" si="9"/>
        <v>0</v>
      </c>
      <c r="Q41" s="371">
        <f t="shared" si="5"/>
        <v>0</v>
      </c>
      <c r="R41" s="21">
        <f t="shared" si="6"/>
        <v>313.36205727287285</v>
      </c>
      <c r="S41" s="369">
        <f t="shared" si="7"/>
        <v>316.88769516545932</v>
      </c>
    </row>
    <row r="42" spans="1:19" s="22" customFormat="1" x14ac:dyDescent="0.35">
      <c r="A42" s="19">
        <v>30</v>
      </c>
      <c r="B42" s="19">
        <v>96130</v>
      </c>
      <c r="C42" s="20" t="s">
        <v>338</v>
      </c>
      <c r="D42" s="113">
        <f>'As-Filed Schedule 4'!D42</f>
        <v>45</v>
      </c>
      <c r="E42" s="381">
        <f>SUMIFS(Adjustments!$G:$G,Adjustments!$H:$H,"4",Adjustments!$I:$I,'Schedule 4 Adjustments'!$D$14,Adjustments!$J:$J,'Schedule 4 Adjustments'!$A42)</f>
        <v>0</v>
      </c>
      <c r="F42" s="373">
        <f t="shared" si="0"/>
        <v>45</v>
      </c>
      <c r="G42" s="403">
        <v>3.6</v>
      </c>
      <c r="H42" s="47">
        <f t="shared" si="8"/>
        <v>162</v>
      </c>
      <c r="I42" s="371">
        <f t="shared" si="1"/>
        <v>162</v>
      </c>
      <c r="J42" s="21">
        <f t="shared" si="2"/>
        <v>572.64132293519913</v>
      </c>
      <c r="K42" s="369">
        <f t="shared" si="3"/>
        <v>579.08411299271756</v>
      </c>
      <c r="L42" s="141">
        <f>'As-Filed Schedule 4'!H42</f>
        <v>19</v>
      </c>
      <c r="M42" s="381">
        <f>SUMIFS(Adjustments!$G:$G,Adjustments!$H:$H,"4",Adjustments!$I:$I,'Schedule 4 Adjustments'!$L$14,Adjustments!$J:$J,'Schedule 4 Adjustments'!$A42)</f>
        <v>0</v>
      </c>
      <c r="N42" s="373">
        <f t="shared" si="4"/>
        <v>19</v>
      </c>
      <c r="O42" s="403">
        <v>3.25</v>
      </c>
      <c r="P42" s="47">
        <f t="shared" si="9"/>
        <v>61.75</v>
      </c>
      <c r="Q42" s="371">
        <f t="shared" si="5"/>
        <v>61.75</v>
      </c>
      <c r="R42" s="21">
        <f t="shared" si="6"/>
        <v>516.96786098316579</v>
      </c>
      <c r="S42" s="369">
        <f t="shared" si="7"/>
        <v>522.78426867398116</v>
      </c>
    </row>
    <row r="43" spans="1:19" s="22" customFormat="1" x14ac:dyDescent="0.35">
      <c r="A43" s="19">
        <v>31</v>
      </c>
      <c r="B43" s="19">
        <v>96131</v>
      </c>
      <c r="C43" s="20" t="s">
        <v>339</v>
      </c>
      <c r="D43" s="113">
        <f>'As-Filed Schedule 4'!D43</f>
        <v>0</v>
      </c>
      <c r="E43" s="381">
        <f>SUMIFS(Adjustments!$G:$G,Adjustments!$H:$H,"4",Adjustments!$I:$I,'Schedule 4 Adjustments'!$D$14,Adjustments!$J:$J,'Schedule 4 Adjustments'!$A43)</f>
        <v>0</v>
      </c>
      <c r="F43" s="373">
        <f t="shared" si="0"/>
        <v>0</v>
      </c>
      <c r="G43" s="403">
        <v>2.57</v>
      </c>
      <c r="H43" s="47">
        <f t="shared" si="8"/>
        <v>0</v>
      </c>
      <c r="I43" s="371">
        <f t="shared" si="1"/>
        <v>0</v>
      </c>
      <c r="J43" s="21">
        <f t="shared" si="2"/>
        <v>408.80227776207266</v>
      </c>
      <c r="K43" s="369">
        <f t="shared" si="3"/>
        <v>413.4017139975789</v>
      </c>
      <c r="L43" s="141">
        <f>'As-Filed Schedule 4'!H43</f>
        <v>0</v>
      </c>
      <c r="M43" s="381">
        <f>SUMIFS(Adjustments!$G:$G,Adjustments!$H:$H,"4",Adjustments!$I:$I,'Schedule 4 Adjustments'!$L$14,Adjustments!$J:$J,'Schedule 4 Adjustments'!$A43)</f>
        <v>0</v>
      </c>
      <c r="N43" s="373">
        <f t="shared" si="4"/>
        <v>0</v>
      </c>
      <c r="O43" s="403">
        <v>2.25</v>
      </c>
      <c r="P43" s="47">
        <f t="shared" si="9"/>
        <v>0</v>
      </c>
      <c r="Q43" s="371">
        <f t="shared" si="5"/>
        <v>0</v>
      </c>
      <c r="R43" s="21">
        <f t="shared" si="6"/>
        <v>357.90082683449941</v>
      </c>
      <c r="S43" s="369">
        <f t="shared" si="7"/>
        <v>361.92757062044848</v>
      </c>
    </row>
    <row r="44" spans="1:19" s="22" customFormat="1" x14ac:dyDescent="0.35">
      <c r="A44" s="19">
        <v>32</v>
      </c>
      <c r="B44" s="19">
        <v>96132</v>
      </c>
      <c r="C44" s="20" t="s">
        <v>332</v>
      </c>
      <c r="D44" s="113">
        <f>'As-Filed Schedule 4'!D44</f>
        <v>0</v>
      </c>
      <c r="E44" s="381">
        <f>SUMIFS(Adjustments!$G:$G,Adjustments!$H:$H,"4",Adjustments!$I:$I,'Schedule 4 Adjustments'!$D$14,Adjustments!$J:$J,'Schedule 4 Adjustments'!$A44)</f>
        <v>0</v>
      </c>
      <c r="F44" s="373">
        <f t="shared" si="0"/>
        <v>0</v>
      </c>
      <c r="G44" s="403">
        <v>3.85</v>
      </c>
      <c r="H44" s="47">
        <f t="shared" si="8"/>
        <v>0</v>
      </c>
      <c r="I44" s="371">
        <f t="shared" si="1"/>
        <v>0</v>
      </c>
      <c r="J44" s="21">
        <f t="shared" si="2"/>
        <v>612.40808147236567</v>
      </c>
      <c r="K44" s="369">
        <f t="shared" si="3"/>
        <v>619.29828750610068</v>
      </c>
      <c r="L44" s="141">
        <f>'As-Filed Schedule 4'!H44</f>
        <v>56</v>
      </c>
      <c r="M44" s="381">
        <f>SUMIFS(Adjustments!$G:$G,Adjustments!$H:$H,"4",Adjustments!$I:$I,'Schedule 4 Adjustments'!$L$14,Adjustments!$J:$J,'Schedule 4 Adjustments'!$A44)</f>
        <v>0</v>
      </c>
      <c r="N44" s="373">
        <f t="shared" si="4"/>
        <v>56</v>
      </c>
      <c r="O44" s="403">
        <v>3.14</v>
      </c>
      <c r="P44" s="47">
        <f t="shared" si="9"/>
        <v>175.84</v>
      </c>
      <c r="Q44" s="371">
        <f t="shared" si="5"/>
        <v>175.84</v>
      </c>
      <c r="R44" s="21">
        <f t="shared" si="6"/>
        <v>499.47048722681257</v>
      </c>
      <c r="S44" s="369">
        <f t="shared" si="7"/>
        <v>505.09003188809254</v>
      </c>
    </row>
    <row r="45" spans="1:19" s="22" customFormat="1" x14ac:dyDescent="0.35">
      <c r="A45" s="19">
        <v>33</v>
      </c>
      <c r="B45" s="19">
        <v>96133</v>
      </c>
      <c r="C45" s="20" t="s">
        <v>333</v>
      </c>
      <c r="D45" s="113">
        <f>'As-Filed Schedule 4'!D45</f>
        <v>0</v>
      </c>
      <c r="E45" s="381">
        <f>SUMIFS(Adjustments!$G:$G,Adjustments!$H:$H,"4",Adjustments!$I:$I,'Schedule 4 Adjustments'!$D$14,Adjustments!$J:$J,'Schedule 4 Adjustments'!$A45)</f>
        <v>0</v>
      </c>
      <c r="F45" s="373">
        <f t="shared" si="0"/>
        <v>0</v>
      </c>
      <c r="G45" s="403">
        <v>2.92</v>
      </c>
      <c r="H45" s="47">
        <f t="shared" si="8"/>
        <v>0</v>
      </c>
      <c r="I45" s="371">
        <f t="shared" si="1"/>
        <v>0</v>
      </c>
      <c r="J45" s="21">
        <f t="shared" si="2"/>
        <v>464.47573971410588</v>
      </c>
      <c r="K45" s="369">
        <f t="shared" si="3"/>
        <v>469.70155831631536</v>
      </c>
      <c r="L45" s="141">
        <f>'As-Filed Schedule 4'!H45</f>
        <v>0</v>
      </c>
      <c r="M45" s="381">
        <f>SUMIFS(Adjustments!$G:$G,Adjustments!$H:$H,"4",Adjustments!$I:$I,'Schedule 4 Adjustments'!$L$14,Adjustments!$J:$J,'Schedule 4 Adjustments'!$A45)</f>
        <v>0</v>
      </c>
      <c r="N45" s="373">
        <f t="shared" si="4"/>
        <v>0</v>
      </c>
      <c r="O45" s="403">
        <v>2.2599999999999998</v>
      </c>
      <c r="P45" s="47">
        <f t="shared" si="9"/>
        <v>0</v>
      </c>
      <c r="Q45" s="371">
        <f t="shared" si="5"/>
        <v>0</v>
      </c>
      <c r="R45" s="21">
        <f t="shared" si="6"/>
        <v>359.49149717598607</v>
      </c>
      <c r="S45" s="369">
        <f t="shared" si="7"/>
        <v>363.53613760098375</v>
      </c>
    </row>
    <row r="46" spans="1:19" s="22" customFormat="1" x14ac:dyDescent="0.35">
      <c r="A46" s="19">
        <v>34</v>
      </c>
      <c r="B46" s="19">
        <v>96136</v>
      </c>
      <c r="C46" s="20" t="s">
        <v>334</v>
      </c>
      <c r="D46" s="113">
        <f>'As-Filed Schedule 4'!D46</f>
        <v>0</v>
      </c>
      <c r="E46" s="381">
        <f>SUMIFS(Adjustments!$G:$G,Adjustments!$H:$H,"4",Adjustments!$I:$I,'Schedule 4 Adjustments'!$D$14,Adjustments!$J:$J,'Schedule 4 Adjustments'!$A46)</f>
        <v>0</v>
      </c>
      <c r="F46" s="373">
        <f t="shared" si="0"/>
        <v>0</v>
      </c>
      <c r="G46" s="403">
        <v>1.25</v>
      </c>
      <c r="H46" s="47">
        <f t="shared" si="8"/>
        <v>0</v>
      </c>
      <c r="I46" s="371">
        <f t="shared" si="1"/>
        <v>0</v>
      </c>
      <c r="J46" s="21">
        <f t="shared" si="2"/>
        <v>198.833792685833</v>
      </c>
      <c r="K46" s="369">
        <f t="shared" si="3"/>
        <v>201.07087256691582</v>
      </c>
      <c r="L46" s="141">
        <f>'As-Filed Schedule 4'!H46</f>
        <v>74</v>
      </c>
      <c r="M46" s="381">
        <f>SUMIFS(Adjustments!$G:$G,Adjustments!$H:$H,"4",Adjustments!$I:$I,'Schedule 4 Adjustments'!$L$14,Adjustments!$J:$J,'Schedule 4 Adjustments'!$A46)</f>
        <v>0</v>
      </c>
      <c r="N46" s="373">
        <f t="shared" si="4"/>
        <v>74</v>
      </c>
      <c r="O46" s="403">
        <v>0.69</v>
      </c>
      <c r="P46" s="47">
        <f t="shared" si="9"/>
        <v>51.059999999999995</v>
      </c>
      <c r="Q46" s="371">
        <f t="shared" si="5"/>
        <v>51.059999999999995</v>
      </c>
      <c r="R46" s="21">
        <f t="shared" si="6"/>
        <v>109.75625356257981</v>
      </c>
      <c r="S46" s="369">
        <f t="shared" si="7"/>
        <v>110.99112165693752</v>
      </c>
    </row>
    <row r="47" spans="1:19" s="22" customFormat="1" x14ac:dyDescent="0.35">
      <c r="A47" s="19">
        <v>35</v>
      </c>
      <c r="B47" s="19">
        <v>96137</v>
      </c>
      <c r="C47" s="20" t="s">
        <v>335</v>
      </c>
      <c r="D47" s="113">
        <f>'As-Filed Schedule 4'!D47</f>
        <v>0</v>
      </c>
      <c r="E47" s="381">
        <f>SUMIFS(Adjustments!$G:$G,Adjustments!$H:$H,"4",Adjustments!$I:$I,'Schedule 4 Adjustments'!$D$14,Adjustments!$J:$J,'Schedule 4 Adjustments'!$A47)</f>
        <v>0</v>
      </c>
      <c r="F47" s="373">
        <f t="shared" si="0"/>
        <v>0</v>
      </c>
      <c r="G47" s="403">
        <v>1.1299999999999999</v>
      </c>
      <c r="H47" s="47">
        <f t="shared" si="8"/>
        <v>0</v>
      </c>
      <c r="I47" s="371">
        <f t="shared" si="1"/>
        <v>0</v>
      </c>
      <c r="J47" s="21">
        <f t="shared" si="2"/>
        <v>179.74574858799303</v>
      </c>
      <c r="K47" s="369">
        <f t="shared" si="3"/>
        <v>181.76806880049187</v>
      </c>
      <c r="L47" s="141">
        <f>'As-Filed Schedule 4'!H47</f>
        <v>0</v>
      </c>
      <c r="M47" s="381">
        <f>SUMIFS(Adjustments!$G:$G,Adjustments!$H:$H,"4",Adjustments!$I:$I,'Schedule 4 Adjustments'!$L$14,Adjustments!$J:$J,'Schedule 4 Adjustments'!$A47)</f>
        <v>0</v>
      </c>
      <c r="N47" s="373">
        <f t="shared" si="4"/>
        <v>0</v>
      </c>
      <c r="O47" s="403">
        <v>0.53</v>
      </c>
      <c r="P47" s="47">
        <f t="shared" si="9"/>
        <v>0</v>
      </c>
      <c r="Q47" s="371">
        <f t="shared" si="5"/>
        <v>0</v>
      </c>
      <c r="R47" s="21">
        <f t="shared" si="6"/>
        <v>84.305528098793204</v>
      </c>
      <c r="S47" s="369">
        <f t="shared" si="7"/>
        <v>85.254049968372314</v>
      </c>
    </row>
    <row r="48" spans="1:19" s="22" customFormat="1" x14ac:dyDescent="0.35">
      <c r="A48" s="19">
        <v>36</v>
      </c>
      <c r="B48" s="19">
        <v>96138</v>
      </c>
      <c r="C48" s="20" t="s">
        <v>336</v>
      </c>
      <c r="D48" s="113">
        <f>'As-Filed Schedule 4'!D48</f>
        <v>0</v>
      </c>
      <c r="E48" s="381">
        <f>SUMIFS(Adjustments!$G:$G,Adjustments!$H:$H,"4",Adjustments!$I:$I,'Schedule 4 Adjustments'!$D$14,Adjustments!$J:$J,'Schedule 4 Adjustments'!$A48)</f>
        <v>0</v>
      </c>
      <c r="F48" s="373">
        <f t="shared" si="0"/>
        <v>0</v>
      </c>
      <c r="G48" s="403">
        <v>1.03</v>
      </c>
      <c r="H48" s="47">
        <f t="shared" si="8"/>
        <v>0</v>
      </c>
      <c r="I48" s="371">
        <f t="shared" si="1"/>
        <v>0</v>
      </c>
      <c r="J48" s="21">
        <f t="shared" si="2"/>
        <v>163.83904517312641</v>
      </c>
      <c r="K48" s="369">
        <f t="shared" si="3"/>
        <v>165.68239899513864</v>
      </c>
      <c r="L48" s="141">
        <f>'As-Filed Schedule 4'!H48</f>
        <v>55</v>
      </c>
      <c r="M48" s="381">
        <f>SUMIFS(Adjustments!$G:$G,Adjustments!$H:$H,"4",Adjustments!$I:$I,'Schedule 4 Adjustments'!$L$14,Adjustments!$J:$J,'Schedule 4 Adjustments'!$A48)</f>
        <v>0</v>
      </c>
      <c r="N48" s="373">
        <f t="shared" si="4"/>
        <v>55</v>
      </c>
      <c r="O48" s="403">
        <v>0.56999999999999995</v>
      </c>
      <c r="P48" s="47">
        <f t="shared" si="9"/>
        <v>31.349999999999998</v>
      </c>
      <c r="Q48" s="371">
        <f t="shared" si="5"/>
        <v>31.349999999999998</v>
      </c>
      <c r="R48" s="21">
        <f t="shared" si="6"/>
        <v>90.668209464739846</v>
      </c>
      <c r="S48" s="369">
        <f t="shared" si="7"/>
        <v>91.688317890513602</v>
      </c>
    </row>
    <row r="49" spans="1:19" s="22" customFormat="1" x14ac:dyDescent="0.35">
      <c r="A49" s="19">
        <v>37</v>
      </c>
      <c r="B49" s="19">
        <v>96139</v>
      </c>
      <c r="C49" s="20" t="s">
        <v>337</v>
      </c>
      <c r="D49" s="113">
        <f>'As-Filed Schedule 4'!D49</f>
        <v>0</v>
      </c>
      <c r="E49" s="381">
        <f>SUMIFS(Adjustments!$G:$G,Adjustments!$H:$H,"4",Adjustments!$I:$I,'Schedule 4 Adjustments'!$D$14,Adjustments!$J:$J,'Schedule 4 Adjustments'!$A49)</f>
        <v>0</v>
      </c>
      <c r="F49" s="373">
        <f t="shared" si="0"/>
        <v>0</v>
      </c>
      <c r="G49" s="403">
        <v>1.06</v>
      </c>
      <c r="H49" s="47">
        <f t="shared" si="8"/>
        <v>0</v>
      </c>
      <c r="I49" s="371">
        <f t="shared" si="1"/>
        <v>0</v>
      </c>
      <c r="J49" s="21">
        <f t="shared" si="2"/>
        <v>168.61105619758641</v>
      </c>
      <c r="K49" s="369">
        <f t="shared" si="3"/>
        <v>170.50809993674463</v>
      </c>
      <c r="L49" s="141">
        <f>'As-Filed Schedule 4'!H49</f>
        <v>0</v>
      </c>
      <c r="M49" s="381">
        <f>SUMIFS(Adjustments!$G:$G,Adjustments!$H:$H,"4",Adjustments!$I:$I,'Schedule 4 Adjustments'!$L$14,Adjustments!$J:$J,'Schedule 4 Adjustments'!$A49)</f>
        <v>0</v>
      </c>
      <c r="N49" s="373">
        <f t="shared" si="4"/>
        <v>0</v>
      </c>
      <c r="O49" s="403">
        <v>0.5</v>
      </c>
      <c r="P49" s="47">
        <f t="shared" si="9"/>
        <v>0</v>
      </c>
      <c r="Q49" s="371">
        <f t="shared" si="5"/>
        <v>0</v>
      </c>
      <c r="R49" s="21">
        <f t="shared" si="6"/>
        <v>79.533517074333204</v>
      </c>
      <c r="S49" s="369">
        <f t="shared" si="7"/>
        <v>80.428349026766327</v>
      </c>
    </row>
    <row r="50" spans="1:19" s="22" customFormat="1" x14ac:dyDescent="0.35">
      <c r="A50" s="19">
        <v>38</v>
      </c>
      <c r="B50" s="19">
        <v>96146</v>
      </c>
      <c r="C50" s="20" t="s">
        <v>331</v>
      </c>
      <c r="D50" s="113">
        <f>'As-Filed Schedule 4'!D50</f>
        <v>0</v>
      </c>
      <c r="E50" s="381">
        <f>SUMIFS(Adjustments!$G:$G,Adjustments!$H:$H,"4",Adjustments!$I:$I,'Schedule 4 Adjustments'!$D$14,Adjustments!$J:$J,'Schedule 4 Adjustments'!$A50)</f>
        <v>0</v>
      </c>
      <c r="F50" s="373">
        <f t="shared" si="0"/>
        <v>0</v>
      </c>
      <c r="G50" s="403">
        <v>7.0000000000000007E-2</v>
      </c>
      <c r="H50" s="47">
        <f t="shared" si="8"/>
        <v>0</v>
      </c>
      <c r="I50" s="371">
        <f t="shared" si="1"/>
        <v>0</v>
      </c>
      <c r="J50" s="21">
        <f t="shared" si="2"/>
        <v>11.13469239040665</v>
      </c>
      <c r="K50" s="369">
        <f t="shared" si="3"/>
        <v>11.259968863747288</v>
      </c>
      <c r="L50" s="141">
        <f>'As-Filed Schedule 4'!H50</f>
        <v>0</v>
      </c>
      <c r="M50" s="381">
        <f>SUMIFS(Adjustments!$G:$G,Adjustments!$H:$H,"4",Adjustments!$I:$I,'Schedule 4 Adjustments'!$L$14,Adjustments!$J:$J,'Schedule 4 Adjustments'!$A50)</f>
        <v>0</v>
      </c>
      <c r="N50" s="373">
        <f t="shared" si="4"/>
        <v>0</v>
      </c>
      <c r="O50" s="403">
        <v>7.0000000000000007E-2</v>
      </c>
      <c r="P50" s="47">
        <f t="shared" si="9"/>
        <v>0</v>
      </c>
      <c r="Q50" s="371">
        <f t="shared" si="5"/>
        <v>0</v>
      </c>
      <c r="R50" s="21">
        <f t="shared" si="6"/>
        <v>11.13469239040665</v>
      </c>
      <c r="S50" s="369">
        <f t="shared" si="7"/>
        <v>11.259968863747288</v>
      </c>
    </row>
    <row r="51" spans="1:19" s="22" customFormat="1" x14ac:dyDescent="0.35">
      <c r="A51" s="19">
        <v>39</v>
      </c>
      <c r="B51" s="19">
        <v>96372</v>
      </c>
      <c r="C51" s="20" t="s">
        <v>118</v>
      </c>
      <c r="D51" s="113">
        <f>'As-Filed Schedule 4'!D51</f>
        <v>81</v>
      </c>
      <c r="E51" s="381">
        <f>SUMIFS(Adjustments!$G:$G,Adjustments!$H:$H,"4",Adjustments!$I:$I,'Schedule 4 Adjustments'!$D$14,Adjustments!$J:$J,'Schedule 4 Adjustments'!$A51)</f>
        <v>0</v>
      </c>
      <c r="F51" s="373">
        <f t="shared" si="0"/>
        <v>81</v>
      </c>
      <c r="G51" s="403">
        <v>0.43</v>
      </c>
      <c r="H51" s="47">
        <f t="shared" si="8"/>
        <v>34.83</v>
      </c>
      <c r="I51" s="371">
        <f t="shared" si="1"/>
        <v>34.83</v>
      </c>
      <c r="J51" s="21">
        <f t="shared" si="2"/>
        <v>68.398824683926549</v>
      </c>
      <c r="K51" s="369">
        <f t="shared" si="3"/>
        <v>69.168380163019037</v>
      </c>
      <c r="L51" s="141">
        <f>'As-Filed Schedule 4'!H51</f>
        <v>4550</v>
      </c>
      <c r="M51" s="381">
        <f>SUMIFS(Adjustments!$G:$G,Adjustments!$H:$H,"4",Adjustments!$I:$I,'Schedule 4 Adjustments'!$L$14,Adjustments!$J:$J,'Schedule 4 Adjustments'!$A51)</f>
        <v>0</v>
      </c>
      <c r="N51" s="373">
        <f t="shared" si="4"/>
        <v>4550</v>
      </c>
      <c r="O51" s="403">
        <v>0.43</v>
      </c>
      <c r="P51" s="47">
        <f t="shared" si="9"/>
        <v>1956.5</v>
      </c>
      <c r="Q51" s="371">
        <f t="shared" si="5"/>
        <v>1956.5</v>
      </c>
      <c r="R51" s="21">
        <f t="shared" si="6"/>
        <v>68.398824683926549</v>
      </c>
      <c r="S51" s="369">
        <f t="shared" si="7"/>
        <v>69.168380163019037</v>
      </c>
    </row>
    <row r="52" spans="1:19" s="22" customFormat="1" x14ac:dyDescent="0.35">
      <c r="A52" s="19">
        <v>40</v>
      </c>
      <c r="B52" s="19">
        <v>97535</v>
      </c>
      <c r="C52" s="20" t="s">
        <v>119</v>
      </c>
      <c r="D52" s="113">
        <f>'As-Filed Schedule 4'!D52</f>
        <v>0</v>
      </c>
      <c r="E52" s="381">
        <f>SUMIFS(Adjustments!$G:$G,Adjustments!$H:$H,"4",Adjustments!$I:$I,'Schedule 4 Adjustments'!$D$14,Adjustments!$J:$J,'Schedule 4 Adjustments'!$A52)</f>
        <v>0</v>
      </c>
      <c r="F52" s="373">
        <f t="shared" si="0"/>
        <v>0</v>
      </c>
      <c r="G52" s="403">
        <v>0.98</v>
      </c>
      <c r="H52" s="47">
        <f t="shared" si="8"/>
        <v>0</v>
      </c>
      <c r="I52" s="371">
        <f t="shared" si="1"/>
        <v>0</v>
      </c>
      <c r="J52" s="21">
        <f t="shared" si="2"/>
        <v>155.88569346569307</v>
      </c>
      <c r="K52" s="369">
        <f t="shared" si="3"/>
        <v>157.639564092462</v>
      </c>
      <c r="L52" s="141">
        <f>'As-Filed Schedule 4'!H52</f>
        <v>0</v>
      </c>
      <c r="M52" s="381">
        <f>SUMIFS(Adjustments!$G:$G,Adjustments!$H:$H,"4",Adjustments!$I:$I,'Schedule 4 Adjustments'!$L$14,Adjustments!$J:$J,'Schedule 4 Adjustments'!$A52)</f>
        <v>0</v>
      </c>
      <c r="N52" s="373">
        <f t="shared" si="4"/>
        <v>0</v>
      </c>
      <c r="O52" s="403">
        <v>0.98</v>
      </c>
      <c r="P52" s="47">
        <f t="shared" si="9"/>
        <v>0</v>
      </c>
      <c r="Q52" s="371">
        <f t="shared" si="5"/>
        <v>0</v>
      </c>
      <c r="R52" s="21">
        <f t="shared" si="6"/>
        <v>155.88569346569307</v>
      </c>
      <c r="S52" s="369">
        <f t="shared" si="7"/>
        <v>157.639564092462</v>
      </c>
    </row>
    <row r="53" spans="1:19" s="22" customFormat="1" x14ac:dyDescent="0.35">
      <c r="A53" s="19">
        <v>41</v>
      </c>
      <c r="B53" s="19">
        <v>97537</v>
      </c>
      <c r="C53" s="20" t="s">
        <v>120</v>
      </c>
      <c r="D53" s="113">
        <f>'As-Filed Schedule 4'!D53</f>
        <v>252</v>
      </c>
      <c r="E53" s="381">
        <f>SUMIFS(Adjustments!$G:$G,Adjustments!$H:$H,"4",Adjustments!$I:$I,'Schedule 4 Adjustments'!$D$14,Adjustments!$J:$J,'Schedule 4 Adjustments'!$A53)</f>
        <v>0</v>
      </c>
      <c r="F53" s="373">
        <f t="shared" si="0"/>
        <v>252</v>
      </c>
      <c r="G53" s="403">
        <v>0.95</v>
      </c>
      <c r="H53" s="47">
        <f t="shared" si="8"/>
        <v>239.39999999999998</v>
      </c>
      <c r="I53" s="371">
        <f t="shared" si="1"/>
        <v>239.39999999999998</v>
      </c>
      <c r="J53" s="21">
        <f t="shared" si="2"/>
        <v>151.1136824412331</v>
      </c>
      <c r="K53" s="369">
        <f t="shared" si="3"/>
        <v>152.81386315085601</v>
      </c>
      <c r="L53" s="141">
        <f>'As-Filed Schedule 4'!H53</f>
        <v>4</v>
      </c>
      <c r="M53" s="381">
        <f>SUMIFS(Adjustments!$G:$G,Adjustments!$H:$H,"4",Adjustments!$I:$I,'Schedule 4 Adjustments'!$L$14,Adjustments!$J:$J,'Schedule 4 Adjustments'!$A53)</f>
        <v>0</v>
      </c>
      <c r="N53" s="373">
        <f t="shared" si="4"/>
        <v>4</v>
      </c>
      <c r="O53" s="403">
        <v>0.95</v>
      </c>
      <c r="P53" s="47">
        <f t="shared" si="9"/>
        <v>3.8</v>
      </c>
      <c r="Q53" s="371">
        <f t="shared" si="5"/>
        <v>3.8</v>
      </c>
      <c r="R53" s="21">
        <f t="shared" si="6"/>
        <v>151.1136824412331</v>
      </c>
      <c r="S53" s="369">
        <f t="shared" si="7"/>
        <v>152.81386315085601</v>
      </c>
    </row>
    <row r="54" spans="1:19" s="22" customFormat="1" x14ac:dyDescent="0.35">
      <c r="A54" s="19">
        <v>42</v>
      </c>
      <c r="B54" s="19">
        <v>98966</v>
      </c>
      <c r="C54" s="20" t="s">
        <v>342</v>
      </c>
      <c r="D54" s="113">
        <f>'As-Filed Schedule 4'!D54</f>
        <v>0</v>
      </c>
      <c r="E54" s="381">
        <f>SUMIFS(Adjustments!$G:$G,Adjustments!$H:$H,"4",Adjustments!$I:$I,'Schedule 4 Adjustments'!$D$14,Adjustments!$J:$J,'Schedule 4 Adjustments'!$A54)</f>
        <v>0</v>
      </c>
      <c r="F54" s="373">
        <f t="shared" si="0"/>
        <v>0</v>
      </c>
      <c r="G54" s="403">
        <v>0.39</v>
      </c>
      <c r="H54" s="47">
        <f t="shared" si="8"/>
        <v>0</v>
      </c>
      <c r="I54" s="371">
        <f t="shared" si="1"/>
        <v>0</v>
      </c>
      <c r="J54" s="21">
        <f t="shared" si="2"/>
        <v>62.036143317979899</v>
      </c>
      <c r="K54" s="369">
        <f t="shared" si="3"/>
        <v>62.734112240877735</v>
      </c>
      <c r="L54" s="141">
        <f>'As-Filed Schedule 4'!H54</f>
        <v>0</v>
      </c>
      <c r="M54" s="381">
        <f>SUMIFS(Adjustments!$G:$G,Adjustments!$H:$H,"4",Adjustments!$I:$I,'Schedule 4 Adjustments'!$L$14,Adjustments!$J:$J,'Schedule 4 Adjustments'!$A54)</f>
        <v>0</v>
      </c>
      <c r="N54" s="373">
        <f t="shared" si="4"/>
        <v>0</v>
      </c>
      <c r="O54" s="403">
        <v>0.34</v>
      </c>
      <c r="P54" s="47">
        <f t="shared" si="9"/>
        <v>0</v>
      </c>
      <c r="Q54" s="371">
        <f t="shared" si="5"/>
        <v>0</v>
      </c>
      <c r="R54" s="21">
        <f t="shared" si="6"/>
        <v>54.082791610546586</v>
      </c>
      <c r="S54" s="369">
        <f t="shared" si="7"/>
        <v>54.691277338201104</v>
      </c>
    </row>
    <row r="55" spans="1:19" s="22" customFormat="1" x14ac:dyDescent="0.35">
      <c r="A55" s="19">
        <v>43</v>
      </c>
      <c r="B55" s="19">
        <v>98967</v>
      </c>
      <c r="C55" s="20" t="s">
        <v>343</v>
      </c>
      <c r="D55" s="113">
        <f>'As-Filed Schedule 4'!D55</f>
        <v>0</v>
      </c>
      <c r="E55" s="381">
        <f>SUMIFS(Adjustments!$G:$G,Adjustments!$H:$H,"4",Adjustments!$I:$I,'Schedule 4 Adjustments'!$D$14,Adjustments!$J:$J,'Schedule 4 Adjustments'!$A55)</f>
        <v>0</v>
      </c>
      <c r="F55" s="373">
        <f t="shared" si="0"/>
        <v>0</v>
      </c>
      <c r="G55" s="403">
        <v>0.72</v>
      </c>
      <c r="H55" s="47">
        <f t="shared" si="8"/>
        <v>0</v>
      </c>
      <c r="I55" s="371">
        <f t="shared" si="1"/>
        <v>0</v>
      </c>
      <c r="J55" s="21">
        <f t="shared" si="2"/>
        <v>114.52826458703981</v>
      </c>
      <c r="K55" s="369">
        <f t="shared" si="3"/>
        <v>115.81682259854351</v>
      </c>
      <c r="L55" s="141">
        <f>'As-Filed Schedule 4'!H55</f>
        <v>0</v>
      </c>
      <c r="M55" s="381">
        <f>SUMIFS(Adjustments!$G:$G,Adjustments!$H:$H,"4",Adjustments!$I:$I,'Schedule 4 Adjustments'!$L$14,Adjustments!$J:$J,'Schedule 4 Adjustments'!$A55)</f>
        <v>0</v>
      </c>
      <c r="N55" s="373">
        <f t="shared" si="4"/>
        <v>0</v>
      </c>
      <c r="O55" s="403">
        <v>0.66</v>
      </c>
      <c r="P55" s="47">
        <f t="shared" si="9"/>
        <v>0</v>
      </c>
      <c r="Q55" s="371">
        <f t="shared" si="5"/>
        <v>0</v>
      </c>
      <c r="R55" s="21">
        <f t="shared" si="6"/>
        <v>104.98424253811983</v>
      </c>
      <c r="S55" s="369">
        <f t="shared" si="7"/>
        <v>106.16542071533155</v>
      </c>
    </row>
    <row r="56" spans="1:19" s="22" customFormat="1" x14ac:dyDescent="0.35">
      <c r="A56" s="19">
        <v>44</v>
      </c>
      <c r="B56" s="19">
        <v>98968</v>
      </c>
      <c r="C56" s="20" t="s">
        <v>344</v>
      </c>
      <c r="D56" s="113">
        <f>'As-Filed Schedule 4'!D56</f>
        <v>0</v>
      </c>
      <c r="E56" s="381">
        <f>SUMIFS(Adjustments!$G:$G,Adjustments!$H:$H,"4",Adjustments!$I:$I,'Schedule 4 Adjustments'!$D$14,Adjustments!$J:$J,'Schedule 4 Adjustments'!$A56)</f>
        <v>0</v>
      </c>
      <c r="F56" s="373">
        <f t="shared" si="0"/>
        <v>0</v>
      </c>
      <c r="G56" s="403">
        <v>0.99</v>
      </c>
      <c r="H56" s="47">
        <f t="shared" si="8"/>
        <v>0</v>
      </c>
      <c r="I56" s="371">
        <f t="shared" si="1"/>
        <v>0</v>
      </c>
      <c r="J56" s="21">
        <f t="shared" si="2"/>
        <v>157.47636380717975</v>
      </c>
      <c r="K56" s="369">
        <f t="shared" si="3"/>
        <v>159.24813107299732</v>
      </c>
      <c r="L56" s="141">
        <f>'As-Filed Schedule 4'!H56</f>
        <v>0</v>
      </c>
      <c r="M56" s="381">
        <f>SUMIFS(Adjustments!$G:$G,Adjustments!$H:$H,"4",Adjustments!$I:$I,'Schedule 4 Adjustments'!$L$14,Adjustments!$J:$J,'Schedule 4 Adjustments'!$A56)</f>
        <v>0</v>
      </c>
      <c r="N56" s="373">
        <f t="shared" si="4"/>
        <v>0</v>
      </c>
      <c r="O56" s="403">
        <v>0.92</v>
      </c>
      <c r="P56" s="47">
        <f t="shared" si="9"/>
        <v>0</v>
      </c>
      <c r="Q56" s="371">
        <f t="shared" si="5"/>
        <v>0</v>
      </c>
      <c r="R56" s="21">
        <f t="shared" si="6"/>
        <v>146.3416714167731</v>
      </c>
      <c r="S56" s="369">
        <f t="shared" si="7"/>
        <v>147.98816220925005</v>
      </c>
    </row>
    <row r="57" spans="1:19" s="22" customFormat="1" x14ac:dyDescent="0.35">
      <c r="A57" s="19">
        <v>45</v>
      </c>
      <c r="B57" s="19">
        <v>99202</v>
      </c>
      <c r="C57" s="20" t="s">
        <v>154</v>
      </c>
      <c r="D57" s="113">
        <f>'As-Filed Schedule 4'!D57</f>
        <v>5</v>
      </c>
      <c r="E57" s="381">
        <f>SUMIFS(Adjustments!$G:$G,Adjustments!$H:$H,"4",Adjustments!$I:$I,'Schedule 4 Adjustments'!$D$14,Adjustments!$J:$J,'Schedule 4 Adjustments'!$A57)</f>
        <v>0</v>
      </c>
      <c r="F57" s="373">
        <f t="shared" si="0"/>
        <v>5</v>
      </c>
      <c r="G57" s="403">
        <v>2.17</v>
      </c>
      <c r="H57" s="47">
        <f t="shared" si="8"/>
        <v>10.85</v>
      </c>
      <c r="I57" s="371">
        <f t="shared" si="1"/>
        <v>10.85</v>
      </c>
      <c r="J57" s="21">
        <f t="shared" si="2"/>
        <v>345.1754641026061</v>
      </c>
      <c r="K57" s="369">
        <f t="shared" si="3"/>
        <v>349.05903477616584</v>
      </c>
      <c r="L57" s="141">
        <f>'As-Filed Schedule 4'!H57</f>
        <v>7</v>
      </c>
      <c r="M57" s="381">
        <f>SUMIFS(Adjustments!$G:$G,Adjustments!$H:$H,"4",Adjustments!$I:$I,'Schedule 4 Adjustments'!$L$14,Adjustments!$J:$J,'Schedule 4 Adjustments'!$A57)</f>
        <v>0</v>
      </c>
      <c r="N57" s="373">
        <f t="shared" si="4"/>
        <v>7</v>
      </c>
      <c r="O57" s="403">
        <v>1.41</v>
      </c>
      <c r="P57" s="47">
        <f t="shared" si="9"/>
        <v>9.8699999999999992</v>
      </c>
      <c r="Q57" s="371">
        <f t="shared" si="5"/>
        <v>9.8699999999999992</v>
      </c>
      <c r="R57" s="21">
        <f t="shared" si="6"/>
        <v>224.28451814961963</v>
      </c>
      <c r="S57" s="369">
        <f t="shared" si="7"/>
        <v>226.80794425548103</v>
      </c>
    </row>
    <row r="58" spans="1:19" s="22" customFormat="1" x14ac:dyDescent="0.35">
      <c r="A58" s="19">
        <v>46</v>
      </c>
      <c r="B58" s="19">
        <v>99203</v>
      </c>
      <c r="C58" s="20" t="s">
        <v>154</v>
      </c>
      <c r="D58" s="113">
        <f>'As-Filed Schedule 4'!D58</f>
        <v>33</v>
      </c>
      <c r="E58" s="381">
        <f>SUMIFS(Adjustments!$G:$G,Adjustments!$H:$H,"4",Adjustments!$I:$I,'Schedule 4 Adjustments'!$D$14,Adjustments!$J:$J,'Schedule 4 Adjustments'!$A58)</f>
        <v>0</v>
      </c>
      <c r="F58" s="373">
        <f t="shared" si="0"/>
        <v>33</v>
      </c>
      <c r="G58" s="403">
        <v>3.35</v>
      </c>
      <c r="H58" s="47">
        <f t="shared" si="8"/>
        <v>110.55</v>
      </c>
      <c r="I58" s="371">
        <f t="shared" si="1"/>
        <v>110.55</v>
      </c>
      <c r="J58" s="21">
        <f t="shared" si="2"/>
        <v>532.87456439803248</v>
      </c>
      <c r="K58" s="369">
        <f t="shared" si="3"/>
        <v>538.86993847933445</v>
      </c>
      <c r="L58" s="141">
        <f>'As-Filed Schedule 4'!H58</f>
        <v>63</v>
      </c>
      <c r="M58" s="381">
        <f>SUMIFS(Adjustments!$G:$G,Adjustments!$H:$H,"4",Adjustments!$I:$I,'Schedule 4 Adjustments'!$L$14,Adjustments!$J:$J,'Schedule 4 Adjustments'!$A58)</f>
        <v>0</v>
      </c>
      <c r="N58" s="373">
        <f t="shared" si="4"/>
        <v>63</v>
      </c>
      <c r="O58" s="403">
        <v>2.44</v>
      </c>
      <c r="P58" s="47">
        <f t="shared" si="9"/>
        <v>153.72</v>
      </c>
      <c r="Q58" s="371">
        <f t="shared" si="5"/>
        <v>153.72</v>
      </c>
      <c r="R58" s="21">
        <f t="shared" si="6"/>
        <v>388.12356332274601</v>
      </c>
      <c r="S58" s="369">
        <f t="shared" si="7"/>
        <v>392.49034325061967</v>
      </c>
    </row>
    <row r="59" spans="1:19" s="22" customFormat="1" x14ac:dyDescent="0.35">
      <c r="A59" s="19">
        <v>47</v>
      </c>
      <c r="B59" s="19">
        <v>99204</v>
      </c>
      <c r="C59" s="20" t="s">
        <v>154</v>
      </c>
      <c r="D59" s="113">
        <f>'As-Filed Schedule 4'!D59</f>
        <v>331</v>
      </c>
      <c r="E59" s="381">
        <f>SUMIFS(Adjustments!$G:$G,Adjustments!$H:$H,"4",Adjustments!$I:$I,'Schedule 4 Adjustments'!$D$14,Adjustments!$J:$J,'Schedule 4 Adjustments'!$A59)</f>
        <v>0</v>
      </c>
      <c r="F59" s="373">
        <f t="shared" si="0"/>
        <v>331</v>
      </c>
      <c r="G59" s="403">
        <v>5.0199999999999996</v>
      </c>
      <c r="H59" s="47">
        <f t="shared" si="8"/>
        <v>1661.62</v>
      </c>
      <c r="I59" s="371">
        <f t="shared" si="1"/>
        <v>1661.62</v>
      </c>
      <c r="J59" s="21">
        <f t="shared" si="2"/>
        <v>798.51651142630533</v>
      </c>
      <c r="K59" s="369">
        <f t="shared" si="3"/>
        <v>807.50062422873384</v>
      </c>
      <c r="L59" s="141">
        <f>'As-Filed Schedule 4'!H59</f>
        <v>410</v>
      </c>
      <c r="M59" s="381">
        <f>SUMIFS(Adjustments!$G:$G,Adjustments!$H:$H,"4",Adjustments!$I:$I,'Schedule 4 Adjustments'!$L$14,Adjustments!$J:$J,'Schedule 4 Adjustments'!$A59)</f>
        <v>0</v>
      </c>
      <c r="N59" s="373">
        <f t="shared" si="4"/>
        <v>410</v>
      </c>
      <c r="O59" s="403">
        <v>3.97</v>
      </c>
      <c r="P59" s="47">
        <f t="shared" si="9"/>
        <v>1627.7</v>
      </c>
      <c r="Q59" s="371">
        <f t="shared" si="5"/>
        <v>1627.7</v>
      </c>
      <c r="R59" s="21">
        <f t="shared" si="6"/>
        <v>631.49612557020566</v>
      </c>
      <c r="S59" s="369">
        <f t="shared" si="7"/>
        <v>638.60109127252463</v>
      </c>
    </row>
    <row r="60" spans="1:19" s="22" customFormat="1" x14ac:dyDescent="0.35">
      <c r="A60" s="19">
        <v>48</v>
      </c>
      <c r="B60" s="19">
        <v>99205</v>
      </c>
      <c r="C60" s="20" t="s">
        <v>154</v>
      </c>
      <c r="D60" s="113">
        <f>'As-Filed Schedule 4'!D60</f>
        <v>489</v>
      </c>
      <c r="E60" s="381">
        <f>SUMIFS(Adjustments!$G:$G,Adjustments!$H:$H,"4",Adjustments!$I:$I,'Schedule 4 Adjustments'!$D$14,Adjustments!$J:$J,'Schedule 4 Adjustments'!$A60)</f>
        <v>0</v>
      </c>
      <c r="F60" s="373">
        <f t="shared" si="0"/>
        <v>489</v>
      </c>
      <c r="G60" s="403">
        <v>6.62</v>
      </c>
      <c r="H60" s="47">
        <f t="shared" si="8"/>
        <v>3237.18</v>
      </c>
      <c r="I60" s="371">
        <f t="shared" si="1"/>
        <v>3237.18</v>
      </c>
      <c r="J60" s="21">
        <f t="shared" si="2"/>
        <v>1053.0237660641717</v>
      </c>
      <c r="K60" s="369">
        <f t="shared" si="3"/>
        <v>1064.8713411143863</v>
      </c>
      <c r="L60" s="141">
        <f>'As-Filed Schedule 4'!H60</f>
        <v>546</v>
      </c>
      <c r="M60" s="381">
        <f>SUMIFS(Adjustments!$G:$G,Adjustments!$H:$H,"4",Adjustments!$I:$I,'Schedule 4 Adjustments'!$L$14,Adjustments!$J:$J,'Schedule 4 Adjustments'!$A60)</f>
        <v>0</v>
      </c>
      <c r="N60" s="373">
        <f t="shared" si="4"/>
        <v>546</v>
      </c>
      <c r="O60" s="403">
        <v>5.4</v>
      </c>
      <c r="P60" s="47">
        <f t="shared" si="9"/>
        <v>2948.4</v>
      </c>
      <c r="Q60" s="371">
        <f t="shared" si="5"/>
        <v>2948.4</v>
      </c>
      <c r="R60" s="21">
        <f t="shared" si="6"/>
        <v>858.96198440279863</v>
      </c>
      <c r="S60" s="369">
        <f t="shared" si="7"/>
        <v>868.62616948907635</v>
      </c>
    </row>
    <row r="61" spans="1:19" s="22" customFormat="1" ht="43.5" x14ac:dyDescent="0.35">
      <c r="A61" s="19">
        <v>49</v>
      </c>
      <c r="B61" s="19">
        <v>99211</v>
      </c>
      <c r="C61" s="20" t="s">
        <v>345</v>
      </c>
      <c r="D61" s="113">
        <f>'As-Filed Schedule 4'!D61</f>
        <v>0</v>
      </c>
      <c r="E61" s="381">
        <f>SUMIFS(Adjustments!$G:$G,Adjustments!$H:$H,"4",Adjustments!$I:$I,'Schedule 4 Adjustments'!$D$14,Adjustments!$J:$J,'Schedule 4 Adjustments'!$A61)</f>
        <v>0</v>
      </c>
      <c r="F61" s="373">
        <f t="shared" si="0"/>
        <v>0</v>
      </c>
      <c r="G61" s="403">
        <v>0.7</v>
      </c>
      <c r="H61" s="47">
        <f t="shared" si="8"/>
        <v>0</v>
      </c>
      <c r="I61" s="371">
        <f t="shared" si="1"/>
        <v>0</v>
      </c>
      <c r="J61" s="21">
        <f t="shared" si="2"/>
        <v>111.34692390406649</v>
      </c>
      <c r="K61" s="369">
        <f t="shared" si="3"/>
        <v>112.59968863747285</v>
      </c>
      <c r="L61" s="141">
        <f>'As-Filed Schedule 4'!H61</f>
        <v>1745</v>
      </c>
      <c r="M61" s="381">
        <f>SUMIFS(Adjustments!$G:$G,Adjustments!$H:$H,"4",Adjustments!$I:$I,'Schedule 4 Adjustments'!$L$14,Adjustments!$J:$J,'Schedule 4 Adjustments'!$A61)</f>
        <v>0</v>
      </c>
      <c r="N61" s="373">
        <f t="shared" si="4"/>
        <v>1745</v>
      </c>
      <c r="O61" s="403">
        <v>0.26</v>
      </c>
      <c r="P61" s="47">
        <f t="shared" si="9"/>
        <v>453.7</v>
      </c>
      <c r="Q61" s="371">
        <f t="shared" si="5"/>
        <v>453.7</v>
      </c>
      <c r="R61" s="21">
        <f t="shared" si="6"/>
        <v>41.357428878653266</v>
      </c>
      <c r="S61" s="369">
        <f t="shared" si="7"/>
        <v>41.822741493918492</v>
      </c>
    </row>
    <row r="62" spans="1:19" s="22" customFormat="1" x14ac:dyDescent="0.35">
      <c r="A62" s="19">
        <v>50</v>
      </c>
      <c r="B62" s="19">
        <v>99212</v>
      </c>
      <c r="C62" s="20" t="s">
        <v>155</v>
      </c>
      <c r="D62" s="113">
        <f>'As-Filed Schedule 4'!D62</f>
        <v>52</v>
      </c>
      <c r="E62" s="381">
        <f>SUMIFS(Adjustments!$G:$G,Adjustments!$H:$H,"4",Adjustments!$I:$I,'Schedule 4 Adjustments'!$D$14,Adjustments!$J:$J,'Schedule 4 Adjustments'!$A62)</f>
        <v>0</v>
      </c>
      <c r="F62" s="373">
        <f t="shared" si="0"/>
        <v>52</v>
      </c>
      <c r="G62" s="403">
        <v>1.7</v>
      </c>
      <c r="H62" s="47">
        <f t="shared" si="8"/>
        <v>88.399999999999991</v>
      </c>
      <c r="I62" s="371">
        <f t="shared" si="1"/>
        <v>88.399999999999991</v>
      </c>
      <c r="J62" s="21">
        <f t="shared" si="2"/>
        <v>270.41395805273288</v>
      </c>
      <c r="K62" s="369">
        <f t="shared" si="3"/>
        <v>273.45638669100549</v>
      </c>
      <c r="L62" s="141">
        <f>'As-Filed Schedule 4'!H62</f>
        <v>23</v>
      </c>
      <c r="M62" s="381">
        <f>SUMIFS(Adjustments!$G:$G,Adjustments!$H:$H,"4",Adjustments!$I:$I,'Schedule 4 Adjustments'!$L$14,Adjustments!$J:$J,'Schedule 4 Adjustments'!$A62)</f>
        <v>0</v>
      </c>
      <c r="N62" s="373">
        <f t="shared" si="4"/>
        <v>23</v>
      </c>
      <c r="O62" s="403">
        <v>1.05</v>
      </c>
      <c r="P62" s="47">
        <f t="shared" si="9"/>
        <v>24.150000000000002</v>
      </c>
      <c r="Q62" s="371">
        <f t="shared" si="5"/>
        <v>24.150000000000002</v>
      </c>
      <c r="R62" s="21">
        <f t="shared" si="6"/>
        <v>167.02038585609972</v>
      </c>
      <c r="S62" s="369">
        <f t="shared" si="7"/>
        <v>168.8995329562093</v>
      </c>
    </row>
    <row r="63" spans="1:19" s="22" customFormat="1" x14ac:dyDescent="0.35">
      <c r="A63" s="19">
        <v>51</v>
      </c>
      <c r="B63" s="19">
        <v>99213</v>
      </c>
      <c r="C63" s="20" t="s">
        <v>155</v>
      </c>
      <c r="D63" s="113">
        <f>'As-Filed Schedule 4'!D63</f>
        <v>1628</v>
      </c>
      <c r="E63" s="381">
        <f>SUMIFS(Adjustments!$G:$G,Adjustments!$H:$H,"4",Adjustments!$I:$I,'Schedule 4 Adjustments'!$D$14,Adjustments!$J:$J,'Schedule 4 Adjustments'!$A63)</f>
        <v>0</v>
      </c>
      <c r="F63" s="373">
        <f t="shared" si="0"/>
        <v>1628</v>
      </c>
      <c r="G63" s="403">
        <v>2.73</v>
      </c>
      <c r="H63" s="47">
        <f t="shared" si="8"/>
        <v>4444.4399999999996</v>
      </c>
      <c r="I63" s="371">
        <f t="shared" si="1"/>
        <v>4444.4399999999996</v>
      </c>
      <c r="J63" s="21">
        <f t="shared" si="2"/>
        <v>434.25300322585929</v>
      </c>
      <c r="K63" s="369">
        <f t="shared" si="3"/>
        <v>439.13878568614416</v>
      </c>
      <c r="L63" s="141">
        <f>'As-Filed Schedule 4'!H63</f>
        <v>615</v>
      </c>
      <c r="M63" s="381">
        <f>SUMIFS(Adjustments!$G:$G,Adjustments!$H:$H,"4",Adjustments!$I:$I,'Schedule 4 Adjustments'!$L$14,Adjustments!$J:$J,'Schedule 4 Adjustments'!$A63)</f>
        <v>0</v>
      </c>
      <c r="N63" s="373">
        <f t="shared" si="4"/>
        <v>615</v>
      </c>
      <c r="O63" s="403">
        <v>1.96</v>
      </c>
      <c r="P63" s="47">
        <f t="shared" si="9"/>
        <v>1205.4000000000001</v>
      </c>
      <c r="Q63" s="371">
        <f t="shared" si="5"/>
        <v>1205.4000000000001</v>
      </c>
      <c r="R63" s="21">
        <f t="shared" si="6"/>
        <v>311.77138693138613</v>
      </c>
      <c r="S63" s="369">
        <f t="shared" si="7"/>
        <v>315.27912818492399</v>
      </c>
    </row>
    <row r="64" spans="1:19" s="22" customFormat="1" x14ac:dyDescent="0.35">
      <c r="A64" s="19">
        <v>52</v>
      </c>
      <c r="B64" s="19">
        <v>99214</v>
      </c>
      <c r="C64" s="20" t="s">
        <v>155</v>
      </c>
      <c r="D64" s="113">
        <f>'As-Filed Schedule 4'!D64</f>
        <v>16151</v>
      </c>
      <c r="E64" s="381">
        <f>SUMIFS(Adjustments!$G:$G,Adjustments!$H:$H,"4",Adjustments!$I:$I,'Schedule 4 Adjustments'!$D$14,Adjustments!$J:$J,'Schedule 4 Adjustments'!$A64)</f>
        <v>0</v>
      </c>
      <c r="F64" s="373">
        <f t="shared" si="0"/>
        <v>16151</v>
      </c>
      <c r="G64" s="403">
        <v>3.85</v>
      </c>
      <c r="H64" s="47">
        <f t="shared" si="8"/>
        <v>62181.35</v>
      </c>
      <c r="I64" s="371">
        <f t="shared" si="1"/>
        <v>62181.35</v>
      </c>
      <c r="J64" s="21">
        <f t="shared" si="2"/>
        <v>612.40808147236567</v>
      </c>
      <c r="K64" s="369">
        <f t="shared" si="3"/>
        <v>619.29828750610068</v>
      </c>
      <c r="L64" s="141">
        <f>'As-Filed Schedule 4'!H64</f>
        <v>6560</v>
      </c>
      <c r="M64" s="381">
        <f>SUMIFS(Adjustments!$G:$G,Adjustments!$H:$H,"4",Adjustments!$I:$I,'Schedule 4 Adjustments'!$L$14,Adjustments!$J:$J,'Schedule 4 Adjustments'!$A64)</f>
        <v>0</v>
      </c>
      <c r="N64" s="373">
        <f t="shared" si="4"/>
        <v>6560</v>
      </c>
      <c r="O64" s="403">
        <v>2.89</v>
      </c>
      <c r="P64" s="47">
        <f t="shared" si="9"/>
        <v>18958.400000000001</v>
      </c>
      <c r="Q64" s="371">
        <f t="shared" si="5"/>
        <v>18958.400000000001</v>
      </c>
      <c r="R64" s="21">
        <f t="shared" si="6"/>
        <v>459.70372868964591</v>
      </c>
      <c r="S64" s="369">
        <f t="shared" si="7"/>
        <v>464.87585737470937</v>
      </c>
    </row>
    <row r="65" spans="1:19" s="22" customFormat="1" x14ac:dyDescent="0.35">
      <c r="A65" s="19">
        <v>53</v>
      </c>
      <c r="B65" s="19">
        <v>99215</v>
      </c>
      <c r="C65" s="20" t="s">
        <v>155</v>
      </c>
      <c r="D65" s="113">
        <f>'As-Filed Schedule 4'!D65</f>
        <v>1664</v>
      </c>
      <c r="E65" s="381">
        <f>SUMIFS(Adjustments!$G:$G,Adjustments!$H:$H,"4",Adjustments!$I:$I,'Schedule 4 Adjustments'!$D$14,Adjustments!$J:$J,'Schedule 4 Adjustments'!$A65)</f>
        <v>0</v>
      </c>
      <c r="F65" s="373">
        <f t="shared" si="0"/>
        <v>1664</v>
      </c>
      <c r="G65" s="403">
        <v>5.42</v>
      </c>
      <c r="H65" s="47">
        <f t="shared" si="8"/>
        <v>9018.8799999999992</v>
      </c>
      <c r="I65" s="371">
        <f t="shared" si="1"/>
        <v>9018.8799999999992</v>
      </c>
      <c r="J65" s="21">
        <f t="shared" si="2"/>
        <v>862.14332508577195</v>
      </c>
      <c r="K65" s="369">
        <f t="shared" si="3"/>
        <v>871.843303450147</v>
      </c>
      <c r="L65" s="141">
        <f>'As-Filed Schedule 4'!H65</f>
        <v>1469</v>
      </c>
      <c r="M65" s="381">
        <f>SUMIFS(Adjustments!$G:$G,Adjustments!$H:$H,"4",Adjustments!$I:$I,'Schedule 4 Adjustments'!$L$14,Adjustments!$J:$J,'Schedule 4 Adjustments'!$A65)</f>
        <v>0</v>
      </c>
      <c r="N65" s="373">
        <f t="shared" si="4"/>
        <v>1469</v>
      </c>
      <c r="O65" s="403">
        <v>4.29</v>
      </c>
      <c r="P65" s="47">
        <f t="shared" si="9"/>
        <v>6302.01</v>
      </c>
      <c r="Q65" s="371">
        <f t="shared" si="5"/>
        <v>6302.01</v>
      </c>
      <c r="R65" s="21">
        <f t="shared" si="6"/>
        <v>682.39757649777891</v>
      </c>
      <c r="S65" s="369">
        <f t="shared" si="7"/>
        <v>690.07523464965504</v>
      </c>
    </row>
    <row r="66" spans="1:19" s="22" customFormat="1" x14ac:dyDescent="0.35">
      <c r="A66" s="19">
        <v>54</v>
      </c>
      <c r="B66" s="19">
        <v>99221</v>
      </c>
      <c r="C66" s="20" t="s">
        <v>121</v>
      </c>
      <c r="D66" s="113">
        <f>'As-Filed Schedule 4'!D66</f>
        <v>0</v>
      </c>
      <c r="E66" s="381">
        <f>SUMIFS(Adjustments!$G:$G,Adjustments!$H:$H,"4",Adjustments!$I:$I,'Schedule 4 Adjustments'!$D$14,Adjustments!$J:$J,'Schedule 4 Adjustments'!$A66)</f>
        <v>0</v>
      </c>
      <c r="F66" s="373">
        <f t="shared" si="0"/>
        <v>0</v>
      </c>
      <c r="G66" s="403">
        <v>2.46</v>
      </c>
      <c r="H66" s="47">
        <f t="shared" si="8"/>
        <v>0</v>
      </c>
      <c r="I66" s="371">
        <f t="shared" si="1"/>
        <v>0</v>
      </c>
      <c r="J66" s="21">
        <f t="shared" si="2"/>
        <v>391.30490400571938</v>
      </c>
      <c r="K66" s="369">
        <f t="shared" si="3"/>
        <v>395.70747721169033</v>
      </c>
      <c r="L66" s="141">
        <f>'As-Filed Schedule 4'!H66</f>
        <v>0</v>
      </c>
      <c r="M66" s="381">
        <f>SUMIFS(Adjustments!$G:$G,Adjustments!$H:$H,"4",Adjustments!$I:$I,'Schedule 4 Adjustments'!$L$14,Adjustments!$J:$J,'Schedule 4 Adjustments'!$A66)</f>
        <v>0</v>
      </c>
      <c r="N66" s="373">
        <f t="shared" si="4"/>
        <v>0</v>
      </c>
      <c r="O66" s="403">
        <v>2.46</v>
      </c>
      <c r="P66" s="47">
        <f t="shared" si="9"/>
        <v>0</v>
      </c>
      <c r="Q66" s="371">
        <f t="shared" si="5"/>
        <v>0</v>
      </c>
      <c r="R66" s="21">
        <f t="shared" si="6"/>
        <v>391.30490400571938</v>
      </c>
      <c r="S66" s="369">
        <f t="shared" si="7"/>
        <v>395.70747721169033</v>
      </c>
    </row>
    <row r="67" spans="1:19" s="22" customFormat="1" x14ac:dyDescent="0.35">
      <c r="A67" s="19">
        <v>55</v>
      </c>
      <c r="B67" s="19">
        <v>99222</v>
      </c>
      <c r="C67" s="20" t="s">
        <v>122</v>
      </c>
      <c r="D67" s="113">
        <f>'As-Filed Schedule 4'!D67</f>
        <v>0</v>
      </c>
      <c r="E67" s="381">
        <f>SUMIFS(Adjustments!$G:$G,Adjustments!$H:$H,"4",Adjustments!$I:$I,'Schedule 4 Adjustments'!$D$14,Adjustments!$J:$J,'Schedule 4 Adjustments'!$A67)</f>
        <v>0</v>
      </c>
      <c r="F67" s="373">
        <f t="shared" si="0"/>
        <v>0</v>
      </c>
      <c r="G67" s="403">
        <v>3.88</v>
      </c>
      <c r="H67" s="47">
        <f t="shared" si="8"/>
        <v>0</v>
      </c>
      <c r="I67" s="371">
        <f t="shared" si="1"/>
        <v>0</v>
      </c>
      <c r="J67" s="21">
        <f t="shared" si="2"/>
        <v>617.18009249682564</v>
      </c>
      <c r="K67" s="369">
        <f t="shared" si="3"/>
        <v>624.12398844770667</v>
      </c>
      <c r="L67" s="141">
        <f>'As-Filed Schedule 4'!H67</f>
        <v>0</v>
      </c>
      <c r="M67" s="381">
        <f>SUMIFS(Adjustments!$G:$G,Adjustments!$H:$H,"4",Adjustments!$I:$I,'Schedule 4 Adjustments'!$L$14,Adjustments!$J:$J,'Schedule 4 Adjustments'!$A67)</f>
        <v>0</v>
      </c>
      <c r="N67" s="373">
        <f t="shared" si="4"/>
        <v>0</v>
      </c>
      <c r="O67" s="403">
        <v>3.88</v>
      </c>
      <c r="P67" s="47">
        <f t="shared" si="9"/>
        <v>0</v>
      </c>
      <c r="Q67" s="371">
        <f t="shared" si="5"/>
        <v>0</v>
      </c>
      <c r="R67" s="21">
        <f t="shared" si="6"/>
        <v>617.18009249682564</v>
      </c>
      <c r="S67" s="369">
        <f t="shared" si="7"/>
        <v>624.12398844770667</v>
      </c>
    </row>
    <row r="68" spans="1:19" s="22" customFormat="1" x14ac:dyDescent="0.35">
      <c r="A68" s="19">
        <v>56</v>
      </c>
      <c r="B68" s="19">
        <v>99223</v>
      </c>
      <c r="C68" s="20" t="s">
        <v>123</v>
      </c>
      <c r="D68" s="113">
        <f>'As-Filed Schedule 4'!D68</f>
        <v>0</v>
      </c>
      <c r="E68" s="381">
        <f>SUMIFS(Adjustments!$G:$G,Adjustments!$H:$H,"4",Adjustments!$I:$I,'Schedule 4 Adjustments'!$D$14,Adjustments!$J:$J,'Schedule 4 Adjustments'!$A68)</f>
        <v>0</v>
      </c>
      <c r="F68" s="373">
        <f t="shared" si="0"/>
        <v>0</v>
      </c>
      <c r="G68" s="403">
        <v>5.14</v>
      </c>
      <c r="H68" s="47">
        <f t="shared" si="8"/>
        <v>0</v>
      </c>
      <c r="I68" s="371">
        <f t="shared" si="1"/>
        <v>0</v>
      </c>
      <c r="J68" s="21">
        <f t="shared" si="2"/>
        <v>817.60455552414533</v>
      </c>
      <c r="K68" s="369">
        <f t="shared" si="3"/>
        <v>826.80342799515779</v>
      </c>
      <c r="L68" s="141">
        <f>'As-Filed Schedule 4'!H68</f>
        <v>0</v>
      </c>
      <c r="M68" s="381">
        <f>SUMIFS(Adjustments!$G:$G,Adjustments!$H:$H,"4",Adjustments!$I:$I,'Schedule 4 Adjustments'!$L$14,Adjustments!$J:$J,'Schedule 4 Adjustments'!$A68)</f>
        <v>0</v>
      </c>
      <c r="N68" s="373">
        <f t="shared" si="4"/>
        <v>0</v>
      </c>
      <c r="O68" s="403">
        <v>5.14</v>
      </c>
      <c r="P68" s="47">
        <f t="shared" si="9"/>
        <v>0</v>
      </c>
      <c r="Q68" s="371">
        <f t="shared" si="5"/>
        <v>0</v>
      </c>
      <c r="R68" s="21">
        <f t="shared" si="6"/>
        <v>817.60455552414533</v>
      </c>
      <c r="S68" s="369">
        <f t="shared" si="7"/>
        <v>826.80342799515779</v>
      </c>
    </row>
    <row r="69" spans="1:19" s="22" customFormat="1" x14ac:dyDescent="0.35">
      <c r="A69" s="19">
        <v>57</v>
      </c>
      <c r="B69" s="19">
        <v>99231</v>
      </c>
      <c r="C69" s="20" t="s">
        <v>124</v>
      </c>
      <c r="D69" s="113">
        <f>'As-Filed Schedule 4'!D69</f>
        <v>0</v>
      </c>
      <c r="E69" s="381">
        <f>SUMIFS(Adjustments!$G:$G,Adjustments!$H:$H,"4",Adjustments!$I:$I,'Schedule 4 Adjustments'!$D$14,Adjustments!$J:$J,'Schedule 4 Adjustments'!$A69)</f>
        <v>0</v>
      </c>
      <c r="F69" s="373">
        <f t="shared" si="0"/>
        <v>0</v>
      </c>
      <c r="G69" s="403">
        <v>1.47</v>
      </c>
      <c r="H69" s="47">
        <f t="shared" si="8"/>
        <v>0</v>
      </c>
      <c r="I69" s="371">
        <f t="shared" si="1"/>
        <v>0</v>
      </c>
      <c r="J69" s="21">
        <f t="shared" si="2"/>
        <v>233.82854019853963</v>
      </c>
      <c r="K69" s="369">
        <f t="shared" si="3"/>
        <v>236.45934613869301</v>
      </c>
      <c r="L69" s="141">
        <f>'As-Filed Schedule 4'!H69</f>
        <v>0</v>
      </c>
      <c r="M69" s="381">
        <f>SUMIFS(Adjustments!$G:$G,Adjustments!$H:$H,"4",Adjustments!$I:$I,'Schedule 4 Adjustments'!$L$14,Adjustments!$J:$J,'Schedule 4 Adjustments'!$A69)</f>
        <v>0</v>
      </c>
      <c r="N69" s="373">
        <f t="shared" si="4"/>
        <v>0</v>
      </c>
      <c r="O69" s="403">
        <v>1.47</v>
      </c>
      <c r="P69" s="47">
        <f t="shared" si="9"/>
        <v>0</v>
      </c>
      <c r="Q69" s="371">
        <f t="shared" si="5"/>
        <v>0</v>
      </c>
      <c r="R69" s="21">
        <f t="shared" si="6"/>
        <v>233.82854019853963</v>
      </c>
      <c r="S69" s="369">
        <f t="shared" si="7"/>
        <v>236.45934613869301</v>
      </c>
    </row>
    <row r="70" spans="1:19" s="22" customFormat="1" x14ac:dyDescent="0.35">
      <c r="A70" s="19">
        <v>58</v>
      </c>
      <c r="B70" s="19">
        <v>99232</v>
      </c>
      <c r="C70" s="20" t="s">
        <v>125</v>
      </c>
      <c r="D70" s="113">
        <f>'As-Filed Schedule 4'!D70</f>
        <v>0</v>
      </c>
      <c r="E70" s="381">
        <f>SUMIFS(Adjustments!$G:$G,Adjustments!$H:$H,"4",Adjustments!$I:$I,'Schedule 4 Adjustments'!$D$14,Adjustments!$J:$J,'Schedule 4 Adjustments'!$A70)</f>
        <v>0</v>
      </c>
      <c r="F70" s="373">
        <f t="shared" si="0"/>
        <v>0</v>
      </c>
      <c r="G70" s="403">
        <v>2.34</v>
      </c>
      <c r="H70" s="47">
        <f t="shared" si="8"/>
        <v>0</v>
      </c>
      <c r="I70" s="371">
        <f t="shared" si="1"/>
        <v>0</v>
      </c>
      <c r="J70" s="21">
        <f t="shared" si="2"/>
        <v>372.21685990787938</v>
      </c>
      <c r="K70" s="369">
        <f t="shared" si="3"/>
        <v>376.40467344526638</v>
      </c>
      <c r="L70" s="141">
        <f>'As-Filed Schedule 4'!H70</f>
        <v>0</v>
      </c>
      <c r="M70" s="381">
        <f>SUMIFS(Adjustments!$G:$G,Adjustments!$H:$H,"4",Adjustments!$I:$I,'Schedule 4 Adjustments'!$L$14,Adjustments!$J:$J,'Schedule 4 Adjustments'!$A70)</f>
        <v>0</v>
      </c>
      <c r="N70" s="373">
        <f t="shared" si="4"/>
        <v>0</v>
      </c>
      <c r="O70" s="403">
        <v>2.34</v>
      </c>
      <c r="P70" s="47">
        <f t="shared" si="9"/>
        <v>0</v>
      </c>
      <c r="Q70" s="371">
        <f t="shared" si="5"/>
        <v>0</v>
      </c>
      <c r="R70" s="21">
        <f t="shared" si="6"/>
        <v>372.21685990787938</v>
      </c>
      <c r="S70" s="369">
        <f t="shared" si="7"/>
        <v>376.40467344526638</v>
      </c>
    </row>
    <row r="71" spans="1:19" s="22" customFormat="1" x14ac:dyDescent="0.35">
      <c r="A71" s="19">
        <v>59</v>
      </c>
      <c r="B71" s="19">
        <v>99233</v>
      </c>
      <c r="C71" s="20" t="s">
        <v>126</v>
      </c>
      <c r="D71" s="113">
        <f>'As-Filed Schedule 4'!D71</f>
        <v>0</v>
      </c>
      <c r="E71" s="381">
        <f>SUMIFS(Adjustments!$G:$G,Adjustments!$H:$H,"4",Adjustments!$I:$I,'Schedule 4 Adjustments'!$D$14,Adjustments!$J:$J,'Schedule 4 Adjustments'!$A71)</f>
        <v>0</v>
      </c>
      <c r="F71" s="373">
        <f t="shared" si="0"/>
        <v>0</v>
      </c>
      <c r="G71" s="403">
        <v>3.52</v>
      </c>
      <c r="H71" s="47">
        <f t="shared" si="8"/>
        <v>0</v>
      </c>
      <c r="I71" s="371">
        <f t="shared" si="1"/>
        <v>0</v>
      </c>
      <c r="J71" s="21">
        <f t="shared" si="2"/>
        <v>559.91596020330576</v>
      </c>
      <c r="K71" s="369">
        <f t="shared" si="3"/>
        <v>566.21557714843493</v>
      </c>
      <c r="L71" s="141">
        <f>'As-Filed Schedule 4'!H71</f>
        <v>0</v>
      </c>
      <c r="M71" s="381">
        <f>SUMIFS(Adjustments!$G:$G,Adjustments!$H:$H,"4",Adjustments!$I:$I,'Schedule 4 Adjustments'!$L$14,Adjustments!$J:$J,'Schedule 4 Adjustments'!$A71)</f>
        <v>0</v>
      </c>
      <c r="N71" s="373">
        <f t="shared" si="4"/>
        <v>0</v>
      </c>
      <c r="O71" s="403">
        <v>3.52</v>
      </c>
      <c r="P71" s="47">
        <f t="shared" si="9"/>
        <v>0</v>
      </c>
      <c r="Q71" s="371">
        <f t="shared" si="5"/>
        <v>0</v>
      </c>
      <c r="R71" s="21">
        <f t="shared" si="6"/>
        <v>559.91596020330576</v>
      </c>
      <c r="S71" s="369">
        <f t="shared" si="7"/>
        <v>566.21557714843493</v>
      </c>
    </row>
    <row r="72" spans="1:19" s="22" customFormat="1" ht="29" x14ac:dyDescent="0.35">
      <c r="A72" s="19">
        <v>60</v>
      </c>
      <c r="B72" s="19">
        <v>99234</v>
      </c>
      <c r="C72" s="20" t="s">
        <v>360</v>
      </c>
      <c r="D72" s="113">
        <f>'As-Filed Schedule 4'!D72</f>
        <v>0</v>
      </c>
      <c r="E72" s="381">
        <f>SUMIFS(Adjustments!$G:$G,Adjustments!$H:$H,"4",Adjustments!$I:$I,'Schedule 4 Adjustments'!$D$14,Adjustments!$J:$J,'Schedule 4 Adjustments'!$A72)</f>
        <v>0</v>
      </c>
      <c r="F72" s="373">
        <f t="shared" si="0"/>
        <v>0</v>
      </c>
      <c r="G72" s="403">
        <v>2.9</v>
      </c>
      <c r="H72" s="47">
        <f t="shared" si="8"/>
        <v>0</v>
      </c>
      <c r="I72" s="371">
        <f t="shared" si="1"/>
        <v>0</v>
      </c>
      <c r="J72" s="21">
        <f t="shared" si="2"/>
        <v>461.29439903113257</v>
      </c>
      <c r="K72" s="369">
        <f t="shared" si="3"/>
        <v>466.4844243552447</v>
      </c>
      <c r="L72" s="141">
        <f>'As-Filed Schedule 4'!H72</f>
        <v>0</v>
      </c>
      <c r="M72" s="381">
        <f>SUMIFS(Adjustments!$G:$G,Adjustments!$H:$H,"4",Adjustments!$I:$I,'Schedule 4 Adjustments'!$L$14,Adjustments!$J:$J,'Schedule 4 Adjustments'!$A72)</f>
        <v>0</v>
      </c>
      <c r="N72" s="373">
        <f t="shared" si="4"/>
        <v>0</v>
      </c>
      <c r="O72" s="403">
        <v>2.9</v>
      </c>
      <c r="P72" s="47">
        <f t="shared" si="9"/>
        <v>0</v>
      </c>
      <c r="Q72" s="371">
        <f t="shared" si="5"/>
        <v>0</v>
      </c>
      <c r="R72" s="21">
        <f t="shared" si="6"/>
        <v>461.29439903113257</v>
      </c>
      <c r="S72" s="369">
        <f t="shared" si="7"/>
        <v>466.4844243552447</v>
      </c>
    </row>
    <row r="73" spans="1:19" s="22" customFormat="1" ht="29" x14ac:dyDescent="0.35">
      <c r="A73" s="19">
        <v>61</v>
      </c>
      <c r="B73" s="19">
        <v>99235</v>
      </c>
      <c r="C73" s="20" t="s">
        <v>361</v>
      </c>
      <c r="D73" s="113">
        <f>'As-Filed Schedule 4'!D73</f>
        <v>0</v>
      </c>
      <c r="E73" s="381">
        <f>SUMIFS(Adjustments!$G:$G,Adjustments!$H:$H,"4",Adjustments!$I:$I,'Schedule 4 Adjustments'!$D$14,Adjustments!$J:$J,'Schedule 4 Adjustments'!$A73)</f>
        <v>0</v>
      </c>
      <c r="F73" s="373">
        <f t="shared" si="0"/>
        <v>0</v>
      </c>
      <c r="G73" s="403">
        <v>4.7300000000000004</v>
      </c>
      <c r="H73" s="47">
        <f t="shared" si="8"/>
        <v>0</v>
      </c>
      <c r="I73" s="371">
        <f t="shared" si="1"/>
        <v>0</v>
      </c>
      <c r="J73" s="21">
        <f t="shared" si="2"/>
        <v>752.38707152319216</v>
      </c>
      <c r="K73" s="369">
        <f t="shared" si="3"/>
        <v>760.85218179320952</v>
      </c>
      <c r="L73" s="141">
        <f>'As-Filed Schedule 4'!H73</f>
        <v>0</v>
      </c>
      <c r="M73" s="381">
        <f>SUMIFS(Adjustments!$G:$G,Adjustments!$H:$H,"4",Adjustments!$I:$I,'Schedule 4 Adjustments'!$L$14,Adjustments!$J:$J,'Schedule 4 Adjustments'!$A73)</f>
        <v>0</v>
      </c>
      <c r="N73" s="373">
        <f t="shared" si="4"/>
        <v>0</v>
      </c>
      <c r="O73" s="403">
        <v>4.7300000000000004</v>
      </c>
      <c r="P73" s="47">
        <f t="shared" si="9"/>
        <v>0</v>
      </c>
      <c r="Q73" s="371">
        <f t="shared" si="5"/>
        <v>0</v>
      </c>
      <c r="R73" s="21">
        <f t="shared" si="6"/>
        <v>752.38707152319216</v>
      </c>
      <c r="S73" s="369">
        <f t="shared" si="7"/>
        <v>760.85218179320952</v>
      </c>
    </row>
    <row r="74" spans="1:19" s="22" customFormat="1" ht="29" x14ac:dyDescent="0.35">
      <c r="A74" s="19">
        <v>62</v>
      </c>
      <c r="B74" s="19">
        <v>99236</v>
      </c>
      <c r="C74" s="20" t="s">
        <v>362</v>
      </c>
      <c r="D74" s="113">
        <f>'As-Filed Schedule 4'!D74</f>
        <v>0</v>
      </c>
      <c r="E74" s="381">
        <f>SUMIFS(Adjustments!$G:$G,Adjustments!$H:$H,"4",Adjustments!$I:$I,'Schedule 4 Adjustments'!$D$14,Adjustments!$J:$J,'Schedule 4 Adjustments'!$A74)</f>
        <v>0</v>
      </c>
      <c r="F74" s="373">
        <f t="shared" si="0"/>
        <v>0</v>
      </c>
      <c r="G74" s="403">
        <v>6.18</v>
      </c>
      <c r="H74" s="47">
        <f t="shared" si="8"/>
        <v>0</v>
      </c>
      <c r="I74" s="371">
        <f t="shared" si="1"/>
        <v>0</v>
      </c>
      <c r="J74" s="21">
        <f t="shared" si="2"/>
        <v>983.03427103875833</v>
      </c>
      <c r="K74" s="369">
        <f t="shared" si="3"/>
        <v>994.09439397083179</v>
      </c>
      <c r="L74" s="141">
        <f>'As-Filed Schedule 4'!H74</f>
        <v>0</v>
      </c>
      <c r="M74" s="381">
        <f>SUMIFS(Adjustments!$G:$G,Adjustments!$H:$H,"4",Adjustments!$I:$I,'Schedule 4 Adjustments'!$L$14,Adjustments!$J:$J,'Schedule 4 Adjustments'!$A74)</f>
        <v>0</v>
      </c>
      <c r="N74" s="373">
        <f t="shared" si="4"/>
        <v>0</v>
      </c>
      <c r="O74" s="403">
        <v>6.18</v>
      </c>
      <c r="P74" s="47">
        <f t="shared" si="9"/>
        <v>0</v>
      </c>
      <c r="Q74" s="371">
        <f t="shared" si="5"/>
        <v>0</v>
      </c>
      <c r="R74" s="21">
        <f t="shared" si="6"/>
        <v>983.03427103875833</v>
      </c>
      <c r="S74" s="369">
        <f t="shared" si="7"/>
        <v>994.09439397083179</v>
      </c>
    </row>
    <row r="75" spans="1:19" s="22" customFormat="1" x14ac:dyDescent="0.35">
      <c r="A75" s="19">
        <v>63</v>
      </c>
      <c r="B75" s="19">
        <v>99238</v>
      </c>
      <c r="C75" s="20" t="s">
        <v>346</v>
      </c>
      <c r="D75" s="113">
        <f>'As-Filed Schedule 4'!D75</f>
        <v>0</v>
      </c>
      <c r="E75" s="381">
        <f>SUMIFS(Adjustments!$G:$G,Adjustments!$H:$H,"4",Adjustments!$I:$I,'Schedule 4 Adjustments'!$D$14,Adjustments!$J:$J,'Schedule 4 Adjustments'!$A75)</f>
        <v>0</v>
      </c>
      <c r="F75" s="373">
        <f t="shared" si="0"/>
        <v>0</v>
      </c>
      <c r="G75" s="403">
        <v>2.41</v>
      </c>
      <c r="H75" s="47">
        <f t="shared" si="8"/>
        <v>0</v>
      </c>
      <c r="I75" s="371">
        <f t="shared" si="1"/>
        <v>0</v>
      </c>
      <c r="J75" s="21">
        <f t="shared" si="2"/>
        <v>383.35155229828609</v>
      </c>
      <c r="K75" s="369">
        <f t="shared" si="3"/>
        <v>387.66464230901374</v>
      </c>
      <c r="L75" s="141">
        <f>'As-Filed Schedule 4'!H75</f>
        <v>0</v>
      </c>
      <c r="M75" s="381">
        <f>SUMIFS(Adjustments!$G:$G,Adjustments!$H:$H,"4",Adjustments!$I:$I,'Schedule 4 Adjustments'!$L$14,Adjustments!$J:$J,'Schedule 4 Adjustments'!$A75)</f>
        <v>0</v>
      </c>
      <c r="N75" s="373">
        <f t="shared" si="4"/>
        <v>0</v>
      </c>
      <c r="O75" s="403">
        <v>2.41</v>
      </c>
      <c r="P75" s="47">
        <f t="shared" si="9"/>
        <v>0</v>
      </c>
      <c r="Q75" s="371">
        <f t="shared" si="5"/>
        <v>0</v>
      </c>
      <c r="R75" s="21">
        <f t="shared" si="6"/>
        <v>383.35155229828609</v>
      </c>
      <c r="S75" s="369">
        <f t="shared" si="7"/>
        <v>387.66464230901374</v>
      </c>
    </row>
    <row r="76" spans="1:19" s="22" customFormat="1" x14ac:dyDescent="0.35">
      <c r="A76" s="19">
        <v>64</v>
      </c>
      <c r="B76" s="19">
        <v>99239</v>
      </c>
      <c r="C76" s="20" t="s">
        <v>127</v>
      </c>
      <c r="D76" s="113">
        <f>'As-Filed Schedule 4'!D76</f>
        <v>0</v>
      </c>
      <c r="E76" s="381">
        <f>SUMIFS(Adjustments!$G:$G,Adjustments!$H:$H,"4",Adjustments!$I:$I,'Schedule 4 Adjustments'!$D$14,Adjustments!$J:$J,'Schedule 4 Adjustments'!$A76)</f>
        <v>0</v>
      </c>
      <c r="F76" s="373">
        <f t="shared" si="0"/>
        <v>0</v>
      </c>
      <c r="G76" s="403">
        <v>3.4</v>
      </c>
      <c r="H76" s="47">
        <f t="shared" si="8"/>
        <v>0</v>
      </c>
      <c r="I76" s="371">
        <f t="shared" si="1"/>
        <v>0</v>
      </c>
      <c r="J76" s="21">
        <f t="shared" si="2"/>
        <v>540.82791610546576</v>
      </c>
      <c r="K76" s="369">
        <f t="shared" si="3"/>
        <v>546.91277338201098</v>
      </c>
      <c r="L76" s="141">
        <f>'As-Filed Schedule 4'!H76</f>
        <v>0</v>
      </c>
      <c r="M76" s="381">
        <f>SUMIFS(Adjustments!$G:$G,Adjustments!$H:$H,"4",Adjustments!$I:$I,'Schedule 4 Adjustments'!$L$14,Adjustments!$J:$J,'Schedule 4 Adjustments'!$A76)</f>
        <v>0</v>
      </c>
      <c r="N76" s="373">
        <f t="shared" si="4"/>
        <v>0</v>
      </c>
      <c r="O76" s="403">
        <v>3.4</v>
      </c>
      <c r="P76" s="47">
        <f t="shared" si="9"/>
        <v>0</v>
      </c>
      <c r="Q76" s="371">
        <f t="shared" si="5"/>
        <v>0</v>
      </c>
      <c r="R76" s="21">
        <f t="shared" si="6"/>
        <v>540.82791610546576</v>
      </c>
      <c r="S76" s="369">
        <f t="shared" si="7"/>
        <v>546.91277338201098</v>
      </c>
    </row>
    <row r="77" spans="1:19" s="22" customFormat="1" x14ac:dyDescent="0.35">
      <c r="A77" s="19">
        <v>65</v>
      </c>
      <c r="B77" s="19">
        <v>99242</v>
      </c>
      <c r="C77" s="20" t="s">
        <v>347</v>
      </c>
      <c r="D77" s="113">
        <f>'As-Filed Schedule 4'!D77</f>
        <v>0</v>
      </c>
      <c r="E77" s="381">
        <f>SUMIFS(Adjustments!$G:$G,Adjustments!$H:$H,"4",Adjustments!$I:$I,'Schedule 4 Adjustments'!$D$14,Adjustments!$J:$J,'Schedule 4 Adjustments'!$A77)</f>
        <v>0</v>
      </c>
      <c r="F77" s="373">
        <f t="shared" si="0"/>
        <v>0</v>
      </c>
      <c r="G77" s="403">
        <v>2.25</v>
      </c>
      <c r="H77" s="139">
        <f t="shared" si="8"/>
        <v>0</v>
      </c>
      <c r="I77" s="371">
        <f t="shared" si="1"/>
        <v>0</v>
      </c>
      <c r="J77" s="140">
        <f t="shared" si="2"/>
        <v>357.90082683449941</v>
      </c>
      <c r="K77" s="369">
        <f t="shared" si="3"/>
        <v>361.92757062044848</v>
      </c>
      <c r="L77" s="141">
        <f>'As-Filed Schedule 4'!H77</f>
        <v>0</v>
      </c>
      <c r="M77" s="381">
        <f>SUMIFS(Adjustments!$G:$G,Adjustments!$H:$H,"4",Adjustments!$I:$I,'Schedule 4 Adjustments'!$L$14,Adjustments!$J:$J,'Schedule 4 Adjustments'!$A77)</f>
        <v>0</v>
      </c>
      <c r="N77" s="373">
        <f t="shared" si="4"/>
        <v>0</v>
      </c>
      <c r="O77" s="403">
        <v>1.66</v>
      </c>
      <c r="P77" s="47">
        <f t="shared" si="9"/>
        <v>0</v>
      </c>
      <c r="Q77" s="371">
        <f t="shared" si="5"/>
        <v>0</v>
      </c>
      <c r="R77" s="21">
        <f t="shared" si="6"/>
        <v>264.05127668678625</v>
      </c>
      <c r="S77" s="369">
        <f t="shared" si="7"/>
        <v>267.02211876886417</v>
      </c>
    </row>
    <row r="78" spans="1:19" s="22" customFormat="1" x14ac:dyDescent="0.35">
      <c r="A78" s="19">
        <v>66</v>
      </c>
      <c r="B78" s="19">
        <v>99243</v>
      </c>
      <c r="C78" s="20" t="s">
        <v>348</v>
      </c>
      <c r="D78" s="113">
        <f>'As-Filed Schedule 4'!D78</f>
        <v>0</v>
      </c>
      <c r="E78" s="381">
        <f>SUMIFS(Adjustments!$G:$G,Adjustments!$H:$H,"4",Adjustments!$I:$I,'Schedule 4 Adjustments'!$D$14,Adjustments!$J:$J,'Schedule 4 Adjustments'!$A78)</f>
        <v>0</v>
      </c>
      <c r="F78" s="373">
        <f t="shared" si="0"/>
        <v>0</v>
      </c>
      <c r="G78" s="403">
        <v>3.37</v>
      </c>
      <c r="H78" s="47">
        <f t="shared" si="8"/>
        <v>0</v>
      </c>
      <c r="I78" s="371">
        <f t="shared" si="1"/>
        <v>0</v>
      </c>
      <c r="J78" s="21">
        <f t="shared" si="2"/>
        <v>536.05590508100579</v>
      </c>
      <c r="K78" s="369">
        <f t="shared" si="3"/>
        <v>542.08707244040511</v>
      </c>
      <c r="L78" s="141">
        <f>'As-Filed Schedule 4'!H78</f>
        <v>0</v>
      </c>
      <c r="M78" s="381">
        <f>SUMIFS(Adjustments!$G:$G,Adjustments!$H:$H,"4",Adjustments!$I:$I,'Schedule 4 Adjustments'!$L$14,Adjustments!$J:$J,'Schedule 4 Adjustments'!$A78)</f>
        <v>0</v>
      </c>
      <c r="N78" s="373">
        <f t="shared" si="4"/>
        <v>0</v>
      </c>
      <c r="O78" s="403">
        <v>2.62</v>
      </c>
      <c r="P78" s="47">
        <f t="shared" si="9"/>
        <v>0</v>
      </c>
      <c r="Q78" s="371">
        <f t="shared" si="5"/>
        <v>0</v>
      </c>
      <c r="R78" s="21">
        <f t="shared" si="6"/>
        <v>416.755629469506</v>
      </c>
      <c r="S78" s="369">
        <f t="shared" si="7"/>
        <v>421.4445489002556</v>
      </c>
    </row>
    <row r="79" spans="1:19" s="22" customFormat="1" x14ac:dyDescent="0.35">
      <c r="A79" s="19">
        <v>67</v>
      </c>
      <c r="B79" s="19">
        <v>99244</v>
      </c>
      <c r="C79" s="20" t="s">
        <v>349</v>
      </c>
      <c r="D79" s="113">
        <f>'As-Filed Schedule 4'!D79</f>
        <v>0</v>
      </c>
      <c r="E79" s="381">
        <f>SUMIFS(Adjustments!$G:$G,Adjustments!$H:$H,"4",Adjustments!$I:$I,'Schedule 4 Adjustments'!$D$14,Adjustments!$J:$J,'Schedule 4 Adjustments'!$A79)</f>
        <v>0</v>
      </c>
      <c r="F79" s="373">
        <f t="shared" si="0"/>
        <v>0</v>
      </c>
      <c r="G79" s="403">
        <v>4.8099999999999996</v>
      </c>
      <c r="H79" s="47">
        <f t="shared" si="8"/>
        <v>0</v>
      </c>
      <c r="I79" s="371">
        <f t="shared" si="1"/>
        <v>0</v>
      </c>
      <c r="J79" s="21">
        <f t="shared" si="2"/>
        <v>765.11243425508542</v>
      </c>
      <c r="K79" s="369">
        <f t="shared" si="3"/>
        <v>773.72071763749204</v>
      </c>
      <c r="L79" s="141">
        <f>'As-Filed Schedule 4'!H79</f>
        <v>0</v>
      </c>
      <c r="M79" s="381">
        <f>SUMIFS(Adjustments!$G:$G,Adjustments!$H:$H,"4",Adjustments!$I:$I,'Schedule 4 Adjustments'!$L$14,Adjustments!$J:$J,'Schedule 4 Adjustments'!$A79)</f>
        <v>0</v>
      </c>
      <c r="N79" s="373">
        <f t="shared" si="4"/>
        <v>0</v>
      </c>
      <c r="O79" s="403">
        <v>3.99</v>
      </c>
      <c r="P79" s="47">
        <f t="shared" si="9"/>
        <v>0</v>
      </c>
      <c r="Q79" s="371">
        <f t="shared" si="5"/>
        <v>0</v>
      </c>
      <c r="R79" s="21">
        <f t="shared" si="6"/>
        <v>634.67746625317898</v>
      </c>
      <c r="S79" s="369">
        <f t="shared" si="7"/>
        <v>641.81822523359529</v>
      </c>
    </row>
    <row r="80" spans="1:19" s="22" customFormat="1" x14ac:dyDescent="0.35">
      <c r="A80" s="19">
        <v>68</v>
      </c>
      <c r="B80" s="19">
        <v>99245</v>
      </c>
      <c r="C80" s="20" t="s">
        <v>350</v>
      </c>
      <c r="D80" s="113">
        <f>'As-Filed Schedule 4'!D80</f>
        <v>0</v>
      </c>
      <c r="E80" s="381">
        <f>SUMIFS(Adjustments!$G:$G,Adjustments!$H:$H,"4",Adjustments!$I:$I,'Schedule 4 Adjustments'!$D$14,Adjustments!$J:$J,'Schedule 4 Adjustments'!$A80)</f>
        <v>0</v>
      </c>
      <c r="F80" s="373">
        <f t="shared" si="0"/>
        <v>0</v>
      </c>
      <c r="G80" s="403">
        <v>6.28</v>
      </c>
      <c r="H80" s="47">
        <f t="shared" si="8"/>
        <v>0</v>
      </c>
      <c r="I80" s="371">
        <f t="shared" si="1"/>
        <v>0</v>
      </c>
      <c r="J80" s="21">
        <f t="shared" si="2"/>
        <v>998.94097445362513</v>
      </c>
      <c r="K80" s="369">
        <f t="shared" si="3"/>
        <v>1010.1800637761851</v>
      </c>
      <c r="L80" s="141">
        <f>'As-Filed Schedule 4'!H80</f>
        <v>0</v>
      </c>
      <c r="M80" s="381">
        <f>SUMIFS(Adjustments!$G:$G,Adjustments!$H:$H,"4",Adjustments!$I:$I,'Schedule 4 Adjustments'!$L$14,Adjustments!$J:$J,'Schedule 4 Adjustments'!$A80)</f>
        <v>0</v>
      </c>
      <c r="N80" s="373">
        <f t="shared" si="4"/>
        <v>0</v>
      </c>
      <c r="O80" s="403">
        <v>5.36</v>
      </c>
      <c r="P80" s="47">
        <f t="shared" si="9"/>
        <v>0</v>
      </c>
      <c r="Q80" s="371">
        <f t="shared" si="5"/>
        <v>0</v>
      </c>
      <c r="R80" s="21">
        <f t="shared" si="6"/>
        <v>852.59930303685201</v>
      </c>
      <c r="S80" s="369">
        <f t="shared" si="7"/>
        <v>862.19190156693503</v>
      </c>
    </row>
    <row r="81" spans="1:19" s="22" customFormat="1" x14ac:dyDescent="0.35">
      <c r="A81" s="19">
        <v>69</v>
      </c>
      <c r="B81" s="19">
        <v>99252</v>
      </c>
      <c r="C81" s="20" t="s">
        <v>351</v>
      </c>
      <c r="D81" s="113">
        <f>'As-Filed Schedule 4'!D81</f>
        <v>0</v>
      </c>
      <c r="E81" s="381">
        <f>SUMIFS(Adjustments!$G:$G,Adjustments!$H:$H,"4",Adjustments!$I:$I,'Schedule 4 Adjustments'!$D$14,Adjustments!$J:$J,'Schedule 4 Adjustments'!$A81)</f>
        <v>0</v>
      </c>
      <c r="F81" s="373">
        <f t="shared" si="0"/>
        <v>0</v>
      </c>
      <c r="G81" s="403">
        <v>2.11</v>
      </c>
      <c r="H81" s="47">
        <f t="shared" si="8"/>
        <v>0</v>
      </c>
      <c r="I81" s="371">
        <f t="shared" si="1"/>
        <v>0</v>
      </c>
      <c r="J81" s="21">
        <f t="shared" si="2"/>
        <v>335.6314420536861</v>
      </c>
      <c r="K81" s="369">
        <f t="shared" si="3"/>
        <v>339.40763289295387</v>
      </c>
      <c r="L81" s="141">
        <f>'As-Filed Schedule 4'!H81</f>
        <v>0</v>
      </c>
      <c r="M81" s="381">
        <f>SUMIFS(Adjustments!$G:$G,Adjustments!$H:$H,"4",Adjustments!$I:$I,'Schedule 4 Adjustments'!$L$14,Adjustments!$J:$J,'Schedule 4 Adjustments'!$A81)</f>
        <v>0</v>
      </c>
      <c r="N81" s="373">
        <f t="shared" si="4"/>
        <v>0</v>
      </c>
      <c r="O81" s="403">
        <v>2.11</v>
      </c>
      <c r="P81" s="47">
        <f t="shared" si="9"/>
        <v>0</v>
      </c>
      <c r="Q81" s="371">
        <f t="shared" si="5"/>
        <v>0</v>
      </c>
      <c r="R81" s="21">
        <f t="shared" si="6"/>
        <v>335.6314420536861</v>
      </c>
      <c r="S81" s="369">
        <f t="shared" si="7"/>
        <v>339.40763289295387</v>
      </c>
    </row>
    <row r="82" spans="1:19" s="22" customFormat="1" x14ac:dyDescent="0.35">
      <c r="A82" s="19">
        <v>70</v>
      </c>
      <c r="B82" s="19">
        <v>99253</v>
      </c>
      <c r="C82" s="20" t="s">
        <v>352</v>
      </c>
      <c r="D82" s="113">
        <f>'As-Filed Schedule 4'!D82</f>
        <v>0</v>
      </c>
      <c r="E82" s="381">
        <f>SUMIFS(Adjustments!$G:$G,Adjustments!$H:$H,"4",Adjustments!$I:$I,'Schedule 4 Adjustments'!$D$14,Adjustments!$J:$J,'Schedule 4 Adjustments'!$A82)</f>
        <v>0</v>
      </c>
      <c r="F82" s="373">
        <f t="shared" si="0"/>
        <v>0</v>
      </c>
      <c r="G82" s="403">
        <v>2.96</v>
      </c>
      <c r="H82" s="47">
        <f t="shared" si="8"/>
        <v>0</v>
      </c>
      <c r="I82" s="371">
        <f t="shared" si="1"/>
        <v>0</v>
      </c>
      <c r="J82" s="21">
        <f t="shared" ref="J82:J145" si="10">G82*$H$12</f>
        <v>470.83842108005257</v>
      </c>
      <c r="K82" s="369">
        <f t="shared" si="3"/>
        <v>476.13582623845667</v>
      </c>
      <c r="L82" s="141">
        <f>'As-Filed Schedule 4'!H82</f>
        <v>0</v>
      </c>
      <c r="M82" s="381">
        <f>SUMIFS(Adjustments!$G:$G,Adjustments!$H:$H,"4",Adjustments!$I:$I,'Schedule 4 Adjustments'!$L$14,Adjustments!$J:$J,'Schedule 4 Adjustments'!$A82)</f>
        <v>0</v>
      </c>
      <c r="N82" s="373">
        <f t="shared" si="4"/>
        <v>0</v>
      </c>
      <c r="O82" s="403">
        <v>2.96</v>
      </c>
      <c r="P82" s="47">
        <f t="shared" si="9"/>
        <v>0</v>
      </c>
      <c r="Q82" s="371">
        <f t="shared" si="5"/>
        <v>0</v>
      </c>
      <c r="R82" s="21">
        <f t="shared" ref="R82:R145" si="11">O82*$H$12</f>
        <v>470.83842108005257</v>
      </c>
      <c r="S82" s="369">
        <f t="shared" si="7"/>
        <v>476.13582623845667</v>
      </c>
    </row>
    <row r="83" spans="1:19" s="22" customFormat="1" x14ac:dyDescent="0.35">
      <c r="A83" s="19">
        <v>71</v>
      </c>
      <c r="B83" s="19">
        <v>99254</v>
      </c>
      <c r="C83" s="20" t="s">
        <v>353</v>
      </c>
      <c r="D83" s="113">
        <f>'As-Filed Schedule 4'!D83</f>
        <v>0</v>
      </c>
      <c r="E83" s="381">
        <f>SUMIFS(Adjustments!$G:$G,Adjustments!$H:$H,"4",Adjustments!$I:$I,'Schedule 4 Adjustments'!$D$14,Adjustments!$J:$J,'Schedule 4 Adjustments'!$A83)</f>
        <v>0</v>
      </c>
      <c r="F83" s="373">
        <f t="shared" ref="F83:F146" si="12">SUM(D83:E83)</f>
        <v>0</v>
      </c>
      <c r="G83" s="403">
        <v>4.1100000000000003</v>
      </c>
      <c r="H83" s="47">
        <f t="shared" si="8"/>
        <v>0</v>
      </c>
      <c r="I83" s="371">
        <f t="shared" ref="I83:I146" si="13">F83*G83</f>
        <v>0</v>
      </c>
      <c r="J83" s="21">
        <f t="shared" si="10"/>
        <v>653.76551035101897</v>
      </c>
      <c r="K83" s="369">
        <f t="shared" ref="K83:K146" si="14">G83*$I$12</f>
        <v>661.12102900001923</v>
      </c>
      <c r="L83" s="141">
        <f>'As-Filed Schedule 4'!H83</f>
        <v>0</v>
      </c>
      <c r="M83" s="381">
        <f>SUMIFS(Adjustments!$G:$G,Adjustments!$H:$H,"4",Adjustments!$I:$I,'Schedule 4 Adjustments'!$L$14,Adjustments!$J:$J,'Schedule 4 Adjustments'!$A83)</f>
        <v>0</v>
      </c>
      <c r="N83" s="373">
        <f t="shared" ref="N83:N146" si="15">SUM(L83:M83)</f>
        <v>0</v>
      </c>
      <c r="O83" s="403">
        <v>4.1100000000000003</v>
      </c>
      <c r="P83" s="47">
        <f t="shared" ref="P83:P146" si="16">L83*O83</f>
        <v>0</v>
      </c>
      <c r="Q83" s="371">
        <f t="shared" ref="Q83:Q146" si="17">N83*O83</f>
        <v>0</v>
      </c>
      <c r="R83" s="21">
        <f t="shared" si="11"/>
        <v>653.76551035101897</v>
      </c>
      <c r="S83" s="369">
        <f t="shared" ref="S83:S146" si="18">O83*$I$12</f>
        <v>661.12102900001923</v>
      </c>
    </row>
    <row r="84" spans="1:19" s="22" customFormat="1" x14ac:dyDescent="0.35">
      <c r="A84" s="19">
        <v>72</v>
      </c>
      <c r="B84" s="19">
        <v>99255</v>
      </c>
      <c r="C84" s="20" t="s">
        <v>354</v>
      </c>
      <c r="D84" s="113">
        <f>'As-Filed Schedule 4'!D84</f>
        <v>0</v>
      </c>
      <c r="E84" s="381">
        <f>SUMIFS(Adjustments!$G:$G,Adjustments!$H:$H,"4",Adjustments!$I:$I,'Schedule 4 Adjustments'!$D$14,Adjustments!$J:$J,'Schedule 4 Adjustments'!$A84)</f>
        <v>0</v>
      </c>
      <c r="F84" s="373">
        <f t="shared" si="12"/>
        <v>0</v>
      </c>
      <c r="G84" s="403">
        <v>5.53</v>
      </c>
      <c r="H84" s="47">
        <f t="shared" ref="H84:H147" si="19">D84*G84</f>
        <v>0</v>
      </c>
      <c r="I84" s="371">
        <f t="shared" si="13"/>
        <v>0</v>
      </c>
      <c r="J84" s="21">
        <f t="shared" si="10"/>
        <v>879.64069884212529</v>
      </c>
      <c r="K84" s="369">
        <f t="shared" si="14"/>
        <v>889.53754023603562</v>
      </c>
      <c r="L84" s="141">
        <f>'As-Filed Schedule 4'!H84</f>
        <v>0</v>
      </c>
      <c r="M84" s="381">
        <f>SUMIFS(Adjustments!$G:$G,Adjustments!$H:$H,"4",Adjustments!$I:$I,'Schedule 4 Adjustments'!$L$14,Adjustments!$J:$J,'Schedule 4 Adjustments'!$A84)</f>
        <v>0</v>
      </c>
      <c r="N84" s="373">
        <f t="shared" si="15"/>
        <v>0</v>
      </c>
      <c r="O84" s="403">
        <v>5.53</v>
      </c>
      <c r="P84" s="47">
        <f t="shared" si="16"/>
        <v>0</v>
      </c>
      <c r="Q84" s="371">
        <f t="shared" si="17"/>
        <v>0</v>
      </c>
      <c r="R84" s="21">
        <f t="shared" si="11"/>
        <v>879.64069884212529</v>
      </c>
      <c r="S84" s="369">
        <f t="shared" si="18"/>
        <v>889.53754023603562</v>
      </c>
    </row>
    <row r="85" spans="1:19" s="22" customFormat="1" x14ac:dyDescent="0.35">
      <c r="A85" s="19">
        <v>73</v>
      </c>
      <c r="B85" s="19">
        <v>99281</v>
      </c>
      <c r="C85" s="20" t="s">
        <v>355</v>
      </c>
      <c r="D85" s="113">
        <f>'As-Filed Schedule 4'!D85</f>
        <v>0</v>
      </c>
      <c r="E85" s="381">
        <f>SUMIFS(Adjustments!$G:$G,Adjustments!$H:$H,"4",Adjustments!$I:$I,'Schedule 4 Adjustments'!$D$14,Adjustments!$J:$J,'Schedule 4 Adjustments'!$A85)</f>
        <v>0</v>
      </c>
      <c r="F85" s="373">
        <f t="shared" si="12"/>
        <v>0</v>
      </c>
      <c r="G85" s="403">
        <v>0.34</v>
      </c>
      <c r="H85" s="47">
        <f t="shared" si="19"/>
        <v>0</v>
      </c>
      <c r="I85" s="371">
        <f t="shared" si="13"/>
        <v>0</v>
      </c>
      <c r="J85" s="21">
        <f t="shared" si="10"/>
        <v>54.082791610546586</v>
      </c>
      <c r="K85" s="369">
        <f t="shared" si="14"/>
        <v>54.691277338201104</v>
      </c>
      <c r="L85" s="141">
        <f>'As-Filed Schedule 4'!H85</f>
        <v>0</v>
      </c>
      <c r="M85" s="381">
        <f>SUMIFS(Adjustments!$G:$G,Adjustments!$H:$H,"4",Adjustments!$I:$I,'Schedule 4 Adjustments'!$L$14,Adjustments!$J:$J,'Schedule 4 Adjustments'!$A85)</f>
        <v>0</v>
      </c>
      <c r="N85" s="373">
        <f t="shared" si="15"/>
        <v>0</v>
      </c>
      <c r="O85" s="403">
        <v>0.34</v>
      </c>
      <c r="P85" s="47">
        <f t="shared" si="16"/>
        <v>0</v>
      </c>
      <c r="Q85" s="371">
        <f t="shared" si="17"/>
        <v>0</v>
      </c>
      <c r="R85" s="21">
        <f t="shared" si="11"/>
        <v>54.082791610546586</v>
      </c>
      <c r="S85" s="369">
        <f t="shared" si="18"/>
        <v>54.691277338201104</v>
      </c>
    </row>
    <row r="86" spans="1:19" s="22" customFormat="1" x14ac:dyDescent="0.35">
      <c r="A86" s="19">
        <v>74</v>
      </c>
      <c r="B86" s="19">
        <v>99282</v>
      </c>
      <c r="C86" s="20" t="s">
        <v>356</v>
      </c>
      <c r="D86" s="113">
        <f>'As-Filed Schedule 4'!D86</f>
        <v>0</v>
      </c>
      <c r="E86" s="381">
        <f>SUMIFS(Adjustments!$G:$G,Adjustments!$H:$H,"4",Adjustments!$I:$I,'Schedule 4 Adjustments'!$D$14,Adjustments!$J:$J,'Schedule 4 Adjustments'!$A86)</f>
        <v>0</v>
      </c>
      <c r="F86" s="373">
        <f t="shared" si="12"/>
        <v>0</v>
      </c>
      <c r="G86" s="403">
        <v>1.24</v>
      </c>
      <c r="H86" s="47">
        <f t="shared" si="19"/>
        <v>0</v>
      </c>
      <c r="I86" s="371">
        <f t="shared" si="13"/>
        <v>0</v>
      </c>
      <c r="J86" s="21">
        <f t="shared" si="10"/>
        <v>197.24312234434635</v>
      </c>
      <c r="K86" s="369">
        <f t="shared" si="14"/>
        <v>199.4623055863805</v>
      </c>
      <c r="L86" s="141">
        <f>'As-Filed Schedule 4'!H86</f>
        <v>0</v>
      </c>
      <c r="M86" s="381">
        <f>SUMIFS(Adjustments!$G:$G,Adjustments!$H:$H,"4",Adjustments!$I:$I,'Schedule 4 Adjustments'!$L$14,Adjustments!$J:$J,'Schedule 4 Adjustments'!$A86)</f>
        <v>0</v>
      </c>
      <c r="N86" s="373">
        <f t="shared" si="15"/>
        <v>0</v>
      </c>
      <c r="O86" s="403">
        <v>1.24</v>
      </c>
      <c r="P86" s="47">
        <f t="shared" si="16"/>
        <v>0</v>
      </c>
      <c r="Q86" s="371">
        <f t="shared" si="17"/>
        <v>0</v>
      </c>
      <c r="R86" s="21">
        <f t="shared" si="11"/>
        <v>197.24312234434635</v>
      </c>
      <c r="S86" s="369">
        <f t="shared" si="18"/>
        <v>199.4623055863805</v>
      </c>
    </row>
    <row r="87" spans="1:19" s="22" customFormat="1" x14ac:dyDescent="0.35">
      <c r="A87" s="19">
        <v>75</v>
      </c>
      <c r="B87" s="19">
        <v>99283</v>
      </c>
      <c r="C87" s="20" t="s">
        <v>357</v>
      </c>
      <c r="D87" s="113">
        <f>'As-Filed Schedule 4'!D87</f>
        <v>0</v>
      </c>
      <c r="E87" s="381">
        <f>SUMIFS(Adjustments!$G:$G,Adjustments!$H:$H,"4",Adjustments!$I:$I,'Schedule 4 Adjustments'!$D$14,Adjustments!$J:$J,'Schedule 4 Adjustments'!$A87)</f>
        <v>0</v>
      </c>
      <c r="F87" s="373">
        <f t="shared" si="12"/>
        <v>0</v>
      </c>
      <c r="G87" s="403">
        <v>2.11</v>
      </c>
      <c r="H87" s="47">
        <f t="shared" si="19"/>
        <v>0</v>
      </c>
      <c r="I87" s="371">
        <f t="shared" si="13"/>
        <v>0</v>
      </c>
      <c r="J87" s="21">
        <f t="shared" si="10"/>
        <v>335.6314420536861</v>
      </c>
      <c r="K87" s="369">
        <f t="shared" si="14"/>
        <v>339.40763289295387</v>
      </c>
      <c r="L87" s="141">
        <f>'As-Filed Schedule 4'!H87</f>
        <v>0</v>
      </c>
      <c r="M87" s="381">
        <f>SUMIFS(Adjustments!$G:$G,Adjustments!$H:$H,"4",Adjustments!$I:$I,'Schedule 4 Adjustments'!$L$14,Adjustments!$J:$J,'Schedule 4 Adjustments'!$A87)</f>
        <v>0</v>
      </c>
      <c r="N87" s="373">
        <f t="shared" si="15"/>
        <v>0</v>
      </c>
      <c r="O87" s="403">
        <v>2.11</v>
      </c>
      <c r="P87" s="47">
        <f t="shared" si="16"/>
        <v>0</v>
      </c>
      <c r="Q87" s="371">
        <f t="shared" si="17"/>
        <v>0</v>
      </c>
      <c r="R87" s="21">
        <f t="shared" si="11"/>
        <v>335.6314420536861</v>
      </c>
      <c r="S87" s="369">
        <f t="shared" si="18"/>
        <v>339.40763289295387</v>
      </c>
    </row>
    <row r="88" spans="1:19" s="22" customFormat="1" x14ac:dyDescent="0.35">
      <c r="A88" s="19">
        <v>76</v>
      </c>
      <c r="B88" s="19">
        <v>99284</v>
      </c>
      <c r="C88" s="20" t="s">
        <v>358</v>
      </c>
      <c r="D88" s="113">
        <f>'As-Filed Schedule 4'!D88</f>
        <v>0</v>
      </c>
      <c r="E88" s="381">
        <f>SUMIFS(Adjustments!$G:$G,Adjustments!$H:$H,"4",Adjustments!$I:$I,'Schedule 4 Adjustments'!$D$14,Adjustments!$J:$J,'Schedule 4 Adjustments'!$A88)</f>
        <v>0</v>
      </c>
      <c r="F88" s="373">
        <f t="shared" si="12"/>
        <v>0</v>
      </c>
      <c r="G88" s="403">
        <v>3.59</v>
      </c>
      <c r="H88" s="47">
        <f t="shared" si="19"/>
        <v>0</v>
      </c>
      <c r="I88" s="371">
        <f t="shared" si="13"/>
        <v>0</v>
      </c>
      <c r="J88" s="21">
        <f t="shared" si="10"/>
        <v>571.05065259371236</v>
      </c>
      <c r="K88" s="369">
        <f t="shared" si="14"/>
        <v>577.47554601218224</v>
      </c>
      <c r="L88" s="141">
        <f>'As-Filed Schedule 4'!H88</f>
        <v>0</v>
      </c>
      <c r="M88" s="381">
        <f>SUMIFS(Adjustments!$G:$G,Adjustments!$H:$H,"4",Adjustments!$I:$I,'Schedule 4 Adjustments'!$L$14,Adjustments!$J:$J,'Schedule 4 Adjustments'!$A88)</f>
        <v>0</v>
      </c>
      <c r="N88" s="373">
        <f t="shared" si="15"/>
        <v>0</v>
      </c>
      <c r="O88" s="403">
        <v>3.59</v>
      </c>
      <c r="P88" s="47">
        <f t="shared" si="16"/>
        <v>0</v>
      </c>
      <c r="Q88" s="371">
        <f t="shared" si="17"/>
        <v>0</v>
      </c>
      <c r="R88" s="21">
        <f t="shared" si="11"/>
        <v>571.05065259371236</v>
      </c>
      <c r="S88" s="369">
        <f t="shared" si="18"/>
        <v>577.47554601218224</v>
      </c>
    </row>
    <row r="89" spans="1:19" s="22" customFormat="1" x14ac:dyDescent="0.35">
      <c r="A89" s="19">
        <v>77</v>
      </c>
      <c r="B89" s="19">
        <v>99285</v>
      </c>
      <c r="C89" s="20" t="s">
        <v>359</v>
      </c>
      <c r="D89" s="113">
        <f>'As-Filed Schedule 4'!D89</f>
        <v>0</v>
      </c>
      <c r="E89" s="381">
        <f>SUMIFS(Adjustments!$G:$G,Adjustments!$H:$H,"4",Adjustments!$I:$I,'Schedule 4 Adjustments'!$D$14,Adjustments!$J:$J,'Schedule 4 Adjustments'!$A89)</f>
        <v>0</v>
      </c>
      <c r="F89" s="373">
        <f t="shared" si="12"/>
        <v>0</v>
      </c>
      <c r="G89" s="403">
        <v>5.2</v>
      </c>
      <c r="H89" s="47">
        <f t="shared" si="19"/>
        <v>0</v>
      </c>
      <c r="I89" s="371">
        <f t="shared" si="13"/>
        <v>0</v>
      </c>
      <c r="J89" s="21">
        <f t="shared" si="10"/>
        <v>827.14857757306538</v>
      </c>
      <c r="K89" s="369">
        <f t="shared" si="14"/>
        <v>836.45482987836988</v>
      </c>
      <c r="L89" s="141">
        <f>'As-Filed Schedule 4'!H89</f>
        <v>0</v>
      </c>
      <c r="M89" s="381">
        <f>SUMIFS(Adjustments!$G:$G,Adjustments!$H:$H,"4",Adjustments!$I:$I,'Schedule 4 Adjustments'!$L$14,Adjustments!$J:$J,'Schedule 4 Adjustments'!$A89)</f>
        <v>0</v>
      </c>
      <c r="N89" s="373">
        <f t="shared" si="15"/>
        <v>0</v>
      </c>
      <c r="O89" s="403">
        <v>5.2</v>
      </c>
      <c r="P89" s="47">
        <f t="shared" si="16"/>
        <v>0</v>
      </c>
      <c r="Q89" s="371">
        <f t="shared" si="17"/>
        <v>0</v>
      </c>
      <c r="R89" s="21">
        <f t="shared" si="11"/>
        <v>827.14857757306538</v>
      </c>
      <c r="S89" s="369">
        <f t="shared" si="18"/>
        <v>836.45482987836988</v>
      </c>
    </row>
    <row r="90" spans="1:19" s="22" customFormat="1" x14ac:dyDescent="0.35">
      <c r="A90" s="19">
        <v>78</v>
      </c>
      <c r="B90" s="19">
        <v>99304</v>
      </c>
      <c r="C90" s="20" t="s">
        <v>363</v>
      </c>
      <c r="D90" s="113">
        <f>'As-Filed Schedule 4'!D90</f>
        <v>5</v>
      </c>
      <c r="E90" s="381">
        <f>SUMIFS(Adjustments!$G:$G,Adjustments!$H:$H,"4",Adjustments!$I:$I,'Schedule 4 Adjustments'!$D$14,Adjustments!$J:$J,'Schedule 4 Adjustments'!$A90)</f>
        <v>0</v>
      </c>
      <c r="F90" s="373">
        <f t="shared" si="12"/>
        <v>5</v>
      </c>
      <c r="G90" s="403">
        <v>2.39</v>
      </c>
      <c r="H90" s="47">
        <f t="shared" si="19"/>
        <v>11.950000000000001</v>
      </c>
      <c r="I90" s="371">
        <f t="shared" si="13"/>
        <v>11.950000000000001</v>
      </c>
      <c r="J90" s="21">
        <f t="shared" si="10"/>
        <v>380.17021161531272</v>
      </c>
      <c r="K90" s="369">
        <f t="shared" si="14"/>
        <v>384.44750834794309</v>
      </c>
      <c r="L90" s="141">
        <f>'As-Filed Schedule 4'!H90</f>
        <v>0</v>
      </c>
      <c r="M90" s="381">
        <f>SUMIFS(Adjustments!$G:$G,Adjustments!$H:$H,"4",Adjustments!$I:$I,'Schedule 4 Adjustments'!$L$14,Adjustments!$J:$J,'Schedule 4 Adjustments'!$A90)</f>
        <v>0</v>
      </c>
      <c r="N90" s="373">
        <f t="shared" si="15"/>
        <v>0</v>
      </c>
      <c r="O90" s="403">
        <v>2.39</v>
      </c>
      <c r="P90" s="47">
        <f t="shared" si="16"/>
        <v>0</v>
      </c>
      <c r="Q90" s="371">
        <f t="shared" si="17"/>
        <v>0</v>
      </c>
      <c r="R90" s="21">
        <f t="shared" si="11"/>
        <v>380.17021161531272</v>
      </c>
      <c r="S90" s="369">
        <f t="shared" si="18"/>
        <v>384.44750834794309</v>
      </c>
    </row>
    <row r="91" spans="1:19" s="22" customFormat="1" x14ac:dyDescent="0.35">
      <c r="A91" s="19">
        <v>79</v>
      </c>
      <c r="B91" s="19">
        <v>99305</v>
      </c>
      <c r="C91" s="20" t="s">
        <v>364</v>
      </c>
      <c r="D91" s="113">
        <f>'As-Filed Schedule 4'!D91</f>
        <v>9</v>
      </c>
      <c r="E91" s="381">
        <f>SUMIFS(Adjustments!$G:$G,Adjustments!$H:$H,"4",Adjustments!$I:$I,'Schedule 4 Adjustments'!$D$14,Adjustments!$J:$J,'Schedule 4 Adjustments'!$A91)</f>
        <v>0</v>
      </c>
      <c r="F91" s="373">
        <f t="shared" si="12"/>
        <v>9</v>
      </c>
      <c r="G91" s="403">
        <v>3.97</v>
      </c>
      <c r="H91" s="47">
        <f t="shared" si="19"/>
        <v>35.730000000000004</v>
      </c>
      <c r="I91" s="371">
        <f t="shared" si="13"/>
        <v>35.730000000000004</v>
      </c>
      <c r="J91" s="21">
        <f t="shared" si="10"/>
        <v>631.49612557020566</v>
      </c>
      <c r="K91" s="369">
        <f t="shared" si="14"/>
        <v>638.60109127252463</v>
      </c>
      <c r="L91" s="141">
        <f>'As-Filed Schedule 4'!H91</f>
        <v>0</v>
      </c>
      <c r="M91" s="381">
        <f>SUMIFS(Adjustments!$G:$G,Adjustments!$H:$H,"4",Adjustments!$I:$I,'Schedule 4 Adjustments'!$L$14,Adjustments!$J:$J,'Schedule 4 Adjustments'!$A91)</f>
        <v>0</v>
      </c>
      <c r="N91" s="373">
        <f t="shared" si="15"/>
        <v>0</v>
      </c>
      <c r="O91" s="403">
        <v>3.97</v>
      </c>
      <c r="P91" s="47">
        <f t="shared" si="16"/>
        <v>0</v>
      </c>
      <c r="Q91" s="371">
        <f t="shared" si="17"/>
        <v>0</v>
      </c>
      <c r="R91" s="21">
        <f t="shared" si="11"/>
        <v>631.49612557020566</v>
      </c>
      <c r="S91" s="369">
        <f t="shared" si="18"/>
        <v>638.60109127252463</v>
      </c>
    </row>
    <row r="92" spans="1:19" s="22" customFormat="1" x14ac:dyDescent="0.35">
      <c r="A92" s="19">
        <v>80</v>
      </c>
      <c r="B92" s="19">
        <v>99306</v>
      </c>
      <c r="C92" s="20" t="s">
        <v>365</v>
      </c>
      <c r="D92" s="113">
        <f>'As-Filed Schedule 4'!D92</f>
        <v>30</v>
      </c>
      <c r="E92" s="381">
        <f>SUMIFS(Adjustments!$G:$G,Adjustments!$H:$H,"4",Adjustments!$I:$I,'Schedule 4 Adjustments'!$D$14,Adjustments!$J:$J,'Schedule 4 Adjustments'!$A92)</f>
        <v>0</v>
      </c>
      <c r="F92" s="373">
        <f t="shared" si="12"/>
        <v>30</v>
      </c>
      <c r="G92" s="403">
        <v>5.42</v>
      </c>
      <c r="H92" s="47">
        <f t="shared" si="19"/>
        <v>162.6</v>
      </c>
      <c r="I92" s="371">
        <f t="shared" si="13"/>
        <v>162.6</v>
      </c>
      <c r="J92" s="21">
        <f t="shared" si="10"/>
        <v>862.14332508577195</v>
      </c>
      <c r="K92" s="369">
        <f t="shared" si="14"/>
        <v>871.843303450147</v>
      </c>
      <c r="L92" s="141">
        <f>'As-Filed Schedule 4'!H92</f>
        <v>0</v>
      </c>
      <c r="M92" s="381">
        <f>SUMIFS(Adjustments!$G:$G,Adjustments!$H:$H,"4",Adjustments!$I:$I,'Schedule 4 Adjustments'!$L$14,Adjustments!$J:$J,'Schedule 4 Adjustments'!$A92)</f>
        <v>0</v>
      </c>
      <c r="N92" s="373">
        <f t="shared" si="15"/>
        <v>0</v>
      </c>
      <c r="O92" s="403">
        <v>5.42</v>
      </c>
      <c r="P92" s="47">
        <f t="shared" si="16"/>
        <v>0</v>
      </c>
      <c r="Q92" s="371">
        <f t="shared" si="17"/>
        <v>0</v>
      </c>
      <c r="R92" s="21">
        <f t="shared" si="11"/>
        <v>862.14332508577195</v>
      </c>
      <c r="S92" s="369">
        <f t="shared" si="18"/>
        <v>871.843303450147</v>
      </c>
    </row>
    <row r="93" spans="1:19" s="22" customFormat="1" x14ac:dyDescent="0.35">
      <c r="A93" s="19">
        <v>81</v>
      </c>
      <c r="B93" s="19">
        <v>99307</v>
      </c>
      <c r="C93" s="20" t="s">
        <v>366</v>
      </c>
      <c r="D93" s="113">
        <f>'As-Filed Schedule 4'!D93</f>
        <v>12</v>
      </c>
      <c r="E93" s="381">
        <f>SUMIFS(Adjustments!$G:$G,Adjustments!$H:$H,"4",Adjustments!$I:$I,'Schedule 4 Adjustments'!$D$14,Adjustments!$J:$J,'Schedule 4 Adjustments'!$A93)</f>
        <v>0</v>
      </c>
      <c r="F93" s="373">
        <f t="shared" si="12"/>
        <v>12</v>
      </c>
      <c r="G93" s="403">
        <v>1.2</v>
      </c>
      <c r="H93" s="47">
        <f t="shared" si="19"/>
        <v>14.399999999999999</v>
      </c>
      <c r="I93" s="371">
        <f t="shared" si="13"/>
        <v>14.399999999999999</v>
      </c>
      <c r="J93" s="21">
        <f t="shared" si="10"/>
        <v>190.88044097839969</v>
      </c>
      <c r="K93" s="369">
        <f t="shared" si="14"/>
        <v>193.02803766423918</v>
      </c>
      <c r="L93" s="141">
        <f>'As-Filed Schedule 4'!H93</f>
        <v>0</v>
      </c>
      <c r="M93" s="381">
        <f>SUMIFS(Adjustments!$G:$G,Adjustments!$H:$H,"4",Adjustments!$I:$I,'Schedule 4 Adjustments'!$L$14,Adjustments!$J:$J,'Schedule 4 Adjustments'!$A93)</f>
        <v>0</v>
      </c>
      <c r="N93" s="373">
        <f t="shared" si="15"/>
        <v>0</v>
      </c>
      <c r="O93" s="403">
        <v>1.2</v>
      </c>
      <c r="P93" s="47">
        <f t="shared" si="16"/>
        <v>0</v>
      </c>
      <c r="Q93" s="371">
        <f t="shared" si="17"/>
        <v>0</v>
      </c>
      <c r="R93" s="21">
        <f t="shared" si="11"/>
        <v>190.88044097839969</v>
      </c>
      <c r="S93" s="369">
        <f t="shared" si="18"/>
        <v>193.02803766423918</v>
      </c>
    </row>
    <row r="94" spans="1:19" s="22" customFormat="1" x14ac:dyDescent="0.35">
      <c r="A94" s="19">
        <v>82</v>
      </c>
      <c r="B94" s="19">
        <v>99308</v>
      </c>
      <c r="C94" s="20" t="s">
        <v>367</v>
      </c>
      <c r="D94" s="113">
        <f>'As-Filed Schedule 4'!D94</f>
        <v>83</v>
      </c>
      <c r="E94" s="381">
        <f>SUMIFS(Adjustments!$G:$G,Adjustments!$H:$H,"4",Adjustments!$I:$I,'Schedule 4 Adjustments'!$D$14,Adjustments!$J:$J,'Schedule 4 Adjustments'!$A94)</f>
        <v>0</v>
      </c>
      <c r="F94" s="373">
        <f t="shared" si="12"/>
        <v>83</v>
      </c>
      <c r="G94" s="403">
        <v>2.2200000000000002</v>
      </c>
      <c r="H94" s="47">
        <f t="shared" si="19"/>
        <v>184.26000000000002</v>
      </c>
      <c r="I94" s="371">
        <f t="shared" si="13"/>
        <v>184.26000000000002</v>
      </c>
      <c r="J94" s="21">
        <f t="shared" si="10"/>
        <v>353.12881581003944</v>
      </c>
      <c r="K94" s="369">
        <f t="shared" si="14"/>
        <v>357.10186967884255</v>
      </c>
      <c r="L94" s="141">
        <f>'As-Filed Schedule 4'!H94</f>
        <v>0</v>
      </c>
      <c r="M94" s="381">
        <f>SUMIFS(Adjustments!$G:$G,Adjustments!$H:$H,"4",Adjustments!$I:$I,'Schedule 4 Adjustments'!$L$14,Adjustments!$J:$J,'Schedule 4 Adjustments'!$A94)</f>
        <v>0</v>
      </c>
      <c r="N94" s="373">
        <f t="shared" si="15"/>
        <v>0</v>
      </c>
      <c r="O94" s="403">
        <v>2.2200000000000002</v>
      </c>
      <c r="P94" s="47">
        <f t="shared" si="16"/>
        <v>0</v>
      </c>
      <c r="Q94" s="371">
        <f t="shared" si="17"/>
        <v>0</v>
      </c>
      <c r="R94" s="21">
        <f t="shared" si="11"/>
        <v>353.12881581003944</v>
      </c>
      <c r="S94" s="369">
        <f t="shared" si="18"/>
        <v>357.10186967884255</v>
      </c>
    </row>
    <row r="95" spans="1:19" s="22" customFormat="1" x14ac:dyDescent="0.35">
      <c r="A95" s="19">
        <v>83</v>
      </c>
      <c r="B95" s="19">
        <v>99309</v>
      </c>
      <c r="C95" s="20" t="s">
        <v>368</v>
      </c>
      <c r="D95" s="113">
        <f>'As-Filed Schedule 4'!D95</f>
        <v>678</v>
      </c>
      <c r="E95" s="381">
        <f>SUMIFS(Adjustments!$G:$G,Adjustments!$H:$H,"4",Adjustments!$I:$I,'Schedule 4 Adjustments'!$D$14,Adjustments!$J:$J,'Schedule 4 Adjustments'!$A95)</f>
        <v>0</v>
      </c>
      <c r="F95" s="373">
        <f t="shared" si="12"/>
        <v>678</v>
      </c>
      <c r="G95" s="403">
        <v>3.21</v>
      </c>
      <c r="H95" s="47">
        <f t="shared" si="19"/>
        <v>2176.38</v>
      </c>
      <c r="I95" s="371">
        <f t="shared" si="13"/>
        <v>2176.38</v>
      </c>
      <c r="J95" s="21">
        <f t="shared" si="10"/>
        <v>510.60517961721916</v>
      </c>
      <c r="K95" s="369">
        <f t="shared" si="14"/>
        <v>516.35000075183984</v>
      </c>
      <c r="L95" s="141">
        <f>'As-Filed Schedule 4'!H95</f>
        <v>0</v>
      </c>
      <c r="M95" s="381">
        <f>SUMIFS(Adjustments!$G:$G,Adjustments!$H:$H,"4",Adjustments!$I:$I,'Schedule 4 Adjustments'!$L$14,Adjustments!$J:$J,'Schedule 4 Adjustments'!$A95)</f>
        <v>0</v>
      </c>
      <c r="N95" s="373">
        <f t="shared" si="15"/>
        <v>0</v>
      </c>
      <c r="O95" s="403">
        <v>3.21</v>
      </c>
      <c r="P95" s="47">
        <f t="shared" si="16"/>
        <v>0</v>
      </c>
      <c r="Q95" s="371">
        <f t="shared" si="17"/>
        <v>0</v>
      </c>
      <c r="R95" s="21">
        <f t="shared" si="11"/>
        <v>510.60517961721916</v>
      </c>
      <c r="S95" s="369">
        <f t="shared" si="18"/>
        <v>516.35000075183984</v>
      </c>
    </row>
    <row r="96" spans="1:19" s="22" customFormat="1" x14ac:dyDescent="0.35">
      <c r="A96" s="19">
        <v>84</v>
      </c>
      <c r="B96" s="19">
        <v>99310</v>
      </c>
      <c r="C96" s="20" t="s">
        <v>369</v>
      </c>
      <c r="D96" s="113">
        <f>'As-Filed Schedule 4'!D96</f>
        <v>260</v>
      </c>
      <c r="E96" s="381">
        <f>SUMIFS(Adjustments!$G:$G,Adjustments!$H:$H,"4",Adjustments!$I:$I,'Schedule 4 Adjustments'!$D$14,Adjustments!$J:$J,'Schedule 4 Adjustments'!$A96)</f>
        <v>0</v>
      </c>
      <c r="F96" s="373">
        <f t="shared" si="12"/>
        <v>260</v>
      </c>
      <c r="G96" s="403">
        <v>4.58</v>
      </c>
      <c r="H96" s="47">
        <f t="shared" si="19"/>
        <v>1190.8</v>
      </c>
      <c r="I96" s="371">
        <f t="shared" si="13"/>
        <v>1190.8</v>
      </c>
      <c r="J96" s="21">
        <f t="shared" si="10"/>
        <v>728.52701640089219</v>
      </c>
      <c r="K96" s="369">
        <f t="shared" si="14"/>
        <v>736.72367708517959</v>
      </c>
      <c r="L96" s="141">
        <f>'As-Filed Schedule 4'!H96</f>
        <v>0</v>
      </c>
      <c r="M96" s="381">
        <f>SUMIFS(Adjustments!$G:$G,Adjustments!$H:$H,"4",Adjustments!$I:$I,'Schedule 4 Adjustments'!$L$14,Adjustments!$J:$J,'Schedule 4 Adjustments'!$A96)</f>
        <v>0</v>
      </c>
      <c r="N96" s="373">
        <f t="shared" si="15"/>
        <v>0</v>
      </c>
      <c r="O96" s="403">
        <v>4.58</v>
      </c>
      <c r="P96" s="47">
        <f t="shared" si="16"/>
        <v>0</v>
      </c>
      <c r="Q96" s="371">
        <f t="shared" si="17"/>
        <v>0</v>
      </c>
      <c r="R96" s="21">
        <f t="shared" si="11"/>
        <v>728.52701640089219</v>
      </c>
      <c r="S96" s="369">
        <f t="shared" si="18"/>
        <v>736.72367708517959</v>
      </c>
    </row>
    <row r="97" spans="1:19" s="22" customFormat="1" x14ac:dyDescent="0.35">
      <c r="A97" s="19">
        <v>85</v>
      </c>
      <c r="B97" s="19">
        <v>99315</v>
      </c>
      <c r="C97" s="20" t="s">
        <v>370</v>
      </c>
      <c r="D97" s="113">
        <f>'As-Filed Schedule 4'!D97</f>
        <v>0</v>
      </c>
      <c r="E97" s="381">
        <f>SUMIFS(Adjustments!$G:$G,Adjustments!$H:$H,"4",Adjustments!$I:$I,'Schedule 4 Adjustments'!$D$14,Adjustments!$J:$J,'Schedule 4 Adjustments'!$A97)</f>
        <v>0</v>
      </c>
      <c r="F97" s="373">
        <f t="shared" si="12"/>
        <v>0</v>
      </c>
      <c r="G97" s="403">
        <v>2.4300000000000002</v>
      </c>
      <c r="H97" s="47">
        <f t="shared" si="19"/>
        <v>0</v>
      </c>
      <c r="I97" s="371">
        <f t="shared" si="13"/>
        <v>0</v>
      </c>
      <c r="J97" s="21">
        <f t="shared" si="10"/>
        <v>386.53289298125941</v>
      </c>
      <c r="K97" s="369">
        <f t="shared" si="14"/>
        <v>390.8817762700844</v>
      </c>
      <c r="L97" s="141">
        <f>'As-Filed Schedule 4'!H97</f>
        <v>0</v>
      </c>
      <c r="M97" s="381">
        <f>SUMIFS(Adjustments!$G:$G,Adjustments!$H:$H,"4",Adjustments!$I:$I,'Schedule 4 Adjustments'!$L$14,Adjustments!$J:$J,'Schedule 4 Adjustments'!$A97)</f>
        <v>0</v>
      </c>
      <c r="N97" s="373">
        <f t="shared" si="15"/>
        <v>0</v>
      </c>
      <c r="O97" s="403">
        <v>2.4300000000000002</v>
      </c>
      <c r="P97" s="47">
        <f t="shared" si="16"/>
        <v>0</v>
      </c>
      <c r="Q97" s="371">
        <f t="shared" si="17"/>
        <v>0</v>
      </c>
      <c r="R97" s="21">
        <f t="shared" si="11"/>
        <v>386.53289298125941</v>
      </c>
      <c r="S97" s="369">
        <f t="shared" si="18"/>
        <v>390.8817762700844</v>
      </c>
    </row>
    <row r="98" spans="1:19" s="22" customFormat="1" x14ac:dyDescent="0.35">
      <c r="A98" s="19">
        <v>86</v>
      </c>
      <c r="B98" s="19">
        <v>99316</v>
      </c>
      <c r="C98" s="20" t="s">
        <v>128</v>
      </c>
      <c r="D98" s="113">
        <f>'As-Filed Schedule 4'!D98</f>
        <v>0</v>
      </c>
      <c r="E98" s="381">
        <f>SUMIFS(Adjustments!$G:$G,Adjustments!$H:$H,"4",Adjustments!$I:$I,'Schedule 4 Adjustments'!$D$14,Adjustments!$J:$J,'Schedule 4 Adjustments'!$A98)</f>
        <v>0</v>
      </c>
      <c r="F98" s="373">
        <f t="shared" si="12"/>
        <v>0</v>
      </c>
      <c r="G98" s="403">
        <v>3.9</v>
      </c>
      <c r="H98" s="47">
        <f t="shared" si="19"/>
        <v>0</v>
      </c>
      <c r="I98" s="371">
        <f t="shared" si="13"/>
        <v>0</v>
      </c>
      <c r="J98" s="21">
        <f t="shared" si="10"/>
        <v>620.36143317979895</v>
      </c>
      <c r="K98" s="369">
        <f t="shared" si="14"/>
        <v>627.34112240877732</v>
      </c>
      <c r="L98" s="141">
        <f>'As-Filed Schedule 4'!H98</f>
        <v>0</v>
      </c>
      <c r="M98" s="381">
        <f>SUMIFS(Adjustments!$G:$G,Adjustments!$H:$H,"4",Adjustments!$I:$I,'Schedule 4 Adjustments'!$L$14,Adjustments!$J:$J,'Schedule 4 Adjustments'!$A98)</f>
        <v>0</v>
      </c>
      <c r="N98" s="373">
        <f t="shared" si="15"/>
        <v>0</v>
      </c>
      <c r="O98" s="403">
        <v>3.9</v>
      </c>
      <c r="P98" s="47">
        <f t="shared" si="16"/>
        <v>0</v>
      </c>
      <c r="Q98" s="371">
        <f t="shared" si="17"/>
        <v>0</v>
      </c>
      <c r="R98" s="21">
        <f t="shared" si="11"/>
        <v>620.36143317979895</v>
      </c>
      <c r="S98" s="369">
        <f t="shared" si="18"/>
        <v>627.34112240877732</v>
      </c>
    </row>
    <row r="99" spans="1:19" s="22" customFormat="1" x14ac:dyDescent="0.35">
      <c r="A99" s="19">
        <v>87</v>
      </c>
      <c r="B99" s="19">
        <v>99341</v>
      </c>
      <c r="C99" s="20" t="s">
        <v>371</v>
      </c>
      <c r="D99" s="113">
        <f>'As-Filed Schedule 4'!D99</f>
        <v>0</v>
      </c>
      <c r="E99" s="381">
        <f>SUMIFS(Adjustments!$G:$G,Adjustments!$H:$H,"4",Adjustments!$I:$I,'Schedule 4 Adjustments'!$D$14,Adjustments!$J:$J,'Schedule 4 Adjustments'!$A99)</f>
        <v>0</v>
      </c>
      <c r="F99" s="373">
        <f t="shared" si="12"/>
        <v>0</v>
      </c>
      <c r="G99" s="403">
        <v>1.47</v>
      </c>
      <c r="H99" s="47">
        <f t="shared" si="19"/>
        <v>0</v>
      </c>
      <c r="I99" s="371">
        <f t="shared" si="13"/>
        <v>0</v>
      </c>
      <c r="J99" s="21">
        <f t="shared" si="10"/>
        <v>233.82854019853963</v>
      </c>
      <c r="K99" s="369">
        <f t="shared" si="14"/>
        <v>236.45934613869301</v>
      </c>
      <c r="L99" s="141">
        <f>'As-Filed Schedule 4'!H99</f>
        <v>0</v>
      </c>
      <c r="M99" s="381">
        <f>SUMIFS(Adjustments!$G:$G,Adjustments!$H:$H,"4",Adjustments!$I:$I,'Schedule 4 Adjustments'!$L$14,Adjustments!$J:$J,'Schedule 4 Adjustments'!$A99)</f>
        <v>0</v>
      </c>
      <c r="N99" s="373">
        <f t="shared" si="15"/>
        <v>0</v>
      </c>
      <c r="O99" s="403">
        <v>1.47</v>
      </c>
      <c r="P99" s="47">
        <f t="shared" si="16"/>
        <v>0</v>
      </c>
      <c r="Q99" s="371">
        <f t="shared" si="17"/>
        <v>0</v>
      </c>
      <c r="R99" s="21">
        <f t="shared" si="11"/>
        <v>233.82854019853963</v>
      </c>
      <c r="S99" s="369">
        <f t="shared" si="18"/>
        <v>236.45934613869301</v>
      </c>
    </row>
    <row r="100" spans="1:19" s="22" customFormat="1" x14ac:dyDescent="0.35">
      <c r="A100" s="19">
        <v>88</v>
      </c>
      <c r="B100" s="19">
        <v>99342</v>
      </c>
      <c r="C100" s="20" t="s">
        <v>372</v>
      </c>
      <c r="D100" s="113">
        <f>'As-Filed Schedule 4'!D100</f>
        <v>0</v>
      </c>
      <c r="E100" s="381">
        <f>SUMIFS(Adjustments!$G:$G,Adjustments!$H:$H,"4",Adjustments!$I:$I,'Schedule 4 Adjustments'!$D$14,Adjustments!$J:$J,'Schedule 4 Adjustments'!$A100)</f>
        <v>0</v>
      </c>
      <c r="F100" s="373">
        <f t="shared" si="12"/>
        <v>0</v>
      </c>
      <c r="G100" s="403">
        <v>2.33</v>
      </c>
      <c r="H100" s="47">
        <f t="shared" si="19"/>
        <v>0</v>
      </c>
      <c r="I100" s="371">
        <f t="shared" si="13"/>
        <v>0</v>
      </c>
      <c r="J100" s="21">
        <f t="shared" si="10"/>
        <v>370.62618956639272</v>
      </c>
      <c r="K100" s="369">
        <f t="shared" si="14"/>
        <v>374.79610646473111</v>
      </c>
      <c r="L100" s="141">
        <f>'As-Filed Schedule 4'!H100</f>
        <v>0</v>
      </c>
      <c r="M100" s="381">
        <f>SUMIFS(Adjustments!$G:$G,Adjustments!$H:$H,"4",Adjustments!$I:$I,'Schedule 4 Adjustments'!$L$14,Adjustments!$J:$J,'Schedule 4 Adjustments'!$A100)</f>
        <v>0</v>
      </c>
      <c r="N100" s="373">
        <f t="shared" si="15"/>
        <v>0</v>
      </c>
      <c r="O100" s="403">
        <v>2.33</v>
      </c>
      <c r="P100" s="47">
        <f t="shared" si="16"/>
        <v>0</v>
      </c>
      <c r="Q100" s="371">
        <f t="shared" si="17"/>
        <v>0</v>
      </c>
      <c r="R100" s="21">
        <f t="shared" si="11"/>
        <v>370.62618956639272</v>
      </c>
      <c r="S100" s="369">
        <f t="shared" si="18"/>
        <v>374.79610646473111</v>
      </c>
    </row>
    <row r="101" spans="1:19" s="22" customFormat="1" x14ac:dyDescent="0.35">
      <c r="A101" s="19">
        <v>89</v>
      </c>
      <c r="B101" s="19">
        <v>99344</v>
      </c>
      <c r="C101" s="20" t="s">
        <v>373</v>
      </c>
      <c r="D101" s="113">
        <f>'As-Filed Schedule 4'!D101</f>
        <v>0</v>
      </c>
      <c r="E101" s="381">
        <f>SUMIFS(Adjustments!$G:$G,Adjustments!$H:$H,"4",Adjustments!$I:$I,'Schedule 4 Adjustments'!$D$14,Adjustments!$J:$J,'Schedule 4 Adjustments'!$A101)</f>
        <v>0</v>
      </c>
      <c r="F101" s="373">
        <f t="shared" si="12"/>
        <v>0</v>
      </c>
      <c r="G101" s="403">
        <v>4.2300000000000004</v>
      </c>
      <c r="H101" s="47">
        <f t="shared" si="19"/>
        <v>0</v>
      </c>
      <c r="I101" s="371">
        <f t="shared" si="13"/>
        <v>0</v>
      </c>
      <c r="J101" s="21">
        <f t="shared" si="10"/>
        <v>672.85355444885897</v>
      </c>
      <c r="K101" s="369">
        <f t="shared" si="14"/>
        <v>680.42383276644318</v>
      </c>
      <c r="L101" s="141">
        <f>'As-Filed Schedule 4'!H101</f>
        <v>0</v>
      </c>
      <c r="M101" s="381">
        <f>SUMIFS(Adjustments!$G:$G,Adjustments!$H:$H,"4",Adjustments!$I:$I,'Schedule 4 Adjustments'!$L$14,Adjustments!$J:$J,'Schedule 4 Adjustments'!$A101)</f>
        <v>0</v>
      </c>
      <c r="N101" s="373">
        <f t="shared" si="15"/>
        <v>0</v>
      </c>
      <c r="O101" s="403">
        <v>4.2300000000000004</v>
      </c>
      <c r="P101" s="47">
        <f t="shared" si="16"/>
        <v>0</v>
      </c>
      <c r="Q101" s="371">
        <f t="shared" si="17"/>
        <v>0</v>
      </c>
      <c r="R101" s="21">
        <f t="shared" si="11"/>
        <v>672.85355444885897</v>
      </c>
      <c r="S101" s="369">
        <f t="shared" si="18"/>
        <v>680.42383276644318</v>
      </c>
    </row>
    <row r="102" spans="1:19" s="22" customFormat="1" x14ac:dyDescent="0.35">
      <c r="A102" s="19">
        <v>90</v>
      </c>
      <c r="B102" s="19">
        <v>99345</v>
      </c>
      <c r="C102" s="20" t="s">
        <v>374</v>
      </c>
      <c r="D102" s="113">
        <f>'As-Filed Schedule 4'!D102</f>
        <v>0</v>
      </c>
      <c r="E102" s="381">
        <f>SUMIFS(Adjustments!$G:$G,Adjustments!$H:$H,"4",Adjustments!$I:$I,'Schedule 4 Adjustments'!$D$14,Adjustments!$J:$J,'Schedule 4 Adjustments'!$A102)</f>
        <v>0</v>
      </c>
      <c r="F102" s="373">
        <f t="shared" si="12"/>
        <v>0</v>
      </c>
      <c r="G102" s="403">
        <v>6.01</v>
      </c>
      <c r="H102" s="47">
        <f t="shared" si="19"/>
        <v>0</v>
      </c>
      <c r="I102" s="371">
        <f t="shared" si="13"/>
        <v>0</v>
      </c>
      <c r="J102" s="21">
        <f t="shared" si="10"/>
        <v>955.99287523348505</v>
      </c>
      <c r="K102" s="369">
        <f t="shared" si="14"/>
        <v>966.74875530173119</v>
      </c>
      <c r="L102" s="141">
        <f>'As-Filed Schedule 4'!H102</f>
        <v>0</v>
      </c>
      <c r="M102" s="381">
        <f>SUMIFS(Adjustments!$G:$G,Adjustments!$H:$H,"4",Adjustments!$I:$I,'Schedule 4 Adjustments'!$L$14,Adjustments!$J:$J,'Schedule 4 Adjustments'!$A102)</f>
        <v>0</v>
      </c>
      <c r="N102" s="373">
        <f t="shared" si="15"/>
        <v>0</v>
      </c>
      <c r="O102" s="403">
        <v>6.01</v>
      </c>
      <c r="P102" s="47">
        <f t="shared" si="16"/>
        <v>0</v>
      </c>
      <c r="Q102" s="371">
        <f t="shared" si="17"/>
        <v>0</v>
      </c>
      <c r="R102" s="21">
        <f t="shared" si="11"/>
        <v>955.99287523348505</v>
      </c>
      <c r="S102" s="369">
        <f t="shared" si="18"/>
        <v>966.74875530173119</v>
      </c>
    </row>
    <row r="103" spans="1:19" s="22" customFormat="1" x14ac:dyDescent="0.35">
      <c r="A103" s="19">
        <v>91</v>
      </c>
      <c r="B103" s="19">
        <v>99347</v>
      </c>
      <c r="C103" s="20" t="s">
        <v>375</v>
      </c>
      <c r="D103" s="113">
        <f>'As-Filed Schedule 4'!D103</f>
        <v>0</v>
      </c>
      <c r="E103" s="381">
        <f>SUMIFS(Adjustments!$G:$G,Adjustments!$H:$H,"4",Adjustments!$I:$I,'Schedule 4 Adjustments'!$D$14,Adjustments!$J:$J,'Schedule 4 Adjustments'!$A103)</f>
        <v>0</v>
      </c>
      <c r="F103" s="373">
        <f t="shared" si="12"/>
        <v>0</v>
      </c>
      <c r="G103" s="403">
        <v>1.35</v>
      </c>
      <c r="H103" s="47">
        <f t="shared" si="19"/>
        <v>0</v>
      </c>
      <c r="I103" s="371">
        <f t="shared" si="13"/>
        <v>0</v>
      </c>
      <c r="J103" s="21">
        <f t="shared" si="10"/>
        <v>214.74049610069966</v>
      </c>
      <c r="K103" s="369">
        <f t="shared" si="14"/>
        <v>217.15654237226909</v>
      </c>
      <c r="L103" s="141">
        <f>'As-Filed Schedule 4'!H103</f>
        <v>0</v>
      </c>
      <c r="M103" s="381">
        <f>SUMIFS(Adjustments!$G:$G,Adjustments!$H:$H,"4",Adjustments!$I:$I,'Schedule 4 Adjustments'!$L$14,Adjustments!$J:$J,'Schedule 4 Adjustments'!$A103)</f>
        <v>0</v>
      </c>
      <c r="N103" s="373">
        <f t="shared" si="15"/>
        <v>0</v>
      </c>
      <c r="O103" s="403">
        <v>1.35</v>
      </c>
      <c r="P103" s="47">
        <f t="shared" si="16"/>
        <v>0</v>
      </c>
      <c r="Q103" s="371">
        <f t="shared" si="17"/>
        <v>0</v>
      </c>
      <c r="R103" s="21">
        <f t="shared" si="11"/>
        <v>214.74049610069966</v>
      </c>
      <c r="S103" s="369">
        <f t="shared" si="18"/>
        <v>217.15654237226909</v>
      </c>
    </row>
    <row r="104" spans="1:19" s="22" customFormat="1" x14ac:dyDescent="0.35">
      <c r="A104" s="19">
        <v>92</v>
      </c>
      <c r="B104" s="19">
        <v>99348</v>
      </c>
      <c r="C104" s="20" t="s">
        <v>376</v>
      </c>
      <c r="D104" s="113">
        <f>'As-Filed Schedule 4'!D104</f>
        <v>0</v>
      </c>
      <c r="E104" s="381">
        <f>SUMIFS(Adjustments!$G:$G,Adjustments!$H:$H,"4",Adjustments!$I:$I,'Schedule 4 Adjustments'!$D$14,Adjustments!$J:$J,'Schedule 4 Adjustments'!$A104)</f>
        <v>0</v>
      </c>
      <c r="F104" s="373">
        <f t="shared" si="12"/>
        <v>0</v>
      </c>
      <c r="G104" s="403">
        <v>2.2799999999999998</v>
      </c>
      <c r="H104" s="47">
        <f t="shared" si="19"/>
        <v>0</v>
      </c>
      <c r="I104" s="371">
        <f t="shared" si="13"/>
        <v>0</v>
      </c>
      <c r="J104" s="21">
        <f t="shared" si="10"/>
        <v>362.67283785895938</v>
      </c>
      <c r="K104" s="369">
        <f t="shared" si="14"/>
        <v>366.75327156205441</v>
      </c>
      <c r="L104" s="141">
        <f>'As-Filed Schedule 4'!H104</f>
        <v>0</v>
      </c>
      <c r="M104" s="381">
        <f>SUMIFS(Adjustments!$G:$G,Adjustments!$H:$H,"4",Adjustments!$I:$I,'Schedule 4 Adjustments'!$L$14,Adjustments!$J:$J,'Schedule 4 Adjustments'!$A104)</f>
        <v>0</v>
      </c>
      <c r="N104" s="373">
        <f t="shared" si="15"/>
        <v>0</v>
      </c>
      <c r="O104" s="403">
        <v>2.2799999999999998</v>
      </c>
      <c r="P104" s="47">
        <f t="shared" si="16"/>
        <v>0</v>
      </c>
      <c r="Q104" s="371">
        <f t="shared" si="17"/>
        <v>0</v>
      </c>
      <c r="R104" s="21">
        <f t="shared" si="11"/>
        <v>362.67283785895938</v>
      </c>
      <c r="S104" s="369">
        <f t="shared" si="18"/>
        <v>366.75327156205441</v>
      </c>
    </row>
    <row r="105" spans="1:19" s="22" customFormat="1" x14ac:dyDescent="0.35">
      <c r="A105" s="19">
        <v>93</v>
      </c>
      <c r="B105" s="19">
        <v>99349</v>
      </c>
      <c r="C105" s="20" t="s">
        <v>377</v>
      </c>
      <c r="D105" s="113">
        <f>'As-Filed Schedule 4'!D105</f>
        <v>0</v>
      </c>
      <c r="E105" s="381">
        <f>SUMIFS(Adjustments!$G:$G,Adjustments!$H:$H,"4",Adjustments!$I:$I,'Schedule 4 Adjustments'!$D$14,Adjustments!$J:$J,'Schedule 4 Adjustments'!$A105)</f>
        <v>0</v>
      </c>
      <c r="F105" s="373">
        <f t="shared" si="12"/>
        <v>0</v>
      </c>
      <c r="G105" s="403">
        <v>3.79</v>
      </c>
      <c r="H105" s="47">
        <f t="shared" si="19"/>
        <v>0</v>
      </c>
      <c r="I105" s="371">
        <f t="shared" si="13"/>
        <v>0</v>
      </c>
      <c r="J105" s="21">
        <f t="shared" si="10"/>
        <v>602.86405942344572</v>
      </c>
      <c r="K105" s="369">
        <f t="shared" si="14"/>
        <v>609.64688562288882</v>
      </c>
      <c r="L105" s="141">
        <f>'As-Filed Schedule 4'!H105</f>
        <v>0</v>
      </c>
      <c r="M105" s="381">
        <f>SUMIFS(Adjustments!$G:$G,Adjustments!$H:$H,"4",Adjustments!$I:$I,'Schedule 4 Adjustments'!$L$14,Adjustments!$J:$J,'Schedule 4 Adjustments'!$A105)</f>
        <v>0</v>
      </c>
      <c r="N105" s="373">
        <f t="shared" si="15"/>
        <v>0</v>
      </c>
      <c r="O105" s="403">
        <v>3.79</v>
      </c>
      <c r="P105" s="47">
        <f t="shared" si="16"/>
        <v>0</v>
      </c>
      <c r="Q105" s="371">
        <f t="shared" si="17"/>
        <v>0</v>
      </c>
      <c r="R105" s="21">
        <f t="shared" si="11"/>
        <v>602.86405942344572</v>
      </c>
      <c r="S105" s="369">
        <f t="shared" si="18"/>
        <v>609.64688562288882</v>
      </c>
    </row>
    <row r="106" spans="1:19" s="22" customFormat="1" x14ac:dyDescent="0.35">
      <c r="A106" s="19">
        <v>94</v>
      </c>
      <c r="B106" s="19">
        <v>99350</v>
      </c>
      <c r="C106" s="20" t="s">
        <v>378</v>
      </c>
      <c r="D106" s="113">
        <f>'As-Filed Schedule 4'!D106</f>
        <v>0</v>
      </c>
      <c r="E106" s="381">
        <f>SUMIFS(Adjustments!$G:$G,Adjustments!$H:$H,"4",Adjustments!$I:$I,'Schedule 4 Adjustments'!$D$14,Adjustments!$J:$J,'Schedule 4 Adjustments'!$A106)</f>
        <v>0</v>
      </c>
      <c r="F106" s="373">
        <f t="shared" si="12"/>
        <v>0</v>
      </c>
      <c r="G106" s="403">
        <v>5.52</v>
      </c>
      <c r="H106" s="47">
        <f t="shared" si="19"/>
        <v>0</v>
      </c>
      <c r="I106" s="371">
        <f t="shared" si="13"/>
        <v>0</v>
      </c>
      <c r="J106" s="21">
        <f t="shared" si="10"/>
        <v>878.05002850063852</v>
      </c>
      <c r="K106" s="369">
        <f t="shared" si="14"/>
        <v>887.92897325550018</v>
      </c>
      <c r="L106" s="141">
        <f>'As-Filed Schedule 4'!H106</f>
        <v>0</v>
      </c>
      <c r="M106" s="381">
        <f>SUMIFS(Adjustments!$G:$G,Adjustments!$H:$H,"4",Adjustments!$I:$I,'Schedule 4 Adjustments'!$L$14,Adjustments!$J:$J,'Schedule 4 Adjustments'!$A106)</f>
        <v>0</v>
      </c>
      <c r="N106" s="373">
        <f t="shared" si="15"/>
        <v>0</v>
      </c>
      <c r="O106" s="403">
        <v>5.52</v>
      </c>
      <c r="P106" s="47">
        <f t="shared" si="16"/>
        <v>0</v>
      </c>
      <c r="Q106" s="371">
        <f t="shared" si="17"/>
        <v>0</v>
      </c>
      <c r="R106" s="21">
        <f t="shared" si="11"/>
        <v>878.05002850063852</v>
      </c>
      <c r="S106" s="369">
        <f t="shared" si="18"/>
        <v>887.92897325550018</v>
      </c>
    </row>
    <row r="107" spans="1:19" s="22" customFormat="1" x14ac:dyDescent="0.35">
      <c r="A107" s="19">
        <v>95</v>
      </c>
      <c r="B107" s="19">
        <v>99366</v>
      </c>
      <c r="C107" s="20" t="s">
        <v>379</v>
      </c>
      <c r="D107" s="113">
        <f>'As-Filed Schedule 4'!D107</f>
        <v>0</v>
      </c>
      <c r="E107" s="381">
        <f>SUMIFS(Adjustments!$G:$G,Adjustments!$H:$H,"4",Adjustments!$I:$I,'Schedule 4 Adjustments'!$D$14,Adjustments!$J:$J,'Schedule 4 Adjustments'!$A107)</f>
        <v>0</v>
      </c>
      <c r="F107" s="373">
        <f t="shared" si="12"/>
        <v>0</v>
      </c>
      <c r="G107" s="403">
        <v>1.22</v>
      </c>
      <c r="H107" s="47">
        <f t="shared" si="19"/>
        <v>0</v>
      </c>
      <c r="I107" s="371">
        <f t="shared" si="13"/>
        <v>0</v>
      </c>
      <c r="J107" s="21">
        <f t="shared" si="10"/>
        <v>194.061781661373</v>
      </c>
      <c r="K107" s="369">
        <f t="shared" si="14"/>
        <v>196.24517162530984</v>
      </c>
      <c r="L107" s="141">
        <f>'As-Filed Schedule 4'!H107</f>
        <v>0</v>
      </c>
      <c r="M107" s="381">
        <f>SUMIFS(Adjustments!$G:$G,Adjustments!$H:$H,"4",Adjustments!$I:$I,'Schedule 4 Adjustments'!$L$14,Adjustments!$J:$J,'Schedule 4 Adjustments'!$A107)</f>
        <v>0</v>
      </c>
      <c r="N107" s="373">
        <f t="shared" si="15"/>
        <v>0</v>
      </c>
      <c r="O107" s="403">
        <v>1.19</v>
      </c>
      <c r="P107" s="47">
        <f t="shared" si="16"/>
        <v>0</v>
      </c>
      <c r="Q107" s="371">
        <f t="shared" si="17"/>
        <v>0</v>
      </c>
      <c r="R107" s="21">
        <f t="shared" si="11"/>
        <v>189.289770636913</v>
      </c>
      <c r="S107" s="369">
        <f t="shared" si="18"/>
        <v>191.41947068370385</v>
      </c>
    </row>
    <row r="108" spans="1:19" s="22" customFormat="1" x14ac:dyDescent="0.35">
      <c r="A108" s="19">
        <v>96</v>
      </c>
      <c r="B108" s="19">
        <v>99367</v>
      </c>
      <c r="C108" s="20" t="s">
        <v>380</v>
      </c>
      <c r="D108" s="113">
        <f>'As-Filed Schedule 4'!D108</f>
        <v>0</v>
      </c>
      <c r="E108" s="381">
        <f>SUMIFS(Adjustments!$G:$G,Adjustments!$H:$H,"4",Adjustments!$I:$I,'Schedule 4 Adjustments'!$D$14,Adjustments!$J:$J,'Schedule 4 Adjustments'!$A108)</f>
        <v>0</v>
      </c>
      <c r="F108" s="373">
        <f t="shared" si="12"/>
        <v>0</v>
      </c>
      <c r="G108" s="403">
        <v>1.6</v>
      </c>
      <c r="H108" s="47">
        <f t="shared" si="19"/>
        <v>0</v>
      </c>
      <c r="I108" s="371">
        <f t="shared" si="13"/>
        <v>0</v>
      </c>
      <c r="J108" s="21">
        <f t="shared" si="10"/>
        <v>254.50725463786625</v>
      </c>
      <c r="K108" s="369">
        <f t="shared" si="14"/>
        <v>257.37071688565226</v>
      </c>
      <c r="L108" s="141">
        <f>'As-Filed Schedule 4'!H108</f>
        <v>0</v>
      </c>
      <c r="M108" s="381">
        <f>SUMIFS(Adjustments!$G:$G,Adjustments!$H:$H,"4",Adjustments!$I:$I,'Schedule 4 Adjustments'!$L$14,Adjustments!$J:$J,'Schedule 4 Adjustments'!$A108)</f>
        <v>0</v>
      </c>
      <c r="N108" s="373">
        <f t="shared" si="15"/>
        <v>0</v>
      </c>
      <c r="O108" s="403">
        <v>1.6</v>
      </c>
      <c r="P108" s="47">
        <f t="shared" si="16"/>
        <v>0</v>
      </c>
      <c r="Q108" s="371">
        <f t="shared" si="17"/>
        <v>0</v>
      </c>
      <c r="R108" s="21">
        <f t="shared" si="11"/>
        <v>254.50725463786625</v>
      </c>
      <c r="S108" s="369">
        <f t="shared" si="18"/>
        <v>257.37071688565226</v>
      </c>
    </row>
    <row r="109" spans="1:19" s="22" customFormat="1" x14ac:dyDescent="0.35">
      <c r="A109" s="19">
        <v>97</v>
      </c>
      <c r="B109" s="19">
        <v>99368</v>
      </c>
      <c r="C109" s="20" t="s">
        <v>381</v>
      </c>
      <c r="D109" s="113">
        <f>'As-Filed Schedule 4'!D109</f>
        <v>0</v>
      </c>
      <c r="E109" s="381">
        <f>SUMIFS(Adjustments!$G:$G,Adjustments!$H:$H,"4",Adjustments!$I:$I,'Schedule 4 Adjustments'!$D$14,Adjustments!$J:$J,'Schedule 4 Adjustments'!$A109)</f>
        <v>0</v>
      </c>
      <c r="F109" s="373">
        <f t="shared" si="12"/>
        <v>0</v>
      </c>
      <c r="G109" s="403">
        <v>1.04</v>
      </c>
      <c r="H109" s="47">
        <f t="shared" si="19"/>
        <v>0</v>
      </c>
      <c r="I109" s="371">
        <f t="shared" si="13"/>
        <v>0</v>
      </c>
      <c r="J109" s="21">
        <f t="shared" si="10"/>
        <v>165.42971551461306</v>
      </c>
      <c r="K109" s="369">
        <f t="shared" si="14"/>
        <v>167.29096597567397</v>
      </c>
      <c r="L109" s="141">
        <f>'As-Filed Schedule 4'!H109</f>
        <v>0</v>
      </c>
      <c r="M109" s="381">
        <f>SUMIFS(Adjustments!$G:$G,Adjustments!$H:$H,"4",Adjustments!$I:$I,'Schedule 4 Adjustments'!$L$14,Adjustments!$J:$J,'Schedule 4 Adjustments'!$A109)</f>
        <v>0</v>
      </c>
      <c r="N109" s="373">
        <f t="shared" si="15"/>
        <v>0</v>
      </c>
      <c r="O109" s="403">
        <v>1.04</v>
      </c>
      <c r="P109" s="47">
        <f t="shared" si="16"/>
        <v>0</v>
      </c>
      <c r="Q109" s="371">
        <f t="shared" si="17"/>
        <v>0</v>
      </c>
      <c r="R109" s="21">
        <f t="shared" si="11"/>
        <v>165.42971551461306</v>
      </c>
      <c r="S109" s="369">
        <f t="shared" si="18"/>
        <v>167.29096597567397</v>
      </c>
    </row>
    <row r="110" spans="1:19" s="22" customFormat="1" x14ac:dyDescent="0.35">
      <c r="A110" s="19">
        <v>98</v>
      </c>
      <c r="B110" s="19">
        <v>99441</v>
      </c>
      <c r="C110" s="20" t="s">
        <v>382</v>
      </c>
      <c r="D110" s="113">
        <f>'As-Filed Schedule 4'!D110</f>
        <v>0</v>
      </c>
      <c r="E110" s="381">
        <f>SUMIFS(Adjustments!$G:$G,Adjustments!$H:$H,"4",Adjustments!$I:$I,'Schedule 4 Adjustments'!$D$14,Adjustments!$J:$J,'Schedule 4 Adjustments'!$A110)</f>
        <v>0</v>
      </c>
      <c r="F110" s="373">
        <f t="shared" si="12"/>
        <v>0</v>
      </c>
      <c r="G110" s="403">
        <v>1.69</v>
      </c>
      <c r="H110" s="47">
        <f t="shared" si="19"/>
        <v>0</v>
      </c>
      <c r="I110" s="371">
        <f t="shared" si="13"/>
        <v>0</v>
      </c>
      <c r="J110" s="21">
        <f t="shared" si="10"/>
        <v>268.82328771124622</v>
      </c>
      <c r="K110" s="369">
        <f t="shared" si="14"/>
        <v>271.84781971047016</v>
      </c>
      <c r="L110" s="141">
        <f>'As-Filed Schedule 4'!H110</f>
        <v>0</v>
      </c>
      <c r="M110" s="381">
        <f>SUMIFS(Adjustments!$G:$G,Adjustments!$H:$H,"4",Adjustments!$I:$I,'Schedule 4 Adjustments'!$L$14,Adjustments!$J:$J,'Schedule 4 Adjustments'!$A110)</f>
        <v>0</v>
      </c>
      <c r="N110" s="373">
        <f t="shared" si="15"/>
        <v>0</v>
      </c>
      <c r="O110" s="403">
        <v>1.04</v>
      </c>
      <c r="P110" s="47">
        <f t="shared" si="16"/>
        <v>0</v>
      </c>
      <c r="Q110" s="371">
        <f t="shared" si="17"/>
        <v>0</v>
      </c>
      <c r="R110" s="21">
        <f t="shared" si="11"/>
        <v>165.42971551461306</v>
      </c>
      <c r="S110" s="369">
        <f t="shared" si="18"/>
        <v>167.29096597567397</v>
      </c>
    </row>
    <row r="111" spans="1:19" s="22" customFormat="1" x14ac:dyDescent="0.35">
      <c r="A111" s="19">
        <v>99</v>
      </c>
      <c r="B111" s="19">
        <v>99442</v>
      </c>
      <c r="C111" s="20" t="s">
        <v>383</v>
      </c>
      <c r="D111" s="113">
        <f>'As-Filed Schedule 4'!D111</f>
        <v>0</v>
      </c>
      <c r="E111" s="381">
        <f>SUMIFS(Adjustments!$G:$G,Adjustments!$H:$H,"4",Adjustments!$I:$I,'Schedule 4 Adjustments'!$D$14,Adjustments!$J:$J,'Schedule 4 Adjustments'!$A111)</f>
        <v>0</v>
      </c>
      <c r="F111" s="373">
        <f t="shared" si="12"/>
        <v>0</v>
      </c>
      <c r="G111" s="403">
        <v>2.72</v>
      </c>
      <c r="H111" s="47">
        <f t="shared" si="19"/>
        <v>0</v>
      </c>
      <c r="I111" s="371">
        <f t="shared" si="13"/>
        <v>0</v>
      </c>
      <c r="J111" s="21">
        <f t="shared" si="10"/>
        <v>432.66233288437269</v>
      </c>
      <c r="K111" s="369">
        <f t="shared" si="14"/>
        <v>437.53021870560883</v>
      </c>
      <c r="L111" s="141">
        <f>'As-Filed Schedule 4'!H111</f>
        <v>0</v>
      </c>
      <c r="M111" s="381">
        <f>SUMIFS(Adjustments!$G:$G,Adjustments!$H:$H,"4",Adjustments!$I:$I,'Schedule 4 Adjustments'!$L$14,Adjustments!$J:$J,'Schedule 4 Adjustments'!$A111)</f>
        <v>0</v>
      </c>
      <c r="N111" s="373">
        <f t="shared" si="15"/>
        <v>0</v>
      </c>
      <c r="O111" s="403">
        <v>1.95</v>
      </c>
      <c r="P111" s="47">
        <f t="shared" si="16"/>
        <v>0</v>
      </c>
      <c r="Q111" s="371">
        <f t="shared" si="17"/>
        <v>0</v>
      </c>
      <c r="R111" s="21">
        <f t="shared" si="11"/>
        <v>310.18071658989948</v>
      </c>
      <c r="S111" s="369">
        <f t="shared" si="18"/>
        <v>313.67056120438866</v>
      </c>
    </row>
    <row r="112" spans="1:19" s="22" customFormat="1" x14ac:dyDescent="0.35">
      <c r="A112" s="19">
        <v>100</v>
      </c>
      <c r="B112" s="19">
        <v>99443</v>
      </c>
      <c r="C112" s="20" t="s">
        <v>384</v>
      </c>
      <c r="D112" s="113">
        <f>'As-Filed Schedule 4'!D112</f>
        <v>0</v>
      </c>
      <c r="E112" s="381">
        <f>SUMIFS(Adjustments!$G:$G,Adjustments!$H:$H,"4",Adjustments!$I:$I,'Schedule 4 Adjustments'!$D$14,Adjustments!$J:$J,'Schedule 4 Adjustments'!$A112)</f>
        <v>0</v>
      </c>
      <c r="F112" s="373">
        <f t="shared" si="12"/>
        <v>0</v>
      </c>
      <c r="G112" s="403">
        <v>3.85</v>
      </c>
      <c r="H112" s="47">
        <f t="shared" si="19"/>
        <v>0</v>
      </c>
      <c r="I112" s="371">
        <f t="shared" si="13"/>
        <v>0</v>
      </c>
      <c r="J112" s="21">
        <f t="shared" si="10"/>
        <v>612.40808147236567</v>
      </c>
      <c r="K112" s="369">
        <f t="shared" si="14"/>
        <v>619.29828750610068</v>
      </c>
      <c r="L112" s="141">
        <f>'As-Filed Schedule 4'!H112</f>
        <v>0</v>
      </c>
      <c r="M112" s="381">
        <f>SUMIFS(Adjustments!$G:$G,Adjustments!$H:$H,"4",Adjustments!$I:$I,'Schedule 4 Adjustments'!$L$14,Adjustments!$J:$J,'Schedule 4 Adjustments'!$A112)</f>
        <v>0</v>
      </c>
      <c r="N112" s="373">
        <f t="shared" si="15"/>
        <v>0</v>
      </c>
      <c r="O112" s="403">
        <v>2.89</v>
      </c>
      <c r="P112" s="47">
        <f t="shared" si="16"/>
        <v>0</v>
      </c>
      <c r="Q112" s="371">
        <f t="shared" si="17"/>
        <v>0</v>
      </c>
      <c r="R112" s="21">
        <f t="shared" si="11"/>
        <v>459.70372868964591</v>
      </c>
      <c r="S112" s="369">
        <f t="shared" si="18"/>
        <v>464.87585737470937</v>
      </c>
    </row>
    <row r="113" spans="1:19" s="22" customFormat="1" ht="34.5" customHeight="1" x14ac:dyDescent="0.35">
      <c r="A113" s="19">
        <v>101</v>
      </c>
      <c r="B113" s="19" t="s">
        <v>42</v>
      </c>
      <c r="C113" s="20" t="s">
        <v>385</v>
      </c>
      <c r="D113" s="113">
        <f>'As-Filed Schedule 4'!D113</f>
        <v>0</v>
      </c>
      <c r="E113" s="381">
        <f>SUMIFS(Adjustments!$G:$G,Adjustments!$H:$H,"4",Adjustments!$I:$I,'Schedule 4 Adjustments'!$D$14,Adjustments!$J:$J,'Schedule 4 Adjustments'!$A113)</f>
        <v>0</v>
      </c>
      <c r="F113" s="373">
        <f t="shared" si="12"/>
        <v>0</v>
      </c>
      <c r="G113" s="403">
        <v>1.27</v>
      </c>
      <c r="H113" s="47">
        <f t="shared" si="19"/>
        <v>0</v>
      </c>
      <c r="I113" s="371">
        <f t="shared" si="13"/>
        <v>0</v>
      </c>
      <c r="J113" s="21">
        <f t="shared" si="10"/>
        <v>202.01513336880635</v>
      </c>
      <c r="K113" s="369">
        <f t="shared" si="14"/>
        <v>204.28800652798648</v>
      </c>
      <c r="L113" s="141">
        <f>'As-Filed Schedule 4'!H113</f>
        <v>0</v>
      </c>
      <c r="M113" s="381">
        <f>SUMIFS(Adjustments!$G:$G,Adjustments!$H:$H,"4",Adjustments!$I:$I,'Schedule 4 Adjustments'!$L$14,Adjustments!$J:$J,'Schedule 4 Adjustments'!$A113)</f>
        <v>0</v>
      </c>
      <c r="N113" s="373">
        <f t="shared" si="15"/>
        <v>0</v>
      </c>
      <c r="O113" s="403">
        <v>1.1100000000000001</v>
      </c>
      <c r="P113" s="47">
        <f t="shared" si="16"/>
        <v>0</v>
      </c>
      <c r="Q113" s="371">
        <f t="shared" si="17"/>
        <v>0</v>
      </c>
      <c r="R113" s="21">
        <f t="shared" si="11"/>
        <v>176.56440790501972</v>
      </c>
      <c r="S113" s="369">
        <f t="shared" si="18"/>
        <v>178.55093483942127</v>
      </c>
    </row>
    <row r="114" spans="1:19" s="22" customFormat="1" ht="29" x14ac:dyDescent="0.35">
      <c r="A114" s="19">
        <v>102</v>
      </c>
      <c r="B114" s="19" t="s">
        <v>43</v>
      </c>
      <c r="C114" s="20" t="s">
        <v>386</v>
      </c>
      <c r="D114" s="113">
        <f>'As-Filed Schedule 4'!D114</f>
        <v>0</v>
      </c>
      <c r="E114" s="381">
        <f>SUMIFS(Adjustments!$G:$G,Adjustments!$H:$H,"4",Adjustments!$I:$I,'Schedule 4 Adjustments'!$D$14,Adjustments!$J:$J,'Schedule 4 Adjustments'!$A114)</f>
        <v>0</v>
      </c>
      <c r="F114" s="373">
        <f t="shared" si="12"/>
        <v>0</v>
      </c>
      <c r="G114" s="403">
        <v>0.75</v>
      </c>
      <c r="H114" s="47">
        <f t="shared" si="19"/>
        <v>0</v>
      </c>
      <c r="I114" s="371">
        <f t="shared" si="13"/>
        <v>0</v>
      </c>
      <c r="J114" s="21">
        <f t="shared" si="10"/>
        <v>119.30027561149981</v>
      </c>
      <c r="K114" s="369">
        <f t="shared" si="14"/>
        <v>120.64252354014948</v>
      </c>
      <c r="L114" s="141">
        <f>'As-Filed Schedule 4'!H114</f>
        <v>0</v>
      </c>
      <c r="M114" s="381">
        <f>SUMIFS(Adjustments!$G:$G,Adjustments!$H:$H,"4",Adjustments!$I:$I,'Schedule 4 Adjustments'!$L$14,Adjustments!$J:$J,'Schedule 4 Adjustments'!$A114)</f>
        <v>0</v>
      </c>
      <c r="N114" s="373">
        <f t="shared" si="15"/>
        <v>0</v>
      </c>
      <c r="O114" s="403">
        <v>0.37</v>
      </c>
      <c r="P114" s="47">
        <f t="shared" si="16"/>
        <v>0</v>
      </c>
      <c r="Q114" s="371">
        <f t="shared" si="17"/>
        <v>0</v>
      </c>
      <c r="R114" s="21">
        <f t="shared" si="11"/>
        <v>58.854802635006571</v>
      </c>
      <c r="S114" s="369">
        <f t="shared" si="18"/>
        <v>59.516978279807084</v>
      </c>
    </row>
    <row r="115" spans="1:19" s="22" customFormat="1" x14ac:dyDescent="0.35">
      <c r="A115" s="19">
        <v>103</v>
      </c>
      <c r="B115" s="19" t="s">
        <v>44</v>
      </c>
      <c r="C115" s="20" t="s">
        <v>129</v>
      </c>
      <c r="D115" s="113">
        <f>'As-Filed Schedule 4'!D115</f>
        <v>14</v>
      </c>
      <c r="E115" s="381">
        <f>SUMIFS(Adjustments!$G:$G,Adjustments!$H:$H,"4",Adjustments!$I:$I,'Schedule 4 Adjustments'!$D$14,Adjustments!$J:$J,'Schedule 4 Adjustments'!$A115)</f>
        <v>0</v>
      </c>
      <c r="F115" s="373">
        <f t="shared" si="12"/>
        <v>14</v>
      </c>
      <c r="G115" s="403">
        <v>5.17</v>
      </c>
      <c r="H115" s="47">
        <f t="shared" si="19"/>
        <v>72.38</v>
      </c>
      <c r="I115" s="371">
        <f t="shared" si="13"/>
        <v>72.38</v>
      </c>
      <c r="J115" s="21">
        <f t="shared" si="10"/>
        <v>822.3765665486053</v>
      </c>
      <c r="K115" s="369">
        <f t="shared" si="14"/>
        <v>831.62912893676378</v>
      </c>
      <c r="L115" s="141">
        <f>'As-Filed Schedule 4'!H115</f>
        <v>12</v>
      </c>
      <c r="M115" s="381">
        <f>SUMIFS(Adjustments!$G:$G,Adjustments!$H:$H,"4",Adjustments!$I:$I,'Schedule 4 Adjustments'!$L$14,Adjustments!$J:$J,'Schedule 4 Adjustments'!$A115)</f>
        <v>0</v>
      </c>
      <c r="N115" s="373">
        <f t="shared" si="15"/>
        <v>12</v>
      </c>
      <c r="O115" s="403">
        <v>4.43</v>
      </c>
      <c r="P115" s="47">
        <f t="shared" si="16"/>
        <v>53.16</v>
      </c>
      <c r="Q115" s="371">
        <f t="shared" si="17"/>
        <v>53.16</v>
      </c>
      <c r="R115" s="21">
        <f t="shared" si="11"/>
        <v>704.66696127859211</v>
      </c>
      <c r="S115" s="369">
        <f t="shared" si="18"/>
        <v>712.59517237714965</v>
      </c>
    </row>
    <row r="116" spans="1:19" s="22" customFormat="1" x14ac:dyDescent="0.35">
      <c r="A116" s="19">
        <v>104</v>
      </c>
      <c r="B116" s="19" t="s">
        <v>45</v>
      </c>
      <c r="C116" s="20" t="s">
        <v>387</v>
      </c>
      <c r="D116" s="113">
        <f>'As-Filed Schedule 4'!D116</f>
        <v>3417</v>
      </c>
      <c r="E116" s="381">
        <f>SUMIFS(Adjustments!$G:$G,Adjustments!$H:$H,"4",Adjustments!$I:$I,'Schedule 4 Adjustments'!$D$14,Adjustments!$J:$J,'Schedule 4 Adjustments'!$A116)</f>
        <v>0</v>
      </c>
      <c r="F116" s="373">
        <f t="shared" si="12"/>
        <v>3417</v>
      </c>
      <c r="G116" s="403">
        <v>0.72</v>
      </c>
      <c r="H116" s="47">
        <f t="shared" si="19"/>
        <v>2460.2399999999998</v>
      </c>
      <c r="I116" s="371">
        <f t="shared" si="13"/>
        <v>2460.2399999999998</v>
      </c>
      <c r="J116" s="21">
        <f t="shared" si="10"/>
        <v>114.52826458703981</v>
      </c>
      <c r="K116" s="369">
        <f t="shared" si="14"/>
        <v>115.81682259854351</v>
      </c>
      <c r="L116" s="141">
        <f>'As-Filed Schedule 4'!H116</f>
        <v>4749</v>
      </c>
      <c r="M116" s="381">
        <f>SUMIFS(Adjustments!$G:$G,Adjustments!$H:$H,"4",Adjustments!$I:$I,'Schedule 4 Adjustments'!$L$14,Adjustments!$J:$J,'Schedule 4 Adjustments'!$A116)</f>
        <v>0</v>
      </c>
      <c r="N116" s="373">
        <f t="shared" si="15"/>
        <v>4749</v>
      </c>
      <c r="O116" s="403">
        <v>0.66</v>
      </c>
      <c r="P116" s="47">
        <f t="shared" si="16"/>
        <v>3134.34</v>
      </c>
      <c r="Q116" s="371">
        <f t="shared" si="17"/>
        <v>3134.34</v>
      </c>
      <c r="R116" s="21">
        <f t="shared" si="11"/>
        <v>104.98424253811983</v>
      </c>
      <c r="S116" s="369">
        <f t="shared" si="18"/>
        <v>106.16542071533155</v>
      </c>
    </row>
    <row r="117" spans="1:19" s="22" customFormat="1" ht="29" x14ac:dyDescent="0.35">
      <c r="A117" s="19">
        <v>105</v>
      </c>
      <c r="B117" s="19" t="s">
        <v>19</v>
      </c>
      <c r="C117" s="20" t="s">
        <v>39</v>
      </c>
      <c r="D117" s="113">
        <f>'As-Filed Schedule 4'!D117</f>
        <v>0</v>
      </c>
      <c r="E117" s="381">
        <f>SUMIFS(Adjustments!$G:$G,Adjustments!$H:$H,"4",Adjustments!$I:$I,'Schedule 4 Adjustments'!$D$14,Adjustments!$J:$J,'Schedule 4 Adjustments'!$A117)</f>
        <v>0</v>
      </c>
      <c r="F117" s="373">
        <f t="shared" si="12"/>
        <v>0</v>
      </c>
      <c r="G117" s="403">
        <v>0</v>
      </c>
      <c r="H117" s="47">
        <f t="shared" si="19"/>
        <v>0</v>
      </c>
      <c r="I117" s="371">
        <f t="shared" si="13"/>
        <v>0</v>
      </c>
      <c r="J117" s="21">
        <f t="shared" si="10"/>
        <v>0</v>
      </c>
      <c r="K117" s="369">
        <f t="shared" si="14"/>
        <v>0</v>
      </c>
      <c r="L117" s="141">
        <f>'As-Filed Schedule 4'!H117</f>
        <v>0</v>
      </c>
      <c r="M117" s="381">
        <f>SUMIFS(Adjustments!$G:$G,Adjustments!$H:$H,"4",Adjustments!$I:$I,'Schedule 4 Adjustments'!$L$14,Adjustments!$J:$J,'Schedule 4 Adjustments'!$A117)</f>
        <v>0</v>
      </c>
      <c r="N117" s="373">
        <f t="shared" si="15"/>
        <v>0</v>
      </c>
      <c r="O117" s="403">
        <v>0</v>
      </c>
      <c r="P117" s="47">
        <f t="shared" si="16"/>
        <v>0</v>
      </c>
      <c r="Q117" s="371">
        <f t="shared" si="17"/>
        <v>0</v>
      </c>
      <c r="R117" s="21">
        <f t="shared" si="11"/>
        <v>0</v>
      </c>
      <c r="S117" s="369">
        <f t="shared" si="18"/>
        <v>0</v>
      </c>
    </row>
    <row r="118" spans="1:19" s="22" customFormat="1" x14ac:dyDescent="0.35">
      <c r="A118" s="19">
        <v>106</v>
      </c>
      <c r="B118" s="19" t="s">
        <v>46</v>
      </c>
      <c r="C118" s="20" t="s">
        <v>130</v>
      </c>
      <c r="D118" s="113">
        <f>'As-Filed Schedule 4'!D118</f>
        <v>7732</v>
      </c>
      <c r="E118" s="381">
        <f>SUMIFS(Adjustments!$G:$G,Adjustments!$H:$H,"4",Adjustments!$I:$I,'Schedule 4 Adjustments'!$D$14,Adjustments!$J:$J,'Schedule 4 Adjustments'!$A118)</f>
        <v>0</v>
      </c>
      <c r="F118" s="373">
        <f t="shared" si="12"/>
        <v>7732</v>
      </c>
      <c r="G118" s="403">
        <v>1.18</v>
      </c>
      <c r="H118" s="47">
        <f t="shared" si="19"/>
        <v>9123.76</v>
      </c>
      <c r="I118" s="371">
        <f t="shared" si="13"/>
        <v>9123.76</v>
      </c>
      <c r="J118" s="21">
        <f t="shared" si="10"/>
        <v>187.69910029542635</v>
      </c>
      <c r="K118" s="369">
        <f t="shared" si="14"/>
        <v>189.81090370316852</v>
      </c>
      <c r="L118" s="141">
        <f>'As-Filed Schedule 4'!H118</f>
        <v>1508</v>
      </c>
      <c r="M118" s="381">
        <f>SUMIFS(Adjustments!$G:$G,Adjustments!$H:$H,"4",Adjustments!$I:$I,'Schedule 4 Adjustments'!$L$14,Adjustments!$J:$J,'Schedule 4 Adjustments'!$A118)</f>
        <v>0</v>
      </c>
      <c r="N118" s="373">
        <f t="shared" si="15"/>
        <v>1508</v>
      </c>
      <c r="O118" s="403">
        <v>1.03</v>
      </c>
      <c r="P118" s="47">
        <f t="shared" si="16"/>
        <v>1553.24</v>
      </c>
      <c r="Q118" s="371">
        <f t="shared" si="17"/>
        <v>1553.24</v>
      </c>
      <c r="R118" s="21">
        <f t="shared" si="11"/>
        <v>163.83904517312641</v>
      </c>
      <c r="S118" s="369">
        <f t="shared" si="18"/>
        <v>165.68239899513864</v>
      </c>
    </row>
    <row r="119" spans="1:19" s="22" customFormat="1" x14ac:dyDescent="0.35">
      <c r="A119" s="19">
        <v>107</v>
      </c>
      <c r="B119" s="19" t="s">
        <v>47</v>
      </c>
      <c r="C119" s="20" t="s">
        <v>131</v>
      </c>
      <c r="D119" s="113">
        <f>'As-Filed Schedule 4'!D119</f>
        <v>0</v>
      </c>
      <c r="E119" s="381">
        <f>SUMIFS(Adjustments!$G:$G,Adjustments!$H:$H,"4",Adjustments!$I:$I,'Schedule 4 Adjustments'!$D$14,Adjustments!$J:$J,'Schedule 4 Adjustments'!$A119)</f>
        <v>0</v>
      </c>
      <c r="F119" s="373">
        <f t="shared" si="12"/>
        <v>0</v>
      </c>
      <c r="G119" s="403">
        <v>0.83</v>
      </c>
      <c r="H119" s="47">
        <f t="shared" si="19"/>
        <v>0</v>
      </c>
      <c r="I119" s="371">
        <f t="shared" si="13"/>
        <v>0</v>
      </c>
      <c r="J119" s="21">
        <f t="shared" si="10"/>
        <v>132.02563834339313</v>
      </c>
      <c r="K119" s="369">
        <f t="shared" si="14"/>
        <v>133.51105938443209</v>
      </c>
      <c r="L119" s="141">
        <f>'As-Filed Schedule 4'!H119</f>
        <v>0</v>
      </c>
      <c r="M119" s="381">
        <f>SUMIFS(Adjustments!$G:$G,Adjustments!$H:$H,"4",Adjustments!$I:$I,'Schedule 4 Adjustments'!$L$14,Adjustments!$J:$J,'Schedule 4 Adjustments'!$A119)</f>
        <v>0</v>
      </c>
      <c r="N119" s="373">
        <f t="shared" si="15"/>
        <v>0</v>
      </c>
      <c r="O119" s="403">
        <v>0.72</v>
      </c>
      <c r="P119" s="47">
        <f t="shared" si="16"/>
        <v>0</v>
      </c>
      <c r="Q119" s="371">
        <f t="shared" si="17"/>
        <v>0</v>
      </c>
      <c r="R119" s="21">
        <f t="shared" si="11"/>
        <v>114.52826458703981</v>
      </c>
      <c r="S119" s="369">
        <f t="shared" si="18"/>
        <v>115.81682259854351</v>
      </c>
    </row>
    <row r="120" spans="1:19" s="22" customFormat="1" x14ac:dyDescent="0.35">
      <c r="A120" s="19">
        <v>108</v>
      </c>
      <c r="B120" s="19" t="s">
        <v>48</v>
      </c>
      <c r="C120" s="20" t="s">
        <v>132</v>
      </c>
      <c r="D120" s="113">
        <f>'As-Filed Schedule 4'!D120</f>
        <v>0</v>
      </c>
      <c r="E120" s="381">
        <f>SUMIFS(Adjustments!$G:$G,Adjustments!$H:$H,"4",Adjustments!$I:$I,'Schedule 4 Adjustments'!$D$14,Adjustments!$J:$J,'Schedule 4 Adjustments'!$A120)</f>
        <v>0</v>
      </c>
      <c r="F120" s="373">
        <f t="shared" si="12"/>
        <v>0</v>
      </c>
      <c r="G120" s="403">
        <v>0.64</v>
      </c>
      <c r="H120" s="47">
        <f t="shared" si="19"/>
        <v>0</v>
      </c>
      <c r="I120" s="371">
        <f t="shared" si="13"/>
        <v>0</v>
      </c>
      <c r="J120" s="21">
        <f t="shared" si="10"/>
        <v>101.8029018551465</v>
      </c>
      <c r="K120" s="369">
        <f t="shared" si="14"/>
        <v>102.94828675426091</v>
      </c>
      <c r="L120" s="141">
        <f>'As-Filed Schedule 4'!H120</f>
        <v>0</v>
      </c>
      <c r="M120" s="381">
        <f>SUMIFS(Adjustments!$G:$G,Adjustments!$H:$H,"4",Adjustments!$I:$I,'Schedule 4 Adjustments'!$L$14,Adjustments!$J:$J,'Schedule 4 Adjustments'!$A120)</f>
        <v>0</v>
      </c>
      <c r="N120" s="373">
        <f t="shared" si="15"/>
        <v>0</v>
      </c>
      <c r="O120" s="403">
        <v>0.6</v>
      </c>
      <c r="P120" s="47">
        <f t="shared" si="16"/>
        <v>0</v>
      </c>
      <c r="Q120" s="371">
        <f t="shared" si="17"/>
        <v>0</v>
      </c>
      <c r="R120" s="21">
        <f t="shared" si="11"/>
        <v>95.440220489199845</v>
      </c>
      <c r="S120" s="369">
        <f t="shared" si="18"/>
        <v>96.514018832119589</v>
      </c>
    </row>
    <row r="121" spans="1:19" s="22" customFormat="1" x14ac:dyDescent="0.35">
      <c r="A121" s="19">
        <v>109</v>
      </c>
      <c r="B121" s="19" t="s">
        <v>21</v>
      </c>
      <c r="C121" s="20" t="s">
        <v>24</v>
      </c>
      <c r="D121" s="113">
        <f>'As-Filed Schedule 4'!D121</f>
        <v>0</v>
      </c>
      <c r="E121" s="381">
        <f>SUMIFS(Adjustments!$G:$G,Adjustments!$H:$H,"4",Adjustments!$I:$I,'Schedule 4 Adjustments'!$D$14,Adjustments!$J:$J,'Schedule 4 Adjustments'!$A121)</f>
        <v>0</v>
      </c>
      <c r="F121" s="373">
        <f t="shared" si="12"/>
        <v>0</v>
      </c>
      <c r="G121" s="403">
        <v>0</v>
      </c>
      <c r="H121" s="47">
        <f t="shared" si="19"/>
        <v>0</v>
      </c>
      <c r="I121" s="371">
        <f t="shared" si="13"/>
        <v>0</v>
      </c>
      <c r="J121" s="21">
        <f t="shared" si="10"/>
        <v>0</v>
      </c>
      <c r="K121" s="369">
        <f t="shared" si="14"/>
        <v>0</v>
      </c>
      <c r="L121" s="141">
        <f>'As-Filed Schedule 4'!H121</f>
        <v>0</v>
      </c>
      <c r="M121" s="381">
        <f>SUMIFS(Adjustments!$G:$G,Adjustments!$H:$H,"4",Adjustments!$I:$I,'Schedule 4 Adjustments'!$L$14,Adjustments!$J:$J,'Schedule 4 Adjustments'!$A121)</f>
        <v>0</v>
      </c>
      <c r="N121" s="373">
        <f t="shared" si="15"/>
        <v>0</v>
      </c>
      <c r="O121" s="403">
        <v>0</v>
      </c>
      <c r="P121" s="47">
        <f t="shared" si="16"/>
        <v>0</v>
      </c>
      <c r="Q121" s="371">
        <f t="shared" si="17"/>
        <v>0</v>
      </c>
      <c r="R121" s="21">
        <f t="shared" si="11"/>
        <v>0</v>
      </c>
      <c r="S121" s="369">
        <f t="shared" si="18"/>
        <v>0</v>
      </c>
    </row>
    <row r="122" spans="1:19" s="22" customFormat="1" ht="29" x14ac:dyDescent="0.35">
      <c r="A122" s="19">
        <v>110</v>
      </c>
      <c r="B122" s="19" t="s">
        <v>49</v>
      </c>
      <c r="C122" s="20" t="s">
        <v>388</v>
      </c>
      <c r="D122" s="113">
        <f>'As-Filed Schedule 4'!D122</f>
        <v>0</v>
      </c>
      <c r="E122" s="381">
        <f>SUMIFS(Adjustments!$G:$G,Adjustments!$H:$H,"4",Adjustments!$I:$I,'Schedule 4 Adjustments'!$D$14,Adjustments!$J:$J,'Schedule 4 Adjustments'!$A122)</f>
        <v>0</v>
      </c>
      <c r="F122" s="373">
        <f t="shared" si="12"/>
        <v>0</v>
      </c>
      <c r="G122" s="403">
        <v>0</v>
      </c>
      <c r="H122" s="47">
        <f t="shared" si="19"/>
        <v>0</v>
      </c>
      <c r="I122" s="371">
        <f t="shared" si="13"/>
        <v>0</v>
      </c>
      <c r="J122" s="21">
        <f t="shared" si="10"/>
        <v>0</v>
      </c>
      <c r="K122" s="369">
        <f t="shared" si="14"/>
        <v>0</v>
      </c>
      <c r="L122" s="141">
        <f>'As-Filed Schedule 4'!H122</f>
        <v>0</v>
      </c>
      <c r="M122" s="381">
        <f>SUMIFS(Adjustments!$G:$G,Adjustments!$H:$H,"4",Adjustments!$I:$I,'Schedule 4 Adjustments'!$L$14,Adjustments!$J:$J,'Schedule 4 Adjustments'!$A122)</f>
        <v>0</v>
      </c>
      <c r="N122" s="373">
        <f t="shared" si="15"/>
        <v>0</v>
      </c>
      <c r="O122" s="403">
        <v>0</v>
      </c>
      <c r="P122" s="47">
        <f t="shared" si="16"/>
        <v>0</v>
      </c>
      <c r="Q122" s="371">
        <f t="shared" si="17"/>
        <v>0</v>
      </c>
      <c r="R122" s="21">
        <f t="shared" si="11"/>
        <v>0</v>
      </c>
      <c r="S122" s="369">
        <f t="shared" si="18"/>
        <v>0</v>
      </c>
    </row>
    <row r="123" spans="1:19" s="22" customFormat="1" ht="29" x14ac:dyDescent="0.35">
      <c r="A123" s="19">
        <v>111</v>
      </c>
      <c r="B123" s="19" t="s">
        <v>33</v>
      </c>
      <c r="C123" s="20" t="s">
        <v>389</v>
      </c>
      <c r="D123" s="113">
        <f>'As-Filed Schedule 4'!D123</f>
        <v>0</v>
      </c>
      <c r="E123" s="381">
        <f>SUMIFS(Adjustments!$G:$G,Adjustments!$H:$H,"4",Adjustments!$I:$I,'Schedule 4 Adjustments'!$D$14,Adjustments!$J:$J,'Schedule 4 Adjustments'!$A123)</f>
        <v>0</v>
      </c>
      <c r="F123" s="373">
        <f t="shared" si="12"/>
        <v>0</v>
      </c>
      <c r="G123" s="403">
        <v>0</v>
      </c>
      <c r="H123" s="47">
        <f t="shared" si="19"/>
        <v>0</v>
      </c>
      <c r="I123" s="371">
        <f t="shared" si="13"/>
        <v>0</v>
      </c>
      <c r="J123" s="21">
        <f t="shared" si="10"/>
        <v>0</v>
      </c>
      <c r="K123" s="369">
        <f t="shared" si="14"/>
        <v>0</v>
      </c>
      <c r="L123" s="141">
        <f>'As-Filed Schedule 4'!H123</f>
        <v>0</v>
      </c>
      <c r="M123" s="381">
        <f>SUMIFS(Adjustments!$G:$G,Adjustments!$H:$H,"4",Adjustments!$I:$I,'Schedule 4 Adjustments'!$L$14,Adjustments!$J:$J,'Schedule 4 Adjustments'!$A123)</f>
        <v>0</v>
      </c>
      <c r="N123" s="373">
        <f t="shared" si="15"/>
        <v>0</v>
      </c>
      <c r="O123" s="403">
        <v>0</v>
      </c>
      <c r="P123" s="47">
        <f t="shared" si="16"/>
        <v>0</v>
      </c>
      <c r="Q123" s="371">
        <f t="shared" si="17"/>
        <v>0</v>
      </c>
      <c r="R123" s="21">
        <f t="shared" si="11"/>
        <v>0</v>
      </c>
      <c r="S123" s="369">
        <f t="shared" si="18"/>
        <v>0</v>
      </c>
    </row>
    <row r="124" spans="1:19" s="22" customFormat="1" x14ac:dyDescent="0.35">
      <c r="A124" s="19">
        <v>112</v>
      </c>
      <c r="B124" s="19" t="s">
        <v>50</v>
      </c>
      <c r="C124" s="20" t="s">
        <v>390</v>
      </c>
      <c r="D124" s="113">
        <f>'As-Filed Schedule 4'!D124</f>
        <v>0</v>
      </c>
      <c r="E124" s="381">
        <f>SUMIFS(Adjustments!$G:$G,Adjustments!$H:$H,"4",Adjustments!$I:$I,'Schedule 4 Adjustments'!$D$14,Adjustments!$J:$J,'Schedule 4 Adjustments'!$A124)</f>
        <v>0</v>
      </c>
      <c r="F124" s="373">
        <f t="shared" si="12"/>
        <v>0</v>
      </c>
      <c r="G124" s="403">
        <v>2.64</v>
      </c>
      <c r="H124" s="47">
        <f t="shared" si="19"/>
        <v>0</v>
      </c>
      <c r="I124" s="371">
        <f t="shared" si="13"/>
        <v>0</v>
      </c>
      <c r="J124" s="21">
        <f t="shared" si="10"/>
        <v>419.93697015247932</v>
      </c>
      <c r="K124" s="369">
        <f t="shared" si="14"/>
        <v>424.6616828613262</v>
      </c>
      <c r="L124" s="141">
        <f>'As-Filed Schedule 4'!H124</f>
        <v>0</v>
      </c>
      <c r="M124" s="381">
        <f>SUMIFS(Adjustments!$G:$G,Adjustments!$H:$H,"4",Adjustments!$I:$I,'Schedule 4 Adjustments'!$L$14,Adjustments!$J:$J,'Schedule 4 Adjustments'!$A124)</f>
        <v>0</v>
      </c>
      <c r="N124" s="373">
        <f t="shared" si="15"/>
        <v>0</v>
      </c>
      <c r="O124" s="403">
        <v>2.64</v>
      </c>
      <c r="P124" s="47">
        <f t="shared" si="16"/>
        <v>0</v>
      </c>
      <c r="Q124" s="371">
        <f t="shared" si="17"/>
        <v>0</v>
      </c>
      <c r="R124" s="21">
        <f t="shared" si="11"/>
        <v>419.93697015247932</v>
      </c>
      <c r="S124" s="369">
        <f t="shared" si="18"/>
        <v>424.6616828613262</v>
      </c>
    </row>
    <row r="125" spans="1:19" s="22" customFormat="1" x14ac:dyDescent="0.35">
      <c r="A125" s="19">
        <v>113</v>
      </c>
      <c r="B125" s="19" t="s">
        <v>51</v>
      </c>
      <c r="C125" s="20" t="s">
        <v>133</v>
      </c>
      <c r="D125" s="113">
        <f>'As-Filed Schedule 4'!D125</f>
        <v>0</v>
      </c>
      <c r="E125" s="381">
        <f>SUMIFS(Adjustments!$G:$G,Adjustments!$H:$H,"4",Adjustments!$I:$I,'Schedule 4 Adjustments'!$D$14,Adjustments!$J:$J,'Schedule 4 Adjustments'!$A125)</f>
        <v>0</v>
      </c>
      <c r="F125" s="373">
        <f t="shared" si="12"/>
        <v>0</v>
      </c>
      <c r="G125" s="403">
        <v>0</v>
      </c>
      <c r="H125" s="47">
        <f t="shared" si="19"/>
        <v>0</v>
      </c>
      <c r="I125" s="371">
        <f t="shared" si="13"/>
        <v>0</v>
      </c>
      <c r="J125" s="21">
        <f t="shared" si="10"/>
        <v>0</v>
      </c>
      <c r="K125" s="369">
        <f t="shared" si="14"/>
        <v>0</v>
      </c>
      <c r="L125" s="141">
        <f>'As-Filed Schedule 4'!H125</f>
        <v>0</v>
      </c>
      <c r="M125" s="381">
        <f>SUMIFS(Adjustments!$G:$G,Adjustments!$H:$H,"4",Adjustments!$I:$I,'Schedule 4 Adjustments'!$L$14,Adjustments!$J:$J,'Schedule 4 Adjustments'!$A125)</f>
        <v>0</v>
      </c>
      <c r="N125" s="373">
        <f t="shared" si="15"/>
        <v>0</v>
      </c>
      <c r="O125" s="403">
        <v>0</v>
      </c>
      <c r="P125" s="47">
        <f t="shared" si="16"/>
        <v>0</v>
      </c>
      <c r="Q125" s="371">
        <f t="shared" si="17"/>
        <v>0</v>
      </c>
      <c r="R125" s="21">
        <f t="shared" si="11"/>
        <v>0</v>
      </c>
      <c r="S125" s="369">
        <f t="shared" si="18"/>
        <v>0</v>
      </c>
    </row>
    <row r="126" spans="1:19" s="22" customFormat="1" x14ac:dyDescent="0.35">
      <c r="A126" s="19">
        <v>114</v>
      </c>
      <c r="B126" s="19" t="s">
        <v>52</v>
      </c>
      <c r="C126" s="20" t="s">
        <v>134</v>
      </c>
      <c r="D126" s="113">
        <f>'As-Filed Schedule 4'!D126</f>
        <v>0</v>
      </c>
      <c r="E126" s="381">
        <f>SUMIFS(Adjustments!$G:$G,Adjustments!$H:$H,"4",Adjustments!$I:$I,'Schedule 4 Adjustments'!$D$14,Adjustments!$J:$J,'Schedule 4 Adjustments'!$A126)</f>
        <v>0</v>
      </c>
      <c r="F126" s="373">
        <f t="shared" si="12"/>
        <v>0</v>
      </c>
      <c r="G126" s="403">
        <v>0</v>
      </c>
      <c r="H126" s="47">
        <f t="shared" si="19"/>
        <v>0</v>
      </c>
      <c r="I126" s="371">
        <f t="shared" si="13"/>
        <v>0</v>
      </c>
      <c r="J126" s="21">
        <f t="shared" si="10"/>
        <v>0</v>
      </c>
      <c r="K126" s="369">
        <f t="shared" si="14"/>
        <v>0</v>
      </c>
      <c r="L126" s="141">
        <f>'As-Filed Schedule 4'!H126</f>
        <v>6660</v>
      </c>
      <c r="M126" s="381">
        <f>SUMIFS(Adjustments!$G:$G,Adjustments!$H:$H,"4",Adjustments!$I:$I,'Schedule 4 Adjustments'!$L$14,Adjustments!$J:$J,'Schedule 4 Adjustments'!$A126)</f>
        <v>0</v>
      </c>
      <c r="N126" s="373">
        <f t="shared" si="15"/>
        <v>6660</v>
      </c>
      <c r="O126" s="403">
        <v>0</v>
      </c>
      <c r="P126" s="47">
        <f t="shared" si="16"/>
        <v>0</v>
      </c>
      <c r="Q126" s="371">
        <f t="shared" si="17"/>
        <v>0</v>
      </c>
      <c r="R126" s="21">
        <f t="shared" si="11"/>
        <v>0</v>
      </c>
      <c r="S126" s="369">
        <f t="shared" si="18"/>
        <v>0</v>
      </c>
    </row>
    <row r="127" spans="1:19" s="22" customFormat="1" x14ac:dyDescent="0.35">
      <c r="A127" s="19">
        <v>115</v>
      </c>
      <c r="B127" s="19" t="s">
        <v>53</v>
      </c>
      <c r="C127" s="20" t="s">
        <v>135</v>
      </c>
      <c r="D127" s="113">
        <f>'As-Filed Schedule 4'!D127</f>
        <v>0</v>
      </c>
      <c r="E127" s="381">
        <f>SUMIFS(Adjustments!$G:$G,Adjustments!$H:$H,"4",Adjustments!$I:$I,'Schedule 4 Adjustments'!$D$14,Adjustments!$J:$J,'Schedule 4 Adjustments'!$A127)</f>
        <v>0</v>
      </c>
      <c r="F127" s="373">
        <f t="shared" si="12"/>
        <v>0</v>
      </c>
      <c r="G127" s="403">
        <v>0</v>
      </c>
      <c r="H127" s="47">
        <f t="shared" si="19"/>
        <v>0</v>
      </c>
      <c r="I127" s="371">
        <f t="shared" si="13"/>
        <v>0</v>
      </c>
      <c r="J127" s="21">
        <f t="shared" si="10"/>
        <v>0</v>
      </c>
      <c r="K127" s="369">
        <f t="shared" si="14"/>
        <v>0</v>
      </c>
      <c r="L127" s="141">
        <f>'As-Filed Schedule 4'!H127</f>
        <v>26432</v>
      </c>
      <c r="M127" s="381">
        <f>SUMIFS(Adjustments!$G:$G,Adjustments!$H:$H,"4",Adjustments!$I:$I,'Schedule 4 Adjustments'!$L$14,Adjustments!$J:$J,'Schedule 4 Adjustments'!$A127)</f>
        <v>0</v>
      </c>
      <c r="N127" s="373">
        <f t="shared" si="15"/>
        <v>26432</v>
      </c>
      <c r="O127" s="403">
        <v>0</v>
      </c>
      <c r="P127" s="47">
        <f t="shared" si="16"/>
        <v>0</v>
      </c>
      <c r="Q127" s="371">
        <f t="shared" si="17"/>
        <v>0</v>
      </c>
      <c r="R127" s="21">
        <f t="shared" si="11"/>
        <v>0</v>
      </c>
      <c r="S127" s="369">
        <f t="shared" si="18"/>
        <v>0</v>
      </c>
    </row>
    <row r="128" spans="1:19" s="22" customFormat="1" ht="29" x14ac:dyDescent="0.35">
      <c r="A128" s="19">
        <v>116</v>
      </c>
      <c r="B128" s="19" t="s">
        <v>54</v>
      </c>
      <c r="C128" s="20" t="s">
        <v>391</v>
      </c>
      <c r="D128" s="113">
        <f>'As-Filed Schedule 4'!D128</f>
        <v>0</v>
      </c>
      <c r="E128" s="381">
        <f>SUMIFS(Adjustments!$G:$G,Adjustments!$H:$H,"4",Adjustments!$I:$I,'Schedule 4 Adjustments'!$D$14,Adjustments!$J:$J,'Schedule 4 Adjustments'!$A128)</f>
        <v>0</v>
      </c>
      <c r="F128" s="373">
        <f t="shared" si="12"/>
        <v>0</v>
      </c>
      <c r="G128" s="403">
        <v>1.02</v>
      </c>
      <c r="H128" s="47">
        <f t="shared" si="19"/>
        <v>0</v>
      </c>
      <c r="I128" s="371">
        <f t="shared" si="13"/>
        <v>0</v>
      </c>
      <c r="J128" s="21">
        <f t="shared" si="10"/>
        <v>162.24837483163975</v>
      </c>
      <c r="K128" s="369">
        <f t="shared" si="14"/>
        <v>164.07383201460331</v>
      </c>
      <c r="L128" s="141">
        <f>'As-Filed Schedule 4'!H128</f>
        <v>0</v>
      </c>
      <c r="M128" s="381">
        <f>SUMIFS(Adjustments!$G:$G,Adjustments!$H:$H,"4",Adjustments!$I:$I,'Schedule 4 Adjustments'!$L$14,Adjustments!$J:$J,'Schedule 4 Adjustments'!$A128)</f>
        <v>0</v>
      </c>
      <c r="N128" s="373">
        <f t="shared" si="15"/>
        <v>0</v>
      </c>
      <c r="O128" s="403">
        <v>0.94</v>
      </c>
      <c r="P128" s="47">
        <f t="shared" si="16"/>
        <v>0</v>
      </c>
      <c r="Q128" s="371">
        <f t="shared" si="17"/>
        <v>0</v>
      </c>
      <c r="R128" s="21">
        <f t="shared" si="11"/>
        <v>149.52301209974641</v>
      </c>
      <c r="S128" s="369">
        <f t="shared" si="18"/>
        <v>151.20529617032068</v>
      </c>
    </row>
    <row r="129" spans="1:19" s="22" customFormat="1" x14ac:dyDescent="0.35">
      <c r="A129" s="19">
        <v>117</v>
      </c>
      <c r="B129" s="19" t="s">
        <v>22</v>
      </c>
      <c r="C129" s="20" t="s">
        <v>25</v>
      </c>
      <c r="D129" s="113">
        <f>'As-Filed Schedule 4'!D129</f>
        <v>0</v>
      </c>
      <c r="E129" s="381">
        <f>SUMIFS(Adjustments!$G:$G,Adjustments!$H:$H,"4",Adjustments!$I:$I,'Schedule 4 Adjustments'!$D$14,Adjustments!$J:$J,'Schedule 4 Adjustments'!$A129)</f>
        <v>0</v>
      </c>
      <c r="F129" s="373">
        <f t="shared" si="12"/>
        <v>0</v>
      </c>
      <c r="G129" s="403">
        <v>0</v>
      </c>
      <c r="H129" s="47">
        <f t="shared" si="19"/>
        <v>0</v>
      </c>
      <c r="I129" s="371">
        <f t="shared" si="13"/>
        <v>0</v>
      </c>
      <c r="J129" s="21">
        <f t="shared" si="10"/>
        <v>0</v>
      </c>
      <c r="K129" s="369">
        <f t="shared" si="14"/>
        <v>0</v>
      </c>
      <c r="L129" s="141">
        <f>'As-Filed Schedule 4'!H129</f>
        <v>0</v>
      </c>
      <c r="M129" s="381">
        <f>SUMIFS(Adjustments!$G:$G,Adjustments!$H:$H,"4",Adjustments!$I:$I,'Schedule 4 Adjustments'!$L$14,Adjustments!$J:$J,'Schedule 4 Adjustments'!$A129)</f>
        <v>0</v>
      </c>
      <c r="N129" s="373">
        <f t="shared" si="15"/>
        <v>0</v>
      </c>
      <c r="O129" s="403">
        <v>0</v>
      </c>
      <c r="P129" s="47">
        <f t="shared" si="16"/>
        <v>0</v>
      </c>
      <c r="Q129" s="371">
        <f t="shared" si="17"/>
        <v>0</v>
      </c>
      <c r="R129" s="21">
        <f t="shared" si="11"/>
        <v>0</v>
      </c>
      <c r="S129" s="369">
        <f t="shared" si="18"/>
        <v>0</v>
      </c>
    </row>
    <row r="130" spans="1:19" s="22" customFormat="1" x14ac:dyDescent="0.35">
      <c r="A130" s="19">
        <v>118</v>
      </c>
      <c r="B130" s="19" t="s">
        <v>55</v>
      </c>
      <c r="C130" s="20" t="s">
        <v>392</v>
      </c>
      <c r="D130" s="113">
        <f>'As-Filed Schedule 4'!D130</f>
        <v>0</v>
      </c>
      <c r="E130" s="381">
        <f>SUMIFS(Adjustments!$G:$G,Adjustments!$H:$H,"4",Adjustments!$I:$I,'Schedule 4 Adjustments'!$D$14,Adjustments!$J:$J,'Schedule 4 Adjustments'!$A130)</f>
        <v>0</v>
      </c>
      <c r="F130" s="373">
        <f t="shared" si="12"/>
        <v>0</v>
      </c>
      <c r="G130" s="403">
        <v>0.12</v>
      </c>
      <c r="H130" s="47">
        <f t="shared" si="19"/>
        <v>0</v>
      </c>
      <c r="I130" s="371">
        <f t="shared" si="13"/>
        <v>0</v>
      </c>
      <c r="J130" s="21">
        <f t="shared" si="10"/>
        <v>19.088044097839969</v>
      </c>
      <c r="K130" s="369">
        <f t="shared" si="14"/>
        <v>19.302803766423917</v>
      </c>
      <c r="L130" s="141">
        <f>'As-Filed Schedule 4'!H130</f>
        <v>86038</v>
      </c>
      <c r="M130" s="381">
        <f>SUMIFS(Adjustments!$G:$G,Adjustments!$H:$H,"4",Adjustments!$I:$I,'Schedule 4 Adjustments'!$L$14,Adjustments!$J:$J,'Schedule 4 Adjustments'!$A130)</f>
        <v>0</v>
      </c>
      <c r="N130" s="373">
        <f t="shared" si="15"/>
        <v>86038</v>
      </c>
      <c r="O130" s="403">
        <v>0.09</v>
      </c>
      <c r="P130" s="47">
        <f t="shared" si="16"/>
        <v>7743.42</v>
      </c>
      <c r="Q130" s="371">
        <f t="shared" si="17"/>
        <v>7743.42</v>
      </c>
      <c r="R130" s="21">
        <f t="shared" si="11"/>
        <v>14.316033073379977</v>
      </c>
      <c r="S130" s="369">
        <f t="shared" si="18"/>
        <v>14.477102824817939</v>
      </c>
    </row>
    <row r="131" spans="1:19" s="22" customFormat="1" x14ac:dyDescent="0.35">
      <c r="A131" s="19">
        <v>119</v>
      </c>
      <c r="B131" s="19" t="s">
        <v>56</v>
      </c>
      <c r="C131" s="20" t="s">
        <v>393</v>
      </c>
      <c r="D131" s="113">
        <f>'As-Filed Schedule 4'!D131</f>
        <v>12477</v>
      </c>
      <c r="E131" s="381">
        <f>SUMIFS(Adjustments!$G:$G,Adjustments!$H:$H,"4",Adjustments!$I:$I,'Schedule 4 Adjustments'!$D$14,Adjustments!$J:$J,'Schedule 4 Adjustments'!$A131)</f>
        <v>0</v>
      </c>
      <c r="F131" s="373">
        <f t="shared" si="12"/>
        <v>12477</v>
      </c>
      <c r="G131" s="403">
        <v>0.59</v>
      </c>
      <c r="H131" s="47">
        <f t="shared" si="19"/>
        <v>7361.4299999999994</v>
      </c>
      <c r="I131" s="371">
        <f t="shared" si="13"/>
        <v>7361.4299999999994</v>
      </c>
      <c r="J131" s="21">
        <f t="shared" si="10"/>
        <v>93.849550147713174</v>
      </c>
      <c r="K131" s="369">
        <f t="shared" si="14"/>
        <v>94.90545185158426</v>
      </c>
      <c r="L131" s="141">
        <f>'As-Filed Schedule 4'!H131</f>
        <v>845</v>
      </c>
      <c r="M131" s="381">
        <f>SUMIFS(Adjustments!$G:$G,Adjustments!$H:$H,"4",Adjustments!$I:$I,'Schedule 4 Adjustments'!$L$14,Adjustments!$J:$J,'Schedule 4 Adjustments'!$A131)</f>
        <v>0</v>
      </c>
      <c r="N131" s="373">
        <f t="shared" si="15"/>
        <v>845</v>
      </c>
      <c r="O131" s="403">
        <v>0.55000000000000004</v>
      </c>
      <c r="P131" s="47">
        <f t="shared" si="16"/>
        <v>464.75000000000006</v>
      </c>
      <c r="Q131" s="371">
        <f t="shared" si="17"/>
        <v>464.75000000000006</v>
      </c>
      <c r="R131" s="21">
        <f t="shared" si="11"/>
        <v>87.486868781766532</v>
      </c>
      <c r="S131" s="369">
        <f t="shared" si="18"/>
        <v>88.471183929442972</v>
      </c>
    </row>
    <row r="132" spans="1:19" s="22" customFormat="1" ht="29" x14ac:dyDescent="0.35">
      <c r="A132" s="19">
        <v>120</v>
      </c>
      <c r="B132" s="19" t="s">
        <v>57</v>
      </c>
      <c r="C132" s="20" t="s">
        <v>136</v>
      </c>
      <c r="D132" s="113">
        <f>'As-Filed Schedule 4'!D132</f>
        <v>0</v>
      </c>
      <c r="E132" s="381">
        <f>SUMIFS(Adjustments!$G:$G,Adjustments!$H:$H,"4",Adjustments!$I:$I,'Schedule 4 Adjustments'!$D$14,Adjustments!$J:$J,'Schedule 4 Adjustments'!$A132)</f>
        <v>0</v>
      </c>
      <c r="F132" s="373">
        <f t="shared" si="12"/>
        <v>0</v>
      </c>
      <c r="G132" s="403">
        <v>0.75</v>
      </c>
      <c r="H132" s="47">
        <f t="shared" si="19"/>
        <v>0</v>
      </c>
      <c r="I132" s="371">
        <f t="shared" si="13"/>
        <v>0</v>
      </c>
      <c r="J132" s="21">
        <f t="shared" si="10"/>
        <v>119.30027561149981</v>
      </c>
      <c r="K132" s="369">
        <f t="shared" si="14"/>
        <v>120.64252354014948</v>
      </c>
      <c r="L132" s="141">
        <f>'As-Filed Schedule 4'!H132</f>
        <v>0</v>
      </c>
      <c r="M132" s="381">
        <f>SUMIFS(Adjustments!$G:$G,Adjustments!$H:$H,"4",Adjustments!$I:$I,'Schedule 4 Adjustments'!$L$14,Adjustments!$J:$J,'Schedule 4 Adjustments'!$A132)</f>
        <v>0</v>
      </c>
      <c r="N132" s="373">
        <f t="shared" si="15"/>
        <v>0</v>
      </c>
      <c r="O132" s="403">
        <v>0.37</v>
      </c>
      <c r="P132" s="47">
        <f t="shared" si="16"/>
        <v>0</v>
      </c>
      <c r="Q132" s="371">
        <f t="shared" si="17"/>
        <v>0</v>
      </c>
      <c r="R132" s="21">
        <f t="shared" si="11"/>
        <v>58.854802635006571</v>
      </c>
      <c r="S132" s="369">
        <f t="shared" si="18"/>
        <v>59.516978279807084</v>
      </c>
    </row>
    <row r="133" spans="1:19" s="22" customFormat="1" ht="29" x14ac:dyDescent="0.35">
      <c r="A133" s="19">
        <v>121</v>
      </c>
      <c r="B133" s="19" t="s">
        <v>58</v>
      </c>
      <c r="C133" s="20" t="s">
        <v>137</v>
      </c>
      <c r="D133" s="113">
        <f>'As-Filed Schedule 4'!D133</f>
        <v>2056</v>
      </c>
      <c r="E133" s="381">
        <f>SUMIFS(Adjustments!$G:$G,Adjustments!$H:$H,"4",Adjustments!$I:$I,'Schedule 4 Adjustments'!$D$14,Adjustments!$J:$J,'Schedule 4 Adjustments'!$A133)</f>
        <v>0</v>
      </c>
      <c r="F133" s="373">
        <f t="shared" si="12"/>
        <v>2056</v>
      </c>
      <c r="G133" s="403">
        <v>0.75</v>
      </c>
      <c r="H133" s="47">
        <f t="shared" si="19"/>
        <v>1542</v>
      </c>
      <c r="I133" s="371">
        <f t="shared" si="13"/>
        <v>1542</v>
      </c>
      <c r="J133" s="21">
        <f t="shared" si="10"/>
        <v>119.30027561149981</v>
      </c>
      <c r="K133" s="369">
        <f t="shared" si="14"/>
        <v>120.64252354014948</v>
      </c>
      <c r="L133" s="141">
        <f>'As-Filed Schedule 4'!H133</f>
        <v>901</v>
      </c>
      <c r="M133" s="381">
        <f>SUMIFS(Adjustments!$G:$G,Adjustments!$H:$H,"4",Adjustments!$I:$I,'Schedule 4 Adjustments'!$L$14,Adjustments!$J:$J,'Schedule 4 Adjustments'!$A133)</f>
        <v>0</v>
      </c>
      <c r="N133" s="373">
        <f t="shared" si="15"/>
        <v>901</v>
      </c>
      <c r="O133" s="403">
        <v>0.37</v>
      </c>
      <c r="P133" s="47">
        <f t="shared" si="16"/>
        <v>333.37</v>
      </c>
      <c r="Q133" s="371">
        <f t="shared" si="17"/>
        <v>333.37</v>
      </c>
      <c r="R133" s="21">
        <f t="shared" si="11"/>
        <v>58.854802635006571</v>
      </c>
      <c r="S133" s="369">
        <f t="shared" si="18"/>
        <v>59.516978279807084</v>
      </c>
    </row>
    <row r="134" spans="1:19" s="22" customFormat="1" ht="43.5" x14ac:dyDescent="0.35">
      <c r="A134" s="19">
        <v>122</v>
      </c>
      <c r="B134" s="19" t="s">
        <v>15</v>
      </c>
      <c r="C134" s="20" t="s">
        <v>18</v>
      </c>
      <c r="D134" s="113">
        <f>'As-Filed Schedule 4'!D134</f>
        <v>0</v>
      </c>
      <c r="E134" s="381">
        <f>SUMIFS(Adjustments!$G:$G,Adjustments!$H:$H,"4",Adjustments!$I:$I,'Schedule 4 Adjustments'!$D$14,Adjustments!$J:$J,'Schedule 4 Adjustments'!$A134)</f>
        <v>0</v>
      </c>
      <c r="F134" s="373">
        <f t="shared" si="12"/>
        <v>0</v>
      </c>
      <c r="G134" s="403">
        <v>0</v>
      </c>
      <c r="H134" s="47">
        <f t="shared" si="19"/>
        <v>0</v>
      </c>
      <c r="I134" s="371">
        <f t="shared" si="13"/>
        <v>0</v>
      </c>
      <c r="J134" s="21">
        <f t="shared" si="10"/>
        <v>0</v>
      </c>
      <c r="K134" s="369">
        <f t="shared" si="14"/>
        <v>0</v>
      </c>
      <c r="L134" s="141">
        <f>'As-Filed Schedule 4'!H134</f>
        <v>0</v>
      </c>
      <c r="M134" s="381">
        <f>SUMIFS(Adjustments!$G:$G,Adjustments!$H:$H,"4",Adjustments!$I:$I,'Schedule 4 Adjustments'!$L$14,Adjustments!$J:$J,'Schedule 4 Adjustments'!$A134)</f>
        <v>0</v>
      </c>
      <c r="N134" s="373">
        <f t="shared" si="15"/>
        <v>0</v>
      </c>
      <c r="O134" s="403">
        <v>0</v>
      </c>
      <c r="P134" s="47">
        <f t="shared" si="16"/>
        <v>0</v>
      </c>
      <c r="Q134" s="371">
        <f t="shared" si="17"/>
        <v>0</v>
      </c>
      <c r="R134" s="21">
        <f t="shared" si="11"/>
        <v>0</v>
      </c>
      <c r="S134" s="369">
        <f t="shared" si="18"/>
        <v>0</v>
      </c>
    </row>
    <row r="135" spans="1:19" s="22" customFormat="1" ht="29" x14ac:dyDescent="0.35">
      <c r="A135" s="19">
        <v>123</v>
      </c>
      <c r="B135" s="19" t="s">
        <v>16</v>
      </c>
      <c r="C135" s="20" t="s">
        <v>138</v>
      </c>
      <c r="D135" s="113">
        <f>'As-Filed Schedule 4'!D135</f>
        <v>0</v>
      </c>
      <c r="E135" s="381">
        <f>SUMIFS(Adjustments!$G:$G,Adjustments!$H:$H,"4",Adjustments!$I:$I,'Schedule 4 Adjustments'!$D$14,Adjustments!$J:$J,'Schedule 4 Adjustments'!$A135)</f>
        <v>0</v>
      </c>
      <c r="F135" s="373">
        <f t="shared" si="12"/>
        <v>0</v>
      </c>
      <c r="G135" s="403">
        <v>0</v>
      </c>
      <c r="H135" s="47">
        <f t="shared" si="19"/>
        <v>0</v>
      </c>
      <c r="I135" s="371">
        <f t="shared" si="13"/>
        <v>0</v>
      </c>
      <c r="J135" s="21">
        <f t="shared" si="10"/>
        <v>0</v>
      </c>
      <c r="K135" s="369">
        <f t="shared" si="14"/>
        <v>0</v>
      </c>
      <c r="L135" s="141">
        <f>'As-Filed Schedule 4'!H135</f>
        <v>0</v>
      </c>
      <c r="M135" s="381">
        <f>SUMIFS(Adjustments!$G:$G,Adjustments!$H:$H,"4",Adjustments!$I:$I,'Schedule 4 Adjustments'!$L$14,Adjustments!$J:$J,'Schedule 4 Adjustments'!$A135)</f>
        <v>0</v>
      </c>
      <c r="N135" s="373">
        <f t="shared" si="15"/>
        <v>0</v>
      </c>
      <c r="O135" s="403">
        <v>0</v>
      </c>
      <c r="P135" s="47">
        <f t="shared" si="16"/>
        <v>0</v>
      </c>
      <c r="Q135" s="371">
        <f t="shared" si="17"/>
        <v>0</v>
      </c>
      <c r="R135" s="21">
        <f t="shared" si="11"/>
        <v>0</v>
      </c>
      <c r="S135" s="369">
        <f t="shared" si="18"/>
        <v>0</v>
      </c>
    </row>
    <row r="136" spans="1:19" s="22" customFormat="1" ht="29" x14ac:dyDescent="0.35">
      <c r="A136" s="19">
        <v>124</v>
      </c>
      <c r="B136" s="19" t="s">
        <v>17</v>
      </c>
      <c r="C136" s="20" t="s">
        <v>139</v>
      </c>
      <c r="D136" s="113">
        <f>'As-Filed Schedule 4'!D136</f>
        <v>0</v>
      </c>
      <c r="E136" s="381">
        <f>SUMIFS(Adjustments!$G:$G,Adjustments!$H:$H,"4",Adjustments!$I:$I,'Schedule 4 Adjustments'!$D$14,Adjustments!$J:$J,'Schedule 4 Adjustments'!$A136)</f>
        <v>0</v>
      </c>
      <c r="F136" s="373">
        <f t="shared" si="12"/>
        <v>0</v>
      </c>
      <c r="G136" s="403">
        <v>0</v>
      </c>
      <c r="H136" s="47">
        <f t="shared" si="19"/>
        <v>0</v>
      </c>
      <c r="I136" s="371">
        <f t="shared" si="13"/>
        <v>0</v>
      </c>
      <c r="J136" s="21">
        <f t="shared" si="10"/>
        <v>0</v>
      </c>
      <c r="K136" s="369">
        <f t="shared" si="14"/>
        <v>0</v>
      </c>
      <c r="L136" s="141">
        <f>'As-Filed Schedule 4'!H136</f>
        <v>0</v>
      </c>
      <c r="M136" s="381">
        <f>SUMIFS(Adjustments!$G:$G,Adjustments!$H:$H,"4",Adjustments!$I:$I,'Schedule 4 Adjustments'!$L$14,Adjustments!$J:$J,'Schedule 4 Adjustments'!$A136)</f>
        <v>0</v>
      </c>
      <c r="N136" s="373">
        <f t="shared" si="15"/>
        <v>0</v>
      </c>
      <c r="O136" s="403">
        <v>0</v>
      </c>
      <c r="P136" s="47">
        <f t="shared" si="16"/>
        <v>0</v>
      </c>
      <c r="Q136" s="371">
        <f t="shared" si="17"/>
        <v>0</v>
      </c>
      <c r="R136" s="21">
        <f t="shared" si="11"/>
        <v>0</v>
      </c>
      <c r="S136" s="369">
        <f t="shared" si="18"/>
        <v>0</v>
      </c>
    </row>
    <row r="137" spans="1:19" s="22" customFormat="1" x14ac:dyDescent="0.35">
      <c r="A137" s="19">
        <v>125</v>
      </c>
      <c r="B137" s="19" t="s">
        <v>23</v>
      </c>
      <c r="C137" s="20" t="s">
        <v>140</v>
      </c>
      <c r="D137" s="113">
        <f>'As-Filed Schedule 4'!D137</f>
        <v>0</v>
      </c>
      <c r="E137" s="381">
        <f>SUMIFS(Adjustments!$G:$G,Adjustments!$H:$H,"4",Adjustments!$I:$I,'Schedule 4 Adjustments'!$D$14,Adjustments!$J:$J,'Schedule 4 Adjustments'!$A137)</f>
        <v>0</v>
      </c>
      <c r="F137" s="373">
        <f t="shared" si="12"/>
        <v>0</v>
      </c>
      <c r="G137" s="403">
        <v>0</v>
      </c>
      <c r="H137" s="47">
        <f t="shared" si="19"/>
        <v>0</v>
      </c>
      <c r="I137" s="371">
        <f t="shared" si="13"/>
        <v>0</v>
      </c>
      <c r="J137" s="21">
        <f t="shared" si="10"/>
        <v>0</v>
      </c>
      <c r="K137" s="369">
        <f t="shared" si="14"/>
        <v>0</v>
      </c>
      <c r="L137" s="141">
        <f>'As-Filed Schedule 4'!H137</f>
        <v>0</v>
      </c>
      <c r="M137" s="381">
        <f>SUMIFS(Adjustments!$G:$G,Adjustments!$H:$H,"4",Adjustments!$I:$I,'Schedule 4 Adjustments'!$L$14,Adjustments!$J:$J,'Schedule 4 Adjustments'!$A137)</f>
        <v>0</v>
      </c>
      <c r="N137" s="373">
        <f t="shared" si="15"/>
        <v>0</v>
      </c>
      <c r="O137" s="403">
        <v>0</v>
      </c>
      <c r="P137" s="47">
        <f t="shared" si="16"/>
        <v>0</v>
      </c>
      <c r="Q137" s="371">
        <f t="shared" si="17"/>
        <v>0</v>
      </c>
      <c r="R137" s="21">
        <f t="shared" si="11"/>
        <v>0</v>
      </c>
      <c r="S137" s="369">
        <f t="shared" si="18"/>
        <v>0</v>
      </c>
    </row>
    <row r="138" spans="1:19" s="22" customFormat="1" x14ac:dyDescent="0.35">
      <c r="A138" s="19">
        <v>126</v>
      </c>
      <c r="B138" s="19" t="s">
        <v>59</v>
      </c>
      <c r="C138" s="20" t="s">
        <v>395</v>
      </c>
      <c r="D138" s="113">
        <f>'As-Filed Schedule 4'!D138</f>
        <v>159</v>
      </c>
      <c r="E138" s="381">
        <f>SUMIFS(Adjustments!$G:$G,Adjustments!$H:$H,"4",Adjustments!$I:$I,'Schedule 4 Adjustments'!$D$14,Adjustments!$J:$J,'Schedule 4 Adjustments'!$A138)</f>
        <v>0</v>
      </c>
      <c r="F138" s="373">
        <f t="shared" si="12"/>
        <v>159</v>
      </c>
      <c r="G138" s="403">
        <v>3.27</v>
      </c>
      <c r="H138" s="47">
        <f t="shared" si="19"/>
        <v>519.92999999999995</v>
      </c>
      <c r="I138" s="371">
        <f t="shared" si="13"/>
        <v>519.92999999999995</v>
      </c>
      <c r="J138" s="21">
        <f t="shared" si="10"/>
        <v>520.14920166613911</v>
      </c>
      <c r="K138" s="369">
        <f t="shared" si="14"/>
        <v>526.00140263505182</v>
      </c>
      <c r="L138" s="141">
        <f>'As-Filed Schedule 4'!H138</f>
        <v>160</v>
      </c>
      <c r="M138" s="381">
        <f>SUMIFS(Adjustments!$G:$G,Adjustments!$H:$H,"4",Adjustments!$I:$I,'Schedule 4 Adjustments'!$L$14,Adjustments!$J:$J,'Schedule 4 Adjustments'!$A138)</f>
        <v>0</v>
      </c>
      <c r="N138" s="373">
        <f t="shared" si="15"/>
        <v>160</v>
      </c>
      <c r="O138" s="403">
        <v>2.17</v>
      </c>
      <c r="P138" s="47">
        <f t="shared" si="16"/>
        <v>347.2</v>
      </c>
      <c r="Q138" s="371">
        <f t="shared" si="17"/>
        <v>347.2</v>
      </c>
      <c r="R138" s="21">
        <f t="shared" si="11"/>
        <v>345.1754641026061</v>
      </c>
      <c r="S138" s="369">
        <f t="shared" si="18"/>
        <v>349.05903477616584</v>
      </c>
    </row>
    <row r="139" spans="1:19" s="22" customFormat="1" x14ac:dyDescent="0.35">
      <c r="A139" s="19">
        <v>127</v>
      </c>
      <c r="B139" s="19" t="s">
        <v>60</v>
      </c>
      <c r="C139" s="20" t="s">
        <v>394</v>
      </c>
      <c r="D139" s="113">
        <f>'As-Filed Schedule 4'!D139</f>
        <v>4048</v>
      </c>
      <c r="E139" s="381">
        <f>SUMIFS(Adjustments!$G:$G,Adjustments!$H:$H,"4",Adjustments!$I:$I,'Schedule 4 Adjustments'!$D$14,Adjustments!$J:$J,'Schedule 4 Adjustments'!$A139)</f>
        <v>0</v>
      </c>
      <c r="F139" s="373">
        <f t="shared" si="12"/>
        <v>4048</v>
      </c>
      <c r="G139" s="403">
        <v>1.1499999999999999</v>
      </c>
      <c r="H139" s="47">
        <f t="shared" si="19"/>
        <v>4655.2</v>
      </c>
      <c r="I139" s="371">
        <f t="shared" si="13"/>
        <v>4655.2</v>
      </c>
      <c r="J139" s="21">
        <f t="shared" si="10"/>
        <v>182.92708927096635</v>
      </c>
      <c r="K139" s="369">
        <f t="shared" si="14"/>
        <v>184.98520276156253</v>
      </c>
      <c r="L139" s="141">
        <f>'As-Filed Schedule 4'!H139</f>
        <v>1866</v>
      </c>
      <c r="M139" s="381">
        <f>SUMIFS(Adjustments!$G:$G,Adjustments!$H:$H,"4",Adjustments!$I:$I,'Schedule 4 Adjustments'!$L$14,Adjustments!$J:$J,'Schedule 4 Adjustments'!$A139)</f>
        <v>0</v>
      </c>
      <c r="N139" s="373">
        <f t="shared" si="15"/>
        <v>1866</v>
      </c>
      <c r="O139" s="403">
        <v>0.7</v>
      </c>
      <c r="P139" s="47">
        <f t="shared" si="16"/>
        <v>1306.1999999999998</v>
      </c>
      <c r="Q139" s="371">
        <f t="shared" si="17"/>
        <v>1306.1999999999998</v>
      </c>
      <c r="R139" s="21">
        <f t="shared" si="11"/>
        <v>111.34692390406649</v>
      </c>
      <c r="S139" s="369">
        <f t="shared" si="18"/>
        <v>112.59968863747285</v>
      </c>
    </row>
    <row r="140" spans="1:19" s="22" customFormat="1" x14ac:dyDescent="0.35">
      <c r="A140" s="19">
        <v>128</v>
      </c>
      <c r="B140" s="19" t="s">
        <v>61</v>
      </c>
      <c r="C140" s="20" t="s">
        <v>141</v>
      </c>
      <c r="D140" s="113">
        <f>'As-Filed Schedule 4'!D140</f>
        <v>0</v>
      </c>
      <c r="E140" s="381">
        <f>SUMIFS(Adjustments!$G:$G,Adjustments!$H:$H,"4",Adjustments!$I:$I,'Schedule 4 Adjustments'!$D$14,Adjustments!$J:$J,'Schedule 4 Adjustments'!$A140)</f>
        <v>0</v>
      </c>
      <c r="F140" s="373">
        <f t="shared" si="12"/>
        <v>0</v>
      </c>
      <c r="G140" s="403">
        <v>0.44</v>
      </c>
      <c r="H140" s="47">
        <f t="shared" si="19"/>
        <v>0</v>
      </c>
      <c r="I140" s="371">
        <f t="shared" si="13"/>
        <v>0</v>
      </c>
      <c r="J140" s="21">
        <f t="shared" si="10"/>
        <v>69.98949502541322</v>
      </c>
      <c r="K140" s="369">
        <f t="shared" si="14"/>
        <v>70.776947143554366</v>
      </c>
      <c r="L140" s="141">
        <f>'As-Filed Schedule 4'!H140</f>
        <v>13</v>
      </c>
      <c r="M140" s="381">
        <f>SUMIFS(Adjustments!$G:$G,Adjustments!$H:$H,"4",Adjustments!$I:$I,'Schedule 4 Adjustments'!$L$14,Adjustments!$J:$J,'Schedule 4 Adjustments'!$A140)</f>
        <v>0</v>
      </c>
      <c r="N140" s="373">
        <f t="shared" si="15"/>
        <v>13</v>
      </c>
      <c r="O140" s="403">
        <v>0.44</v>
      </c>
      <c r="P140" s="47">
        <f t="shared" si="16"/>
        <v>5.72</v>
      </c>
      <c r="Q140" s="371">
        <f t="shared" si="17"/>
        <v>5.72</v>
      </c>
      <c r="R140" s="21">
        <f t="shared" si="11"/>
        <v>69.98949502541322</v>
      </c>
      <c r="S140" s="369">
        <f t="shared" si="18"/>
        <v>70.776947143554366</v>
      </c>
    </row>
    <row r="141" spans="1:19" s="22" customFormat="1" x14ac:dyDescent="0.35">
      <c r="A141" s="19">
        <v>129</v>
      </c>
      <c r="B141" s="19" t="s">
        <v>62</v>
      </c>
      <c r="C141" s="20" t="s">
        <v>396</v>
      </c>
      <c r="D141" s="113">
        <f>'As-Filed Schedule 4'!D141</f>
        <v>0</v>
      </c>
      <c r="E141" s="381">
        <f>SUMIFS(Adjustments!$G:$G,Adjustments!$H:$H,"4",Adjustments!$I:$I,'Schedule 4 Adjustments'!$D$14,Adjustments!$J:$J,'Schedule 4 Adjustments'!$A141)</f>
        <v>0</v>
      </c>
      <c r="F141" s="373">
        <f t="shared" si="12"/>
        <v>0</v>
      </c>
      <c r="G141" s="403">
        <v>0.92</v>
      </c>
      <c r="H141" s="47">
        <f t="shared" si="19"/>
        <v>0</v>
      </c>
      <c r="I141" s="371">
        <f t="shared" si="13"/>
        <v>0</v>
      </c>
      <c r="J141" s="21">
        <f t="shared" si="10"/>
        <v>146.3416714167731</v>
      </c>
      <c r="K141" s="369">
        <f t="shared" si="14"/>
        <v>147.98816220925005</v>
      </c>
      <c r="L141" s="141">
        <f>'As-Filed Schedule 4'!H141</f>
        <v>2569</v>
      </c>
      <c r="M141" s="381">
        <f>SUMIFS(Adjustments!$G:$G,Adjustments!$H:$H,"4",Adjustments!$I:$I,'Schedule 4 Adjustments'!$L$14,Adjustments!$J:$J,'Schedule 4 Adjustments'!$A141)</f>
        <v>0</v>
      </c>
      <c r="N141" s="373">
        <f t="shared" si="15"/>
        <v>2569</v>
      </c>
      <c r="O141" s="403">
        <v>0.92</v>
      </c>
      <c r="P141" s="47">
        <f t="shared" si="16"/>
        <v>2363.48</v>
      </c>
      <c r="Q141" s="371">
        <f t="shared" si="17"/>
        <v>2363.48</v>
      </c>
      <c r="R141" s="21">
        <f t="shared" si="11"/>
        <v>146.3416714167731</v>
      </c>
      <c r="S141" s="369">
        <f t="shared" si="18"/>
        <v>147.98816220925005</v>
      </c>
    </row>
    <row r="142" spans="1:19" s="22" customFormat="1" x14ac:dyDescent="0.35">
      <c r="A142" s="19">
        <v>130</v>
      </c>
      <c r="B142" s="19" t="s">
        <v>63</v>
      </c>
      <c r="C142" s="20" t="s">
        <v>397</v>
      </c>
      <c r="D142" s="113">
        <f>'As-Filed Schedule 4'!D142</f>
        <v>0</v>
      </c>
      <c r="E142" s="381">
        <f>SUMIFS(Adjustments!$G:$G,Adjustments!$H:$H,"4",Adjustments!$I:$I,'Schedule 4 Adjustments'!$D$14,Adjustments!$J:$J,'Schedule 4 Adjustments'!$A142)</f>
        <v>0</v>
      </c>
      <c r="F142" s="373">
        <f t="shared" si="12"/>
        <v>0</v>
      </c>
      <c r="G142" s="403">
        <v>5.28</v>
      </c>
      <c r="H142" s="47">
        <f t="shared" si="19"/>
        <v>0</v>
      </c>
      <c r="I142" s="371">
        <f t="shared" si="13"/>
        <v>0</v>
      </c>
      <c r="J142" s="21">
        <f t="shared" si="10"/>
        <v>839.87394030495864</v>
      </c>
      <c r="K142" s="369">
        <f t="shared" si="14"/>
        <v>849.3233657226524</v>
      </c>
      <c r="L142" s="141">
        <f>'As-Filed Schedule 4'!H142</f>
        <v>0</v>
      </c>
      <c r="M142" s="381">
        <f>SUMIFS(Adjustments!$G:$G,Adjustments!$H:$H,"4",Adjustments!$I:$I,'Schedule 4 Adjustments'!$L$14,Adjustments!$J:$J,'Schedule 4 Adjustments'!$A142)</f>
        <v>0</v>
      </c>
      <c r="N142" s="373">
        <f t="shared" si="15"/>
        <v>0</v>
      </c>
      <c r="O142" s="403">
        <v>5.28</v>
      </c>
      <c r="P142" s="47">
        <f t="shared" si="16"/>
        <v>0</v>
      </c>
      <c r="Q142" s="371">
        <f t="shared" si="17"/>
        <v>0</v>
      </c>
      <c r="R142" s="21">
        <f t="shared" si="11"/>
        <v>839.87394030495864</v>
      </c>
      <c r="S142" s="369">
        <f t="shared" si="18"/>
        <v>849.3233657226524</v>
      </c>
    </row>
    <row r="143" spans="1:19" s="22" customFormat="1" x14ac:dyDescent="0.35">
      <c r="A143" s="19">
        <v>131</v>
      </c>
      <c r="B143" s="19" t="s">
        <v>64</v>
      </c>
      <c r="C143" s="20" t="s">
        <v>399</v>
      </c>
      <c r="D143" s="113">
        <f>'As-Filed Schedule 4'!D143</f>
        <v>52052</v>
      </c>
      <c r="E143" s="381">
        <f>SUMIFS(Adjustments!$G:$G,Adjustments!$H:$H,"4",Adjustments!$I:$I,'Schedule 4 Adjustments'!$D$14,Adjustments!$J:$J,'Schedule 4 Adjustments'!$A143)</f>
        <v>0</v>
      </c>
      <c r="F143" s="373">
        <f t="shared" si="12"/>
        <v>52052</v>
      </c>
      <c r="G143" s="403">
        <v>0.44</v>
      </c>
      <c r="H143" s="47">
        <f t="shared" si="19"/>
        <v>22902.880000000001</v>
      </c>
      <c r="I143" s="371">
        <f t="shared" si="13"/>
        <v>22902.880000000001</v>
      </c>
      <c r="J143" s="21">
        <f t="shared" si="10"/>
        <v>69.98949502541322</v>
      </c>
      <c r="K143" s="369">
        <f t="shared" si="14"/>
        <v>70.776947143554366</v>
      </c>
      <c r="L143" s="141">
        <f>'As-Filed Schedule 4'!H143</f>
        <v>21049</v>
      </c>
      <c r="M143" s="381">
        <f>SUMIFS(Adjustments!$G:$G,Adjustments!$H:$H,"4",Adjustments!$I:$I,'Schedule 4 Adjustments'!$L$14,Adjustments!$J:$J,'Schedule 4 Adjustments'!$A143)</f>
        <v>0</v>
      </c>
      <c r="N143" s="373">
        <f t="shared" si="15"/>
        <v>21049</v>
      </c>
      <c r="O143" s="403">
        <v>0.44</v>
      </c>
      <c r="P143" s="47">
        <f t="shared" si="16"/>
        <v>9261.56</v>
      </c>
      <c r="Q143" s="371">
        <f t="shared" si="17"/>
        <v>9261.56</v>
      </c>
      <c r="R143" s="21">
        <f t="shared" si="11"/>
        <v>69.98949502541322</v>
      </c>
      <c r="S143" s="369">
        <f t="shared" si="18"/>
        <v>70.776947143554366</v>
      </c>
    </row>
    <row r="144" spans="1:19" s="22" customFormat="1" x14ac:dyDescent="0.35">
      <c r="A144" s="19">
        <v>132</v>
      </c>
      <c r="B144" s="19" t="s">
        <v>65</v>
      </c>
      <c r="C144" s="20" t="s">
        <v>398</v>
      </c>
      <c r="D144" s="113">
        <f>'As-Filed Schedule 4'!D144</f>
        <v>27</v>
      </c>
      <c r="E144" s="381">
        <f>SUMIFS(Adjustments!$G:$G,Adjustments!$H:$H,"4",Adjustments!$I:$I,'Schedule 4 Adjustments'!$D$14,Adjustments!$J:$J,'Schedule 4 Adjustments'!$A144)</f>
        <v>0</v>
      </c>
      <c r="F144" s="373">
        <f t="shared" si="12"/>
        <v>27</v>
      </c>
      <c r="G144" s="403">
        <v>5.28</v>
      </c>
      <c r="H144" s="47">
        <f t="shared" si="19"/>
        <v>142.56</v>
      </c>
      <c r="I144" s="371">
        <f t="shared" si="13"/>
        <v>142.56</v>
      </c>
      <c r="J144" s="21">
        <f t="shared" si="10"/>
        <v>839.87394030495864</v>
      </c>
      <c r="K144" s="369">
        <f t="shared" si="14"/>
        <v>849.3233657226524</v>
      </c>
      <c r="L144" s="141">
        <f>'As-Filed Schedule 4'!H144</f>
        <v>2</v>
      </c>
      <c r="M144" s="381">
        <f>SUMIFS(Adjustments!$G:$G,Adjustments!$H:$H,"4",Adjustments!$I:$I,'Schedule 4 Adjustments'!$L$14,Adjustments!$J:$J,'Schedule 4 Adjustments'!$A144)</f>
        <v>0</v>
      </c>
      <c r="N144" s="373">
        <f t="shared" si="15"/>
        <v>2</v>
      </c>
      <c r="O144" s="403">
        <v>5.28</v>
      </c>
      <c r="P144" s="47">
        <f t="shared" si="16"/>
        <v>10.56</v>
      </c>
      <c r="Q144" s="371">
        <f t="shared" si="17"/>
        <v>10.56</v>
      </c>
      <c r="R144" s="21">
        <f t="shared" si="11"/>
        <v>839.87394030495864</v>
      </c>
      <c r="S144" s="369">
        <f t="shared" si="18"/>
        <v>849.3233657226524</v>
      </c>
    </row>
    <row r="145" spans="1:19" s="22" customFormat="1" x14ac:dyDescent="0.35">
      <c r="A145" s="19">
        <v>133</v>
      </c>
      <c r="B145" s="19" t="s">
        <v>66</v>
      </c>
      <c r="C145" s="20" t="s">
        <v>142</v>
      </c>
      <c r="D145" s="113">
        <f>'As-Filed Schedule 4'!D145</f>
        <v>8970</v>
      </c>
      <c r="E145" s="381">
        <f>SUMIFS(Adjustments!$G:$G,Adjustments!$H:$H,"4",Adjustments!$I:$I,'Schedule 4 Adjustments'!$D$14,Adjustments!$J:$J,'Schedule 4 Adjustments'!$A145)</f>
        <v>0</v>
      </c>
      <c r="F145" s="373">
        <f t="shared" si="12"/>
        <v>8970</v>
      </c>
      <c r="G145" s="403">
        <v>0.54</v>
      </c>
      <c r="H145" s="47">
        <f t="shared" si="19"/>
        <v>4843.8</v>
      </c>
      <c r="I145" s="371">
        <f t="shared" si="13"/>
        <v>4843.8</v>
      </c>
      <c r="J145" s="21">
        <f t="shared" si="10"/>
        <v>85.896198440279861</v>
      </c>
      <c r="K145" s="369">
        <f t="shared" si="14"/>
        <v>86.862616948907643</v>
      </c>
      <c r="L145" s="141">
        <f>'As-Filed Schedule 4'!H145</f>
        <v>2770</v>
      </c>
      <c r="M145" s="381">
        <f>SUMIFS(Adjustments!$G:$G,Adjustments!$H:$H,"4",Adjustments!$I:$I,'Schedule 4 Adjustments'!$L$14,Adjustments!$J:$J,'Schedule 4 Adjustments'!$A145)</f>
        <v>0</v>
      </c>
      <c r="N145" s="373">
        <f t="shared" si="15"/>
        <v>2770</v>
      </c>
      <c r="O145" s="403">
        <v>0.54</v>
      </c>
      <c r="P145" s="47">
        <f t="shared" si="16"/>
        <v>1495.8000000000002</v>
      </c>
      <c r="Q145" s="371">
        <f t="shared" si="17"/>
        <v>1495.8000000000002</v>
      </c>
      <c r="R145" s="21">
        <f t="shared" si="11"/>
        <v>85.896198440279861</v>
      </c>
      <c r="S145" s="369">
        <f t="shared" si="18"/>
        <v>86.862616948907643</v>
      </c>
    </row>
    <row r="146" spans="1:19" s="22" customFormat="1" x14ac:dyDescent="0.35">
      <c r="A146" s="19">
        <v>134</v>
      </c>
      <c r="B146" s="19" t="s">
        <v>67</v>
      </c>
      <c r="C146" s="20" t="s">
        <v>400</v>
      </c>
      <c r="D146" s="113">
        <f>'As-Filed Schedule 4'!D146</f>
        <v>7</v>
      </c>
      <c r="E146" s="381">
        <f>SUMIFS(Adjustments!$G:$G,Adjustments!$H:$H,"4",Adjustments!$I:$I,'Schedule 4 Adjustments'!$D$14,Adjustments!$J:$J,'Schedule 4 Adjustments'!$A146)</f>
        <v>0</v>
      </c>
      <c r="F146" s="373">
        <f t="shared" si="12"/>
        <v>7</v>
      </c>
      <c r="G146" s="403">
        <v>1.29</v>
      </c>
      <c r="H146" s="47">
        <f t="shared" si="19"/>
        <v>9.0300000000000011</v>
      </c>
      <c r="I146" s="371">
        <f t="shared" si="13"/>
        <v>9.0300000000000011</v>
      </c>
      <c r="J146" s="21">
        <f t="shared" ref="J146:J196" si="20">G146*$H$12</f>
        <v>205.19647405177966</v>
      </c>
      <c r="K146" s="369">
        <f t="shared" si="14"/>
        <v>207.50514048905714</v>
      </c>
      <c r="L146" s="141">
        <f>'As-Filed Schedule 4'!H146</f>
        <v>6</v>
      </c>
      <c r="M146" s="381">
        <f>SUMIFS(Adjustments!$G:$G,Adjustments!$H:$H,"4",Adjustments!$I:$I,'Schedule 4 Adjustments'!$L$14,Adjustments!$J:$J,'Schedule 4 Adjustments'!$A146)</f>
        <v>0</v>
      </c>
      <c r="N146" s="373">
        <f t="shared" si="15"/>
        <v>6</v>
      </c>
      <c r="O146" s="403">
        <v>1.1299999999999999</v>
      </c>
      <c r="P146" s="47">
        <f t="shared" si="16"/>
        <v>6.7799999999999994</v>
      </c>
      <c r="Q146" s="371">
        <f t="shared" si="17"/>
        <v>6.7799999999999994</v>
      </c>
      <c r="R146" s="21">
        <f t="shared" ref="R146:R196" si="21">O146*$H$12</f>
        <v>179.74574858799303</v>
      </c>
      <c r="S146" s="369">
        <f t="shared" si="18"/>
        <v>181.76806880049187</v>
      </c>
    </row>
    <row r="147" spans="1:19" s="22" customFormat="1" x14ac:dyDescent="0.35">
      <c r="A147" s="19">
        <v>135</v>
      </c>
      <c r="B147" s="19" t="s">
        <v>68</v>
      </c>
      <c r="C147" s="20" t="s">
        <v>401</v>
      </c>
      <c r="D147" s="113">
        <f>'As-Filed Schedule 4'!D147</f>
        <v>1</v>
      </c>
      <c r="E147" s="381">
        <f>SUMIFS(Adjustments!$G:$G,Adjustments!$H:$H,"4",Adjustments!$I:$I,'Schedule 4 Adjustments'!$D$14,Adjustments!$J:$J,'Schedule 4 Adjustments'!$A147)</f>
        <v>0</v>
      </c>
      <c r="F147" s="373">
        <f t="shared" ref="F147:F196" si="22">SUM(D147:E147)</f>
        <v>1</v>
      </c>
      <c r="G147" s="403">
        <v>5.28</v>
      </c>
      <c r="H147" s="47">
        <f t="shared" si="19"/>
        <v>5.28</v>
      </c>
      <c r="I147" s="371">
        <f t="shared" ref="I147:I196" si="23">F147*G147</f>
        <v>5.28</v>
      </c>
      <c r="J147" s="21">
        <f t="shared" si="20"/>
        <v>839.87394030495864</v>
      </c>
      <c r="K147" s="369">
        <f t="shared" ref="K147:K196" si="24">G147*$I$12</f>
        <v>849.3233657226524</v>
      </c>
      <c r="L147" s="141">
        <f>'As-Filed Schedule 4'!H147</f>
        <v>0</v>
      </c>
      <c r="M147" s="381">
        <f>SUMIFS(Adjustments!$G:$G,Adjustments!$H:$H,"4",Adjustments!$I:$I,'Schedule 4 Adjustments'!$L$14,Adjustments!$J:$J,'Schedule 4 Adjustments'!$A147)</f>
        <v>0</v>
      </c>
      <c r="N147" s="373">
        <f t="shared" ref="N147:N196" si="25">SUM(L147:M147)</f>
        <v>0</v>
      </c>
      <c r="O147" s="403">
        <v>5.28</v>
      </c>
      <c r="P147" s="47">
        <f t="shared" ref="P147:P196" si="26">L147*O147</f>
        <v>0</v>
      </c>
      <c r="Q147" s="371">
        <f t="shared" ref="Q147:Q196" si="27">N147*O147</f>
        <v>0</v>
      </c>
      <c r="R147" s="21">
        <f t="shared" si="21"/>
        <v>839.87394030495864</v>
      </c>
      <c r="S147" s="369">
        <f t="shared" ref="S147:S196" si="28">O147*$I$12</f>
        <v>849.3233657226524</v>
      </c>
    </row>
    <row r="148" spans="1:19" s="22" customFormat="1" x14ac:dyDescent="0.35">
      <c r="A148" s="19">
        <v>136</v>
      </c>
      <c r="B148" s="19" t="s">
        <v>69</v>
      </c>
      <c r="C148" s="20" t="s">
        <v>402</v>
      </c>
      <c r="D148" s="113">
        <f>'As-Filed Schedule 4'!D148</f>
        <v>0</v>
      </c>
      <c r="E148" s="381">
        <f>SUMIFS(Adjustments!$G:$G,Adjustments!$H:$H,"4",Adjustments!$I:$I,'Schedule 4 Adjustments'!$D$14,Adjustments!$J:$J,'Schedule 4 Adjustments'!$A148)</f>
        <v>0</v>
      </c>
      <c r="F148" s="373">
        <f t="shared" si="22"/>
        <v>0</v>
      </c>
      <c r="G148" s="403">
        <v>0.14000000000000001</v>
      </c>
      <c r="H148" s="47">
        <f t="shared" ref="H148:H196" si="29">D148*G148</f>
        <v>0</v>
      </c>
      <c r="I148" s="371">
        <f t="shared" si="23"/>
        <v>0</v>
      </c>
      <c r="J148" s="21">
        <f t="shared" si="20"/>
        <v>22.269384780813301</v>
      </c>
      <c r="K148" s="369">
        <f t="shared" si="24"/>
        <v>22.519937727494575</v>
      </c>
      <c r="L148" s="141">
        <f>'As-Filed Schedule 4'!H148</f>
        <v>0</v>
      </c>
      <c r="M148" s="381">
        <f>SUMIFS(Adjustments!$G:$G,Adjustments!$H:$H,"4",Adjustments!$I:$I,'Schedule 4 Adjustments'!$L$14,Adjustments!$J:$J,'Schedule 4 Adjustments'!$A148)</f>
        <v>0</v>
      </c>
      <c r="N148" s="373">
        <f t="shared" si="25"/>
        <v>0</v>
      </c>
      <c r="O148" s="403">
        <v>0.12</v>
      </c>
      <c r="P148" s="47">
        <f t="shared" si="26"/>
        <v>0</v>
      </c>
      <c r="Q148" s="371">
        <f t="shared" si="27"/>
        <v>0</v>
      </c>
      <c r="R148" s="21">
        <f t="shared" si="21"/>
        <v>19.088044097839969</v>
      </c>
      <c r="S148" s="369">
        <f t="shared" si="28"/>
        <v>19.302803766423917</v>
      </c>
    </row>
    <row r="149" spans="1:19" s="22" customFormat="1" x14ac:dyDescent="0.35">
      <c r="A149" s="19">
        <v>137</v>
      </c>
      <c r="B149" s="19" t="s">
        <v>70</v>
      </c>
      <c r="C149" s="20" t="s">
        <v>403</v>
      </c>
      <c r="D149" s="113">
        <f>'As-Filed Schedule 4'!D149</f>
        <v>0</v>
      </c>
      <c r="E149" s="381">
        <f>SUMIFS(Adjustments!$G:$G,Adjustments!$H:$H,"4",Adjustments!$I:$I,'Schedule 4 Adjustments'!$D$14,Adjustments!$J:$J,'Schedule 4 Adjustments'!$A149)</f>
        <v>0</v>
      </c>
      <c r="F149" s="373">
        <f t="shared" si="22"/>
        <v>0</v>
      </c>
      <c r="G149" s="403">
        <v>3.08</v>
      </c>
      <c r="H149" s="47">
        <f t="shared" si="29"/>
        <v>0</v>
      </c>
      <c r="I149" s="371">
        <f t="shared" si="23"/>
        <v>0</v>
      </c>
      <c r="J149" s="21">
        <f t="shared" si="20"/>
        <v>489.92646517789257</v>
      </c>
      <c r="K149" s="369">
        <f t="shared" si="24"/>
        <v>495.43863000488057</v>
      </c>
      <c r="L149" s="141">
        <f>'As-Filed Schedule 4'!H149</f>
        <v>0</v>
      </c>
      <c r="M149" s="381">
        <f>SUMIFS(Adjustments!$G:$G,Adjustments!$H:$H,"4",Adjustments!$I:$I,'Schedule 4 Adjustments'!$L$14,Adjustments!$J:$J,'Schedule 4 Adjustments'!$A149)</f>
        <v>0</v>
      </c>
      <c r="N149" s="373">
        <f t="shared" si="25"/>
        <v>0</v>
      </c>
      <c r="O149" s="403">
        <v>2.6399999999999997</v>
      </c>
      <c r="P149" s="47">
        <f t="shared" si="26"/>
        <v>0</v>
      </c>
      <c r="Q149" s="371">
        <f t="shared" si="27"/>
        <v>0</v>
      </c>
      <c r="R149" s="21">
        <f t="shared" si="21"/>
        <v>419.93697015247926</v>
      </c>
      <c r="S149" s="369">
        <f t="shared" si="28"/>
        <v>424.66168286132614</v>
      </c>
    </row>
    <row r="150" spans="1:19" s="22" customFormat="1" x14ac:dyDescent="0.35">
      <c r="A150" s="19">
        <v>138</v>
      </c>
      <c r="B150" s="19" t="s">
        <v>71</v>
      </c>
      <c r="C150" s="20" t="s">
        <v>404</v>
      </c>
      <c r="D150" s="113">
        <f>'As-Filed Schedule 4'!D150</f>
        <v>0</v>
      </c>
      <c r="E150" s="381">
        <f>SUMIFS(Adjustments!$G:$G,Adjustments!$H:$H,"4",Adjustments!$I:$I,'Schedule 4 Adjustments'!$D$14,Adjustments!$J:$J,'Schedule 4 Adjustments'!$A150)</f>
        <v>0</v>
      </c>
      <c r="F150" s="373">
        <f t="shared" si="22"/>
        <v>0</v>
      </c>
      <c r="G150" s="403">
        <v>5.28</v>
      </c>
      <c r="H150" s="47">
        <f t="shared" si="29"/>
        <v>0</v>
      </c>
      <c r="I150" s="371">
        <f t="shared" si="23"/>
        <v>0</v>
      </c>
      <c r="J150" s="21">
        <f t="shared" si="20"/>
        <v>839.87394030495864</v>
      </c>
      <c r="K150" s="369">
        <f t="shared" si="24"/>
        <v>849.3233657226524</v>
      </c>
      <c r="L150" s="141">
        <f>'As-Filed Schedule 4'!H150</f>
        <v>0</v>
      </c>
      <c r="M150" s="381">
        <f>SUMIFS(Adjustments!$G:$G,Adjustments!$H:$H,"4",Adjustments!$I:$I,'Schedule 4 Adjustments'!$L$14,Adjustments!$J:$J,'Schedule 4 Adjustments'!$A150)</f>
        <v>0</v>
      </c>
      <c r="N150" s="373">
        <f t="shared" si="25"/>
        <v>0</v>
      </c>
      <c r="O150" s="403">
        <v>5.28</v>
      </c>
      <c r="P150" s="47">
        <f t="shared" si="26"/>
        <v>0</v>
      </c>
      <c r="Q150" s="371">
        <f t="shared" si="27"/>
        <v>0</v>
      </c>
      <c r="R150" s="21">
        <f t="shared" si="21"/>
        <v>839.87394030495864</v>
      </c>
      <c r="S150" s="369">
        <f t="shared" si="28"/>
        <v>849.3233657226524</v>
      </c>
    </row>
    <row r="151" spans="1:19" s="22" customFormat="1" x14ac:dyDescent="0.35">
      <c r="A151" s="19">
        <v>139</v>
      </c>
      <c r="B151" s="19" t="s">
        <v>792</v>
      </c>
      <c r="C151" s="20" t="s">
        <v>793</v>
      </c>
      <c r="D151" s="113">
        <f>'As-Filed Schedule 4'!D151</f>
        <v>0</v>
      </c>
      <c r="E151" s="381">
        <f>SUMIFS(Adjustments!$G:$G,Adjustments!$H:$H,"4",Adjustments!$I:$I,'Schedule 4 Adjustments'!$D$14,Adjustments!$J:$J,'Schedule 4 Adjustments'!$A151)</f>
        <v>0</v>
      </c>
      <c r="F151" s="373">
        <f t="shared" ref="F151" si="30">SUM(D151:E151)</f>
        <v>0</v>
      </c>
      <c r="G151" s="403">
        <v>0.12</v>
      </c>
      <c r="H151" s="47">
        <f t="shared" ref="H151" si="31">D151*G151</f>
        <v>0</v>
      </c>
      <c r="I151" s="371">
        <f t="shared" ref="I151" si="32">F151*G151</f>
        <v>0</v>
      </c>
      <c r="J151" s="21">
        <f t="shared" ref="J151" si="33">G151*$H$12</f>
        <v>19.088044097839969</v>
      </c>
      <c r="K151" s="369">
        <f t="shared" ref="K151" si="34">G151*$I$12</f>
        <v>19.302803766423917</v>
      </c>
      <c r="L151" s="141">
        <f>'As-Filed Schedule 4'!H151</f>
        <v>71160</v>
      </c>
      <c r="M151" s="381">
        <f>SUMIFS(Adjustments!$G:$G,Adjustments!$H:$H,"4",Adjustments!$I:$I,'Schedule 4 Adjustments'!$L$14,Adjustments!$J:$J,'Schedule 4 Adjustments'!$A151)</f>
        <v>0</v>
      </c>
      <c r="N151" s="373">
        <f t="shared" ref="N151" si="35">SUM(L151:M151)</f>
        <v>71160</v>
      </c>
      <c r="O151" s="403">
        <v>0.09</v>
      </c>
      <c r="P151" s="47">
        <f t="shared" ref="P151" si="36">L151*O151</f>
        <v>6404.4</v>
      </c>
      <c r="Q151" s="371">
        <f t="shared" ref="Q151" si="37">N151*O151</f>
        <v>6404.4</v>
      </c>
      <c r="R151" s="21">
        <f t="shared" ref="R151" si="38">O151*$H$12</f>
        <v>14.316033073379977</v>
      </c>
      <c r="S151" s="369">
        <f t="shared" ref="S151" si="39">O151*$I$12</f>
        <v>14.477102824817939</v>
      </c>
    </row>
    <row r="152" spans="1:19" s="22" customFormat="1" x14ac:dyDescent="0.35">
      <c r="A152" s="19">
        <v>140</v>
      </c>
      <c r="B152" s="19" t="s">
        <v>72</v>
      </c>
      <c r="C152" s="20" t="s">
        <v>405</v>
      </c>
      <c r="D152" s="113">
        <f>'As-Filed Schedule 4'!D152</f>
        <v>0</v>
      </c>
      <c r="E152" s="381">
        <f>SUMIFS(Adjustments!$G:$G,Adjustments!$H:$H,"4",Adjustments!$I:$I,'Schedule 4 Adjustments'!$D$14,Adjustments!$J:$J,'Schedule 4 Adjustments'!$A152)</f>
        <v>0</v>
      </c>
      <c r="F152" s="373">
        <f t="shared" si="22"/>
        <v>0</v>
      </c>
      <c r="G152" s="403">
        <v>1.02</v>
      </c>
      <c r="H152" s="47">
        <f t="shared" si="29"/>
        <v>0</v>
      </c>
      <c r="I152" s="371">
        <f t="shared" si="23"/>
        <v>0</v>
      </c>
      <c r="J152" s="21">
        <f t="shared" si="20"/>
        <v>162.24837483163975</v>
      </c>
      <c r="K152" s="369">
        <f t="shared" si="24"/>
        <v>164.07383201460331</v>
      </c>
      <c r="L152" s="141">
        <f>'As-Filed Schedule 4'!H152</f>
        <v>0</v>
      </c>
      <c r="M152" s="381">
        <f>SUMIFS(Adjustments!$G:$G,Adjustments!$H:$H,"4",Adjustments!$I:$I,'Schedule 4 Adjustments'!$L$14,Adjustments!$J:$J,'Schedule 4 Adjustments'!$A152)</f>
        <v>0</v>
      </c>
      <c r="N152" s="373">
        <f t="shared" si="25"/>
        <v>0</v>
      </c>
      <c r="O152" s="403">
        <v>0.94</v>
      </c>
      <c r="P152" s="47">
        <f t="shared" si="26"/>
        <v>0</v>
      </c>
      <c r="Q152" s="371">
        <f t="shared" si="27"/>
        <v>0</v>
      </c>
      <c r="R152" s="21">
        <f t="shared" si="21"/>
        <v>149.52301209974641</v>
      </c>
      <c r="S152" s="369">
        <f t="shared" si="28"/>
        <v>151.20529617032068</v>
      </c>
    </row>
    <row r="153" spans="1:19" s="22" customFormat="1" x14ac:dyDescent="0.35">
      <c r="A153" s="19">
        <v>141</v>
      </c>
      <c r="B153" s="19" t="s">
        <v>20</v>
      </c>
      <c r="C153" s="20" t="s">
        <v>406</v>
      </c>
      <c r="D153" s="113">
        <f>'As-Filed Schedule 4'!D153</f>
        <v>0</v>
      </c>
      <c r="E153" s="381">
        <f>SUMIFS(Adjustments!$G:$G,Adjustments!$H:$H,"4",Adjustments!$I:$I,'Schedule 4 Adjustments'!$D$14,Adjustments!$J:$J,'Schedule 4 Adjustments'!$A153)</f>
        <v>0</v>
      </c>
      <c r="F153" s="373">
        <f t="shared" si="22"/>
        <v>0</v>
      </c>
      <c r="G153" s="403">
        <v>0</v>
      </c>
      <c r="H153" s="47">
        <f t="shared" si="29"/>
        <v>0</v>
      </c>
      <c r="I153" s="371">
        <f t="shared" si="23"/>
        <v>0</v>
      </c>
      <c r="J153" s="21">
        <f t="shared" si="20"/>
        <v>0</v>
      </c>
      <c r="K153" s="369">
        <f t="shared" si="24"/>
        <v>0</v>
      </c>
      <c r="L153" s="141">
        <f>'As-Filed Schedule 4'!H153</f>
        <v>0</v>
      </c>
      <c r="M153" s="381">
        <f>SUMIFS(Adjustments!$G:$G,Adjustments!$H:$H,"4",Adjustments!$I:$I,'Schedule 4 Adjustments'!$L$14,Adjustments!$J:$J,'Schedule 4 Adjustments'!$A153)</f>
        <v>0</v>
      </c>
      <c r="N153" s="373">
        <f t="shared" si="25"/>
        <v>0</v>
      </c>
      <c r="O153" s="403">
        <v>0</v>
      </c>
      <c r="P153" s="47">
        <f t="shared" si="26"/>
        <v>0</v>
      </c>
      <c r="Q153" s="371">
        <f t="shared" si="27"/>
        <v>0</v>
      </c>
      <c r="R153" s="21">
        <f t="shared" si="21"/>
        <v>0</v>
      </c>
      <c r="S153" s="369">
        <f t="shared" si="28"/>
        <v>0</v>
      </c>
    </row>
    <row r="154" spans="1:19" s="22" customFormat="1" x14ac:dyDescent="0.35">
      <c r="A154" s="19">
        <v>142</v>
      </c>
      <c r="B154" s="19" t="s">
        <v>73</v>
      </c>
      <c r="C154" s="20" t="s">
        <v>143</v>
      </c>
      <c r="D154" s="113">
        <f>'As-Filed Schedule 4'!D154</f>
        <v>0</v>
      </c>
      <c r="E154" s="381">
        <f>SUMIFS(Adjustments!$G:$G,Adjustments!$H:$H,"4",Adjustments!$I:$I,'Schedule 4 Adjustments'!$D$14,Adjustments!$J:$J,'Schedule 4 Adjustments'!$A154)</f>
        <v>0</v>
      </c>
      <c r="F154" s="373">
        <f t="shared" si="22"/>
        <v>0</v>
      </c>
      <c r="G154" s="403">
        <v>5.17</v>
      </c>
      <c r="H154" s="47">
        <f t="shared" si="29"/>
        <v>0</v>
      </c>
      <c r="I154" s="371">
        <f t="shared" si="23"/>
        <v>0</v>
      </c>
      <c r="J154" s="21">
        <f t="shared" si="20"/>
        <v>822.3765665486053</v>
      </c>
      <c r="K154" s="369">
        <f t="shared" si="24"/>
        <v>831.62912893676378</v>
      </c>
      <c r="L154" s="141">
        <f>'As-Filed Schedule 4'!H154</f>
        <v>0</v>
      </c>
      <c r="M154" s="381">
        <f>SUMIFS(Adjustments!$G:$G,Adjustments!$H:$H,"4",Adjustments!$I:$I,'Schedule 4 Adjustments'!$L$14,Adjustments!$J:$J,'Schedule 4 Adjustments'!$A154)</f>
        <v>0</v>
      </c>
      <c r="N154" s="373">
        <f t="shared" si="25"/>
        <v>0</v>
      </c>
      <c r="O154" s="403">
        <v>4.43</v>
      </c>
      <c r="P154" s="47">
        <f t="shared" si="26"/>
        <v>0</v>
      </c>
      <c r="Q154" s="371">
        <f t="shared" si="27"/>
        <v>0</v>
      </c>
      <c r="R154" s="21">
        <f t="shared" si="21"/>
        <v>704.66696127859211</v>
      </c>
      <c r="S154" s="369">
        <f t="shared" si="28"/>
        <v>712.59517237714965</v>
      </c>
    </row>
    <row r="155" spans="1:19" s="22" customFormat="1" x14ac:dyDescent="0.35">
      <c r="A155" s="19">
        <v>143</v>
      </c>
      <c r="B155" s="19" t="s">
        <v>74</v>
      </c>
      <c r="C155" s="20" t="s">
        <v>144</v>
      </c>
      <c r="D155" s="113">
        <f>'As-Filed Schedule 4'!D155</f>
        <v>0</v>
      </c>
      <c r="E155" s="381">
        <f>SUMIFS(Adjustments!$G:$G,Adjustments!$H:$H,"4",Adjustments!$I:$I,'Schedule 4 Adjustments'!$D$14,Adjustments!$J:$J,'Schedule 4 Adjustments'!$A155)</f>
        <v>0</v>
      </c>
      <c r="F155" s="373">
        <f t="shared" si="22"/>
        <v>0</v>
      </c>
      <c r="G155" s="403">
        <v>1.7</v>
      </c>
      <c r="H155" s="47">
        <f t="shared" si="29"/>
        <v>0</v>
      </c>
      <c r="I155" s="371">
        <f t="shared" si="23"/>
        <v>0</v>
      </c>
      <c r="J155" s="21">
        <f t="shared" si="20"/>
        <v>270.41395805273288</v>
      </c>
      <c r="K155" s="369">
        <f t="shared" si="24"/>
        <v>273.45638669100549</v>
      </c>
      <c r="L155" s="141">
        <f>'As-Filed Schedule 4'!H155</f>
        <v>0</v>
      </c>
      <c r="M155" s="381">
        <f>SUMIFS(Adjustments!$G:$G,Adjustments!$H:$H,"4",Adjustments!$I:$I,'Schedule 4 Adjustments'!$L$14,Adjustments!$J:$J,'Schedule 4 Adjustments'!$A155)</f>
        <v>0</v>
      </c>
      <c r="N155" s="373">
        <f t="shared" si="25"/>
        <v>0</v>
      </c>
      <c r="O155" s="403">
        <v>1.05</v>
      </c>
      <c r="P155" s="47">
        <f t="shared" si="26"/>
        <v>0</v>
      </c>
      <c r="Q155" s="371">
        <f t="shared" si="27"/>
        <v>0</v>
      </c>
      <c r="R155" s="21">
        <f t="shared" si="21"/>
        <v>167.02038585609972</v>
      </c>
      <c r="S155" s="369">
        <f t="shared" si="28"/>
        <v>168.8995329562093</v>
      </c>
    </row>
    <row r="156" spans="1:19" s="22" customFormat="1" x14ac:dyDescent="0.35">
      <c r="A156" s="19">
        <v>144</v>
      </c>
      <c r="B156" s="19" t="s">
        <v>26</v>
      </c>
      <c r="C156" s="20" t="s">
        <v>143</v>
      </c>
      <c r="D156" s="113">
        <f>'As-Filed Schedule 4'!D156</f>
        <v>0</v>
      </c>
      <c r="E156" s="381">
        <f>SUMIFS(Adjustments!$G:$G,Adjustments!$H:$H,"4",Adjustments!$I:$I,'Schedule 4 Adjustments'!$D$14,Adjustments!$J:$J,'Schedule 4 Adjustments'!$A156)</f>
        <v>0</v>
      </c>
      <c r="F156" s="373">
        <f t="shared" si="22"/>
        <v>0</v>
      </c>
      <c r="G156" s="403">
        <v>0</v>
      </c>
      <c r="H156" s="47">
        <f t="shared" si="29"/>
        <v>0</v>
      </c>
      <c r="I156" s="371">
        <f t="shared" si="23"/>
        <v>0</v>
      </c>
      <c r="J156" s="21">
        <f t="shared" si="20"/>
        <v>0</v>
      </c>
      <c r="K156" s="369">
        <f t="shared" si="24"/>
        <v>0</v>
      </c>
      <c r="L156" s="141">
        <f>'As-Filed Schedule 4'!H156</f>
        <v>0</v>
      </c>
      <c r="M156" s="381">
        <f>SUMIFS(Adjustments!$G:$G,Adjustments!$H:$H,"4",Adjustments!$I:$I,'Schedule 4 Adjustments'!$L$14,Adjustments!$J:$J,'Schedule 4 Adjustments'!$A156)</f>
        <v>0</v>
      </c>
      <c r="N156" s="373">
        <f t="shared" si="25"/>
        <v>0</v>
      </c>
      <c r="O156" s="403">
        <v>0</v>
      </c>
      <c r="P156" s="47">
        <f t="shared" si="26"/>
        <v>0</v>
      </c>
      <c r="Q156" s="371">
        <f t="shared" si="27"/>
        <v>0</v>
      </c>
      <c r="R156" s="21">
        <f t="shared" si="21"/>
        <v>0</v>
      </c>
      <c r="S156" s="369">
        <f t="shared" si="28"/>
        <v>0</v>
      </c>
    </row>
    <row r="157" spans="1:19" s="22" customFormat="1" x14ac:dyDescent="0.35">
      <c r="A157" s="19">
        <v>145</v>
      </c>
      <c r="B157" s="19" t="s">
        <v>75</v>
      </c>
      <c r="C157" s="20" t="s">
        <v>145</v>
      </c>
      <c r="D157" s="113">
        <f>'As-Filed Schedule 4'!D157</f>
        <v>0</v>
      </c>
      <c r="E157" s="381">
        <f>SUMIFS(Adjustments!$G:$G,Adjustments!$H:$H,"4",Adjustments!$I:$I,'Schedule 4 Adjustments'!$D$14,Adjustments!$J:$J,'Schedule 4 Adjustments'!$A157)</f>
        <v>0</v>
      </c>
      <c r="F157" s="373">
        <f t="shared" si="22"/>
        <v>0</v>
      </c>
      <c r="G157" s="403">
        <v>1.35</v>
      </c>
      <c r="H157" s="47">
        <f t="shared" si="29"/>
        <v>0</v>
      </c>
      <c r="I157" s="371">
        <f t="shared" si="23"/>
        <v>0</v>
      </c>
      <c r="J157" s="21">
        <f t="shared" si="20"/>
        <v>214.74049610069966</v>
      </c>
      <c r="K157" s="369">
        <f t="shared" si="24"/>
        <v>217.15654237226909</v>
      </c>
      <c r="L157" s="141">
        <f>'As-Filed Schedule 4'!H157</f>
        <v>0</v>
      </c>
      <c r="M157" s="381">
        <f>SUMIFS(Adjustments!$G:$G,Adjustments!$H:$H,"4",Adjustments!$I:$I,'Schedule 4 Adjustments'!$L$14,Adjustments!$J:$J,'Schedule 4 Adjustments'!$A157)</f>
        <v>0</v>
      </c>
      <c r="N157" s="373">
        <f t="shared" si="25"/>
        <v>0</v>
      </c>
      <c r="O157" s="403">
        <v>1.35</v>
      </c>
      <c r="P157" s="47">
        <f t="shared" si="26"/>
        <v>0</v>
      </c>
      <c r="Q157" s="371">
        <f t="shared" si="27"/>
        <v>0</v>
      </c>
      <c r="R157" s="21">
        <f t="shared" si="21"/>
        <v>214.74049610069966</v>
      </c>
      <c r="S157" s="369">
        <f t="shared" si="28"/>
        <v>217.15654237226909</v>
      </c>
    </row>
    <row r="158" spans="1:19" s="22" customFormat="1" x14ac:dyDescent="0.35">
      <c r="A158" s="19">
        <v>146</v>
      </c>
      <c r="B158" s="19" t="s">
        <v>76</v>
      </c>
      <c r="C158" s="20" t="s">
        <v>146</v>
      </c>
      <c r="D158" s="113">
        <f>'As-Filed Schedule 4'!D158</f>
        <v>0</v>
      </c>
      <c r="E158" s="381">
        <f>SUMIFS(Adjustments!$G:$G,Adjustments!$H:$H,"4",Adjustments!$I:$I,'Schedule 4 Adjustments'!$D$14,Adjustments!$J:$J,'Schedule 4 Adjustments'!$A158)</f>
        <v>0</v>
      </c>
      <c r="F158" s="373">
        <f t="shared" si="22"/>
        <v>0</v>
      </c>
      <c r="G158" s="403">
        <v>2.56</v>
      </c>
      <c r="H158" s="47">
        <f t="shared" si="29"/>
        <v>0</v>
      </c>
      <c r="I158" s="371">
        <f t="shared" si="23"/>
        <v>0</v>
      </c>
      <c r="J158" s="21">
        <f t="shared" si="20"/>
        <v>407.21160742058601</v>
      </c>
      <c r="K158" s="369">
        <f t="shared" si="24"/>
        <v>411.79314701704362</v>
      </c>
      <c r="L158" s="141">
        <f>'As-Filed Schedule 4'!H158</f>
        <v>0</v>
      </c>
      <c r="M158" s="381">
        <f>SUMIFS(Adjustments!$G:$G,Adjustments!$H:$H,"4",Adjustments!$I:$I,'Schedule 4 Adjustments'!$L$14,Adjustments!$J:$J,'Schedule 4 Adjustments'!$A158)</f>
        <v>0</v>
      </c>
      <c r="N158" s="373">
        <f t="shared" si="25"/>
        <v>0</v>
      </c>
      <c r="O158" s="403">
        <v>2.14</v>
      </c>
      <c r="P158" s="47">
        <f t="shared" si="26"/>
        <v>0</v>
      </c>
      <c r="Q158" s="371">
        <f t="shared" si="27"/>
        <v>0</v>
      </c>
      <c r="R158" s="21">
        <f t="shared" si="21"/>
        <v>340.40345307814613</v>
      </c>
      <c r="S158" s="369">
        <f t="shared" si="28"/>
        <v>344.23333383455991</v>
      </c>
    </row>
    <row r="159" spans="1:19" s="22" customFormat="1" x14ac:dyDescent="0.35">
      <c r="A159" s="19">
        <v>147</v>
      </c>
      <c r="B159" s="19" t="s">
        <v>77</v>
      </c>
      <c r="C159" s="20" t="s">
        <v>407</v>
      </c>
      <c r="D159" s="113">
        <f>'As-Filed Schedule 4'!D159</f>
        <v>0</v>
      </c>
      <c r="E159" s="381">
        <f>SUMIFS(Adjustments!$G:$G,Adjustments!$H:$H,"4",Adjustments!$I:$I,'Schedule 4 Adjustments'!$D$14,Adjustments!$J:$J,'Schedule 4 Adjustments'!$A159)</f>
        <v>0</v>
      </c>
      <c r="F159" s="373">
        <f t="shared" si="22"/>
        <v>0</v>
      </c>
      <c r="G159" s="403">
        <v>1.6</v>
      </c>
      <c r="H159" s="47">
        <f t="shared" si="29"/>
        <v>0</v>
      </c>
      <c r="I159" s="371">
        <f t="shared" si="23"/>
        <v>0</v>
      </c>
      <c r="J159" s="21">
        <f t="shared" si="20"/>
        <v>254.50725463786625</v>
      </c>
      <c r="K159" s="369">
        <f t="shared" si="24"/>
        <v>257.37071688565226</v>
      </c>
      <c r="L159" s="141">
        <f>'As-Filed Schedule 4'!H159</f>
        <v>0</v>
      </c>
      <c r="M159" s="381">
        <f>SUMIFS(Adjustments!$G:$G,Adjustments!$H:$H,"4",Adjustments!$I:$I,'Schedule 4 Adjustments'!$L$14,Adjustments!$J:$J,'Schedule 4 Adjustments'!$A159)</f>
        <v>0</v>
      </c>
      <c r="N159" s="373">
        <f t="shared" si="25"/>
        <v>0</v>
      </c>
      <c r="O159" s="403">
        <v>1.6</v>
      </c>
      <c r="P159" s="47">
        <f t="shared" si="26"/>
        <v>0</v>
      </c>
      <c r="Q159" s="371">
        <f t="shared" si="27"/>
        <v>0</v>
      </c>
      <c r="R159" s="21">
        <f t="shared" si="21"/>
        <v>254.50725463786625</v>
      </c>
      <c r="S159" s="369">
        <f t="shared" si="28"/>
        <v>257.37071688565226</v>
      </c>
    </row>
    <row r="160" spans="1:19" s="22" customFormat="1" x14ac:dyDescent="0.35">
      <c r="A160" s="19">
        <v>148</v>
      </c>
      <c r="B160" s="19" t="s">
        <v>78</v>
      </c>
      <c r="C160" s="20" t="s">
        <v>408</v>
      </c>
      <c r="D160" s="113">
        <f>'As-Filed Schedule 4'!D160</f>
        <v>0</v>
      </c>
      <c r="E160" s="381">
        <f>SUMIFS(Adjustments!$G:$G,Adjustments!$H:$H,"4",Adjustments!$I:$I,'Schedule 4 Adjustments'!$D$14,Adjustments!$J:$J,'Schedule 4 Adjustments'!$A160)</f>
        <v>0</v>
      </c>
      <c r="F160" s="373">
        <f t="shared" si="22"/>
        <v>0</v>
      </c>
      <c r="G160" s="403">
        <v>2.64</v>
      </c>
      <c r="H160" s="47">
        <f t="shared" si="29"/>
        <v>0</v>
      </c>
      <c r="I160" s="371">
        <f t="shared" si="23"/>
        <v>0</v>
      </c>
      <c r="J160" s="21">
        <f t="shared" si="20"/>
        <v>419.93697015247932</v>
      </c>
      <c r="K160" s="369">
        <f t="shared" si="24"/>
        <v>424.6616828613262</v>
      </c>
      <c r="L160" s="141">
        <f>'As-Filed Schedule 4'!H160</f>
        <v>0</v>
      </c>
      <c r="M160" s="381">
        <f>SUMIFS(Adjustments!$G:$G,Adjustments!$H:$H,"4",Adjustments!$I:$I,'Schedule 4 Adjustments'!$L$14,Adjustments!$J:$J,'Schedule 4 Adjustments'!$A160)</f>
        <v>0</v>
      </c>
      <c r="N160" s="373">
        <f t="shared" si="25"/>
        <v>0</v>
      </c>
      <c r="O160" s="403">
        <v>2.64</v>
      </c>
      <c r="P160" s="47">
        <f t="shared" si="26"/>
        <v>0</v>
      </c>
      <c r="Q160" s="371">
        <f t="shared" si="27"/>
        <v>0</v>
      </c>
      <c r="R160" s="21">
        <f t="shared" si="21"/>
        <v>419.93697015247932</v>
      </c>
      <c r="S160" s="369">
        <f t="shared" si="28"/>
        <v>424.6616828613262</v>
      </c>
    </row>
    <row r="161" spans="1:19" s="22" customFormat="1" x14ac:dyDescent="0.35">
      <c r="A161" s="19">
        <v>149</v>
      </c>
      <c r="B161" s="19" t="s">
        <v>79</v>
      </c>
      <c r="C161" s="20" t="s">
        <v>409</v>
      </c>
      <c r="D161" s="113">
        <f>'As-Filed Schedule 4'!D161</f>
        <v>12600</v>
      </c>
      <c r="E161" s="381">
        <f>SUMIFS(Adjustments!$G:$G,Adjustments!$H:$H,"4",Adjustments!$I:$I,'Schedule 4 Adjustments'!$D$14,Adjustments!$J:$J,'Schedule 4 Adjustments'!$A161)</f>
        <v>0</v>
      </c>
      <c r="F161" s="373">
        <f t="shared" si="22"/>
        <v>12600</v>
      </c>
      <c r="G161" s="403">
        <v>1.24</v>
      </c>
      <c r="H161" s="47">
        <f t="shared" si="29"/>
        <v>15624</v>
      </c>
      <c r="I161" s="371">
        <f t="shared" si="23"/>
        <v>15624</v>
      </c>
      <c r="J161" s="21">
        <f t="shared" si="20"/>
        <v>197.24312234434635</v>
      </c>
      <c r="K161" s="369">
        <f t="shared" si="24"/>
        <v>199.4623055863805</v>
      </c>
      <c r="L161" s="141">
        <f>'As-Filed Schedule 4'!H161</f>
        <v>13729</v>
      </c>
      <c r="M161" s="381">
        <f>SUMIFS(Adjustments!$G:$G,Adjustments!$H:$H,"4",Adjustments!$I:$I,'Schedule 4 Adjustments'!$L$14,Adjustments!$J:$J,'Schedule 4 Adjustments'!$A161)</f>
        <v>0</v>
      </c>
      <c r="N161" s="373">
        <f t="shared" si="25"/>
        <v>13729</v>
      </c>
      <c r="O161" s="403">
        <v>1.24</v>
      </c>
      <c r="P161" s="47">
        <f t="shared" si="26"/>
        <v>17023.96</v>
      </c>
      <c r="Q161" s="371">
        <f t="shared" si="27"/>
        <v>17023.96</v>
      </c>
      <c r="R161" s="21">
        <f t="shared" si="21"/>
        <v>197.24312234434635</v>
      </c>
      <c r="S161" s="369">
        <f t="shared" si="28"/>
        <v>199.4623055863805</v>
      </c>
    </row>
    <row r="162" spans="1:19" s="22" customFormat="1" x14ac:dyDescent="0.35">
      <c r="A162" s="19">
        <v>150</v>
      </c>
      <c r="B162" s="19" t="s">
        <v>80</v>
      </c>
      <c r="C162" s="20" t="s">
        <v>410</v>
      </c>
      <c r="D162" s="113">
        <f>'As-Filed Schedule 4'!D162</f>
        <v>0</v>
      </c>
      <c r="E162" s="381">
        <f>SUMIFS(Adjustments!$G:$G,Adjustments!$H:$H,"4",Adjustments!$I:$I,'Schedule 4 Adjustments'!$D$14,Adjustments!$J:$J,'Schedule 4 Adjustments'!$A162)</f>
        <v>0</v>
      </c>
      <c r="F162" s="373">
        <f t="shared" si="22"/>
        <v>0</v>
      </c>
      <c r="G162" s="403">
        <v>0.83</v>
      </c>
      <c r="H162" s="47">
        <f t="shared" si="29"/>
        <v>0</v>
      </c>
      <c r="I162" s="371">
        <f t="shared" si="23"/>
        <v>0</v>
      </c>
      <c r="J162" s="21">
        <f t="shared" si="20"/>
        <v>132.02563834339313</v>
      </c>
      <c r="K162" s="369">
        <f t="shared" si="24"/>
        <v>133.51105938443209</v>
      </c>
      <c r="L162" s="141">
        <f>'As-Filed Schedule 4'!H162</f>
        <v>9786</v>
      </c>
      <c r="M162" s="381">
        <f>SUMIFS(Adjustments!$G:$G,Adjustments!$H:$H,"4",Adjustments!$I:$I,'Schedule 4 Adjustments'!$L$14,Adjustments!$J:$J,'Schedule 4 Adjustments'!$A162)</f>
        <v>0</v>
      </c>
      <c r="N162" s="373">
        <f t="shared" si="25"/>
        <v>9786</v>
      </c>
      <c r="O162" s="403">
        <v>0.72</v>
      </c>
      <c r="P162" s="47">
        <f t="shared" si="26"/>
        <v>7045.92</v>
      </c>
      <c r="Q162" s="371">
        <f t="shared" si="27"/>
        <v>7045.92</v>
      </c>
      <c r="R162" s="21">
        <f t="shared" si="21"/>
        <v>114.52826458703981</v>
      </c>
      <c r="S162" s="369">
        <f t="shared" si="28"/>
        <v>115.81682259854351</v>
      </c>
    </row>
    <row r="163" spans="1:19" s="22" customFormat="1" x14ac:dyDescent="0.35">
      <c r="A163" s="19">
        <v>151</v>
      </c>
      <c r="B163" s="19" t="s">
        <v>81</v>
      </c>
      <c r="C163" s="20" t="s">
        <v>411</v>
      </c>
      <c r="D163" s="113">
        <f>'As-Filed Schedule 4'!D163</f>
        <v>7756</v>
      </c>
      <c r="E163" s="381">
        <f>SUMIFS(Adjustments!$G:$G,Adjustments!$H:$H,"4",Adjustments!$I:$I,'Schedule 4 Adjustments'!$D$14,Adjustments!$J:$J,'Schedule 4 Adjustments'!$A163)</f>
        <v>0</v>
      </c>
      <c r="F163" s="373">
        <f t="shared" si="22"/>
        <v>7756</v>
      </c>
      <c r="G163" s="403">
        <v>0.92</v>
      </c>
      <c r="H163" s="47">
        <f t="shared" si="29"/>
        <v>7135.52</v>
      </c>
      <c r="I163" s="371">
        <f t="shared" si="23"/>
        <v>7135.52</v>
      </c>
      <c r="J163" s="21">
        <f t="shared" si="20"/>
        <v>146.3416714167731</v>
      </c>
      <c r="K163" s="369">
        <f t="shared" si="24"/>
        <v>147.98816220925005</v>
      </c>
      <c r="L163" s="141">
        <f>'As-Filed Schedule 4'!H163</f>
        <v>2157</v>
      </c>
      <c r="M163" s="381">
        <f>SUMIFS(Adjustments!$G:$G,Adjustments!$H:$H,"4",Adjustments!$I:$I,'Schedule 4 Adjustments'!$L$14,Adjustments!$J:$J,'Schedule 4 Adjustments'!$A163)</f>
        <v>0</v>
      </c>
      <c r="N163" s="373">
        <f t="shared" si="25"/>
        <v>2157</v>
      </c>
      <c r="O163" s="403">
        <v>0.92</v>
      </c>
      <c r="P163" s="47">
        <f t="shared" si="26"/>
        <v>1984.44</v>
      </c>
      <c r="Q163" s="371">
        <f t="shared" si="27"/>
        <v>1984.44</v>
      </c>
      <c r="R163" s="21">
        <f t="shared" si="21"/>
        <v>146.3416714167731</v>
      </c>
      <c r="S163" s="369">
        <f t="shared" si="28"/>
        <v>147.98816220925005</v>
      </c>
    </row>
    <row r="164" spans="1:19" s="22" customFormat="1" x14ac:dyDescent="0.35">
      <c r="A164" s="19">
        <v>152</v>
      </c>
      <c r="B164" s="19" t="s">
        <v>82</v>
      </c>
      <c r="C164" s="20" t="s">
        <v>412</v>
      </c>
      <c r="D164" s="113">
        <f>'As-Filed Schedule 4'!D164</f>
        <v>0</v>
      </c>
      <c r="E164" s="381">
        <f>SUMIFS(Adjustments!$G:$G,Adjustments!$H:$H,"4",Adjustments!$I:$I,'Schedule 4 Adjustments'!$D$14,Adjustments!$J:$J,'Schedule 4 Adjustments'!$A164)</f>
        <v>0</v>
      </c>
      <c r="F164" s="373">
        <f t="shared" si="22"/>
        <v>0</v>
      </c>
      <c r="G164" s="403">
        <v>0.14000000000000001</v>
      </c>
      <c r="H164" s="47">
        <f t="shared" si="29"/>
        <v>0</v>
      </c>
      <c r="I164" s="371">
        <f t="shared" si="23"/>
        <v>0</v>
      </c>
      <c r="J164" s="21">
        <f t="shared" si="20"/>
        <v>22.269384780813301</v>
      </c>
      <c r="K164" s="369">
        <f t="shared" si="24"/>
        <v>22.519937727494575</v>
      </c>
      <c r="L164" s="141">
        <f>'As-Filed Schedule 4'!H164</f>
        <v>0</v>
      </c>
      <c r="M164" s="381">
        <f>SUMIFS(Adjustments!$G:$G,Adjustments!$H:$H,"4",Adjustments!$I:$I,'Schedule 4 Adjustments'!$L$14,Adjustments!$J:$J,'Schedule 4 Adjustments'!$A164)</f>
        <v>0</v>
      </c>
      <c r="N164" s="373">
        <f t="shared" si="25"/>
        <v>0</v>
      </c>
      <c r="O164" s="403">
        <v>0.12</v>
      </c>
      <c r="P164" s="47">
        <f t="shared" si="26"/>
        <v>0</v>
      </c>
      <c r="Q164" s="371">
        <f t="shared" si="27"/>
        <v>0</v>
      </c>
      <c r="R164" s="21">
        <f t="shared" si="21"/>
        <v>19.088044097839969</v>
      </c>
      <c r="S164" s="369">
        <f t="shared" si="28"/>
        <v>19.302803766423917</v>
      </c>
    </row>
    <row r="165" spans="1:19" s="22" customFormat="1" x14ac:dyDescent="0.35">
      <c r="A165" s="19">
        <v>153</v>
      </c>
      <c r="B165" s="19" t="s">
        <v>83</v>
      </c>
      <c r="C165" s="20" t="s">
        <v>417</v>
      </c>
      <c r="D165" s="113">
        <f>'As-Filed Schedule 4'!D165</f>
        <v>0</v>
      </c>
      <c r="E165" s="381">
        <f>SUMIFS(Adjustments!$G:$G,Adjustments!$H:$H,"4",Adjustments!$I:$I,'Schedule 4 Adjustments'!$D$14,Adjustments!$J:$J,'Schedule 4 Adjustments'!$A165)</f>
        <v>0</v>
      </c>
      <c r="F165" s="373">
        <f t="shared" si="22"/>
        <v>0</v>
      </c>
      <c r="G165" s="403">
        <v>3.3600000000000003</v>
      </c>
      <c r="H165" s="47">
        <f t="shared" si="29"/>
        <v>0</v>
      </c>
      <c r="I165" s="371">
        <f t="shared" si="23"/>
        <v>0</v>
      </c>
      <c r="J165" s="21">
        <f t="shared" si="20"/>
        <v>534.46523473951913</v>
      </c>
      <c r="K165" s="369">
        <f t="shared" si="24"/>
        <v>540.47850545986978</v>
      </c>
      <c r="L165" s="141">
        <f>'As-Filed Schedule 4'!H165</f>
        <v>0</v>
      </c>
      <c r="M165" s="381">
        <f>SUMIFS(Adjustments!$G:$G,Adjustments!$H:$H,"4",Adjustments!$I:$I,'Schedule 4 Adjustments'!$L$14,Adjustments!$J:$J,'Schedule 4 Adjustments'!$A165)</f>
        <v>0</v>
      </c>
      <c r="N165" s="373">
        <f t="shared" si="25"/>
        <v>0</v>
      </c>
      <c r="O165" s="403">
        <v>2.88</v>
      </c>
      <c r="P165" s="47">
        <f t="shared" si="26"/>
        <v>0</v>
      </c>
      <c r="Q165" s="371">
        <f t="shared" si="27"/>
        <v>0</v>
      </c>
      <c r="R165" s="21">
        <f t="shared" si="21"/>
        <v>458.11305834815926</v>
      </c>
      <c r="S165" s="369">
        <f t="shared" si="28"/>
        <v>463.26729039417404</v>
      </c>
    </row>
    <row r="166" spans="1:19" s="22" customFormat="1" x14ac:dyDescent="0.35">
      <c r="A166" s="19">
        <v>154</v>
      </c>
      <c r="B166" s="19" t="s">
        <v>84</v>
      </c>
      <c r="C166" s="20" t="s">
        <v>415</v>
      </c>
      <c r="D166" s="113">
        <f>'As-Filed Schedule 4'!D166</f>
        <v>14604</v>
      </c>
      <c r="E166" s="381">
        <f>SUMIFS(Adjustments!$G:$G,Adjustments!$H:$H,"4",Adjustments!$I:$I,'Schedule 4 Adjustments'!$D$14,Adjustments!$J:$J,'Schedule 4 Adjustments'!$A166)</f>
        <v>0</v>
      </c>
      <c r="F166" s="373">
        <f t="shared" si="22"/>
        <v>14604</v>
      </c>
      <c r="G166" s="403">
        <v>0.44</v>
      </c>
      <c r="H166" s="47">
        <f t="shared" si="29"/>
        <v>6425.76</v>
      </c>
      <c r="I166" s="371">
        <f t="shared" si="23"/>
        <v>6425.76</v>
      </c>
      <c r="J166" s="21">
        <f t="shared" si="20"/>
        <v>69.98949502541322</v>
      </c>
      <c r="K166" s="369">
        <f t="shared" si="24"/>
        <v>70.776947143554366</v>
      </c>
      <c r="L166" s="141">
        <f>'As-Filed Schedule 4'!H166</f>
        <v>36394</v>
      </c>
      <c r="M166" s="381">
        <f>SUMIFS(Adjustments!$G:$G,Adjustments!$H:$H,"4",Adjustments!$I:$I,'Schedule 4 Adjustments'!$L$14,Adjustments!$J:$J,'Schedule 4 Adjustments'!$A166)</f>
        <v>0</v>
      </c>
      <c r="N166" s="373">
        <f t="shared" si="25"/>
        <v>36394</v>
      </c>
      <c r="O166" s="403">
        <v>0.44</v>
      </c>
      <c r="P166" s="47">
        <f t="shared" si="26"/>
        <v>16013.36</v>
      </c>
      <c r="Q166" s="371">
        <f t="shared" si="27"/>
        <v>16013.36</v>
      </c>
      <c r="R166" s="21">
        <f t="shared" si="21"/>
        <v>69.98949502541322</v>
      </c>
      <c r="S166" s="369">
        <f t="shared" si="28"/>
        <v>70.776947143554366</v>
      </c>
    </row>
    <row r="167" spans="1:19" s="22" customFormat="1" x14ac:dyDescent="0.35">
      <c r="A167" s="19">
        <v>155</v>
      </c>
      <c r="B167" s="19" t="s">
        <v>85</v>
      </c>
      <c r="C167" s="20" t="s">
        <v>416</v>
      </c>
      <c r="D167" s="113">
        <f>'As-Filed Schedule 4'!D167</f>
        <v>11</v>
      </c>
      <c r="E167" s="381">
        <f>SUMIFS(Adjustments!$G:$G,Adjustments!$H:$H,"4",Adjustments!$I:$I,'Schedule 4 Adjustments'!$D$14,Adjustments!$J:$J,'Schedule 4 Adjustments'!$A167)</f>
        <v>0</v>
      </c>
      <c r="F167" s="373">
        <f t="shared" si="22"/>
        <v>11</v>
      </c>
      <c r="G167" s="403">
        <v>5.28</v>
      </c>
      <c r="H167" s="47">
        <f t="shared" si="29"/>
        <v>58.080000000000005</v>
      </c>
      <c r="I167" s="371">
        <f t="shared" si="23"/>
        <v>58.080000000000005</v>
      </c>
      <c r="J167" s="21">
        <f t="shared" si="20"/>
        <v>839.87394030495864</v>
      </c>
      <c r="K167" s="369">
        <f t="shared" si="24"/>
        <v>849.3233657226524</v>
      </c>
      <c r="L167" s="141">
        <f>'As-Filed Schedule 4'!H167</f>
        <v>50</v>
      </c>
      <c r="M167" s="381">
        <f>SUMIFS(Adjustments!$G:$G,Adjustments!$H:$H,"4",Adjustments!$I:$I,'Schedule 4 Adjustments'!$L$14,Adjustments!$J:$J,'Schedule 4 Adjustments'!$A167)</f>
        <v>0</v>
      </c>
      <c r="N167" s="373">
        <f t="shared" si="25"/>
        <v>50</v>
      </c>
      <c r="O167" s="403">
        <v>5.28</v>
      </c>
      <c r="P167" s="47">
        <f t="shared" si="26"/>
        <v>264</v>
      </c>
      <c r="Q167" s="371">
        <f t="shared" si="27"/>
        <v>264</v>
      </c>
      <c r="R167" s="21">
        <f t="shared" si="21"/>
        <v>839.87394030495864</v>
      </c>
      <c r="S167" s="369">
        <f t="shared" si="28"/>
        <v>849.3233657226524</v>
      </c>
    </row>
    <row r="168" spans="1:19" s="22" customFormat="1" x14ac:dyDescent="0.35">
      <c r="A168" s="19">
        <v>156</v>
      </c>
      <c r="B168" s="19" t="s">
        <v>86</v>
      </c>
      <c r="C168" s="20" t="s">
        <v>414</v>
      </c>
      <c r="D168" s="113">
        <f>'As-Filed Schedule 4'!D168</f>
        <v>33</v>
      </c>
      <c r="E168" s="381">
        <f>SUMIFS(Adjustments!$G:$G,Adjustments!$H:$H,"4",Adjustments!$I:$I,'Schedule 4 Adjustments'!$D$14,Adjustments!$J:$J,'Schedule 4 Adjustments'!$A168)</f>
        <v>0</v>
      </c>
      <c r="F168" s="373">
        <f t="shared" si="22"/>
        <v>33</v>
      </c>
      <c r="G168" s="403">
        <v>0.44</v>
      </c>
      <c r="H168" s="47">
        <f t="shared" si="29"/>
        <v>14.52</v>
      </c>
      <c r="I168" s="371">
        <f t="shared" si="23"/>
        <v>14.52</v>
      </c>
      <c r="J168" s="21">
        <f t="shared" si="20"/>
        <v>69.98949502541322</v>
      </c>
      <c r="K168" s="369">
        <f t="shared" si="24"/>
        <v>70.776947143554366</v>
      </c>
      <c r="L168" s="141">
        <f>'As-Filed Schedule 4'!H168</f>
        <v>0</v>
      </c>
      <c r="M168" s="381">
        <f>SUMIFS(Adjustments!$G:$G,Adjustments!$H:$H,"4",Adjustments!$I:$I,'Schedule 4 Adjustments'!$L$14,Adjustments!$J:$J,'Schedule 4 Adjustments'!$A168)</f>
        <v>0</v>
      </c>
      <c r="N168" s="373">
        <f t="shared" si="25"/>
        <v>0</v>
      </c>
      <c r="O168" s="403">
        <v>0.44</v>
      </c>
      <c r="P168" s="47">
        <f t="shared" si="26"/>
        <v>0</v>
      </c>
      <c r="Q168" s="371">
        <f t="shared" si="27"/>
        <v>0</v>
      </c>
      <c r="R168" s="21">
        <f t="shared" si="21"/>
        <v>69.98949502541322</v>
      </c>
      <c r="S168" s="369">
        <f t="shared" si="28"/>
        <v>70.776947143554366</v>
      </c>
    </row>
    <row r="169" spans="1:19" s="22" customFormat="1" x14ac:dyDescent="0.35">
      <c r="A169" s="19">
        <v>157</v>
      </c>
      <c r="B169" s="19" t="s">
        <v>87</v>
      </c>
      <c r="C169" s="20" t="s">
        <v>413</v>
      </c>
      <c r="D169" s="113">
        <f>'As-Filed Schedule 4'!D169</f>
        <v>0</v>
      </c>
      <c r="E169" s="381">
        <f>SUMIFS(Adjustments!$G:$G,Adjustments!$H:$H,"4",Adjustments!$I:$I,'Schedule 4 Adjustments'!$D$14,Adjustments!$J:$J,'Schedule 4 Adjustments'!$A169)</f>
        <v>0</v>
      </c>
      <c r="F169" s="373">
        <f t="shared" si="22"/>
        <v>0</v>
      </c>
      <c r="G169" s="403">
        <v>5.28</v>
      </c>
      <c r="H169" s="47">
        <f t="shared" si="29"/>
        <v>0</v>
      </c>
      <c r="I169" s="371">
        <f t="shared" si="23"/>
        <v>0</v>
      </c>
      <c r="J169" s="21">
        <f t="shared" si="20"/>
        <v>839.87394030495864</v>
      </c>
      <c r="K169" s="369">
        <f t="shared" si="24"/>
        <v>849.3233657226524</v>
      </c>
      <c r="L169" s="141">
        <f>'As-Filed Schedule 4'!H169</f>
        <v>0</v>
      </c>
      <c r="M169" s="381">
        <f>SUMIFS(Adjustments!$G:$G,Adjustments!$H:$H,"4",Adjustments!$I:$I,'Schedule 4 Adjustments'!$L$14,Adjustments!$J:$J,'Schedule 4 Adjustments'!$A169)</f>
        <v>0</v>
      </c>
      <c r="N169" s="373">
        <f t="shared" si="25"/>
        <v>0</v>
      </c>
      <c r="O169" s="403">
        <v>5.28</v>
      </c>
      <c r="P169" s="47">
        <f t="shared" si="26"/>
        <v>0</v>
      </c>
      <c r="Q169" s="371">
        <f t="shared" si="27"/>
        <v>0</v>
      </c>
      <c r="R169" s="21">
        <f t="shared" si="21"/>
        <v>839.87394030495864</v>
      </c>
      <c r="S169" s="369">
        <f t="shared" si="28"/>
        <v>849.3233657226524</v>
      </c>
    </row>
    <row r="170" spans="1:19" s="22" customFormat="1" x14ac:dyDescent="0.35">
      <c r="A170" s="19">
        <v>158</v>
      </c>
      <c r="B170" s="19" t="s">
        <v>88</v>
      </c>
      <c r="C170" s="20" t="s">
        <v>418</v>
      </c>
      <c r="D170" s="113">
        <f>'As-Filed Schedule 4'!D170</f>
        <v>13899</v>
      </c>
      <c r="E170" s="381">
        <f>SUMIFS(Adjustments!$G:$G,Adjustments!$H:$H,"4",Adjustments!$I:$I,'Schedule 4 Adjustments'!$D$14,Adjustments!$J:$J,'Schedule 4 Adjustments'!$A170)</f>
        <v>0</v>
      </c>
      <c r="F170" s="373">
        <f t="shared" si="22"/>
        <v>13899</v>
      </c>
      <c r="G170" s="403">
        <v>0.14000000000000001</v>
      </c>
      <c r="H170" s="47">
        <f t="shared" si="29"/>
        <v>1945.8600000000001</v>
      </c>
      <c r="I170" s="371">
        <f t="shared" si="23"/>
        <v>1945.8600000000001</v>
      </c>
      <c r="J170" s="21">
        <f t="shared" si="20"/>
        <v>22.269384780813301</v>
      </c>
      <c r="K170" s="369">
        <f t="shared" si="24"/>
        <v>22.519937727494575</v>
      </c>
      <c r="L170" s="141">
        <f>'As-Filed Schedule 4'!H170</f>
        <v>1764</v>
      </c>
      <c r="M170" s="381">
        <f>SUMIFS(Adjustments!$G:$G,Adjustments!$H:$H,"4",Adjustments!$I:$I,'Schedule 4 Adjustments'!$L$14,Adjustments!$J:$J,'Schedule 4 Adjustments'!$A170)</f>
        <v>0</v>
      </c>
      <c r="N170" s="373">
        <f t="shared" si="25"/>
        <v>1764</v>
      </c>
      <c r="O170" s="403">
        <v>0.12</v>
      </c>
      <c r="P170" s="47">
        <f t="shared" si="26"/>
        <v>211.67999999999998</v>
      </c>
      <c r="Q170" s="371">
        <f t="shared" si="27"/>
        <v>211.67999999999998</v>
      </c>
      <c r="R170" s="21">
        <f t="shared" si="21"/>
        <v>19.088044097839969</v>
      </c>
      <c r="S170" s="369">
        <f t="shared" si="28"/>
        <v>19.302803766423917</v>
      </c>
    </row>
    <row r="171" spans="1:19" s="22" customFormat="1" x14ac:dyDescent="0.35">
      <c r="A171" s="19">
        <v>159</v>
      </c>
      <c r="B171" s="19" t="s">
        <v>89</v>
      </c>
      <c r="C171" s="20" t="s">
        <v>419</v>
      </c>
      <c r="D171" s="113">
        <f>'As-Filed Schedule 4'!D171</f>
        <v>0</v>
      </c>
      <c r="E171" s="381">
        <f>SUMIFS(Adjustments!$G:$G,Adjustments!$H:$H,"4",Adjustments!$I:$I,'Schedule 4 Adjustments'!$D$14,Adjustments!$J:$J,'Schedule 4 Adjustments'!$A171)</f>
        <v>0</v>
      </c>
      <c r="F171" s="373">
        <f t="shared" si="22"/>
        <v>0</v>
      </c>
      <c r="G171" s="403">
        <v>3.3600000000000003</v>
      </c>
      <c r="H171" s="47">
        <f t="shared" si="29"/>
        <v>0</v>
      </c>
      <c r="I171" s="371">
        <f t="shared" si="23"/>
        <v>0</v>
      </c>
      <c r="J171" s="21">
        <f t="shared" si="20"/>
        <v>534.46523473951913</v>
      </c>
      <c r="K171" s="369">
        <f t="shared" si="24"/>
        <v>540.47850545986978</v>
      </c>
      <c r="L171" s="141">
        <f>'As-Filed Schedule 4'!H171</f>
        <v>0</v>
      </c>
      <c r="M171" s="381">
        <f>SUMIFS(Adjustments!$G:$G,Adjustments!$H:$H,"4",Adjustments!$I:$I,'Schedule 4 Adjustments'!$L$14,Adjustments!$J:$J,'Schedule 4 Adjustments'!$A171)</f>
        <v>0</v>
      </c>
      <c r="N171" s="373">
        <f t="shared" si="25"/>
        <v>0</v>
      </c>
      <c r="O171" s="403">
        <v>2.88</v>
      </c>
      <c r="P171" s="47">
        <f t="shared" si="26"/>
        <v>0</v>
      </c>
      <c r="Q171" s="371">
        <f t="shared" si="27"/>
        <v>0</v>
      </c>
      <c r="R171" s="21">
        <f t="shared" si="21"/>
        <v>458.11305834815926</v>
      </c>
      <c r="S171" s="369">
        <f t="shared" si="28"/>
        <v>463.26729039417404</v>
      </c>
    </row>
    <row r="172" spans="1:19" s="22" customFormat="1" x14ac:dyDescent="0.35">
      <c r="A172" s="19">
        <v>160</v>
      </c>
      <c r="B172" s="19" t="s">
        <v>90</v>
      </c>
      <c r="C172" s="20" t="s">
        <v>420</v>
      </c>
      <c r="D172" s="113">
        <f>'As-Filed Schedule 4'!D172</f>
        <v>926</v>
      </c>
      <c r="E172" s="381">
        <f>SUMIFS(Adjustments!$G:$G,Adjustments!$H:$H,"4",Adjustments!$I:$I,'Schedule 4 Adjustments'!$D$14,Adjustments!$J:$J,'Schedule 4 Adjustments'!$A172)</f>
        <v>0</v>
      </c>
      <c r="F172" s="373">
        <f t="shared" si="22"/>
        <v>926</v>
      </c>
      <c r="G172" s="403">
        <v>0.14000000000000001</v>
      </c>
      <c r="H172" s="47">
        <f t="shared" si="29"/>
        <v>129.64000000000001</v>
      </c>
      <c r="I172" s="371">
        <f t="shared" si="23"/>
        <v>129.64000000000001</v>
      </c>
      <c r="J172" s="21">
        <f t="shared" si="20"/>
        <v>22.269384780813301</v>
      </c>
      <c r="K172" s="369">
        <f t="shared" si="24"/>
        <v>22.519937727494575</v>
      </c>
      <c r="L172" s="141">
        <f>'As-Filed Schedule 4'!H172</f>
        <v>66</v>
      </c>
      <c r="M172" s="381">
        <f>SUMIFS(Adjustments!$G:$G,Adjustments!$H:$H,"4",Adjustments!$I:$I,'Schedule 4 Adjustments'!$L$14,Adjustments!$J:$J,'Schedule 4 Adjustments'!$A172)</f>
        <v>0</v>
      </c>
      <c r="N172" s="373">
        <f t="shared" si="25"/>
        <v>66</v>
      </c>
      <c r="O172" s="403">
        <v>0.12</v>
      </c>
      <c r="P172" s="47">
        <f t="shared" si="26"/>
        <v>7.92</v>
      </c>
      <c r="Q172" s="371">
        <f t="shared" si="27"/>
        <v>7.92</v>
      </c>
      <c r="R172" s="21">
        <f t="shared" si="21"/>
        <v>19.088044097839969</v>
      </c>
      <c r="S172" s="369">
        <f t="shared" si="28"/>
        <v>19.302803766423917</v>
      </c>
    </row>
    <row r="173" spans="1:19" s="22" customFormat="1" x14ac:dyDescent="0.35">
      <c r="A173" s="19">
        <v>161</v>
      </c>
      <c r="B173" s="19" t="s">
        <v>91</v>
      </c>
      <c r="C173" s="20" t="s">
        <v>421</v>
      </c>
      <c r="D173" s="113">
        <f>'As-Filed Schedule 4'!D173</f>
        <v>0</v>
      </c>
      <c r="E173" s="381">
        <f>SUMIFS(Adjustments!$G:$G,Adjustments!$H:$H,"4",Adjustments!$I:$I,'Schedule 4 Adjustments'!$D$14,Adjustments!$J:$J,'Schedule 4 Adjustments'!$A173)</f>
        <v>0</v>
      </c>
      <c r="F173" s="373">
        <f t="shared" si="22"/>
        <v>0</v>
      </c>
      <c r="G173" s="403">
        <v>3.3600000000000003</v>
      </c>
      <c r="H173" s="47">
        <f t="shared" si="29"/>
        <v>0</v>
      </c>
      <c r="I173" s="371">
        <f t="shared" si="23"/>
        <v>0</v>
      </c>
      <c r="J173" s="21">
        <f t="shared" si="20"/>
        <v>534.46523473951913</v>
      </c>
      <c r="K173" s="369">
        <f t="shared" si="24"/>
        <v>540.47850545986978</v>
      </c>
      <c r="L173" s="141">
        <f>'As-Filed Schedule 4'!H173</f>
        <v>0</v>
      </c>
      <c r="M173" s="381">
        <f>SUMIFS(Adjustments!$G:$G,Adjustments!$H:$H,"4",Adjustments!$I:$I,'Schedule 4 Adjustments'!$L$14,Adjustments!$J:$J,'Schedule 4 Adjustments'!$A173)</f>
        <v>0</v>
      </c>
      <c r="N173" s="373">
        <f t="shared" si="25"/>
        <v>0</v>
      </c>
      <c r="O173" s="403">
        <v>2.88</v>
      </c>
      <c r="P173" s="47">
        <f t="shared" si="26"/>
        <v>0</v>
      </c>
      <c r="Q173" s="371">
        <f t="shared" si="27"/>
        <v>0</v>
      </c>
      <c r="R173" s="21">
        <f t="shared" si="21"/>
        <v>458.11305834815926</v>
      </c>
      <c r="S173" s="369">
        <f t="shared" si="28"/>
        <v>463.26729039417404</v>
      </c>
    </row>
    <row r="174" spans="1:19" s="22" customFormat="1" x14ac:dyDescent="0.35">
      <c r="A174" s="19">
        <v>162</v>
      </c>
      <c r="B174" s="19" t="s">
        <v>92</v>
      </c>
      <c r="C174" s="20" t="s">
        <v>422</v>
      </c>
      <c r="D174" s="113">
        <f>'As-Filed Schedule 4'!D174</f>
        <v>870</v>
      </c>
      <c r="E174" s="381">
        <f>SUMIFS(Adjustments!$G:$G,Adjustments!$H:$H,"4",Adjustments!$I:$I,'Schedule 4 Adjustments'!$D$14,Adjustments!$J:$J,'Schedule 4 Adjustments'!$A174)</f>
        <v>0</v>
      </c>
      <c r="F174" s="373">
        <f t="shared" si="22"/>
        <v>870</v>
      </c>
      <c r="G174" s="403">
        <v>0.14000000000000001</v>
      </c>
      <c r="H174" s="47">
        <f t="shared" si="29"/>
        <v>121.80000000000001</v>
      </c>
      <c r="I174" s="371">
        <f t="shared" si="23"/>
        <v>121.80000000000001</v>
      </c>
      <c r="J174" s="21">
        <f t="shared" si="20"/>
        <v>22.269384780813301</v>
      </c>
      <c r="K174" s="369">
        <f t="shared" si="24"/>
        <v>22.519937727494575</v>
      </c>
      <c r="L174" s="141">
        <f>'As-Filed Schedule 4'!H174</f>
        <v>332</v>
      </c>
      <c r="M174" s="381">
        <f>SUMIFS(Adjustments!$G:$G,Adjustments!$H:$H,"4",Adjustments!$I:$I,'Schedule 4 Adjustments'!$L$14,Adjustments!$J:$J,'Schedule 4 Adjustments'!$A174)</f>
        <v>0</v>
      </c>
      <c r="N174" s="373">
        <f t="shared" si="25"/>
        <v>332</v>
      </c>
      <c r="O174" s="403">
        <v>0.12</v>
      </c>
      <c r="P174" s="47">
        <f t="shared" si="26"/>
        <v>39.839999999999996</v>
      </c>
      <c r="Q174" s="371">
        <f t="shared" si="27"/>
        <v>39.839999999999996</v>
      </c>
      <c r="R174" s="21">
        <f t="shared" si="21"/>
        <v>19.088044097839969</v>
      </c>
      <c r="S174" s="369">
        <f t="shared" si="28"/>
        <v>19.302803766423917</v>
      </c>
    </row>
    <row r="175" spans="1:19" s="22" customFormat="1" x14ac:dyDescent="0.35">
      <c r="A175" s="19">
        <v>163</v>
      </c>
      <c r="B175" s="19" t="s">
        <v>93</v>
      </c>
      <c r="C175" s="20" t="s">
        <v>423</v>
      </c>
      <c r="D175" s="113">
        <f>'As-Filed Schedule 4'!D175</f>
        <v>0</v>
      </c>
      <c r="E175" s="381">
        <f>SUMIFS(Adjustments!$G:$G,Adjustments!$H:$H,"4",Adjustments!$I:$I,'Schedule 4 Adjustments'!$D$14,Adjustments!$J:$J,'Schedule 4 Adjustments'!$A175)</f>
        <v>0</v>
      </c>
      <c r="F175" s="373">
        <f t="shared" si="22"/>
        <v>0</v>
      </c>
      <c r="G175" s="403">
        <v>0.14000000000000001</v>
      </c>
      <c r="H175" s="47">
        <f t="shared" si="29"/>
        <v>0</v>
      </c>
      <c r="I175" s="371">
        <f t="shared" si="23"/>
        <v>0</v>
      </c>
      <c r="J175" s="21">
        <f t="shared" si="20"/>
        <v>22.269384780813301</v>
      </c>
      <c r="K175" s="369">
        <f t="shared" si="24"/>
        <v>22.519937727494575</v>
      </c>
      <c r="L175" s="141">
        <f>'As-Filed Schedule 4'!H175</f>
        <v>0</v>
      </c>
      <c r="M175" s="381">
        <f>SUMIFS(Adjustments!$G:$G,Adjustments!$H:$H,"4",Adjustments!$I:$I,'Schedule 4 Adjustments'!$L$14,Adjustments!$J:$J,'Schedule 4 Adjustments'!$A175)</f>
        <v>0</v>
      </c>
      <c r="N175" s="373">
        <f t="shared" si="25"/>
        <v>0</v>
      </c>
      <c r="O175" s="403">
        <v>0.12</v>
      </c>
      <c r="P175" s="47">
        <f t="shared" si="26"/>
        <v>0</v>
      </c>
      <c r="Q175" s="371">
        <f t="shared" si="27"/>
        <v>0</v>
      </c>
      <c r="R175" s="21">
        <f t="shared" si="21"/>
        <v>19.088044097839969</v>
      </c>
      <c r="S175" s="369">
        <f t="shared" si="28"/>
        <v>19.302803766423917</v>
      </c>
    </row>
    <row r="176" spans="1:19" s="22" customFormat="1" x14ac:dyDescent="0.35">
      <c r="A176" s="19">
        <v>164</v>
      </c>
      <c r="B176" s="19" t="s">
        <v>94</v>
      </c>
      <c r="C176" s="20" t="s">
        <v>424</v>
      </c>
      <c r="D176" s="113">
        <f>'As-Filed Schedule 4'!D176</f>
        <v>0</v>
      </c>
      <c r="E176" s="381">
        <f>SUMIFS(Adjustments!$G:$G,Adjustments!$H:$H,"4",Adjustments!$I:$I,'Schedule 4 Adjustments'!$D$14,Adjustments!$J:$J,'Schedule 4 Adjustments'!$A176)</f>
        <v>0</v>
      </c>
      <c r="F176" s="373">
        <f t="shared" si="22"/>
        <v>0</v>
      </c>
      <c r="G176" s="403">
        <v>3.3600000000000003</v>
      </c>
      <c r="H176" s="47">
        <f t="shared" si="29"/>
        <v>0</v>
      </c>
      <c r="I176" s="371">
        <f t="shared" si="23"/>
        <v>0</v>
      </c>
      <c r="J176" s="21">
        <f t="shared" si="20"/>
        <v>534.46523473951913</v>
      </c>
      <c r="K176" s="369">
        <f t="shared" si="24"/>
        <v>540.47850545986978</v>
      </c>
      <c r="L176" s="141">
        <f>'As-Filed Schedule 4'!H176</f>
        <v>0</v>
      </c>
      <c r="M176" s="381">
        <f>SUMIFS(Adjustments!$G:$G,Adjustments!$H:$H,"4",Adjustments!$I:$I,'Schedule 4 Adjustments'!$L$14,Adjustments!$J:$J,'Schedule 4 Adjustments'!$A176)</f>
        <v>0</v>
      </c>
      <c r="N176" s="373">
        <f t="shared" si="25"/>
        <v>0</v>
      </c>
      <c r="O176" s="403">
        <v>2.88</v>
      </c>
      <c r="P176" s="47">
        <f t="shared" si="26"/>
        <v>0</v>
      </c>
      <c r="Q176" s="371">
        <f t="shared" si="27"/>
        <v>0</v>
      </c>
      <c r="R176" s="21">
        <f t="shared" si="21"/>
        <v>458.11305834815926</v>
      </c>
      <c r="S176" s="369">
        <f t="shared" si="28"/>
        <v>463.26729039417404</v>
      </c>
    </row>
    <row r="177" spans="1:19" s="22" customFormat="1" x14ac:dyDescent="0.35">
      <c r="A177" s="19">
        <v>165</v>
      </c>
      <c r="B177" s="19" t="s">
        <v>95</v>
      </c>
      <c r="C177" s="20" t="s">
        <v>425</v>
      </c>
      <c r="D177" s="113">
        <f>'As-Filed Schedule 4'!D177</f>
        <v>592</v>
      </c>
      <c r="E177" s="381">
        <f>SUMIFS(Adjustments!$G:$G,Adjustments!$H:$H,"4",Adjustments!$I:$I,'Schedule 4 Adjustments'!$D$14,Adjustments!$J:$J,'Schedule 4 Adjustments'!$A177)</f>
        <v>0</v>
      </c>
      <c r="F177" s="373">
        <f t="shared" si="22"/>
        <v>592</v>
      </c>
      <c r="G177" s="403">
        <v>0.14000000000000001</v>
      </c>
      <c r="H177" s="47">
        <f t="shared" si="29"/>
        <v>82.88000000000001</v>
      </c>
      <c r="I177" s="371">
        <f t="shared" si="23"/>
        <v>82.88000000000001</v>
      </c>
      <c r="J177" s="21">
        <f t="shared" si="20"/>
        <v>22.269384780813301</v>
      </c>
      <c r="K177" s="369">
        <f t="shared" si="24"/>
        <v>22.519937727494575</v>
      </c>
      <c r="L177" s="141">
        <f>'As-Filed Schedule 4'!H177</f>
        <v>1482</v>
      </c>
      <c r="M177" s="381">
        <f>SUMIFS(Adjustments!$G:$G,Adjustments!$H:$H,"4",Adjustments!$I:$I,'Schedule 4 Adjustments'!$L$14,Adjustments!$J:$J,'Schedule 4 Adjustments'!$A177)</f>
        <v>0</v>
      </c>
      <c r="N177" s="373">
        <f t="shared" si="25"/>
        <v>1482</v>
      </c>
      <c r="O177" s="403">
        <v>0.12</v>
      </c>
      <c r="P177" s="47">
        <f t="shared" si="26"/>
        <v>177.84</v>
      </c>
      <c r="Q177" s="371">
        <f t="shared" si="27"/>
        <v>177.84</v>
      </c>
      <c r="R177" s="21">
        <f t="shared" si="21"/>
        <v>19.088044097839969</v>
      </c>
      <c r="S177" s="369">
        <f t="shared" si="28"/>
        <v>19.302803766423917</v>
      </c>
    </row>
    <row r="178" spans="1:19" s="22" customFormat="1" x14ac:dyDescent="0.35">
      <c r="A178" s="19">
        <v>166</v>
      </c>
      <c r="B178" s="19" t="s">
        <v>96</v>
      </c>
      <c r="C178" s="20" t="s">
        <v>426</v>
      </c>
      <c r="D178" s="113">
        <f>'As-Filed Schedule 4'!D178</f>
        <v>0</v>
      </c>
      <c r="E178" s="381">
        <f>SUMIFS(Adjustments!$G:$G,Adjustments!$H:$H,"4",Adjustments!$I:$I,'Schedule 4 Adjustments'!$D$14,Adjustments!$J:$J,'Schedule 4 Adjustments'!$A178)</f>
        <v>0</v>
      </c>
      <c r="F178" s="373">
        <f t="shared" si="22"/>
        <v>0</v>
      </c>
      <c r="G178" s="403">
        <v>1.29</v>
      </c>
      <c r="H178" s="47">
        <f t="shared" si="29"/>
        <v>0</v>
      </c>
      <c r="I178" s="371">
        <f t="shared" si="23"/>
        <v>0</v>
      </c>
      <c r="J178" s="21">
        <f t="shared" si="20"/>
        <v>205.19647405177966</v>
      </c>
      <c r="K178" s="369">
        <f t="shared" si="24"/>
        <v>207.50514048905714</v>
      </c>
      <c r="L178" s="141">
        <f>'As-Filed Schedule 4'!H178</f>
        <v>0</v>
      </c>
      <c r="M178" s="381">
        <f>SUMIFS(Adjustments!$G:$G,Adjustments!$H:$H,"4",Adjustments!$I:$I,'Schedule 4 Adjustments'!$L$14,Adjustments!$J:$J,'Schedule 4 Adjustments'!$A178)</f>
        <v>0</v>
      </c>
      <c r="N178" s="373">
        <f t="shared" si="25"/>
        <v>0</v>
      </c>
      <c r="O178" s="403">
        <v>1.1299999999999999</v>
      </c>
      <c r="P178" s="47">
        <f t="shared" si="26"/>
        <v>0</v>
      </c>
      <c r="Q178" s="371">
        <f t="shared" si="27"/>
        <v>0</v>
      </c>
      <c r="R178" s="21">
        <f t="shared" si="21"/>
        <v>179.74574858799303</v>
      </c>
      <c r="S178" s="369">
        <f t="shared" si="28"/>
        <v>181.76806880049187</v>
      </c>
    </row>
    <row r="179" spans="1:19" s="22" customFormat="1" x14ac:dyDescent="0.35">
      <c r="A179" s="19">
        <v>167</v>
      </c>
      <c r="B179" s="19" t="s">
        <v>35</v>
      </c>
      <c r="C179" s="20" t="s">
        <v>37</v>
      </c>
      <c r="D179" s="113">
        <f>'As-Filed Schedule 4'!D179</f>
        <v>0</v>
      </c>
      <c r="E179" s="381">
        <f>SUMIFS(Adjustments!$G:$G,Adjustments!$H:$H,"4",Adjustments!$I:$I,'Schedule 4 Adjustments'!$D$14,Adjustments!$J:$J,'Schedule 4 Adjustments'!$A179)</f>
        <v>0</v>
      </c>
      <c r="F179" s="373">
        <f t="shared" si="22"/>
        <v>0</v>
      </c>
      <c r="G179" s="403">
        <v>0</v>
      </c>
      <c r="H179" s="47">
        <f t="shared" si="29"/>
        <v>0</v>
      </c>
      <c r="I179" s="371">
        <f t="shared" si="23"/>
        <v>0</v>
      </c>
      <c r="J179" s="21">
        <f t="shared" si="20"/>
        <v>0</v>
      </c>
      <c r="K179" s="369">
        <f t="shared" si="24"/>
        <v>0</v>
      </c>
      <c r="L179" s="141">
        <f>'As-Filed Schedule 4'!H179</f>
        <v>0</v>
      </c>
      <c r="M179" s="381">
        <f>SUMIFS(Adjustments!$G:$G,Adjustments!$H:$H,"4",Adjustments!$I:$I,'Schedule 4 Adjustments'!$L$14,Adjustments!$J:$J,'Schedule 4 Adjustments'!$A179)</f>
        <v>0</v>
      </c>
      <c r="N179" s="373">
        <f t="shared" si="25"/>
        <v>0</v>
      </c>
      <c r="O179" s="403">
        <v>0</v>
      </c>
      <c r="P179" s="47">
        <f t="shared" si="26"/>
        <v>0</v>
      </c>
      <c r="Q179" s="371">
        <f t="shared" si="27"/>
        <v>0</v>
      </c>
      <c r="R179" s="21">
        <f t="shared" si="21"/>
        <v>0</v>
      </c>
      <c r="S179" s="369">
        <f t="shared" si="28"/>
        <v>0</v>
      </c>
    </row>
    <row r="180" spans="1:19" s="22" customFormat="1" x14ac:dyDescent="0.35">
      <c r="A180" s="19">
        <v>168</v>
      </c>
      <c r="B180" s="19" t="s">
        <v>97</v>
      </c>
      <c r="C180" s="20" t="s">
        <v>427</v>
      </c>
      <c r="D180" s="113">
        <f>'As-Filed Schedule 4'!D180</f>
        <v>0</v>
      </c>
      <c r="E180" s="381">
        <f>SUMIFS(Adjustments!$G:$G,Adjustments!$H:$H,"4",Adjustments!$I:$I,'Schedule 4 Adjustments'!$D$14,Adjustments!$J:$J,'Schedule 4 Adjustments'!$A180)</f>
        <v>0</v>
      </c>
      <c r="F180" s="373">
        <f t="shared" si="22"/>
        <v>0</v>
      </c>
      <c r="G180" s="403">
        <v>0</v>
      </c>
      <c r="H180" s="47">
        <f t="shared" si="29"/>
        <v>0</v>
      </c>
      <c r="I180" s="371">
        <f t="shared" si="23"/>
        <v>0</v>
      </c>
      <c r="J180" s="21">
        <f t="shared" si="20"/>
        <v>0</v>
      </c>
      <c r="K180" s="369">
        <f t="shared" si="24"/>
        <v>0</v>
      </c>
      <c r="L180" s="141">
        <f>'As-Filed Schedule 4'!H180</f>
        <v>3094</v>
      </c>
      <c r="M180" s="381">
        <f>SUMIFS(Adjustments!$G:$G,Adjustments!$H:$H,"4",Adjustments!$I:$I,'Schedule 4 Adjustments'!$L$14,Adjustments!$J:$J,'Schedule 4 Adjustments'!$A180)</f>
        <v>0</v>
      </c>
      <c r="N180" s="373">
        <f t="shared" si="25"/>
        <v>3094</v>
      </c>
      <c r="O180" s="403">
        <v>0</v>
      </c>
      <c r="P180" s="47">
        <f t="shared" si="26"/>
        <v>0</v>
      </c>
      <c r="Q180" s="371">
        <f t="shared" si="27"/>
        <v>0</v>
      </c>
      <c r="R180" s="21">
        <f t="shared" si="21"/>
        <v>0</v>
      </c>
      <c r="S180" s="369">
        <f t="shared" si="28"/>
        <v>0</v>
      </c>
    </row>
    <row r="181" spans="1:19" s="22" customFormat="1" x14ac:dyDescent="0.35">
      <c r="A181" s="19">
        <v>169</v>
      </c>
      <c r="B181" s="19" t="s">
        <v>98</v>
      </c>
      <c r="C181" s="20" t="s">
        <v>428</v>
      </c>
      <c r="D181" s="113">
        <f>'As-Filed Schedule 4'!D181</f>
        <v>0</v>
      </c>
      <c r="E181" s="381">
        <f>SUMIFS(Adjustments!$G:$G,Adjustments!$H:$H,"4",Adjustments!$I:$I,'Schedule 4 Adjustments'!$D$14,Adjustments!$J:$J,'Schedule 4 Adjustments'!$A181)</f>
        <v>0</v>
      </c>
      <c r="F181" s="373">
        <f t="shared" si="22"/>
        <v>0</v>
      </c>
      <c r="G181" s="403">
        <v>0.22</v>
      </c>
      <c r="H181" s="47">
        <f t="shared" si="29"/>
        <v>0</v>
      </c>
      <c r="I181" s="371">
        <f t="shared" si="23"/>
        <v>0</v>
      </c>
      <c r="J181" s="21">
        <f t="shared" si="20"/>
        <v>34.99474751270661</v>
      </c>
      <c r="K181" s="369">
        <f t="shared" si="24"/>
        <v>35.388473571777183</v>
      </c>
      <c r="L181" s="141">
        <f>'As-Filed Schedule 4'!H181</f>
        <v>0</v>
      </c>
      <c r="M181" s="381">
        <f>SUMIFS(Adjustments!$G:$G,Adjustments!$H:$H,"4",Adjustments!$I:$I,'Schedule 4 Adjustments'!$L$14,Adjustments!$J:$J,'Schedule 4 Adjustments'!$A181)</f>
        <v>0</v>
      </c>
      <c r="N181" s="373">
        <f t="shared" si="25"/>
        <v>0</v>
      </c>
      <c r="O181" s="403">
        <v>0.22</v>
      </c>
      <c r="P181" s="47">
        <f t="shared" si="26"/>
        <v>0</v>
      </c>
      <c r="Q181" s="371">
        <f t="shared" si="27"/>
        <v>0</v>
      </c>
      <c r="R181" s="21">
        <f t="shared" si="21"/>
        <v>34.99474751270661</v>
      </c>
      <c r="S181" s="369">
        <f t="shared" si="28"/>
        <v>35.388473571777183</v>
      </c>
    </row>
    <row r="182" spans="1:19" s="22" customFormat="1" x14ac:dyDescent="0.35">
      <c r="A182" s="19">
        <v>170</v>
      </c>
      <c r="B182" s="19" t="s">
        <v>99</v>
      </c>
      <c r="C182" s="20" t="s">
        <v>429</v>
      </c>
      <c r="D182" s="113">
        <f>'As-Filed Schedule 4'!D182</f>
        <v>0</v>
      </c>
      <c r="E182" s="381">
        <f>SUMIFS(Adjustments!$G:$G,Adjustments!$H:$H,"4",Adjustments!$I:$I,'Schedule 4 Adjustments'!$D$14,Adjustments!$J:$J,'Schedule 4 Adjustments'!$A182)</f>
        <v>0</v>
      </c>
      <c r="F182" s="373">
        <f t="shared" si="22"/>
        <v>0</v>
      </c>
      <c r="G182" s="403">
        <v>4.4000000000000004</v>
      </c>
      <c r="H182" s="47">
        <f t="shared" si="29"/>
        <v>0</v>
      </c>
      <c r="I182" s="371">
        <f t="shared" si="23"/>
        <v>0</v>
      </c>
      <c r="J182" s="21">
        <f t="shared" si="20"/>
        <v>699.89495025413225</v>
      </c>
      <c r="K182" s="369">
        <f t="shared" si="24"/>
        <v>707.76947143554378</v>
      </c>
      <c r="L182" s="141">
        <f>'As-Filed Schedule 4'!H182</f>
        <v>0</v>
      </c>
      <c r="M182" s="381">
        <f>SUMIFS(Adjustments!$G:$G,Adjustments!$H:$H,"4",Adjustments!$I:$I,'Schedule 4 Adjustments'!$L$14,Adjustments!$J:$J,'Schedule 4 Adjustments'!$A182)</f>
        <v>0</v>
      </c>
      <c r="N182" s="373">
        <f t="shared" si="25"/>
        <v>0</v>
      </c>
      <c r="O182" s="403">
        <v>4.4000000000000004</v>
      </c>
      <c r="P182" s="47">
        <f t="shared" si="26"/>
        <v>0</v>
      </c>
      <c r="Q182" s="371">
        <f t="shared" si="27"/>
        <v>0</v>
      </c>
      <c r="R182" s="21">
        <f t="shared" si="21"/>
        <v>699.89495025413225</v>
      </c>
      <c r="S182" s="369">
        <f t="shared" si="28"/>
        <v>707.76947143554378</v>
      </c>
    </row>
    <row r="183" spans="1:19" s="22" customFormat="1" x14ac:dyDescent="0.35">
      <c r="A183" s="19">
        <v>171</v>
      </c>
      <c r="B183" s="19" t="s">
        <v>100</v>
      </c>
      <c r="C183" s="20" t="s">
        <v>147</v>
      </c>
      <c r="D183" s="113">
        <f>'As-Filed Schedule 4'!D183</f>
        <v>0</v>
      </c>
      <c r="E183" s="381">
        <f>SUMIFS(Adjustments!$G:$G,Adjustments!$H:$H,"4",Adjustments!$I:$I,'Schedule 4 Adjustments'!$D$14,Adjustments!$J:$J,'Schedule 4 Adjustments'!$A183)</f>
        <v>0</v>
      </c>
      <c r="F183" s="373">
        <f t="shared" si="22"/>
        <v>0</v>
      </c>
      <c r="G183" s="403">
        <v>1.02</v>
      </c>
      <c r="H183" s="47">
        <f t="shared" si="29"/>
        <v>0</v>
      </c>
      <c r="I183" s="371">
        <f t="shared" si="23"/>
        <v>0</v>
      </c>
      <c r="J183" s="21">
        <f t="shared" si="20"/>
        <v>162.24837483163975</v>
      </c>
      <c r="K183" s="369">
        <f t="shared" si="24"/>
        <v>164.07383201460331</v>
      </c>
      <c r="L183" s="141">
        <f>'As-Filed Schedule 4'!H183</f>
        <v>0</v>
      </c>
      <c r="M183" s="381">
        <f>SUMIFS(Adjustments!$G:$G,Adjustments!$H:$H,"4",Adjustments!$I:$I,'Schedule 4 Adjustments'!$L$14,Adjustments!$J:$J,'Schedule 4 Adjustments'!$A183)</f>
        <v>0</v>
      </c>
      <c r="N183" s="373">
        <f t="shared" si="25"/>
        <v>0</v>
      </c>
      <c r="O183" s="403">
        <v>0.94</v>
      </c>
      <c r="P183" s="47">
        <f t="shared" si="26"/>
        <v>0</v>
      </c>
      <c r="Q183" s="371">
        <f t="shared" si="27"/>
        <v>0</v>
      </c>
      <c r="R183" s="21">
        <f t="shared" si="21"/>
        <v>149.52301209974641</v>
      </c>
      <c r="S183" s="369">
        <f t="shared" si="28"/>
        <v>151.20529617032068</v>
      </c>
    </row>
    <row r="184" spans="1:19" s="22" customFormat="1" x14ac:dyDescent="0.35">
      <c r="A184" s="19">
        <v>172</v>
      </c>
      <c r="B184" s="19" t="s">
        <v>101</v>
      </c>
      <c r="C184" s="20" t="s">
        <v>148</v>
      </c>
      <c r="D184" s="113">
        <f>'As-Filed Schedule 4'!D184</f>
        <v>0</v>
      </c>
      <c r="E184" s="381">
        <f>SUMIFS(Adjustments!$G:$G,Adjustments!$H:$H,"4",Adjustments!$I:$I,'Schedule 4 Adjustments'!$D$14,Adjustments!$J:$J,'Schedule 4 Adjustments'!$A184)</f>
        <v>0</v>
      </c>
      <c r="F184" s="373">
        <f t="shared" si="22"/>
        <v>0</v>
      </c>
      <c r="G184" s="403">
        <v>0.75</v>
      </c>
      <c r="H184" s="47">
        <f t="shared" si="29"/>
        <v>0</v>
      </c>
      <c r="I184" s="371">
        <f t="shared" si="23"/>
        <v>0</v>
      </c>
      <c r="J184" s="21">
        <f t="shared" si="20"/>
        <v>119.30027561149981</v>
      </c>
      <c r="K184" s="369">
        <f t="shared" si="24"/>
        <v>120.64252354014948</v>
      </c>
      <c r="L184" s="141">
        <f>'As-Filed Schedule 4'!H184</f>
        <v>0</v>
      </c>
      <c r="M184" s="381">
        <f>SUMIFS(Adjustments!$G:$G,Adjustments!$H:$H,"4",Adjustments!$I:$I,'Schedule 4 Adjustments'!$L$14,Adjustments!$J:$J,'Schedule 4 Adjustments'!$A184)</f>
        <v>0</v>
      </c>
      <c r="N184" s="373">
        <f t="shared" si="25"/>
        <v>0</v>
      </c>
      <c r="O184" s="403">
        <v>0.37</v>
      </c>
      <c r="P184" s="47">
        <f t="shared" si="26"/>
        <v>0</v>
      </c>
      <c r="Q184" s="371">
        <f t="shared" si="27"/>
        <v>0</v>
      </c>
      <c r="R184" s="21">
        <f t="shared" si="21"/>
        <v>58.854802635006571</v>
      </c>
      <c r="S184" s="369">
        <f t="shared" si="28"/>
        <v>59.516978279807084</v>
      </c>
    </row>
    <row r="185" spans="1:19" s="22" customFormat="1" x14ac:dyDescent="0.35">
      <c r="A185" s="19">
        <v>173</v>
      </c>
      <c r="B185" s="19" t="s">
        <v>102</v>
      </c>
      <c r="C185" s="20" t="s">
        <v>430</v>
      </c>
      <c r="D185" s="113">
        <f>'As-Filed Schedule 4'!D185</f>
        <v>0</v>
      </c>
      <c r="E185" s="381">
        <f>SUMIFS(Adjustments!$G:$G,Adjustments!$H:$H,"4",Adjustments!$I:$I,'Schedule 4 Adjustments'!$D$14,Adjustments!$J:$J,'Schedule 4 Adjustments'!$A185)</f>
        <v>0</v>
      </c>
      <c r="F185" s="373">
        <f t="shared" si="22"/>
        <v>0</v>
      </c>
      <c r="G185" s="403">
        <v>0.75</v>
      </c>
      <c r="H185" s="47">
        <f t="shared" si="29"/>
        <v>0</v>
      </c>
      <c r="I185" s="371">
        <f t="shared" si="23"/>
        <v>0</v>
      </c>
      <c r="J185" s="21">
        <f t="shared" si="20"/>
        <v>119.30027561149981</v>
      </c>
      <c r="K185" s="369">
        <f t="shared" si="24"/>
        <v>120.64252354014948</v>
      </c>
      <c r="L185" s="141">
        <f>'As-Filed Schedule 4'!H185</f>
        <v>0</v>
      </c>
      <c r="M185" s="381">
        <f>SUMIFS(Adjustments!$G:$G,Adjustments!$H:$H,"4",Adjustments!$I:$I,'Schedule 4 Adjustments'!$L$14,Adjustments!$J:$J,'Schedule 4 Adjustments'!$A185)</f>
        <v>0</v>
      </c>
      <c r="N185" s="373">
        <f t="shared" si="25"/>
        <v>0</v>
      </c>
      <c r="O185" s="403">
        <v>0.37</v>
      </c>
      <c r="P185" s="47">
        <f t="shared" si="26"/>
        <v>0</v>
      </c>
      <c r="Q185" s="371">
        <f t="shared" si="27"/>
        <v>0</v>
      </c>
      <c r="R185" s="21">
        <f t="shared" si="21"/>
        <v>58.854802635006571</v>
      </c>
      <c r="S185" s="369">
        <f t="shared" si="28"/>
        <v>59.516978279807084</v>
      </c>
    </row>
    <row r="186" spans="1:19" s="22" customFormat="1" x14ac:dyDescent="0.35">
      <c r="A186" s="19">
        <v>174</v>
      </c>
      <c r="B186" s="19" t="s">
        <v>103</v>
      </c>
      <c r="C186" s="20" t="s">
        <v>431</v>
      </c>
      <c r="D186" s="113">
        <f>'As-Filed Schedule 4'!D186</f>
        <v>0</v>
      </c>
      <c r="E186" s="381">
        <f>SUMIFS(Adjustments!$G:$G,Adjustments!$H:$H,"4",Adjustments!$I:$I,'Schedule 4 Adjustments'!$D$14,Adjustments!$J:$J,'Schedule 4 Adjustments'!$A186)</f>
        <v>0</v>
      </c>
      <c r="F186" s="373">
        <f t="shared" si="22"/>
        <v>0</v>
      </c>
      <c r="G186" s="403">
        <v>3.96</v>
      </c>
      <c r="H186" s="47">
        <f t="shared" si="29"/>
        <v>0</v>
      </c>
      <c r="I186" s="371">
        <f t="shared" si="23"/>
        <v>0</v>
      </c>
      <c r="J186" s="21">
        <f t="shared" si="20"/>
        <v>629.90545522871901</v>
      </c>
      <c r="K186" s="369">
        <f t="shared" si="24"/>
        <v>636.9925242919893</v>
      </c>
      <c r="L186" s="141">
        <f>'As-Filed Schedule 4'!H186</f>
        <v>0</v>
      </c>
      <c r="M186" s="381">
        <f>SUMIFS(Adjustments!$G:$G,Adjustments!$H:$H,"4",Adjustments!$I:$I,'Schedule 4 Adjustments'!$L$14,Adjustments!$J:$J,'Schedule 4 Adjustments'!$A186)</f>
        <v>0</v>
      </c>
      <c r="N186" s="373">
        <f t="shared" si="25"/>
        <v>0</v>
      </c>
      <c r="O186" s="403">
        <v>3.96</v>
      </c>
      <c r="P186" s="47">
        <f t="shared" si="26"/>
        <v>0</v>
      </c>
      <c r="Q186" s="371">
        <f t="shared" si="27"/>
        <v>0</v>
      </c>
      <c r="R186" s="21">
        <f t="shared" si="21"/>
        <v>629.90545522871901</v>
      </c>
      <c r="S186" s="369">
        <f t="shared" si="28"/>
        <v>636.9925242919893</v>
      </c>
    </row>
    <row r="187" spans="1:19" s="22" customFormat="1" x14ac:dyDescent="0.35">
      <c r="A187" s="19">
        <v>175</v>
      </c>
      <c r="B187" s="19" t="s">
        <v>104</v>
      </c>
      <c r="C187" s="20" t="s">
        <v>432</v>
      </c>
      <c r="D187" s="113">
        <f>'As-Filed Schedule 4'!D187</f>
        <v>0</v>
      </c>
      <c r="E187" s="381">
        <f>SUMIFS(Adjustments!$G:$G,Adjustments!$H:$H,"4",Adjustments!$I:$I,'Schedule 4 Adjustments'!$D$14,Adjustments!$J:$J,'Schedule 4 Adjustments'!$A187)</f>
        <v>0</v>
      </c>
      <c r="F187" s="373">
        <f t="shared" si="22"/>
        <v>0</v>
      </c>
      <c r="G187" s="403">
        <v>3.59</v>
      </c>
      <c r="H187" s="47">
        <f t="shared" si="29"/>
        <v>0</v>
      </c>
      <c r="I187" s="371">
        <f t="shared" si="23"/>
        <v>0</v>
      </c>
      <c r="J187" s="21">
        <f t="shared" si="20"/>
        <v>571.05065259371236</v>
      </c>
      <c r="K187" s="369">
        <f t="shared" si="24"/>
        <v>577.47554601218224</v>
      </c>
      <c r="L187" s="141">
        <f>'As-Filed Schedule 4'!H187</f>
        <v>0</v>
      </c>
      <c r="M187" s="381">
        <f>SUMIFS(Adjustments!$G:$G,Adjustments!$H:$H,"4",Adjustments!$I:$I,'Schedule 4 Adjustments'!$L$14,Adjustments!$J:$J,'Schedule 4 Adjustments'!$A187)</f>
        <v>0</v>
      </c>
      <c r="N187" s="373">
        <f t="shared" si="25"/>
        <v>0</v>
      </c>
      <c r="O187" s="403">
        <v>3.59</v>
      </c>
      <c r="P187" s="47">
        <f t="shared" si="26"/>
        <v>0</v>
      </c>
      <c r="Q187" s="371">
        <f t="shared" si="27"/>
        <v>0</v>
      </c>
      <c r="R187" s="21">
        <f t="shared" si="21"/>
        <v>571.05065259371236</v>
      </c>
      <c r="S187" s="369">
        <f t="shared" si="28"/>
        <v>577.47554601218224</v>
      </c>
    </row>
    <row r="188" spans="1:19" s="22" customFormat="1" x14ac:dyDescent="0.35">
      <c r="A188" s="19">
        <v>176</v>
      </c>
      <c r="B188" s="19" t="s">
        <v>36</v>
      </c>
      <c r="C188" s="20" t="s">
        <v>38</v>
      </c>
      <c r="D188" s="113">
        <f>'As-Filed Schedule 4'!D188</f>
        <v>0</v>
      </c>
      <c r="E188" s="381">
        <f>SUMIFS(Adjustments!$G:$G,Adjustments!$H:$H,"4",Adjustments!$I:$I,'Schedule 4 Adjustments'!$D$14,Adjustments!$J:$J,'Schedule 4 Adjustments'!$A188)</f>
        <v>0</v>
      </c>
      <c r="F188" s="373">
        <f t="shared" si="22"/>
        <v>0</v>
      </c>
      <c r="G188" s="403">
        <v>0</v>
      </c>
      <c r="H188" s="47">
        <f t="shared" si="29"/>
        <v>0</v>
      </c>
      <c r="I188" s="371">
        <f t="shared" si="23"/>
        <v>0</v>
      </c>
      <c r="J188" s="21">
        <f t="shared" si="20"/>
        <v>0</v>
      </c>
      <c r="K188" s="369">
        <f t="shared" si="24"/>
        <v>0</v>
      </c>
      <c r="L188" s="141">
        <f>'As-Filed Schedule 4'!H188</f>
        <v>0</v>
      </c>
      <c r="M188" s="381">
        <f>SUMIFS(Adjustments!$G:$G,Adjustments!$H:$H,"4",Adjustments!$I:$I,'Schedule 4 Adjustments'!$L$14,Adjustments!$J:$J,'Schedule 4 Adjustments'!$A188)</f>
        <v>0</v>
      </c>
      <c r="N188" s="373">
        <f t="shared" si="25"/>
        <v>0</v>
      </c>
      <c r="O188" s="403">
        <v>0</v>
      </c>
      <c r="P188" s="47">
        <f t="shared" si="26"/>
        <v>0</v>
      </c>
      <c r="Q188" s="371">
        <f t="shared" si="27"/>
        <v>0</v>
      </c>
      <c r="R188" s="21">
        <f t="shared" si="21"/>
        <v>0</v>
      </c>
      <c r="S188" s="369">
        <f t="shared" si="28"/>
        <v>0</v>
      </c>
    </row>
    <row r="189" spans="1:19" s="22" customFormat="1" x14ac:dyDescent="0.35">
      <c r="A189" s="19">
        <v>177</v>
      </c>
      <c r="B189" s="19" t="s">
        <v>105</v>
      </c>
      <c r="C189" s="20" t="s">
        <v>433</v>
      </c>
      <c r="D189" s="113">
        <f>'As-Filed Schedule 4'!D189</f>
        <v>0</v>
      </c>
      <c r="E189" s="381">
        <f>SUMIFS(Adjustments!$G:$G,Adjustments!$H:$H,"4",Adjustments!$I:$I,'Schedule 4 Adjustments'!$D$14,Adjustments!$J:$J,'Schedule 4 Adjustments'!$A189)</f>
        <v>0</v>
      </c>
      <c r="F189" s="373">
        <f t="shared" si="22"/>
        <v>0</v>
      </c>
      <c r="G189" s="403">
        <v>0.28999999999999998</v>
      </c>
      <c r="H189" s="47">
        <f t="shared" si="29"/>
        <v>0</v>
      </c>
      <c r="I189" s="371">
        <f t="shared" si="23"/>
        <v>0</v>
      </c>
      <c r="J189" s="21">
        <f t="shared" si="20"/>
        <v>46.129439903113258</v>
      </c>
      <c r="K189" s="369">
        <f t="shared" si="24"/>
        <v>46.648442435524466</v>
      </c>
      <c r="L189" s="141">
        <f>'As-Filed Schedule 4'!H189</f>
        <v>0</v>
      </c>
      <c r="M189" s="381">
        <f>SUMIFS(Adjustments!$G:$G,Adjustments!$H:$H,"4",Adjustments!$I:$I,'Schedule 4 Adjustments'!$L$14,Adjustments!$J:$J,'Schedule 4 Adjustments'!$A189)</f>
        <v>0</v>
      </c>
      <c r="N189" s="373">
        <f t="shared" si="25"/>
        <v>0</v>
      </c>
      <c r="O189" s="403">
        <v>0.28999999999999998</v>
      </c>
      <c r="P189" s="47">
        <f t="shared" si="26"/>
        <v>0</v>
      </c>
      <c r="Q189" s="371">
        <f t="shared" si="27"/>
        <v>0</v>
      </c>
      <c r="R189" s="21">
        <f t="shared" si="21"/>
        <v>46.129439903113258</v>
      </c>
      <c r="S189" s="369">
        <f t="shared" si="28"/>
        <v>46.648442435524466</v>
      </c>
    </row>
    <row r="190" spans="1:19" s="22" customFormat="1" x14ac:dyDescent="0.35">
      <c r="A190" s="19">
        <v>178</v>
      </c>
      <c r="B190" s="19" t="s">
        <v>106</v>
      </c>
      <c r="C190" s="20" t="s">
        <v>149</v>
      </c>
      <c r="D190" s="113">
        <f>'As-Filed Schedule 4'!D190</f>
        <v>0</v>
      </c>
      <c r="E190" s="381">
        <f>SUMIFS(Adjustments!$G:$G,Adjustments!$H:$H,"4",Adjustments!$I:$I,'Schedule 4 Adjustments'!$D$14,Adjustments!$J:$J,'Schedule 4 Adjustments'!$A190)</f>
        <v>0</v>
      </c>
      <c r="F190" s="373">
        <f t="shared" si="22"/>
        <v>0</v>
      </c>
      <c r="G190" s="403">
        <v>3.07</v>
      </c>
      <c r="H190" s="47">
        <f t="shared" si="29"/>
        <v>0</v>
      </c>
      <c r="I190" s="371">
        <f t="shared" si="23"/>
        <v>0</v>
      </c>
      <c r="J190" s="21">
        <f t="shared" si="20"/>
        <v>488.33579483640585</v>
      </c>
      <c r="K190" s="369">
        <f t="shared" si="24"/>
        <v>493.83006302434524</v>
      </c>
      <c r="L190" s="141">
        <f>'As-Filed Schedule 4'!H190</f>
        <v>0</v>
      </c>
      <c r="M190" s="381">
        <f>SUMIFS(Adjustments!$G:$G,Adjustments!$H:$H,"4",Adjustments!$I:$I,'Schedule 4 Adjustments'!$L$14,Adjustments!$J:$J,'Schedule 4 Adjustments'!$A190)</f>
        <v>0</v>
      </c>
      <c r="N190" s="373">
        <f t="shared" si="25"/>
        <v>0</v>
      </c>
      <c r="O190" s="403">
        <v>3.05</v>
      </c>
      <c r="P190" s="47">
        <f t="shared" si="26"/>
        <v>0</v>
      </c>
      <c r="Q190" s="371">
        <f t="shared" si="27"/>
        <v>0</v>
      </c>
      <c r="R190" s="21">
        <f t="shared" si="21"/>
        <v>485.15445415343254</v>
      </c>
      <c r="S190" s="369">
        <f t="shared" si="28"/>
        <v>490.61292906327458</v>
      </c>
    </row>
    <row r="191" spans="1:19" s="22" customFormat="1" ht="29" x14ac:dyDescent="0.35">
      <c r="A191" s="19">
        <v>179</v>
      </c>
      <c r="B191" s="19" t="s">
        <v>27</v>
      </c>
      <c r="C191" s="20" t="s">
        <v>30</v>
      </c>
      <c r="D191" s="113">
        <f>'As-Filed Schedule 4'!D191</f>
        <v>0</v>
      </c>
      <c r="E191" s="381">
        <f>SUMIFS(Adjustments!$G:$G,Adjustments!$H:$H,"4",Adjustments!$I:$I,'Schedule 4 Adjustments'!$D$14,Adjustments!$J:$J,'Schedule 4 Adjustments'!$A191)</f>
        <v>0</v>
      </c>
      <c r="F191" s="373">
        <f t="shared" si="22"/>
        <v>0</v>
      </c>
      <c r="G191" s="403">
        <v>0</v>
      </c>
      <c r="H191" s="47">
        <f t="shared" si="29"/>
        <v>0</v>
      </c>
      <c r="I191" s="371">
        <f t="shared" si="23"/>
        <v>0</v>
      </c>
      <c r="J191" s="21">
        <f t="shared" si="20"/>
        <v>0</v>
      </c>
      <c r="K191" s="369">
        <f t="shared" si="24"/>
        <v>0</v>
      </c>
      <c r="L191" s="141">
        <f>'As-Filed Schedule 4'!H191</f>
        <v>0</v>
      </c>
      <c r="M191" s="381">
        <f>SUMIFS(Adjustments!$G:$G,Adjustments!$H:$H,"4",Adjustments!$I:$I,'Schedule 4 Adjustments'!$L$14,Adjustments!$J:$J,'Schedule 4 Adjustments'!$A191)</f>
        <v>0</v>
      </c>
      <c r="N191" s="373">
        <f t="shared" si="25"/>
        <v>0</v>
      </c>
      <c r="O191" s="403">
        <v>0</v>
      </c>
      <c r="P191" s="47">
        <f t="shared" si="26"/>
        <v>0</v>
      </c>
      <c r="Q191" s="371">
        <f t="shared" si="27"/>
        <v>0</v>
      </c>
      <c r="R191" s="21">
        <f t="shared" si="21"/>
        <v>0</v>
      </c>
      <c r="S191" s="369">
        <f t="shared" si="28"/>
        <v>0</v>
      </c>
    </row>
    <row r="192" spans="1:19" s="22" customFormat="1" x14ac:dyDescent="0.35">
      <c r="A192" s="19">
        <v>180</v>
      </c>
      <c r="B192" s="19" t="s">
        <v>107</v>
      </c>
      <c r="C192" s="20" t="s">
        <v>150</v>
      </c>
      <c r="D192" s="113">
        <f>'As-Filed Schedule 4'!D192</f>
        <v>0</v>
      </c>
      <c r="E192" s="381">
        <f>SUMIFS(Adjustments!$G:$G,Adjustments!$H:$H,"4",Adjustments!$I:$I,'Schedule 4 Adjustments'!$D$14,Adjustments!$J:$J,'Schedule 4 Adjustments'!$A192)</f>
        <v>0</v>
      </c>
      <c r="F192" s="373">
        <f t="shared" si="22"/>
        <v>0</v>
      </c>
      <c r="G192" s="403">
        <v>0.59</v>
      </c>
      <c r="H192" s="47">
        <f t="shared" si="29"/>
        <v>0</v>
      </c>
      <c r="I192" s="371">
        <f t="shared" si="23"/>
        <v>0</v>
      </c>
      <c r="J192" s="21">
        <f t="shared" si="20"/>
        <v>93.849550147713174</v>
      </c>
      <c r="K192" s="369">
        <f t="shared" si="24"/>
        <v>94.90545185158426</v>
      </c>
      <c r="L192" s="141">
        <f>'As-Filed Schedule 4'!H192</f>
        <v>0</v>
      </c>
      <c r="M192" s="381">
        <f>SUMIFS(Adjustments!$G:$G,Adjustments!$H:$H,"4",Adjustments!$I:$I,'Schedule 4 Adjustments'!$L$14,Adjustments!$J:$J,'Schedule 4 Adjustments'!$A192)</f>
        <v>0</v>
      </c>
      <c r="N192" s="373">
        <f t="shared" si="25"/>
        <v>0</v>
      </c>
      <c r="O192" s="403">
        <v>0.55000000000000004</v>
      </c>
      <c r="P192" s="47">
        <f t="shared" si="26"/>
        <v>0</v>
      </c>
      <c r="Q192" s="371">
        <f t="shared" si="27"/>
        <v>0</v>
      </c>
      <c r="R192" s="21">
        <f t="shared" si="21"/>
        <v>87.486868781766532</v>
      </c>
      <c r="S192" s="369">
        <f t="shared" si="28"/>
        <v>88.471183929442972</v>
      </c>
    </row>
    <row r="193" spans="1:19" s="22" customFormat="1" x14ac:dyDescent="0.35">
      <c r="A193" s="19">
        <v>181</v>
      </c>
      <c r="B193" s="19" t="s">
        <v>28</v>
      </c>
      <c r="C193" s="20" t="s">
        <v>31</v>
      </c>
      <c r="D193" s="113">
        <f>'As-Filed Schedule 4'!D193</f>
        <v>0</v>
      </c>
      <c r="E193" s="381">
        <f>SUMIFS(Adjustments!$G:$G,Adjustments!$H:$H,"4",Adjustments!$I:$I,'Schedule 4 Adjustments'!$D$14,Adjustments!$J:$J,'Schedule 4 Adjustments'!$A193)</f>
        <v>0</v>
      </c>
      <c r="F193" s="373">
        <f t="shared" si="22"/>
        <v>0</v>
      </c>
      <c r="G193" s="403">
        <v>0</v>
      </c>
      <c r="H193" s="47">
        <f t="shared" si="29"/>
        <v>0</v>
      </c>
      <c r="I193" s="371">
        <f t="shared" si="23"/>
        <v>0</v>
      </c>
      <c r="J193" s="21">
        <f t="shared" si="20"/>
        <v>0</v>
      </c>
      <c r="K193" s="369">
        <f t="shared" si="24"/>
        <v>0</v>
      </c>
      <c r="L193" s="141">
        <f>'As-Filed Schedule 4'!H193</f>
        <v>0</v>
      </c>
      <c r="M193" s="381">
        <f>SUMIFS(Adjustments!$G:$G,Adjustments!$H:$H,"4",Adjustments!$I:$I,'Schedule 4 Adjustments'!$L$14,Adjustments!$J:$J,'Schedule 4 Adjustments'!$A193)</f>
        <v>0</v>
      </c>
      <c r="N193" s="373">
        <f t="shared" si="25"/>
        <v>0</v>
      </c>
      <c r="O193" s="403">
        <v>0</v>
      </c>
      <c r="P193" s="47">
        <f t="shared" si="26"/>
        <v>0</v>
      </c>
      <c r="Q193" s="371">
        <f t="shared" si="27"/>
        <v>0</v>
      </c>
      <c r="R193" s="21">
        <f t="shared" si="21"/>
        <v>0</v>
      </c>
      <c r="S193" s="369">
        <f t="shared" si="28"/>
        <v>0</v>
      </c>
    </row>
    <row r="194" spans="1:19" s="22" customFormat="1" x14ac:dyDescent="0.35">
      <c r="A194" s="19">
        <v>182</v>
      </c>
      <c r="B194" s="19" t="s">
        <v>108</v>
      </c>
      <c r="C194" s="20" t="s">
        <v>434</v>
      </c>
      <c r="D194" s="113">
        <f>'As-Filed Schedule 4'!D194</f>
        <v>0</v>
      </c>
      <c r="E194" s="381">
        <f>SUMIFS(Adjustments!$G:$G,Adjustments!$H:$H,"4",Adjustments!$I:$I,'Schedule 4 Adjustments'!$D$14,Adjustments!$J:$J,'Schedule 4 Adjustments'!$A194)</f>
        <v>0</v>
      </c>
      <c r="F194" s="373">
        <f t="shared" si="22"/>
        <v>0</v>
      </c>
      <c r="G194" s="403">
        <v>0.64</v>
      </c>
      <c r="H194" s="47">
        <f t="shared" si="29"/>
        <v>0</v>
      </c>
      <c r="I194" s="371">
        <f t="shared" si="23"/>
        <v>0</v>
      </c>
      <c r="J194" s="21">
        <f t="shared" si="20"/>
        <v>101.8029018551465</v>
      </c>
      <c r="K194" s="369">
        <f t="shared" si="24"/>
        <v>102.94828675426091</v>
      </c>
      <c r="L194" s="141">
        <f>'As-Filed Schedule 4'!H194</f>
        <v>0</v>
      </c>
      <c r="M194" s="381">
        <f>SUMIFS(Adjustments!$G:$G,Adjustments!$H:$H,"4",Adjustments!$I:$I,'Schedule 4 Adjustments'!$L$14,Adjustments!$J:$J,'Schedule 4 Adjustments'!$A194)</f>
        <v>0</v>
      </c>
      <c r="N194" s="373">
        <f t="shared" si="25"/>
        <v>0</v>
      </c>
      <c r="O194" s="403">
        <v>0.6</v>
      </c>
      <c r="P194" s="47">
        <f t="shared" si="26"/>
        <v>0</v>
      </c>
      <c r="Q194" s="371">
        <f t="shared" si="27"/>
        <v>0</v>
      </c>
      <c r="R194" s="21">
        <f t="shared" si="21"/>
        <v>95.440220489199845</v>
      </c>
      <c r="S194" s="369">
        <f t="shared" si="28"/>
        <v>96.514018832119589</v>
      </c>
    </row>
    <row r="195" spans="1:19" s="22" customFormat="1" x14ac:dyDescent="0.35">
      <c r="A195" s="19">
        <v>183</v>
      </c>
      <c r="B195" s="19" t="s">
        <v>109</v>
      </c>
      <c r="C195" s="20" t="s">
        <v>151</v>
      </c>
      <c r="D195" s="113">
        <f>'As-Filed Schedule 4'!D195</f>
        <v>89501</v>
      </c>
      <c r="E195" s="381">
        <f>SUMIFS(Adjustments!$G:$G,Adjustments!$H:$H,"4",Adjustments!$I:$I,'Schedule 4 Adjustments'!$D$14,Adjustments!$J:$J,'Schedule 4 Adjustments'!$A195)</f>
        <v>0</v>
      </c>
      <c r="F195" s="373">
        <f t="shared" si="22"/>
        <v>89501</v>
      </c>
      <c r="G195" s="403">
        <v>0.65000000000000013</v>
      </c>
      <c r="H195" s="47">
        <f t="shared" si="29"/>
        <v>58175.650000000009</v>
      </c>
      <c r="I195" s="371">
        <f t="shared" si="23"/>
        <v>58175.650000000009</v>
      </c>
      <c r="J195" s="21">
        <f t="shared" si="20"/>
        <v>103.39357219663319</v>
      </c>
      <c r="K195" s="369">
        <f t="shared" si="24"/>
        <v>104.55685373479625</v>
      </c>
      <c r="L195" s="141">
        <f>'As-Filed Schedule 4'!H195</f>
        <v>36731</v>
      </c>
      <c r="M195" s="381">
        <f>SUMIFS(Adjustments!$G:$G,Adjustments!$H:$H,"4",Adjustments!$I:$I,'Schedule 4 Adjustments'!$L$14,Adjustments!$J:$J,'Schedule 4 Adjustments'!$A195)</f>
        <v>0</v>
      </c>
      <c r="N195" s="373">
        <f t="shared" si="25"/>
        <v>36731</v>
      </c>
      <c r="O195" s="403">
        <v>0.59999999999999987</v>
      </c>
      <c r="P195" s="47">
        <f t="shared" si="26"/>
        <v>22038.599999999995</v>
      </c>
      <c r="Q195" s="371">
        <f t="shared" si="27"/>
        <v>22038.599999999995</v>
      </c>
      <c r="R195" s="21">
        <f t="shared" si="21"/>
        <v>95.440220489199831</v>
      </c>
      <c r="S195" s="369">
        <f t="shared" si="28"/>
        <v>96.514018832119575</v>
      </c>
    </row>
    <row r="196" spans="1:19" s="22" customFormat="1" x14ac:dyDescent="0.35">
      <c r="A196" s="19">
        <v>184</v>
      </c>
      <c r="B196" s="19" t="s">
        <v>29</v>
      </c>
      <c r="C196" s="20" t="s">
        <v>32</v>
      </c>
      <c r="D196" s="113">
        <f>'As-Filed Schedule 4'!D196</f>
        <v>0</v>
      </c>
      <c r="E196" s="381">
        <f>SUMIFS(Adjustments!$G:$G,Adjustments!$H:$H,"4",Adjustments!$I:$I,'Schedule 4 Adjustments'!$D$14,Adjustments!$J:$J,'Schedule 4 Adjustments'!$A196)</f>
        <v>0</v>
      </c>
      <c r="F196" s="373">
        <f t="shared" si="22"/>
        <v>0</v>
      </c>
      <c r="G196" s="403">
        <v>0</v>
      </c>
      <c r="H196" s="47">
        <f t="shared" si="29"/>
        <v>0</v>
      </c>
      <c r="I196" s="371">
        <f t="shared" si="23"/>
        <v>0</v>
      </c>
      <c r="J196" s="21">
        <f t="shared" si="20"/>
        <v>0</v>
      </c>
      <c r="K196" s="369">
        <f t="shared" si="24"/>
        <v>0</v>
      </c>
      <c r="L196" s="141">
        <f>'As-Filed Schedule 4'!H196</f>
        <v>0</v>
      </c>
      <c r="M196" s="381">
        <f>SUMIFS(Adjustments!$G:$G,Adjustments!$H:$H,"4",Adjustments!$I:$I,'Schedule 4 Adjustments'!$L$14,Adjustments!$J:$J,'Schedule 4 Adjustments'!$A196)</f>
        <v>0</v>
      </c>
      <c r="N196" s="373">
        <f t="shared" si="25"/>
        <v>0</v>
      </c>
      <c r="O196" s="403">
        <v>0</v>
      </c>
      <c r="P196" s="47">
        <f t="shared" si="26"/>
        <v>0</v>
      </c>
      <c r="Q196" s="371">
        <f t="shared" si="27"/>
        <v>0</v>
      </c>
      <c r="R196" s="21">
        <f t="shared" si="21"/>
        <v>0</v>
      </c>
      <c r="S196" s="369">
        <f t="shared" si="28"/>
        <v>0</v>
      </c>
    </row>
    <row r="197" spans="1:19" x14ac:dyDescent="0.35">
      <c r="A197" s="19">
        <v>185</v>
      </c>
      <c r="D197" s="9">
        <f>SUM(D18:D196)</f>
        <v>301381</v>
      </c>
      <c r="E197" s="9">
        <f>SUM(E18:E196)</f>
        <v>0</v>
      </c>
      <c r="F197" s="372">
        <f>SUM(F18:F196)</f>
        <v>301381</v>
      </c>
      <c r="G197" s="13"/>
      <c r="H197" s="9">
        <f>SUM(H18:H196)</f>
        <v>406327.73000000016</v>
      </c>
      <c r="I197" s="372">
        <f>SUM(I18:I196)</f>
        <v>406327.73000000016</v>
      </c>
      <c r="L197" s="9">
        <f>SUM(L18:L196)</f>
        <v>367332</v>
      </c>
      <c r="M197" s="9">
        <f t="shared" ref="M197:N197" si="40">SUM(M18:M196)</f>
        <v>0</v>
      </c>
      <c r="N197" s="9">
        <f t="shared" si="40"/>
        <v>367332</v>
      </c>
      <c r="P197" s="9">
        <f>SUM(P18:P196)</f>
        <v>199367.74</v>
      </c>
      <c r="Q197" s="372">
        <f>SUM(Q18:Q196)</f>
        <v>199367.74</v>
      </c>
    </row>
  </sheetData>
  <sheetProtection sheet="1" objects="1" scenarios="1"/>
  <customSheetViews>
    <customSheetView guid="{17302493-42B1-4877-869E-E424A97AE78B}" topLeftCell="H1">
      <selection activeCell="L2" sqref="L2"/>
      <pageMargins left="0.7" right="0.7" top="0.75" bottom="0.75" header="0.3" footer="0.3"/>
      <pageSetup orientation="portrait" horizontalDpi="1200" verticalDpi="1200" r:id="rId1"/>
    </customSheetView>
    <customSheetView guid="{5C0BA3A5-859C-46C2-B685-44D9A90065E4}" topLeftCell="H1">
      <selection activeCell="L2" sqref="L2"/>
      <pageMargins left="0.7" right="0.7" top="0.75" bottom="0.75" header="0.3" footer="0.3"/>
      <pageSetup orientation="portrait" horizontalDpi="1200" verticalDpi="1200" r:id="rId2"/>
    </customSheetView>
  </customSheetViews>
  <mergeCells count="5">
    <mergeCell ref="R4:R6"/>
    <mergeCell ref="T4:T6"/>
    <mergeCell ref="D15:J15"/>
    <mergeCell ref="L15:R15"/>
    <mergeCell ref="S4:S6"/>
  </mergeCells>
  <pageMargins left="0.7" right="0.7" top="0.75" bottom="0.75" header="0.3" footer="0.3"/>
  <pageSetup orientation="portrait" horizontalDpi="1200" verticalDpi="1200"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O46"/>
  <sheetViews>
    <sheetView topLeftCell="C1" workbookViewId="0">
      <selection activeCell="D4" sqref="D4"/>
    </sheetView>
  </sheetViews>
  <sheetFormatPr defaultColWidth="9.1796875" defaultRowHeight="14.5" x14ac:dyDescent="0.35"/>
  <cols>
    <col min="2" max="2" width="16.54296875" customWidth="1"/>
    <col min="3" max="3" width="40.7265625" customWidth="1"/>
    <col min="4" max="4" width="26.7265625" style="99" customWidth="1"/>
    <col min="5" max="5" width="26.7265625" style="253" customWidth="1"/>
    <col min="6" max="6" width="26.7265625" style="48" customWidth="1"/>
    <col min="7" max="7" width="3" customWidth="1"/>
    <col min="8" max="8" width="9.1796875" customWidth="1"/>
    <col min="9" max="9" width="33.26953125" style="48" customWidth="1"/>
    <col min="10" max="10" width="30.26953125" customWidth="1"/>
    <col min="11" max="11" width="23.54296875" customWidth="1"/>
  </cols>
  <sheetData>
    <row r="1" spans="1:15" ht="26" x14ac:dyDescent="0.6">
      <c r="A1" s="3" t="s">
        <v>777</v>
      </c>
      <c r="I1" s="121"/>
    </row>
    <row r="2" spans="1:15" ht="21" x14ac:dyDescent="0.5">
      <c r="A2" s="2" t="s">
        <v>775</v>
      </c>
      <c r="J2" s="40"/>
      <c r="K2" s="40"/>
      <c r="L2" s="40"/>
      <c r="M2" s="40"/>
      <c r="N2" s="40"/>
      <c r="O2" s="40"/>
    </row>
    <row r="3" spans="1:15" ht="21" x14ac:dyDescent="0.5">
      <c r="A3" s="5" t="s">
        <v>871</v>
      </c>
      <c r="I3" s="122"/>
      <c r="J3" s="122"/>
      <c r="K3" s="122"/>
      <c r="L3" s="40"/>
      <c r="M3" s="40"/>
      <c r="N3" s="40"/>
      <c r="O3" s="40"/>
    </row>
    <row r="4" spans="1:15" x14ac:dyDescent="0.35">
      <c r="I4" s="40"/>
      <c r="J4" s="40"/>
      <c r="K4" s="40"/>
      <c r="L4" s="40"/>
      <c r="M4" s="40"/>
      <c r="N4" s="40"/>
      <c r="O4" s="40"/>
    </row>
    <row r="5" spans="1:15" x14ac:dyDescent="0.35">
      <c r="A5" s="1" t="s">
        <v>776</v>
      </c>
      <c r="C5" s="414" t="str">
        <f>Results!$C$6</f>
        <v>WellPower</v>
      </c>
      <c r="I5" s="40"/>
      <c r="J5" s="40"/>
      <c r="K5" s="40"/>
      <c r="L5" s="40"/>
      <c r="M5" s="40"/>
      <c r="N5" s="40"/>
      <c r="O5" s="40"/>
    </row>
    <row r="6" spans="1:15" x14ac:dyDescent="0.35">
      <c r="A6" s="1" t="s">
        <v>0</v>
      </c>
      <c r="C6" s="35">
        <f>Results!$C$7</f>
        <v>45473</v>
      </c>
      <c r="I6" s="40"/>
      <c r="J6" s="40"/>
      <c r="K6" s="40"/>
      <c r="L6" s="40"/>
      <c r="M6" s="40"/>
      <c r="N6" s="40"/>
      <c r="O6" s="40"/>
    </row>
    <row r="7" spans="1:15" s="1" customFormat="1" x14ac:dyDescent="0.35">
      <c r="D7" s="99"/>
      <c r="E7" s="253"/>
      <c r="F7" s="48"/>
      <c r="I7" s="40"/>
      <c r="J7" s="40"/>
      <c r="K7" s="40"/>
      <c r="L7" s="40"/>
      <c r="M7" s="40"/>
      <c r="N7" s="40"/>
      <c r="O7" s="40"/>
    </row>
    <row r="8" spans="1:15" x14ac:dyDescent="0.35">
      <c r="D8" s="167">
        <v>1</v>
      </c>
      <c r="E8" s="248" t="s">
        <v>546</v>
      </c>
      <c r="F8" s="249" t="s">
        <v>547</v>
      </c>
      <c r="I8" s="40"/>
      <c r="J8" s="40"/>
      <c r="K8" s="40"/>
      <c r="L8" s="40"/>
      <c r="M8" s="40"/>
      <c r="N8" s="40"/>
      <c r="O8" s="40"/>
    </row>
    <row r="9" spans="1:15" s="6" customFormat="1" x14ac:dyDescent="0.35">
      <c r="A9" s="97"/>
      <c r="B9" s="544" t="s">
        <v>872</v>
      </c>
      <c r="C9" s="544"/>
      <c r="D9" s="142" t="s">
        <v>873</v>
      </c>
      <c r="E9" s="250" t="s">
        <v>904</v>
      </c>
      <c r="F9" s="251" t="s">
        <v>905</v>
      </c>
      <c r="I9" s="121"/>
      <c r="J9" s="121"/>
      <c r="K9" s="121"/>
      <c r="L9" s="121"/>
      <c r="M9" s="121"/>
      <c r="N9" s="121"/>
      <c r="O9" s="121"/>
    </row>
    <row r="10" spans="1:15" s="6" customFormat="1" x14ac:dyDescent="0.35">
      <c r="A10" s="97"/>
      <c r="B10" s="427"/>
      <c r="C10" s="428"/>
      <c r="D10" s="429"/>
      <c r="E10" s="337"/>
      <c r="F10" s="121"/>
      <c r="I10" s="121"/>
      <c r="J10" s="121"/>
      <c r="K10" s="121"/>
      <c r="L10" s="121"/>
      <c r="M10" s="121"/>
      <c r="N10" s="121"/>
      <c r="O10" s="121"/>
    </row>
    <row r="11" spans="1:15" s="22" customFormat="1" x14ac:dyDescent="0.35">
      <c r="A11" s="624" t="s">
        <v>874</v>
      </c>
      <c r="B11" s="625"/>
      <c r="C11" s="625"/>
      <c r="D11" s="625"/>
      <c r="E11" s="625"/>
      <c r="F11" s="626"/>
      <c r="I11" s="120"/>
      <c r="J11" s="120"/>
      <c r="K11" s="120"/>
      <c r="L11" s="120"/>
      <c r="M11" s="120"/>
      <c r="N11" s="120"/>
      <c r="O11" s="120"/>
    </row>
    <row r="12" spans="1:15" s="22" customFormat="1" x14ac:dyDescent="0.35">
      <c r="A12" s="146">
        <v>1</v>
      </c>
      <c r="B12" s="531" t="s">
        <v>875</v>
      </c>
      <c r="C12" s="533"/>
      <c r="D12" s="148">
        <f>'As-Filed Schedule 5'!D12</f>
        <v>83094631</v>
      </c>
      <c r="E12" s="381">
        <f>SUMIFS(Adjustments!$G:$G,Adjustments!$H:$H,"5",Adjustments!$I:$I,'Schedule 5 Adjustments'!$D$8,Adjustments!$J:$J,A12)</f>
        <v>0</v>
      </c>
      <c r="F12" s="266">
        <f>SUM(D12:E12)</f>
        <v>83094631</v>
      </c>
      <c r="I12" s="131"/>
    </row>
    <row r="13" spans="1:15" s="22" customFormat="1" x14ac:dyDescent="0.35">
      <c r="A13" s="146">
        <v>2</v>
      </c>
      <c r="B13" s="531" t="s">
        <v>876</v>
      </c>
      <c r="C13" s="533"/>
      <c r="D13" s="148">
        <f>'As-Filed Schedule 5'!D13</f>
        <v>13066839</v>
      </c>
      <c r="E13" s="381">
        <f>SUMIFS(Adjustments!$G:$G,Adjustments!$H:$H,"5",Adjustments!$I:$I,'Schedule 5 Adjustments'!$D$8,Adjustments!$J:$J,A13)</f>
        <v>0</v>
      </c>
      <c r="F13" s="266">
        <f t="shared" ref="F13:F18" si="0">SUM(D13:E13)</f>
        <v>13066839</v>
      </c>
      <c r="I13" s="131"/>
    </row>
    <row r="14" spans="1:15" s="22" customFormat="1" x14ac:dyDescent="0.35">
      <c r="A14" s="146">
        <v>3</v>
      </c>
      <c r="B14" s="165" t="s">
        <v>877</v>
      </c>
      <c r="C14" s="159"/>
      <c r="D14" s="148">
        <f>'As-Filed Schedule 5'!D14</f>
        <v>11161314</v>
      </c>
      <c r="E14" s="381">
        <f>SUMIFS(Adjustments!$G:$G,Adjustments!$H:$H,"5",Adjustments!$I:$I,'Schedule 5 Adjustments'!$D$8,Adjustments!$J:$J,A14)</f>
        <v>0</v>
      </c>
      <c r="F14" s="266">
        <f t="shared" si="0"/>
        <v>11161314</v>
      </c>
      <c r="I14" s="131"/>
    </row>
    <row r="15" spans="1:15" s="22" customFormat="1" x14ac:dyDescent="0.35">
      <c r="A15" s="146">
        <v>4</v>
      </c>
      <c r="B15" s="165" t="s">
        <v>878</v>
      </c>
      <c r="C15" s="159"/>
      <c r="D15" s="148">
        <f>'As-Filed Schedule 5'!D15</f>
        <v>1452028</v>
      </c>
      <c r="E15" s="381">
        <f>SUMIFS(Adjustments!$G:$G,Adjustments!$H:$H,"5",Adjustments!$I:$I,'Schedule 5 Adjustments'!$D$8,Adjustments!$J:$J,A15)</f>
        <v>0</v>
      </c>
      <c r="F15" s="266">
        <f t="shared" si="0"/>
        <v>1452028</v>
      </c>
      <c r="I15" s="131"/>
    </row>
    <row r="16" spans="1:15" s="22" customFormat="1" x14ac:dyDescent="0.35">
      <c r="A16" s="146">
        <v>5</v>
      </c>
      <c r="B16" s="165" t="s">
        <v>879</v>
      </c>
      <c r="C16" s="159"/>
      <c r="D16" s="148">
        <f>'As-Filed Schedule 5'!D16</f>
        <v>423209</v>
      </c>
      <c r="E16" s="381">
        <f>SUMIFS(Adjustments!$G:$G,Adjustments!$H:$H,"5",Adjustments!$I:$I,'Schedule 5 Adjustments'!$D$8,Adjustments!$J:$J,A16)</f>
        <v>0</v>
      </c>
      <c r="F16" s="266">
        <f t="shared" si="0"/>
        <v>423209</v>
      </c>
      <c r="I16" s="131"/>
    </row>
    <row r="17" spans="1:9" s="22" customFormat="1" x14ac:dyDescent="0.35">
      <c r="A17" s="146">
        <v>6</v>
      </c>
      <c r="B17" s="165" t="s">
        <v>880</v>
      </c>
      <c r="C17" s="159"/>
      <c r="D17" s="148">
        <f>'As-Filed Schedule 5'!D17</f>
        <v>3757005.29</v>
      </c>
      <c r="E17" s="381">
        <f>SUMIFS(Adjustments!$G:$G,Adjustments!$H:$H,"5",Adjustments!$I:$I,'Schedule 5 Adjustments'!$D$8,Adjustments!$J:$J,A17)</f>
        <v>0</v>
      </c>
      <c r="F17" s="266">
        <f>SUM(D17:E17)</f>
        <v>3757005.29</v>
      </c>
      <c r="I17" s="131"/>
    </row>
    <row r="18" spans="1:9" s="22" customFormat="1" x14ac:dyDescent="0.35">
      <c r="A18" s="146">
        <v>7</v>
      </c>
      <c r="B18" s="531" t="s">
        <v>881</v>
      </c>
      <c r="C18" s="533"/>
      <c r="D18" s="148">
        <f>'As-Filed Schedule 5'!D18</f>
        <v>0</v>
      </c>
      <c r="E18" s="381">
        <f>SUMIFS(Adjustments!$G:$G,Adjustments!$H:$H,"5",Adjustments!$I:$I,'Schedule 5 Adjustments'!$D$8,Adjustments!$J:$J,A18)</f>
        <v>0</v>
      </c>
      <c r="F18" s="266">
        <f t="shared" si="0"/>
        <v>0</v>
      </c>
      <c r="I18" s="131"/>
    </row>
    <row r="19" spans="1:9" s="22" customFormat="1" x14ac:dyDescent="0.35">
      <c r="A19" s="146">
        <v>8</v>
      </c>
      <c r="B19" s="537" t="s">
        <v>882</v>
      </c>
      <c r="C19" s="539"/>
      <c r="D19" s="151">
        <f>SUM(D12:D18)</f>
        <v>112955026.29000001</v>
      </c>
      <c r="E19" s="258">
        <f t="shared" ref="E19:F19" si="1">SUM(E12:E18)</f>
        <v>0</v>
      </c>
      <c r="F19" s="267">
        <f t="shared" si="1"/>
        <v>112955026.29000001</v>
      </c>
      <c r="I19" s="131"/>
    </row>
    <row r="20" spans="1:9" s="22" customFormat="1" x14ac:dyDescent="0.35">
      <c r="A20" s="430"/>
      <c r="B20" s="431"/>
      <c r="C20" s="431"/>
      <c r="D20" s="432"/>
      <c r="E20" s="434"/>
      <c r="F20" s="438"/>
      <c r="I20" s="131"/>
    </row>
    <row r="21" spans="1:9" s="22" customFormat="1" x14ac:dyDescent="0.35">
      <c r="A21" s="624" t="s">
        <v>883</v>
      </c>
      <c r="B21" s="625"/>
      <c r="C21" s="625"/>
      <c r="D21" s="625"/>
      <c r="E21" s="625"/>
      <c r="F21" s="626"/>
      <c r="G21" s="131"/>
      <c r="H21" s="131"/>
      <c r="I21" s="131"/>
    </row>
    <row r="22" spans="1:9" s="22" customFormat="1" x14ac:dyDescent="0.35">
      <c r="A22" s="146">
        <v>9</v>
      </c>
      <c r="B22" s="531" t="s">
        <v>884</v>
      </c>
      <c r="C22" s="533"/>
      <c r="D22" s="148">
        <f>'As-Filed Schedule 5'!D22</f>
        <v>2035662.03</v>
      </c>
      <c r="E22" s="381">
        <f>SUMIFS(Adjustments!$G:$G,Adjustments!$H:$H,"5",Adjustments!$I:$I,'Schedule 5 Adjustments'!$D$8,Adjustments!$J:$J,A22)</f>
        <v>0</v>
      </c>
      <c r="F22" s="266">
        <f>SUM(D22:E22)</f>
        <v>2035662.03</v>
      </c>
      <c r="G22" s="131"/>
      <c r="H22" s="131"/>
      <c r="I22" s="131"/>
    </row>
    <row r="23" spans="1:9" s="22" customFormat="1" x14ac:dyDescent="0.35">
      <c r="A23" s="146">
        <v>10</v>
      </c>
      <c r="B23" s="165" t="s">
        <v>885</v>
      </c>
      <c r="C23" s="159"/>
      <c r="D23" s="148">
        <f>'As-Filed Schedule 5'!D23</f>
        <v>16108567</v>
      </c>
      <c r="E23" s="381">
        <f>SUMIFS(Adjustments!$G:$G,Adjustments!$H:$H,"5",Adjustments!$I:$I,'Schedule 5 Adjustments'!$D$8,Adjustments!$J:$J,A23)</f>
        <v>0</v>
      </c>
      <c r="F23" s="266">
        <f t="shared" ref="F23:F26" si="2">SUM(D23:E23)</f>
        <v>16108567</v>
      </c>
      <c r="G23" s="131"/>
      <c r="H23" s="131"/>
      <c r="I23" s="131"/>
    </row>
    <row r="24" spans="1:9" s="22" customFormat="1" x14ac:dyDescent="0.35">
      <c r="A24" s="146">
        <v>11</v>
      </c>
      <c r="B24" s="165" t="s">
        <v>886</v>
      </c>
      <c r="C24" s="159"/>
      <c r="D24" s="148">
        <f>'As-Filed Schedule 5'!D24</f>
        <v>1924450.3299999998</v>
      </c>
      <c r="E24" s="381">
        <f>SUMIFS(Adjustments!$G:$G,Adjustments!$H:$H,"5",Adjustments!$I:$I,'Schedule 5 Adjustments'!$D$8,Adjustments!$J:$J,A24)</f>
        <v>0</v>
      </c>
      <c r="F24" s="266">
        <f t="shared" si="2"/>
        <v>1924450.3299999998</v>
      </c>
      <c r="G24" s="131"/>
      <c r="H24" s="131"/>
      <c r="I24" s="131"/>
    </row>
    <row r="25" spans="1:9" s="22" customFormat="1" x14ac:dyDescent="0.35">
      <c r="A25" s="146">
        <v>12</v>
      </c>
      <c r="B25" s="165" t="s">
        <v>887</v>
      </c>
      <c r="C25" s="159"/>
      <c r="D25" s="148">
        <f>'As-Filed Schedule 5'!D25</f>
        <v>7758369.8900000006</v>
      </c>
      <c r="E25" s="381">
        <f>SUMIFS(Adjustments!$G:$G,Adjustments!$H:$H,"5",Adjustments!$I:$I,'Schedule 5 Adjustments'!$D$8,Adjustments!$J:$J,A25)</f>
        <v>0</v>
      </c>
      <c r="F25" s="266">
        <f t="shared" si="2"/>
        <v>7758369.8900000006</v>
      </c>
      <c r="G25" s="131"/>
      <c r="H25" s="131"/>
      <c r="I25" s="131"/>
    </row>
    <row r="26" spans="1:9" s="22" customFormat="1" x14ac:dyDescent="0.35">
      <c r="A26" s="146">
        <v>13</v>
      </c>
      <c r="B26" s="165" t="s">
        <v>888</v>
      </c>
      <c r="C26" s="159"/>
      <c r="D26" s="148">
        <f>'As-Filed Schedule 5'!D26</f>
        <v>2769701.9000000004</v>
      </c>
      <c r="E26" s="381">
        <f>SUMIFS(Adjustments!$G:$G,Adjustments!$H:$H,"5",Adjustments!$I:$I,'Schedule 5 Adjustments'!$D$8,Adjustments!$J:$J,A26)</f>
        <v>0</v>
      </c>
      <c r="F26" s="266">
        <f t="shared" si="2"/>
        <v>2769701.9000000004</v>
      </c>
      <c r="G26" s="131"/>
      <c r="H26" s="131"/>
      <c r="I26" s="131"/>
    </row>
    <row r="27" spans="1:9" s="22" customFormat="1" x14ac:dyDescent="0.35">
      <c r="A27" s="146">
        <v>14</v>
      </c>
      <c r="B27" s="537" t="s">
        <v>889</v>
      </c>
      <c r="C27" s="539"/>
      <c r="D27" s="151">
        <f>SUM(D22:D26)</f>
        <v>30596751.149999999</v>
      </c>
      <c r="E27" s="258">
        <f>SUM(E22:E26)</f>
        <v>0</v>
      </c>
      <c r="F27" s="267">
        <f t="shared" ref="F27" si="3">SUM(F22:F26)</f>
        <v>30596751.149999999</v>
      </c>
      <c r="G27" s="131"/>
      <c r="H27" s="131"/>
      <c r="I27" s="131"/>
    </row>
    <row r="28" spans="1:9" s="22" customFormat="1" x14ac:dyDescent="0.35">
      <c r="A28" s="430"/>
      <c r="B28" s="431"/>
      <c r="C28" s="431"/>
      <c r="D28" s="432"/>
      <c r="E28" s="434"/>
      <c r="F28" s="438"/>
      <c r="H28" s="131"/>
      <c r="I28" s="131"/>
    </row>
    <row r="29" spans="1:9" s="22" customFormat="1" x14ac:dyDescent="0.35">
      <c r="A29" s="624" t="s">
        <v>890</v>
      </c>
      <c r="B29" s="625"/>
      <c r="C29" s="625"/>
      <c r="D29" s="625"/>
      <c r="E29" s="625"/>
      <c r="F29" s="626"/>
      <c r="H29" s="131"/>
      <c r="I29" s="131"/>
    </row>
    <row r="30" spans="1:9" s="22" customFormat="1" x14ac:dyDescent="0.35">
      <c r="A30" s="433">
        <v>15</v>
      </c>
      <c r="B30" s="627" t="s">
        <v>891</v>
      </c>
      <c r="C30" s="629"/>
      <c r="D30" s="148">
        <f>'As-Filed Schedule 5'!D30</f>
        <v>366006</v>
      </c>
      <c r="E30" s="381">
        <f>SUMIFS(Adjustments!$G:$G,Adjustments!$H:$H,"5",Adjustments!$I:$I,'Schedule 5 Adjustments'!$D$8,Adjustments!$J:$J,A30)</f>
        <v>0</v>
      </c>
      <c r="F30" s="266">
        <f t="shared" ref="F30:F34" si="4">SUM(D30:E30)</f>
        <v>366006</v>
      </c>
      <c r="I30" s="131"/>
    </row>
    <row r="31" spans="1:9" s="22" customFormat="1" x14ac:dyDescent="0.35">
      <c r="A31" s="146">
        <v>16</v>
      </c>
      <c r="B31" s="165" t="s">
        <v>892</v>
      </c>
      <c r="C31" s="159"/>
      <c r="D31" s="148">
        <f>'As-Filed Schedule 5'!D31</f>
        <v>0</v>
      </c>
      <c r="E31" s="381">
        <f>SUMIFS(Adjustments!$G:$G,Adjustments!$H:$H,"5",Adjustments!$I:$I,'Schedule 5 Adjustments'!$D$8,Adjustments!$J:$J,A31)</f>
        <v>0</v>
      </c>
      <c r="F31" s="266">
        <f t="shared" si="4"/>
        <v>0</v>
      </c>
      <c r="I31" s="131"/>
    </row>
    <row r="32" spans="1:9" s="22" customFormat="1" x14ac:dyDescent="0.35">
      <c r="A32" s="146">
        <v>17</v>
      </c>
      <c r="B32" s="165" t="s">
        <v>893</v>
      </c>
      <c r="C32" s="159"/>
      <c r="D32" s="148">
        <f>'As-Filed Schedule 5'!D32</f>
        <v>0</v>
      </c>
      <c r="E32" s="381">
        <f>SUMIFS(Adjustments!$G:$G,Adjustments!$H:$H,"5",Adjustments!$I:$I,'Schedule 5 Adjustments'!$D$8,Adjustments!$J:$J,A32)</f>
        <v>0</v>
      </c>
      <c r="F32" s="266">
        <f t="shared" si="4"/>
        <v>0</v>
      </c>
      <c r="I32" s="131"/>
    </row>
    <row r="33" spans="1:9" s="22" customFormat="1" x14ac:dyDescent="0.35">
      <c r="A33" s="146">
        <v>18</v>
      </c>
      <c r="B33" s="165" t="s">
        <v>894</v>
      </c>
      <c r="C33" s="159"/>
      <c r="D33" s="148">
        <f>'As-Filed Schedule 5'!D33</f>
        <v>0</v>
      </c>
      <c r="E33" s="381">
        <f>SUMIFS(Adjustments!$G:$G,Adjustments!$H:$H,"5",Adjustments!$I:$I,'Schedule 5 Adjustments'!$D$8,Adjustments!$J:$J,A33)</f>
        <v>0</v>
      </c>
      <c r="F33" s="266">
        <f>SUM(D33:E33)</f>
        <v>0</v>
      </c>
      <c r="I33" s="131"/>
    </row>
    <row r="34" spans="1:9" s="22" customFormat="1" x14ac:dyDescent="0.35">
      <c r="A34" s="146">
        <v>19</v>
      </c>
      <c r="B34" s="165" t="s">
        <v>895</v>
      </c>
      <c r="C34" s="159"/>
      <c r="D34" s="148">
        <f>'As-Filed Schedule 5'!D34</f>
        <v>0</v>
      </c>
      <c r="E34" s="381">
        <f>SUMIFS(Adjustments!$G:$G,Adjustments!$H:$H,"5",Adjustments!$I:$I,'Schedule 5 Adjustments'!$D$8,Adjustments!$J:$J,A34)</f>
        <v>0</v>
      </c>
      <c r="F34" s="266">
        <f t="shared" si="4"/>
        <v>0</v>
      </c>
      <c r="I34" s="131"/>
    </row>
    <row r="35" spans="1:9" s="22" customFormat="1" x14ac:dyDescent="0.35">
      <c r="A35" s="146">
        <v>20</v>
      </c>
      <c r="B35" s="537" t="s">
        <v>896</v>
      </c>
      <c r="C35" s="539"/>
      <c r="D35" s="151">
        <f>SUM(D30:D34)</f>
        <v>366006</v>
      </c>
      <c r="E35" s="258">
        <f t="shared" ref="E35:F35" si="5">SUM(E30:E34)</f>
        <v>0</v>
      </c>
      <c r="F35" s="267">
        <f t="shared" si="5"/>
        <v>366006</v>
      </c>
      <c r="I35" s="131"/>
    </row>
    <row r="36" spans="1:9" s="22" customFormat="1" x14ac:dyDescent="0.35">
      <c r="A36" s="430"/>
      <c r="B36" s="431"/>
      <c r="C36" s="431"/>
      <c r="D36" s="432"/>
      <c r="E36" s="434"/>
      <c r="F36" s="438"/>
      <c r="I36" s="131"/>
    </row>
    <row r="37" spans="1:9" s="22" customFormat="1" x14ac:dyDescent="0.35">
      <c r="A37" s="624" t="s">
        <v>897</v>
      </c>
      <c r="B37" s="625"/>
      <c r="C37" s="625"/>
      <c r="D37" s="625"/>
      <c r="E37" s="625"/>
      <c r="F37" s="626"/>
      <c r="I37" s="131"/>
    </row>
    <row r="38" spans="1:9" s="22" customFormat="1" x14ac:dyDescent="0.35">
      <c r="A38" s="433">
        <v>21</v>
      </c>
      <c r="B38" s="627" t="s">
        <v>304</v>
      </c>
      <c r="C38" s="628"/>
      <c r="D38" s="148">
        <f>'As-Filed Schedule 5'!D38</f>
        <v>2468841</v>
      </c>
      <c r="E38" s="381">
        <f>SUMIFS(Adjustments!$G:$G,Adjustments!$H:$H,"5",Adjustments!$I:$I,'Schedule 5 Adjustments'!$D$8,Adjustments!$J:$J,A38)</f>
        <v>0</v>
      </c>
      <c r="F38" s="266">
        <f t="shared" ref="F38" si="6">SUM(D38:E38)</f>
        <v>2468841</v>
      </c>
      <c r="I38" s="131"/>
    </row>
    <row r="39" spans="1:9" s="22" customFormat="1" x14ac:dyDescent="0.35">
      <c r="A39" s="146">
        <v>22</v>
      </c>
      <c r="B39" s="531" t="s">
        <v>898</v>
      </c>
      <c r="C39" s="532"/>
      <c r="D39" s="148">
        <f>'As-Filed Schedule 5'!D39</f>
        <v>0</v>
      </c>
      <c r="E39" s="381">
        <f>SUMIFS(Adjustments!$G:$G,Adjustments!$H:$H,"5",Adjustments!$I:$I,'Schedule 5 Adjustments'!$D$8,Adjustments!$J:$J,A39)</f>
        <v>0</v>
      </c>
      <c r="F39" s="266">
        <f>SUM(D39:E39)</f>
        <v>0</v>
      </c>
      <c r="I39" s="131"/>
    </row>
    <row r="40" spans="1:9" s="22" customFormat="1" x14ac:dyDescent="0.35">
      <c r="A40" s="146">
        <v>23</v>
      </c>
      <c r="B40" s="531" t="s">
        <v>899</v>
      </c>
      <c r="C40" s="532"/>
      <c r="D40" s="148">
        <f>'As-Filed Schedule 5'!D40</f>
        <v>2764595</v>
      </c>
      <c r="E40" s="381">
        <f>SUMIFS(Adjustments!$G:$G,Adjustments!$H:$H,"5",Adjustments!$I:$I,'Schedule 5 Adjustments'!$D$8,Adjustments!$J:$J,A40)</f>
        <v>0</v>
      </c>
      <c r="F40" s="266">
        <f>SUM(D40:E40)</f>
        <v>2764595</v>
      </c>
      <c r="I40" s="131"/>
    </row>
    <row r="41" spans="1:9" s="22" customFormat="1" x14ac:dyDescent="0.35">
      <c r="A41" s="146">
        <v>24</v>
      </c>
      <c r="B41" s="537" t="s">
        <v>900</v>
      </c>
      <c r="C41" s="538"/>
      <c r="D41" s="151">
        <f>SUM(D38:D40)</f>
        <v>5233436</v>
      </c>
      <c r="E41" s="258">
        <f t="shared" ref="E41:F41" si="7">SUM(E38:E40)</f>
        <v>0</v>
      </c>
      <c r="F41" s="267">
        <f t="shared" si="7"/>
        <v>5233436</v>
      </c>
      <c r="I41" s="131"/>
    </row>
    <row r="42" spans="1:9" s="22" customFormat="1" x14ac:dyDescent="0.35">
      <c r="A42" s="152"/>
      <c r="B42" s="153"/>
      <c r="C42" s="153"/>
      <c r="D42" s="155"/>
      <c r="E42" s="434"/>
      <c r="F42" s="438"/>
      <c r="I42" s="131"/>
    </row>
    <row r="43" spans="1:9" s="63" customFormat="1" ht="15.5" x14ac:dyDescent="0.35">
      <c r="A43" s="146">
        <v>25</v>
      </c>
      <c r="B43" s="534" t="s">
        <v>901</v>
      </c>
      <c r="C43" s="536"/>
      <c r="D43" s="161">
        <f>SUM(D19,D27,D35,D41)</f>
        <v>149151219.44</v>
      </c>
      <c r="E43" s="435">
        <f t="shared" ref="E43" si="8">SUM(E19,E27,E35,E41)</f>
        <v>0</v>
      </c>
      <c r="F43" s="439">
        <f>SUM(F19,F27,F35,F41)</f>
        <v>149151219.44</v>
      </c>
      <c r="I43" s="132"/>
    </row>
    <row r="44" spans="1:9" s="22" customFormat="1" x14ac:dyDescent="0.35">
      <c r="A44" s="162"/>
      <c r="B44" s="162"/>
      <c r="C44" s="162"/>
      <c r="D44" s="162"/>
      <c r="E44" s="257"/>
      <c r="F44" s="131"/>
      <c r="I44" s="131"/>
    </row>
    <row r="45" spans="1:9" s="22" customFormat="1" x14ac:dyDescent="0.35">
      <c r="A45" s="146">
        <v>26</v>
      </c>
      <c r="B45" s="530" t="s">
        <v>902</v>
      </c>
      <c r="C45" s="530"/>
      <c r="D45" s="148">
        <f>'As-Filed Schedule 5'!D45</f>
        <v>149151219</v>
      </c>
      <c r="E45" s="436"/>
      <c r="F45" s="266">
        <f>'As-Filed Schedule 5'!D45</f>
        <v>149151219</v>
      </c>
      <c r="I45" s="131"/>
    </row>
    <row r="46" spans="1:9" s="22" customFormat="1" ht="15.5" x14ac:dyDescent="0.35">
      <c r="A46" s="146">
        <v>27</v>
      </c>
      <c r="B46" s="530" t="s">
        <v>10</v>
      </c>
      <c r="C46" s="530"/>
      <c r="D46" s="161">
        <f>D43-D45</f>
        <v>0.43999999761581421</v>
      </c>
      <c r="E46" s="437"/>
      <c r="F46" s="439">
        <f>F43-F45</f>
        <v>0.43999999761581421</v>
      </c>
      <c r="G46" s="33" t="str">
        <f>IF(ABS(D46)&gt;1,"Error - This variance should be 0.","")</f>
        <v/>
      </c>
      <c r="I46" s="131"/>
    </row>
  </sheetData>
  <sheetProtection sheet="1" objects="1" scenarios="1"/>
  <customSheetViews>
    <customSheetView guid="{17302493-42B1-4877-869E-E424A97AE78B}" topLeftCell="C1">
      <selection activeCell="D4" sqref="D4"/>
      <pageMargins left="0.7" right="0.7" top="0.75" bottom="0.75" header="0.3" footer="0.3"/>
    </customSheetView>
    <customSheetView guid="{5C0BA3A5-859C-46C2-B685-44D9A90065E4}" topLeftCell="C1">
      <selection activeCell="D4" sqref="D4"/>
      <pageMargins left="0.7" right="0.7" top="0.75" bottom="0.75" header="0.3" footer="0.3"/>
    </customSheetView>
  </customSheetViews>
  <mergeCells count="20">
    <mergeCell ref="B9:C9"/>
    <mergeCell ref="B12:C12"/>
    <mergeCell ref="B13:C13"/>
    <mergeCell ref="B18:C18"/>
    <mergeCell ref="B19:C19"/>
    <mergeCell ref="B45:C45"/>
    <mergeCell ref="B46:C46"/>
    <mergeCell ref="A11:F11"/>
    <mergeCell ref="A21:F21"/>
    <mergeCell ref="A29:F29"/>
    <mergeCell ref="A37:F37"/>
    <mergeCell ref="B38:C38"/>
    <mergeCell ref="B39:C39"/>
    <mergeCell ref="B40:C40"/>
    <mergeCell ref="B41:C41"/>
    <mergeCell ref="B43:C43"/>
    <mergeCell ref="B22:C22"/>
    <mergeCell ref="B27:C27"/>
    <mergeCell ref="B30:C30"/>
    <mergeCell ref="B35:C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2</vt:i4>
      </vt:variant>
    </vt:vector>
  </HeadingPairs>
  <TitlesOfParts>
    <vt:vector size="66" baseType="lpstr">
      <vt:lpstr>Instructions</vt:lpstr>
      <vt:lpstr>Results</vt:lpstr>
      <vt:lpstr>Adjustments</vt:lpstr>
      <vt:lpstr>Adjusted Schedule 1</vt:lpstr>
      <vt:lpstr>Adjusted Schedule 1A</vt:lpstr>
      <vt:lpstr>Adjusted Schedule 1B</vt:lpstr>
      <vt:lpstr>Adjusted Schedule 1C</vt:lpstr>
      <vt:lpstr>Adjusted Schedule 2</vt:lpstr>
      <vt:lpstr>Adjusted Schedule 2A</vt:lpstr>
      <vt:lpstr>Adjusted Schedule 2B</vt:lpstr>
      <vt:lpstr>Adjusted Schedule 2C</vt:lpstr>
      <vt:lpstr>Adjusted Schedule 2D</vt:lpstr>
      <vt:lpstr>Adjusted Schedule 2E</vt:lpstr>
      <vt:lpstr>Adjusted Schedule 2F</vt:lpstr>
      <vt:lpstr>Adjusted Schedule 2G</vt:lpstr>
      <vt:lpstr>Adjusted Schedule 2H</vt:lpstr>
      <vt:lpstr>Adjusted Schedule 2I</vt:lpstr>
      <vt:lpstr>Adjusted Schedule 2J</vt:lpstr>
      <vt:lpstr>Adjusted Schedule 2K</vt:lpstr>
      <vt:lpstr>Adjusted Schedule 2L</vt:lpstr>
      <vt:lpstr>Adjusted Schedule 2M</vt:lpstr>
      <vt:lpstr>Adjusted Schedule 3</vt:lpstr>
      <vt:lpstr>Adjusted Schedule 4</vt:lpstr>
      <vt:lpstr>Adjusted Schedule 5</vt:lpstr>
      <vt:lpstr>As-Filed Schedule 1</vt:lpstr>
      <vt:lpstr>As-Filed Schedule 1A</vt:lpstr>
      <vt:lpstr>As-Filed Schedule 1B</vt:lpstr>
      <vt:lpstr>As-Filed Schedule 1C</vt:lpstr>
      <vt:lpstr>As-Filed Schedule 2</vt:lpstr>
      <vt:lpstr>As-Filed Schedule 2A</vt:lpstr>
      <vt:lpstr>As-Filed Schedule 2B</vt:lpstr>
      <vt:lpstr>As-Filed Schedule 2C</vt:lpstr>
      <vt:lpstr>As-Filed Schedule 2D</vt:lpstr>
      <vt:lpstr>As-Filed Schedule 2E</vt:lpstr>
      <vt:lpstr>As-Filed Schedule 2F</vt:lpstr>
      <vt:lpstr>As-Filed Schedule 2G</vt:lpstr>
      <vt:lpstr>As-Filed Schedule 2H</vt:lpstr>
      <vt:lpstr>As-Filed Schedule 2I</vt:lpstr>
      <vt:lpstr>As-Filed Schedule 2J</vt:lpstr>
      <vt:lpstr>As-Filed Schedule 2K</vt:lpstr>
      <vt:lpstr>As-Filed Schedule 2L</vt:lpstr>
      <vt:lpstr>As-Filed Schedule 2M</vt:lpstr>
      <vt:lpstr>As-Filed Schedule 3</vt:lpstr>
      <vt:lpstr>As-Filed Schedule 4</vt:lpstr>
      <vt:lpstr>As-Filed Schedule 5</vt:lpstr>
      <vt:lpstr>Schedule 1 Adjustments</vt:lpstr>
      <vt:lpstr>Schedule 1A Adjustments</vt:lpstr>
      <vt:lpstr>Schedule 1C Adjustments</vt:lpstr>
      <vt:lpstr>Schedule 2A Adjustments</vt:lpstr>
      <vt:lpstr>Schedule 2B Adjustments</vt:lpstr>
      <vt:lpstr>Schedule 2C Adjustments</vt:lpstr>
      <vt:lpstr>Schedule 2D Adjustments</vt:lpstr>
      <vt:lpstr>Schedule 2E Adjustments</vt:lpstr>
      <vt:lpstr>Schedule 2F Adjustments</vt:lpstr>
      <vt:lpstr>Schedule 2G Adjustments</vt:lpstr>
      <vt:lpstr>Schedule 2H Adjustments</vt:lpstr>
      <vt:lpstr>Schedule 2I Adjustments</vt:lpstr>
      <vt:lpstr>Schedule 2J Adjustments</vt:lpstr>
      <vt:lpstr>Schedule 2K Adjustments</vt:lpstr>
      <vt:lpstr>Schedule 2L Adjustments</vt:lpstr>
      <vt:lpstr>Schedule 2M Adjustments</vt:lpstr>
      <vt:lpstr>Schedule 3 Adjustments</vt:lpstr>
      <vt:lpstr>Schedule 4 Adjustments</vt:lpstr>
      <vt:lpstr>Schedule 5 Adjustments</vt:lpstr>
      <vt:lpstr>Results!Print_Area</vt:lpstr>
      <vt:lpstr>Results!Print_Titles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Zhong, Arthur</cp:lastModifiedBy>
  <cp:lastPrinted>2025-03-10T17:52:56Z</cp:lastPrinted>
  <dcterms:created xsi:type="dcterms:W3CDTF">2022-01-27T23:29:48Z</dcterms:created>
  <dcterms:modified xsi:type="dcterms:W3CDTF">2025-03-17T17:36:04Z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bName">
    <vt:lpwstr>Adjusted Cost Report</vt:lpwstr>
  </property>
  <property fmtid="{D5CDD505-2E9C-101B-9397-08002B2CF9AE}" pid="3" name="tabIndex">
    <vt:lpwstr>010</vt:lpwstr>
  </property>
  <property fmtid="{D5CDD505-2E9C-101B-9397-08002B2CF9AE}" pid="4" name="workpaperIndex">
    <vt:lpwstr>10.4</vt:lpwstr>
  </property>
</Properties>
</file>