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AE1EE861-192E-4DD7-8A03-A5554CFCB04C}" xr6:coauthVersionLast="47" xr6:coauthVersionMax="47" xr10:uidLastSave="{00000000-0000-0000-0000-000000000000}"/>
  <bookViews>
    <workbookView xWindow="28680" yWindow="-120" windowWidth="29040" windowHeight="15720" tabRatio="907" firstSheet="5"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31" l="1"/>
  <c r="B51" i="31"/>
  <c r="B46" i="31"/>
  <c r="B41" i="31"/>
  <c r="B36" i="31"/>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Q27" i="12"/>
  <c r="K27" i="12"/>
  <c r="P27" i="12" s="1"/>
  <c r="Q22" i="12"/>
  <c r="K22" i="12"/>
  <c r="P22" i="12" s="1"/>
  <c r="I22" i="12"/>
  <c r="Q17" i="12"/>
  <c r="K17" i="12"/>
  <c r="N17" i="12" s="1"/>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N27" i="12"/>
  <c r="N22" i="12"/>
  <c r="L22" i="12"/>
  <c r="P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C7" i="82"/>
  <c r="C6" i="82"/>
  <c r="A5" i="82"/>
  <c r="C7" i="81"/>
  <c r="C6" i="81"/>
  <c r="A4" i="81"/>
  <c r="O9" i="51" l="1"/>
  <c r="I10" i="39" s="1"/>
  <c r="D43" i="52" s="1"/>
  <c r="F43" i="52" s="1"/>
  <c r="F30" i="84"/>
  <c r="D31" i="85" s="1"/>
  <c r="F26" i="84"/>
  <c r="D27" i="85" s="1"/>
  <c r="F31" i="84"/>
  <c r="D32" i="85" s="1"/>
  <c r="F25" i="84"/>
  <c r="D26" i="85" s="1"/>
  <c r="F39" i="84"/>
  <c r="D40" i="85" s="1"/>
  <c r="F38" i="84"/>
  <c r="D39" i="85" s="1"/>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9" i="80"/>
  <c r="F9" i="81"/>
  <c r="J9" i="82"/>
  <c r="F9" i="79"/>
  <c r="F9" i="74"/>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X63" i="72" s="1"/>
  <c r="N64" i="81" s="1"/>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X60" i="72" s="1"/>
  <c r="N61" i="81" s="1"/>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X51" i="72" s="1"/>
  <c r="N52" i="81" s="1"/>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X44" i="72" s="1"/>
  <c r="N45" i="81" s="1"/>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X39" i="72" s="1"/>
  <c r="N40" i="81" s="1"/>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X36" i="72" s="1"/>
  <c r="N37" i="81" s="1"/>
  <c r="V36" i="72"/>
  <c r="O36" i="72"/>
  <c r="N36" i="72"/>
  <c r="F36" i="72"/>
  <c r="B36" i="72"/>
  <c r="B37" i="81" s="1"/>
  <c r="Z35" i="72"/>
  <c r="Y35" i="72"/>
  <c r="W35" i="72"/>
  <c r="X35" i="72" s="1"/>
  <c r="N36" i="81" s="1"/>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P29" i="72" s="1"/>
  <c r="J30" i="81" s="1"/>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P25" i="72" s="1"/>
  <c r="J26" i="81" s="1"/>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9" i="78"/>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9" i="77"/>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9" i="76"/>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9" i="75"/>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52" i="72" l="1"/>
  <c r="N53" i="81" s="1"/>
  <c r="P71" i="71"/>
  <c r="J72" i="80" s="1"/>
  <c r="X43" i="72"/>
  <c r="N44" i="81" s="1"/>
  <c r="X47" i="72"/>
  <c r="N48" i="81" s="1"/>
  <c r="X59" i="72"/>
  <c r="N60" i="81" s="1"/>
  <c r="X55" i="72"/>
  <c r="N56" i="81" s="1"/>
  <c r="P71" i="67"/>
  <c r="J72" i="76" s="1"/>
  <c r="X67" i="71"/>
  <c r="N68" i="80" s="1"/>
  <c r="P64" i="73"/>
  <c r="H44" i="68"/>
  <c r="H31" i="69"/>
  <c r="F32" i="78" s="1"/>
  <c r="H39" i="69"/>
  <c r="F40" i="78" s="1"/>
  <c r="X71" i="70"/>
  <c r="N72" i="79" s="1"/>
  <c r="P69" i="71"/>
  <c r="J70" i="80" s="1"/>
  <c r="X68" i="73"/>
  <c r="N69" i="82" s="1"/>
  <c r="X64" i="69"/>
  <c r="N65" i="78" s="1"/>
  <c r="X72" i="69"/>
  <c r="N73" i="78" s="1"/>
  <c r="P56" i="73"/>
  <c r="X72" i="68"/>
  <c r="N73" i="77" s="1"/>
  <c r="P33" i="70"/>
  <c r="P49" i="70"/>
  <c r="H31" i="71"/>
  <c r="F32" i="80" s="1"/>
  <c r="H39" i="71"/>
  <c r="F40" i="80" s="1"/>
  <c r="H47" i="71"/>
  <c r="F48" i="80" s="1"/>
  <c r="H55" i="71"/>
  <c r="F56" i="80" s="1"/>
  <c r="H63" i="71"/>
  <c r="F64" i="80" s="1"/>
  <c r="AA20" i="73"/>
  <c r="O21" i="82" s="1"/>
  <c r="AA60" i="73"/>
  <c r="O61" i="82" s="1"/>
  <c r="X22" i="73"/>
  <c r="N23" i="82" s="1"/>
  <c r="X54" i="73"/>
  <c r="N55" i="82" s="1"/>
  <c r="X60" i="73"/>
  <c r="N61" i="82" s="1"/>
  <c r="P15" i="71"/>
  <c r="J16" i="80" s="1"/>
  <c r="P31" i="71"/>
  <c r="J32" i="80" s="1"/>
  <c r="P39" i="71"/>
  <c r="J40" i="80" s="1"/>
  <c r="P47" i="71"/>
  <c r="J48" i="80" s="1"/>
  <c r="P55" i="71"/>
  <c r="J56" i="80" s="1"/>
  <c r="P63" i="71"/>
  <c r="J64" i="80" s="1"/>
  <c r="P21" i="71"/>
  <c r="J22" i="80" s="1"/>
  <c r="P29" i="71"/>
  <c r="J30" i="80" s="1"/>
  <c r="P37" i="71"/>
  <c r="J38" i="80" s="1"/>
  <c r="P45" i="71"/>
  <c r="J46" i="80" s="1"/>
  <c r="P53" i="71"/>
  <c r="J54" i="80" s="1"/>
  <c r="P61" i="71"/>
  <c r="J62" i="80" s="1"/>
  <c r="X57" i="70"/>
  <c r="N58" i="79" s="1"/>
  <c r="X65" i="70"/>
  <c r="N66" i="79" s="1"/>
  <c r="X33" i="70"/>
  <c r="N34" i="79" s="1"/>
  <c r="X49" i="70"/>
  <c r="N50" i="79" s="1"/>
  <c r="X36" i="70"/>
  <c r="N37" i="79" s="1"/>
  <c r="X60" i="70"/>
  <c r="N61" i="79" s="1"/>
  <c r="X68" i="70"/>
  <c r="N69" i="79" s="1"/>
  <c r="X41" i="70"/>
  <c r="N42" i="79" s="1"/>
  <c r="X31" i="70"/>
  <c r="N32" i="79" s="1"/>
  <c r="X39" i="70"/>
  <c r="N40" i="79" s="1"/>
  <c r="X47" i="70"/>
  <c r="N48" i="79" s="1"/>
  <c r="X55" i="70"/>
  <c r="N56" i="79" s="1"/>
  <c r="X63" i="70"/>
  <c r="N64" i="79" s="1"/>
  <c r="P41" i="70"/>
  <c r="J42" i="79" s="1"/>
  <c r="P57" i="70"/>
  <c r="J58" i="79" s="1"/>
  <c r="P65" i="70"/>
  <c r="J66" i="79" s="1"/>
  <c r="X16" i="69"/>
  <c r="N17" i="78" s="1"/>
  <c r="X32" i="69"/>
  <c r="N33" i="78" s="1"/>
  <c r="X40" i="69"/>
  <c r="N41" i="78" s="1"/>
  <c r="X48" i="69"/>
  <c r="N49" i="78" s="1"/>
  <c r="X56" i="69"/>
  <c r="N57" i="78" s="1"/>
  <c r="X19" i="69"/>
  <c r="N20" i="78" s="1"/>
  <c r="X27" i="69"/>
  <c r="N28" i="78" s="1"/>
  <c r="X35" i="69"/>
  <c r="N36" i="78" s="1"/>
  <c r="X43" i="69"/>
  <c r="N44" i="78" s="1"/>
  <c r="X51" i="69"/>
  <c r="N52" i="78" s="1"/>
  <c r="X59" i="69"/>
  <c r="N60" i="78" s="1"/>
  <c r="X67" i="69"/>
  <c r="N68" i="78" s="1"/>
  <c r="X29" i="68"/>
  <c r="N30" i="77" s="1"/>
  <c r="X45" i="68"/>
  <c r="N46" i="77" s="1"/>
  <c r="X69" i="68"/>
  <c r="N70" i="77" s="1"/>
  <c r="X24" i="68"/>
  <c r="N25" i="77" s="1"/>
  <c r="X32" i="68"/>
  <c r="N33" i="77" s="1"/>
  <c r="X40" i="68"/>
  <c r="N41" i="77" s="1"/>
  <c r="X48" i="68"/>
  <c r="N49" i="77" s="1"/>
  <c r="X56" i="68"/>
  <c r="N57" i="77" s="1"/>
  <c r="X64" i="68"/>
  <c r="N65" i="77" s="1"/>
  <c r="P23" i="67"/>
  <c r="J24" i="76" s="1"/>
  <c r="P39" i="67"/>
  <c r="J40" i="76" s="1"/>
  <c r="P47" i="67"/>
  <c r="J48" i="76" s="1"/>
  <c r="P55" i="67"/>
  <c r="J56" i="76" s="1"/>
  <c r="P63" i="67"/>
  <c r="J64" i="76" s="1"/>
  <c r="H19" i="67"/>
  <c r="F20" i="76" s="1"/>
  <c r="X26" i="67"/>
  <c r="N27" i="76"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4" i="79"/>
  <c r="J50" i="79"/>
  <c r="J57" i="82"/>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66"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I27" i="12" l="1"/>
  <c r="L27" i="12" s="1"/>
  <c r="I17" i="12"/>
  <c r="L17" i="12" s="1"/>
  <c r="E9" i="51"/>
  <c r="D9" i="51" l="1"/>
  <c r="F9" i="51" s="1"/>
  <c r="D10" i="39" s="1"/>
  <c r="D36" i="52" s="1"/>
  <c r="F9" i="37"/>
  <c r="D9" i="36"/>
  <c r="F9" i="35"/>
  <c r="D9" i="34"/>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63"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P22" i="38"/>
  <c r="U17" i="38"/>
  <c r="P17" i="38"/>
  <c r="Z17" i="38" s="1"/>
  <c r="Z22" i="38" l="1"/>
  <c r="Z27"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H67" i="48" s="1"/>
  <c r="F68" i="36" s="1"/>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4" i="48" l="1"/>
  <c r="F65"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P67" i="47" s="1"/>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H66" i="46" l="1"/>
  <c r="F67" i="34" s="1"/>
  <c r="X54" i="47"/>
  <c r="N55" i="35" s="1"/>
  <c r="P69" i="46"/>
  <c r="J70" i="34" s="1"/>
  <c r="H49" i="46"/>
  <c r="F5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J27" i="41" l="1"/>
  <c r="L38" i="50"/>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G22" i="30"/>
  <c r="H22"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90" i="29" l="1"/>
  <c r="J90" i="29" s="1"/>
  <c r="J89" i="29"/>
  <c r="X90" i="40"/>
  <c r="D20" i="32"/>
  <c r="F20" i="32" s="1"/>
  <c r="K19" i="43"/>
  <c r="A21" i="43"/>
  <c r="E20" i="43"/>
  <c r="F20" i="43" s="1"/>
  <c r="H20" i="43"/>
  <c r="I20" i="43" s="1"/>
  <c r="E21" i="32" s="1"/>
  <c r="K24" i="41"/>
  <c r="K25" i="41" s="1"/>
  <c r="G25" i="30"/>
  <c r="H25" i="30" s="1"/>
  <c r="H26" i="30" s="1"/>
  <c r="K27" i="41" l="1"/>
  <c r="I24" i="40" s="1"/>
  <c r="H28" i="30"/>
  <c r="H29" i="30"/>
  <c r="K28" i="41"/>
  <c r="L24" i="40" s="1"/>
  <c r="D21" i="32"/>
  <c r="F21" i="32" s="1"/>
  <c r="K20" i="43"/>
  <c r="A22" i="43"/>
  <c r="H21" i="43"/>
  <c r="I21" i="43" s="1"/>
  <c r="E22" i="32" s="1"/>
  <c r="E21" i="43"/>
  <c r="F21" i="43" s="1"/>
  <c r="D13" i="52"/>
  <c r="H32" i="30" l="1"/>
  <c r="E24" i="29"/>
  <c r="E25" i="29" s="1"/>
  <c r="E33" i="29" s="1"/>
  <c r="E41" i="29" s="1"/>
  <c r="E92" i="29" s="1"/>
  <c r="E94" i="29" s="1"/>
  <c r="I25" i="40"/>
  <c r="I33" i="40" s="1"/>
  <c r="I41" i="40" s="1"/>
  <c r="I92" i="40" s="1"/>
  <c r="I94" i="40" s="1"/>
  <c r="F24" i="29"/>
  <c r="L25" i="40"/>
  <c r="U24" i="40"/>
  <c r="U25" i="40" s="1"/>
  <c r="U33" i="40" s="1"/>
  <c r="U41" i="40" s="1"/>
  <c r="U92" i="40" s="1"/>
  <c r="U96" i="40" s="1"/>
  <c r="D22" i="32"/>
  <c r="F22" i="32" s="1"/>
  <c r="K21" i="43"/>
  <c r="A23" i="43"/>
  <c r="H22" i="43"/>
  <c r="I22" i="43" s="1"/>
  <c r="E23" i="32" s="1"/>
  <c r="E22" i="43"/>
  <c r="F22" i="43" s="1"/>
  <c r="F19" i="22"/>
  <c r="X94" i="40" l="1"/>
  <c r="I96" i="40"/>
  <c r="E96" i="29"/>
  <c r="J94" i="29"/>
  <c r="K94" i="29" s="1"/>
  <c r="X24" i="40"/>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2" i="20"/>
  <c r="H28" i="20" s="1"/>
  <c r="H23" i="20"/>
  <c r="H24" i="20"/>
  <c r="H27" i="20" l="1"/>
  <c r="F23" i="2"/>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<sst xmlns="http://schemas.openxmlformats.org/spreadsheetml/2006/main" count="4617" uniqueCount="1047">
  <si>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</si>
  <si>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</si>
  <si>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</si>
  <si>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</si>
  <si>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</si>
  <si>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</si>
  <si>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</si>
  <si>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</si>
  <si>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</si>
  <si>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</si>
  <si>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</si>
  <si>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</si>
  <si>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</si>
  <si>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</si>
  <si>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</si>
  <si>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</si>
  <si>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</si>
  <si>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</si>
  <si>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</si>
  <si>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</si>
  <si>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</si>
  <si>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</si>
  <si>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</si>
  <si>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</si>
  <si>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</si>
  <si>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</si>
  <si>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</si>
  <si>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</si>
  <si>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</si>
  <si>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</si>
  <si>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</si>
  <si>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</si>
  <si>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</si>
  <si>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</si>
  <si>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</si>
  <si>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</si>
  <si>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</si>
  <si>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</si>
  <si>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</si>
  <si>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</si>
  <si>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</si>
  <si>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</si>
  <si>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</si>
  <si>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</si>
  <si>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</si>
  <si>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</si>
  <si>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</si>
  <si>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</si>
  <si>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</si>
  <si>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</si>
  <si>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</si>
  <si>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</si>
  <si>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</si>
  <si>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</si>
  <si>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</si>
  <si>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</si>
  <si>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</si>
  <si>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</si>
  <si>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</si>
  <si>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</si>
  <si>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</si>
  <si>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</si>
  <si>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</si>
  <si>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</si>
  <si>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</si>
  <si>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</si>
  <si>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</si>
  <si>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</si>
  <si>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</si>
  <si>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</si>
  <si>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</si>
  <si>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</si>
  <si>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</si>
  <si>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</si>
  <si>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</si>
  <si>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</si>
  <si>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</si>
  <si>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</si>
  <si>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</si>
  <si>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</si>
  <si>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</si>
  <si>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</si>
  <si>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</si>
  <si>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</si>
  <si>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</si>
  <si>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</si>
  <si>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</si>
  <si>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</si>
  <si>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</si>
  <si>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</si>
  <si>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</si>
  <si>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</si>
  <si>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</si>
  <si>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</si>
  <si>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</si>
  <si>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</si>
  <si>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</si>
  <si>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</si>
  <si>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</si>
  <si>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</si>
  <si>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</si>
  <si>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</si>
  <si>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</si>
  <si>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</si>
  <si>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</si>
  <si>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</si>
  <si>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</si>
  <si>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</si>
  <si>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</si>
  <si>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</si>
  <si>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</si>
  <si>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</si>
  <si>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</si>
  <si>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</si>
  <si>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</si>
  <si>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</si>
  <si>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</si>
  <si>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</si>
  <si>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</si>
  <si>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</si>
  <si>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</si>
  <si>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</si>
  <si>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</si>
  <si>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</si>
  <si>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</si>
  <si>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</si>
  <si>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</si>
  <si>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</si>
  <si>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</si>
  <si>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</si>
  <si>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</si>
  <si>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</si>
  <si>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</si>
  <si>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</si>
  <si>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</si>
  <si>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</si>
  <si>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</si>
  <si>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</si>
  <si>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</si>
  <si>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</si>
  <si>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</si>
  <si>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</si>
  <si>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</si>
  <si>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</si>
  <si>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</si>
  <si>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</si>
  <si>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</si>
  <si>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</si>
  <si>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</si>
  <si>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</si>
  <si>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</si>
  <si>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</si>
  <si>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</si>
  <si>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</si>
  <si>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</si>
  <si>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</si>
  <si>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</si>
  <si>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</si>
  <si>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</si>
  <si>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</si>
  <si>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</si>
  <si>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</si>
  <si>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</si>
  <si>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</si>
  <si>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</si>
  <si>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</si>
  <si>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</si>
  <si>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</si>
  <si>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</si>
  <si>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</si>
  <si>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</si>
  <si>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</si>
  <si>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</si>
  <si>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</si>
  <si>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</si>
  <si>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</si>
  <si>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</si>
  <si>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</si>
  <si>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</si>
  <si>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</si>
  <si>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</si>
  <si>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</si>
  <si>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</si>
  <si>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</si>
  <si>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</si>
  <si>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</si>
  <si>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</si>
  <si>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</si>
  <si>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</si>
  <si>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</si>
  <si>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</si>
  <si>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</si>
  <si>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</si>
  <si>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</si>
  <si>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</si>
  <si>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</si>
  <si>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</si>
  <si>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</si>
  <si>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</si>
  <si>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</si>
  <si>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</si>
  <si>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</si>
  <si>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</si>
  <si>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</si>
  <si>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</si>
  <si>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</si>
  <si>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</si>
  <si>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</si>
  <si>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</si>
  <si>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</si>
  <si>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</si>
  <si>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</si>
  <si>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</si>
  <si>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</si>
  <si>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</si>
  <si>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</si>
  <si>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</si>
  <si>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</si>
  <si>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</si>
  <si>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</si>
  <si>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</si>
  <si>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</si>
  <si>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</si>
  <si>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</si>
  <si>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</si>
  <si>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</si>
  <si>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</si>
  <si>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</si>
  <si>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</si>
  <si>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</si>
  <si>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</si>
  <si>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</si>
  <si>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</si>
  <si>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</si>
  <si>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</si>
  <si>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</si>
  <si>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</si>
  <si>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</si>
  <si>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</si>
  <si>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</si>
  <si>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</si>
  <si>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</si>
  <si>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</si>
  <si>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</si>
  <si>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</si>
  <si>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</si>
  <si>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</si>
  <si>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</si>
  <si>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</si>
  <si>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</si>
  <si>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</si>
  <si>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</si>
  <si>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</si>
  <si>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</si>
  <si>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</si>
  <si>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</si>
  <si>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</si>
  <si>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</si>
  <si>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</si>
  <si>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</si>
  <si>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</si>
  <si>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</si>
  <si>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</si>
  <si>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</si>
  <si>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</si>
  <si>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</si>
  <si>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</si>
  <si>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</si>
  <si>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</si>
  <si>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</si>
  <si>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</si>
  <si>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</si>
  <si>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</si>
  <si>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</si>
  <si>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</si>
  <si>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</si>
  <si>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</si>
  <si>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</si>
  <si>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</si>
  <si>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</si>
  <si>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</si>
  <si>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</si>
  <si>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</si>
  <si>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</si>
  <si>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</si>
  <si>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</si>
  <si>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</si>
  <si>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</si>
  <si>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</si>
  <si>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</si>
  <si>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</si>
  <si>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</si>
  <si>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</si>
  <si>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</si>
  <si>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</si>
  <si>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</si>
  <si>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</si>
  <si>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</si>
  <si>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</si>
  <si>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</si>
  <si>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</si>
  <si>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</si>
  <si>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</si>
  <si>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</si>
  <si>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</si>
  <si>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</si>
  <si>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</si>
  <si>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</si>
  <si>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</si>
  <si>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</si>
  <si>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</si>
  <si>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</si>
  <si>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</si>
  <si>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</si>
  <si>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</si>
  <si>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</si>
  <si>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</si>
  <si>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</si>
  <si>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</si>
  <si>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</si>
  <si>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</si>
  <si>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</si>
  <si>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</si>
  <si>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</si>
  <si>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</si>
  <si>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</si>
  <si>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</si>
  <si>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</si>
  <si>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</si>
  <si>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</si>
  <si>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</si>
  <si>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</si>
  <si>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</si>
  <si>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</si>
  <si>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</si>
  <si>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</si>
  <si>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</si>
  <si>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</si>
  <si>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</si>
  <si>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</si>
  <si>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</si>
  <si>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</si>
  <si>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</si>
  <si>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</si>
  <si>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</si>
  <si>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</si>
  <si>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</si>
  <si>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</si>
  <si>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</si>
  <si>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</si>
  <si>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</si>
  <si>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</si>
  <si>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</si>
  <si>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</si>
  <si>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</si>
  <si>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</si>
  <si>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</si>
  <si>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</si>
  <si>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</si>
  <si>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</si>
  <si>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</si>
  <si>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</si>
  <si>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</si>
  <si>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</si>
  <si>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</si>
  <si>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</si>
  <si>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</si>
  <si>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</si>
  <si>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</si>
  <si>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</si>
  <si>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</si>
  <si>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</si>
  <si>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</si>
  <si>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</si>
  <si>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</si>
  <si>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</si>
  <si>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</si>
  <si>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</si>
  <si>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</si>
  <si>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</si>
  <si>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</si>
  <si>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</si>
  <si>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</si>
  <si>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</si>
  <si>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</si>
  <si>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</si>
  <si>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</si>
  <si>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</si>
  <si>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</si>
  <si>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</si>
  <si>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</si>
  <si>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</si>
  <si>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</si>
  <si>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</si>
  <si>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</si>
  <si>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</si>
  <si>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</si>
  <si>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</si>
  <si>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</si>
  <si>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</si>
  <si>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</si>
  <si>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</si>
  <si>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</si>
  <si>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</si>
  <si>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</si>
  <si>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</si>
  <si>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</si>
  <si>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</si>
  <si>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</si>
  <si>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</si>
  <si>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</si>
  <si>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</si>
  <si>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</si>
  <si>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</si>
  <si>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</si>
  <si>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</si>
  <si>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</si>
  <si>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</si>
  <si>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</si>
  <si>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</si>
  <si>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</si>
  <si>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</si>
  <si>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</si>
  <si>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</si>
  <si>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</si>
  <si>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</si>
  <si>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</si>
  <si>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</si>
  <si>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</si>
  <si>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</si>
  <si>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</si>
  <si>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</si>
  <si>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</si>
  <si>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</si>
  <si>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</si>
  <si>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</si>
  <si>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</si>
  <si>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</si>
  <si>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</si>
  <si>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</si>
  <si>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</si>
  <si>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</si>
  <si>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</si>
  <si>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</si>
  <si>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</si>
  <si>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</si>
  <si>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</si>
  <si>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</si>
  <si>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</si>
  <si>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</si>
  <si>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</si>
  <si>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</si>
  <si>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</si>
  <si>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</si>
  <si>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</si>
  <si>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</si>
  <si>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</si>
  <si>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</si>
  <si>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</si>
  <si>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</si>
  <si>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</si>
  <si>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</si>
  <si>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</si>
  <si>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</si>
  <si>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</si>
  <si>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</si>
  <si>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</si>
  <si>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</si>
  <si>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</si>
  <si>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</si>
  <si>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</si>
  <si>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</si>
  <si>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</si>
  <si>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</si>
  <si>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</si>
  <si>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</si>
  <si>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</si>
  <si>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</si>
  <si>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</si>
  <si>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</si>
  <si>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</si>
  <si>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</si>
  <si>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</si>
  <si>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</si>
  <si>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</si>
  <si>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</si>
  <si>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</si>
  <si>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</si>
  <si>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</si>
  <si>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</si>
  <si>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</si>
  <si>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</si>
  <si>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</si>
  <si>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</si>
  <si>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</si>
  <si>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</si>
  <si>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</si>
  <si>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</si>
  <si>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</si>
  <si>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</si>
  <si>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</si>
  <si>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</si>
  <si>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</si>
  <si>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</si>
  <si>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</si>
  <si>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</si>
  <si>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</si>
  <si>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</si>
  <si>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</si>
  <si>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</si>
  <si>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</si>
  <si>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</si>
  <si>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</si>
  <si>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</si>
  <si>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</si>
  <si>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</si>
  <si>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</si>
  <si>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</si>
  <si>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</si>
  <si>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</si>
  <si>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</si>
  <si>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</si>
  <si>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</si>
  <si>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</si>
  <si>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</si>
  <si>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</si>
  <si>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</si>
  <si>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</si>
  <si>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</si>
  <si>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</si>
  <si>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</si>
  <si>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</si>
  <si>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</si>
  <si>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</si>
  <si>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</si>
  <si>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</si>
  <si>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</si>
  <si>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</si>
  <si>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</si>
  <si>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</si>
  <si>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</si>
  <si>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</si>
  <si>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</si>
  <si>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</si>
  <si>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</si>
  <si>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</si>
  <si>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</si>
  <si>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</si>
  <si>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</si>
  <si>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</si>
  <si>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</si>
  <si>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</si>
  <si>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</si>
  <si>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</si>
  <si>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</si>
  <si>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</si>
  <si>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</si>
  <si>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</si>
  <si>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</si>
  <si>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</si>
  <si>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</si>
  <si>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</si>
  <si>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</si>
  <si>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</si>
  <si>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</si>
  <si>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</si>
  <si>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</si>
  <si>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</si>
  <si>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</si>
  <si>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</si>
  <si>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</si>
  <si>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</si>
  <si>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</si>
  <si>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</si>
  <si>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</si>
  <si>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</si>
  <si>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</si>
  <si>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</si>
  <si>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</si>
  <si>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</si>
  <si>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</si>
  <si>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</si>
  <si>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</si>
  <si>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</si>
  <si>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</si>
  <si>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</si>
  <si>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</si>
  <si>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</si>
  <si>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</si>
  <si>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</si>
  <si>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</si>
  <si>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</si>
  <si>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</si>
  <si>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</si>
  <si>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</si>
  <si>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</si>
  <si>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</si>
  <si>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</si>
  <si>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</si>
  <si>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</si>
  <si>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</si>
  <si>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</si>
  <si>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</si>
  <si>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</si>
  <si>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</si>
  <si>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</si>
  <si>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</si>
  <si>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</si>
  <si>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</si>
  <si>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</si>
  <si>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</si>
  <si>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</si>
  <si>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</si>
  <si>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</si>
  <si>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</si>
  <si>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</si>
  <si>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</si>
  <si>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</si>
  <si>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</si>
  <si>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</si>
  <si>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</si>
  <si>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</si>
  <si>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</si>
  <si>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</si>
  <si>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</si>
  <si>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</si>
  <si>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</si>
  <si>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</si>
  <si>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</si>
  <si>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</si>
  <si>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</si>
  <si>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</si>
  <si>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</si>
  <si>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</si>
  <si>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</si>
  <si>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</si>
  <si>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</si>
  <si>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</si>
  <si>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</si>
  <si>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</si>
  <si>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</si>
  <si>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</si>
  <si>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</si>
  <si>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</si>
  <si>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</si>
  <si>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</si>
  <si>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</si>
  <si>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</si>
  <si>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</si>
  <si>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</si>
  <si>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</si>
  <si>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</si>
  <si>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</si>
  <si>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</si>
  <si>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</si>
  <si>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</si>
  <si>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</si>
  <si>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</si>
  <si>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</si>
  <si>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</si>
  <si>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</si>
  <si>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</si>
  <si>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</si>
  <si>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</si>
  <si>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</si>
  <si>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</si>
  <si>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</si>
  <si>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</si>
  <si>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</si>
  <si>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</si>
  <si>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</si>
  <si>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</si>
  <si>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</si>
  <si>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</si>
  <si>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</si>
  <si>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</si>
  <si>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</si>
  <si>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</si>
  <si>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</si>
  <si>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</si>
  <si>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</si>
  <si>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</si>
  <si>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</si>
  <si>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</si>
  <si>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</si>
  <si>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</si>
  <si>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</si>
  <si>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</si>
  <si>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</si>
  <si>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</si>
  <si>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</si>
  <si>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</si>
  <si>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</si>
  <si>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</si>
  <si>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</si>
  <si>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</si>
  <si>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</si>
  <si>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</si>
  <si>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</si>
  <si>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</si>
  <si>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</si>
  <si>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</si>
  <si>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</si>
  <si>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</si>
  <si>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</si>
  <si>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</si>
  <si>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</si>
  <si>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</si>
  <si>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</si>
  <si>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</si>
  <si>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</si>
  <si>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</si>
  <si>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</si>
  <si>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</si>
  <si>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</si>
  <si>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</si>
  <si>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</si>
  <si>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</si>
  <si>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</si>
  <si>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</si>
  <si>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</si>
  <si>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</si>
  <si>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</si>
  <si>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</si>
  <si>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</si>
  <si>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</si>
  <si>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</si>
  <si>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</si>
  <si>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</si>
  <si>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</si>
  <si>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</si>
  <si>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</si>
  <si>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</si>
  <si>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</si>
  <si>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</si>
  <si>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</si>
  <si>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</si>
  <si>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</si>
  <si>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</si>
  <si>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</si>
  <si>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</si>
  <si>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</si>
  <si>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</si>
  <si>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</si>
  <si>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</si>
  <si>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</si>
  <si>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</si>
  <si>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</si>
  <si>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</si>
  <si>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</si>
  <si>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</si>
  <si>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</si>
  <si>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</si>
  <si>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</si>
  <si>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</si>
  <si>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</si>
  <si>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</si>
  <si>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</si>
  <si>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</si>
  <si>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</si>
  <si>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</si>
  <si>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</si>
  <si>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</si>
  <si>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</si>
  <si>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</si>
  <si>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</si>
  <si>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</si>
  <si>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</si>
  <si>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</si>
  <si>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</si>
  <si>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</si>
  <si>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</si>
  <si>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</si>
  <si>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</si>
  <si>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</si>
  <si>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</si>
  <si>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</si>
  <si>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</si>
  <si>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</si>
  <si>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</si>
  <si>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</si>
  <si>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</si>
  <si>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</si>
  <si>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</si>
  <si>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</si>
  <si>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</si>
  <si>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</si>
  <si>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</si>
  <si>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</si>
  <si>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</si>
  <si>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</si>
  <si>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</si>
  <si>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</si>
  <si>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</si>
  <si>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</si>
  <si>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</si>
  <si>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</si>
  <si>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</si>
  <si>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</si>
  <si>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</si>
  <si>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</si>
  <si>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</si>
  <si>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</si>
  <si>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</si>
  <si>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</si>
  <si>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</si>
  <si>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</si>
  <si>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</si>
  <si>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</si>
  <si>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</si>
  <si>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</si>
  <si>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</si>
  <si>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</si>
  <si>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</si>
  <si>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</si>
  <si>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</si>
  <si>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</si>
  <si>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</si>
  <si>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</si>
  <si>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</si>
  <si>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</si>
  <si>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</si>
  <si>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</si>
  <si>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</si>
  <si>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</si>
  <si>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</si>
  <si>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</si>
  <si>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</si>
  <si>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</si>
  <si>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</si>
  <si>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</si>
  <si>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</si>
  <si>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</si>
  <si>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</si>
  <si>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</si>
  <si>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</si>
  <si>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</si>
  <si>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</si>
  <si>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</si>
  <si>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</si>
  <si>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</si>
  <si>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</si>
  <si>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</si>
  <si>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</si>
  <si>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</si>
  <si>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</si>
  <si>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</si>
  <si>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</si>
  <si>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</si>
  <si>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</si>
  <si>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</si>
  <si>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</si>
  <si>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</si>
  <si>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</si>
  <si>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</si>
  <si>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</si>
  <si>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</si>
  <si>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</si>
  <si>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</si>
  <si>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</si>
  <si>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</si>
  <si>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</si>
  <si>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</si>
  <si>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</si>
  <si>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</si>
  <si>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</si>
  <si>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</si>
  <si>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</si>
  <si>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</si>
  <si>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</si>
  <si>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</si>
  <si>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</si>
  <si>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</si>
  <si>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</si>
  <si>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</si>
  <si>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</si>
  <si>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</si>
  <si>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</si>
  <si>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</si>
  <si>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</si>
  <si>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</si>
  <si>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</si>
  <si>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</si>
  <si>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</si>
  <si>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</si>
  <si>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</si>
  <si>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</si>
  <si>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</si>
  <si>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</si>
  <si>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</si>
  <si>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</si>
  <si>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</si>
  <si>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</si>
  <si>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</si>
  <si>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</si>
  <si>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</si>
  <si>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</si>
  <si>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</si>
  <si>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</si>
  <si>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</si>
  <si>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</si>
  <si>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</si>
  <si>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</si>
  <si>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</si>
  <si>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</si>
  <si>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</si>
  <si>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</si>
  <si>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</si>
  <si>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</si>
  <si>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</si>
  <si>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</si>
  <si>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</si>
  <si>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</si>
  <si>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</si>
  <si>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</si>
  <si>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</si>
  <si>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</si>
  <si>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</si>
  <si>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</si>
  <si>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</si>
  <si>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</si>
  <si>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</si>
  <si>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</si>
  <si>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</si>
  <si>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</si>
  <si>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</si>
  <si>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</si>
  <si>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</si>
  <si>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</si>
  <si>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</si>
  <si>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</si>
  <si>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</si>
  <si>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Chief Executive Officer</t>
  </si>
  <si>
    <t>Chief Financial Officer</t>
  </si>
  <si>
    <t>Chief Culture Officer</t>
  </si>
  <si>
    <t>Chief Clinical Officer</t>
  </si>
  <si>
    <t>Chief Operations Officer</t>
  </si>
  <si>
    <t>Identify any expenses that are not associated with a particular team. Distribute them evenly to Buildings to be distributed to Revenue Centers at a later point. 
Note: Steps progress through the "Dataset" tab</t>
  </si>
  <si>
    <t>Identify any teams or buildings that have expenses but are do not operate independently of other locations and move them to the most appropriate team or building to be distributed in the same manner.</t>
  </si>
  <si>
    <t>Identify any teams that have expenses but are no longer considered "Active" and move them to the largest building (185) to be distributed to Revenue Centers.</t>
  </si>
  <si>
    <t>Distribute team 1000 Corporate to Revenue Centers based on Headcount, Clinical Headcount, building usage, and targeted account usage.</t>
  </si>
  <si>
    <t>Distribute 1906 Facilities to active buildings evenly.</t>
  </si>
  <si>
    <t>Step 6:</t>
  </si>
  <si>
    <t>Distribute active buildings to Revenue Centers based on building usage.</t>
  </si>
  <si>
    <t>Step 7:</t>
  </si>
  <si>
    <t>Distribute Clinical Teams to Revenue Centers based on Clinical FTE percentages.</t>
  </si>
  <si>
    <t>Step 8:</t>
  </si>
  <si>
    <t>Consolidate all Indirect Teams (largely those teams with codes under 3000) into one "Indirect" team.</t>
  </si>
  <si>
    <t>Step 9:</t>
  </si>
  <si>
    <t>Distribute all expenses for all remaining teams into appropriate columns and rows based on Time Studies identifying FTE effort.</t>
  </si>
  <si>
    <t>Step 10:</t>
  </si>
  <si>
    <t>Based on prior submission audits (notes 200.1a and 200.8 from SummitStone submission FY21-22), identify expenses and accounts that should be classified as unallowable and move them accordingly (specifically, 83810 Public Relations/Marketing, 88600 Indirect Fundraising, 81910 Moving Expense, 81140 Building Interest, and a portion of 81110, 81111, 81150, and 85120 in compliance with prior years)</t>
  </si>
  <si>
    <t>No</t>
  </si>
  <si>
    <t>The methodology largely remains the same with a few small adjustments. To begin, certain buildings (namely building 145) was identified as being significantly similar to location 151. As a result of building 145 having no attributable FTEs to distribute and acting largely as a storage facility, its expenses were attributed to the larger 151 to be distributed in a similar manner.
Additionally, in the FY22-23 submission, post hoc adjustments were needed that did not take place for the FY23-24 submission. As a result of this, the steps associated with the later adjustments have been removed from the list above.</t>
  </si>
  <si>
    <t>8802 Behavioral Health Urgent Care</t>
  </si>
  <si>
    <t>8803 Mobile Crisis</t>
  </si>
  <si>
    <t>8806 Co-Responder</t>
  </si>
  <si>
    <t>5150 CYMHTA - Child M.H. Treatment</t>
  </si>
  <si>
    <t>8830 Pharmacy</t>
  </si>
  <si>
    <t>8835 Lab</t>
  </si>
  <si>
    <t>9212 Garcia House Pharmacy</t>
  </si>
  <si>
    <t>3650 L.C. Criminal Justice Services</t>
  </si>
  <si>
    <t>4712 Recovery Support Services -- Payeeships, Zero Suicide</t>
  </si>
  <si>
    <t>4750 Competency Restoration</t>
  </si>
  <si>
    <t>9110 SAMHSA Grant</t>
  </si>
  <si>
    <t>5103 School Based Mental Health Specialist</t>
  </si>
  <si>
    <t>1990 Trauma Focused Cognitive BH</t>
  </si>
  <si>
    <t>4708 Specialized Treatment Services</t>
  </si>
  <si>
    <t>5114 FFT Functional Family Therapy</t>
  </si>
  <si>
    <t>5120 LIFE PROGRAM</t>
  </si>
  <si>
    <t>9000 ACCESS</t>
  </si>
  <si>
    <t>3000 Medical Services</t>
  </si>
  <si>
    <t>3050 Access Team</t>
  </si>
  <si>
    <t>3400 Homebound</t>
  </si>
  <si>
    <t>3410 Foothills Gateway</t>
  </si>
  <si>
    <t>3500 Bristlecone Outpatient</t>
  </si>
  <si>
    <t>3510 Estes Park Outpatient</t>
  </si>
  <si>
    <t>3520 Wilson Outpatient</t>
  </si>
  <si>
    <t>3525 Orchards Outpatient</t>
  </si>
  <si>
    <t>3527 First Step Clinic</t>
  </si>
  <si>
    <t>3540 Commercial Clinic</t>
  </si>
  <si>
    <t>3600 Medicare Clinic</t>
  </si>
  <si>
    <t>3651 LC CIS Competency Support Svcs</t>
  </si>
  <si>
    <t>3703 IPS</t>
  </si>
  <si>
    <t>3800 MAT</t>
  </si>
  <si>
    <t>3810 MAT North County</t>
  </si>
  <si>
    <t>3850 Community Action</t>
  </si>
  <si>
    <t>3870 202 Expansion and RSS</t>
  </si>
  <si>
    <t>4704 Housing including vouchers and Redtail Ponds</t>
  </si>
  <si>
    <t>4705 Loveland Apartments</t>
  </si>
  <si>
    <t>4715 JBBS Jail Based Behavioral Health Services</t>
  </si>
  <si>
    <t>4725 Peer Specialists</t>
  </si>
  <si>
    <t>4800 MH Diversion</t>
  </si>
  <si>
    <t>5100 Centre Outpatient</t>
  </si>
  <si>
    <t>6100 Integrated Care</t>
  </si>
  <si>
    <t>6101 MACC</t>
  </si>
  <si>
    <t>6102 School Based Health Center</t>
  </si>
  <si>
    <t xml:space="preserve">7000 Specialized Women Services </t>
  </si>
  <si>
    <t>7051 DUI</t>
  </si>
  <si>
    <t>9113 CCBHC</t>
  </si>
  <si>
    <t>3880 Jail AUD</t>
  </si>
  <si>
    <t>8800 After Hours/On-Call</t>
  </si>
  <si>
    <t>5102 Grandfamilies</t>
  </si>
  <si>
    <t>4706 Housing Case Mgmt</t>
  </si>
  <si>
    <t>3010 Murphy Center</t>
  </si>
  <si>
    <t>8807 Harm Reduction Grant</t>
  </si>
  <si>
    <t>8808 Community Investment Grant</t>
  </si>
  <si>
    <t>3700 PATH</t>
  </si>
  <si>
    <t>3701 Spirit Crossing</t>
  </si>
  <si>
    <t>3820 eIOP</t>
  </si>
  <si>
    <t>4205 Care Coordinations</t>
  </si>
  <si>
    <t>4600 FEP</t>
  </si>
  <si>
    <t>4710 ACT</t>
  </si>
  <si>
    <t>4717 CDDT/ICM</t>
  </si>
  <si>
    <t>5118 CBS Kids</t>
  </si>
  <si>
    <t>4716 AIIM</t>
  </si>
  <si>
    <t>3725 FUSE</t>
  </si>
  <si>
    <t>5119 High Intensty Youth</t>
  </si>
  <si>
    <t>Crisis Stabilization Unit (CSU)</t>
  </si>
  <si>
    <t>Garcia House</t>
  </si>
  <si>
    <t>Longview</t>
  </si>
  <si>
    <t>Yes</t>
  </si>
  <si>
    <t>SummitStone Health Partners</t>
  </si>
  <si>
    <t>Properly Report Schedule 1 Costs</t>
  </si>
  <si>
    <t>Properly Report Unallowable Depreciation Expense</t>
  </si>
  <si>
    <t>34</t>
  </si>
  <si>
    <t>200.1a</t>
  </si>
  <si>
    <t>Properly Report Program Expense</t>
  </si>
  <si>
    <t>200.2a.1</t>
  </si>
  <si>
    <t>Adjust Indirect Cost Allocation</t>
  </si>
  <si>
    <t>Corresponding Adjustment for Schedule 1 Adjustment</t>
  </si>
  <si>
    <t>2C</t>
  </si>
  <si>
    <t>2B</t>
  </si>
  <si>
    <t>9</t>
  </si>
  <si>
    <t>2A</t>
  </si>
  <si>
    <t>6</t>
  </si>
  <si>
    <t>2</t>
  </si>
  <si>
    <t>Onset Indirect Costs to Schedule 3</t>
  </si>
  <si>
    <t>1</t>
  </si>
  <si>
    <t>3</t>
  </si>
  <si>
    <t>Corresponding Adjustment for Schedule 4 Adjustment</t>
  </si>
  <si>
    <t>2b</t>
  </si>
  <si>
    <t>3a</t>
  </si>
  <si>
    <t>3b</t>
  </si>
  <si>
    <t>Properly Report Total Encounters on Schedule 4</t>
  </si>
  <si>
    <t>Properly Report Non-Facility Units</t>
  </si>
  <si>
    <t>Properly Report Facility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</si>
</sst>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0.00;\(#,###,##0.00\)"/>
    <numFmt numFmtId="178" formatCode="#,##0.00%;\(#,##0.00%\)"/>
    <numFmt numFmtId="179" formatCode="#,###,##0;\(#,###,##0\)"/>
    <numFmt numFmtId="180" formatCode="&quot;$&quot;#,###,##0;\(&quot;$&quot;#,###,##0\)"/>
    <numFmt numFmtId="181" formatCode="&quot;$&quot;#,##0\ ;\(&quot;$&quot;#,##0\)"/>
    <numFmt numFmtId="182" formatCode="_(&quot;$&quot;* #,##0.00_);_(&quot;$&quot;* \(\ #,##0.00\ \);_(&quot;$&quot;* &quot;-&quot;??_);_(\ @_ \)"/>
    <numFmt numFmtId="183" formatCode="0_);\(0\)"/>
  </numFmts>
  <fonts count="1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1"/>
      <name val="Calibri"/>
      <family val="2"/>
    </font>
    <font>
      <sz val="11"/>
      <color theme="1"/>
      <name val="Calibri"/>
      <family val="2"/>
    </font>
    <font>
      <b/>
      <sz val="12"/>
      <name val="Arial"/>
      <family val="2"/>
    </font>
    <font>
      <sz val="8.25"/>
      <color rgb="FF000000"/>
      <name val="Microsoft Sans Serif"/>
      <family val="2"/>
    </font>
    <font>
      <sz val="10"/>
      <color rgb="FF000000"/>
      <name val="Times New Roman"/>
      <family val="1"/>
    </font>
    <font>
      <sz val="12"/>
      <name val="Arial"/>
      <family val="2"/>
    </font>
    <font>
      <b/>
      <sz val="12"/>
      <color indexed="8"/>
      <name val="Arial"/>
      <family val="2"/>
    </font>
    <font>
      <sz val="10"/>
      <name val="Comic Sans MS"/>
      <family val="4"/>
    </font>
    <font>
      <sz val="10"/>
      <color indexed="0"/>
      <name val="Arial"/>
      <family val="2"/>
    </font>
    <font>
      <b/>
      <sz val="11"/>
      <name val="Arial"/>
      <family val="2"/>
    </font>
    <font>
      <sz val="10"/>
      <name val="Times New Roman"/>
      <family val="1"/>
    </font>
    <font>
      <b/>
      <sz val="10"/>
      <name val="Times New Roman"/>
      <family val="1"/>
    </font>
    <font>
      <sz val="10"/>
      <color theme="1"/>
      <name val="Tahoma"/>
      <family val="2"/>
    </font>
    <font>
      <b/>
      <sz val="10"/>
      <color indexed="8"/>
      <name val="Times New Roman"/>
      <family val="1"/>
    </font>
    <font>
      <sz val="11"/>
      <color indexed="17"/>
      <name val="Calibri"/>
      <family val="2"/>
    </font>
    <font>
      <sz val="11"/>
      <color indexed="20"/>
      <name val="Calibri"/>
      <family val="2"/>
    </font>
    <font>
      <sz val="11"/>
      <color indexed="60"/>
      <name val="Calibri"/>
      <family val="2"/>
    </font>
    <font>
      <sz val="11"/>
      <color indexed="8"/>
      <name val="Calibri"/>
      <family val="2"/>
    </font>
    <font>
      <sz val="11"/>
      <color indexed="62"/>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b/>
      <sz val="10"/>
      <color indexed="0"/>
      <name val="Arial"/>
      <family val="2"/>
    </font>
    <font>
      <b/>
      <sz val="9"/>
      <color indexed="0"/>
      <name val="Arial"/>
      <family val="2"/>
    </font>
    <font>
      <u/>
      <sz val="11"/>
      <color indexed="0"/>
      <name val="Arial"/>
      <family val="2"/>
    </font>
    <font>
      <u/>
      <sz val="10"/>
      <color indexed="0"/>
      <name val="Arial"/>
      <family val="2"/>
    </font>
    <font>
      <sz val="11"/>
      <name val="Times New Roman"/>
      <family val="1"/>
    </font>
    <font>
      <sz val="10"/>
      <name val="Tahoma"/>
      <family val="2"/>
    </font>
    <font>
      <sz val="10"/>
      <color indexed="0"/>
      <name val="Times New Roman"/>
      <family val="1"/>
    </font>
    <font>
      <b/>
      <sz val="10"/>
      <color indexed="9"/>
      <name val="Arial"/>
      <family val="2"/>
    </font>
    <font>
      <u/>
      <sz val="10"/>
      <color rgb="FF0000FF"/>
      <name val="Arial"/>
      <family val="2"/>
    </font>
    <font>
      <sz val="8"/>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s>
  <cellStyleXfs count="357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79" fillId="0" borderId="0">
      <alignment vertical="center"/>
    </xf>
    <xf numFmtId="0" fontId="79" fillId="0" borderId="0">
      <alignment vertical="center"/>
    </xf>
    <xf numFmtId="43" fontId="79" fillId="0" borderId="0" applyFont="0" applyFill="0" applyBorder="0" applyAlignment="0" applyProtection="0"/>
    <xf numFmtId="0" fontId="79" fillId="0" borderId="0">
      <alignment vertical="center"/>
    </xf>
    <xf numFmtId="43" fontId="79" fillId="0" borderId="0" applyFont="0" applyFill="0" applyBorder="0" applyAlignment="0" applyProtection="0"/>
    <xf numFmtId="9" fontId="79" fillId="0" borderId="0" applyFont="0" applyFill="0" applyBorder="0" applyAlignment="0" applyProtection="0"/>
    <xf numFmtId="0" fontId="1" fillId="0" borderId="0"/>
    <xf numFmtId="0" fontId="87" fillId="0" borderId="0"/>
    <xf numFmtId="0" fontId="88" fillId="0" borderId="0"/>
    <xf numFmtId="0" fontId="90" fillId="0" borderId="0" applyAlignment="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8" fillId="0" borderId="0"/>
    <xf numFmtId="0" fontId="21" fillId="0" borderId="0"/>
    <xf numFmtId="0" fontId="36"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91" fillId="0" borderId="0"/>
    <xf numFmtId="0" fontId="1" fillId="0" borderId="0"/>
    <xf numFmtId="0" fontId="56" fillId="0" borderId="0"/>
    <xf numFmtId="0" fontId="5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0" fontId="1" fillId="0" borderId="0"/>
    <xf numFmtId="44" fontId="21" fillId="0" borderId="0" applyFont="0" applyFill="0" applyBorder="0" applyAlignment="0" applyProtection="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9" fontId="2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36" fillId="0" borderId="0" applyFont="0" applyFill="0" applyBorder="0" applyAlignment="0" applyProtection="0"/>
    <xf numFmtId="9" fontId="36" fillId="0" borderId="0" applyFont="0" applyFill="0" applyBorder="0" applyAlignment="0" applyProtection="0"/>
    <xf numFmtId="40" fontId="57" fillId="0" borderId="0" applyFont="0" applyFill="0" applyBorder="0" applyAlignment="0" applyProtection="0"/>
    <xf numFmtId="40" fontId="56" fillId="0" borderId="0" applyFont="0" applyFill="0" applyBorder="0" applyAlignment="0" applyProtection="0"/>
    <xf numFmtId="0" fontId="56" fillId="0" borderId="0"/>
    <xf numFmtId="43" fontId="81" fillId="0" borderId="0" applyFont="0" applyFill="0" applyBorder="0" applyAlignment="0" applyProtection="0"/>
    <xf numFmtId="43" fontId="81" fillId="0" borderId="0" applyFont="0" applyFill="0" applyBorder="0" applyAlignment="0" applyProtection="0"/>
    <xf numFmtId="0" fontId="36" fillId="0" borderId="0"/>
    <xf numFmtId="43" fontId="81" fillId="0" borderId="0" applyFont="0" applyFill="0" applyBorder="0" applyAlignment="0" applyProtection="0"/>
    <xf numFmtId="43" fontId="36" fillId="0" borderId="0" applyFont="0" applyFill="0" applyBorder="0" applyAlignment="0" applyProtection="0"/>
    <xf numFmtId="0" fontId="36" fillId="0" borderId="0"/>
    <xf numFmtId="0" fontId="81" fillId="0" borderId="0">
      <alignment vertical="top"/>
    </xf>
    <xf numFmtId="43" fontId="21" fillId="0" borderId="0" applyFont="0" applyFill="0" applyBorder="0" applyAlignment="0" applyProtection="0"/>
    <xf numFmtId="0" fontId="36" fillId="0" borderId="0"/>
    <xf numFmtId="43" fontId="81" fillId="0" borderId="0" applyFont="0" applyFill="0" applyBorder="0" applyAlignment="0" applyProtection="0"/>
    <xf numFmtId="43" fontId="21" fillId="0" borderId="0" applyFont="0" applyFill="0" applyBorder="0" applyAlignment="0" applyProtection="0"/>
    <xf numFmtId="0" fontId="1" fillId="0" borderId="0"/>
    <xf numFmtId="0" fontId="56" fillId="0" borderId="0"/>
    <xf numFmtId="0" fontId="1" fillId="0" borderId="0"/>
    <xf numFmtId="0" fontId="9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43" fontId="9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177" fontId="95" fillId="0" borderId="0"/>
    <xf numFmtId="178" fontId="95" fillId="0" borderId="0"/>
    <xf numFmtId="0" fontId="88" fillId="0" borderId="0"/>
    <xf numFmtId="0" fontId="88" fillId="0" borderId="0"/>
    <xf numFmtId="0" fontId="88" fillId="0" borderId="0"/>
    <xf numFmtId="0" fontId="88" fillId="0" borderId="0"/>
    <xf numFmtId="0" fontId="88" fillId="0" borderId="0"/>
    <xf numFmtId="0" fontId="88" fillId="0" borderId="0"/>
    <xf numFmtId="0" fontId="52" fillId="0" borderId="0"/>
    <xf numFmtId="0" fontId="88" fillId="0" borderId="0"/>
    <xf numFmtId="0" fontId="88" fillId="0" borderId="0"/>
    <xf numFmtId="0" fontId="52" fillId="0" borderId="0"/>
    <xf numFmtId="0" fontId="52" fillId="0" borderId="0"/>
    <xf numFmtId="0" fontId="36" fillId="0" borderId="0"/>
    <xf numFmtId="0" fontId="88" fillId="0" borderId="0"/>
    <xf numFmtId="0" fontId="88" fillId="0" borderId="0"/>
    <xf numFmtId="0" fontId="94" fillId="0" borderId="0"/>
    <xf numFmtId="0" fontId="52" fillId="0" borderId="0"/>
    <xf numFmtId="0" fontId="52" fillId="0" borderId="0"/>
    <xf numFmtId="0" fontId="52" fillId="0" borderId="0"/>
    <xf numFmtId="0" fontId="8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52"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94" fillId="0" borderId="0"/>
    <xf numFmtId="0" fontId="21" fillId="0" borderId="0"/>
    <xf numFmtId="0" fontId="21" fillId="0" borderId="0"/>
    <xf numFmtId="0" fontId="36" fillId="0" borderId="0"/>
    <xf numFmtId="0" fontId="21" fillId="0" borderId="0"/>
    <xf numFmtId="0" fontId="21" fillId="0" borderId="0"/>
    <xf numFmtId="0" fontId="88" fillId="0" borderId="0"/>
    <xf numFmtId="0" fontId="88" fillId="0" borderId="0"/>
    <xf numFmtId="0" fontId="52"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0" fontId="92" fillId="0" borderId="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92" fillId="0" borderId="0"/>
    <xf numFmtId="0" fontId="92" fillId="0" borderId="0"/>
    <xf numFmtId="0" fontId="81" fillId="0" borderId="0">
      <alignment vertical="top"/>
    </xf>
    <xf numFmtId="0" fontId="36" fillId="0" borderId="0"/>
    <xf numFmtId="44" fontId="36" fillId="0" borderId="0" applyFont="0" applyFill="0" applyBorder="0" applyAlignment="0" applyProtection="0"/>
    <xf numFmtId="0" fontId="99"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0" fontId="36" fillId="0" borderId="0"/>
    <xf numFmtId="43" fontId="2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21" fillId="0" borderId="0"/>
    <xf numFmtId="0" fontId="21" fillId="0" borderId="0"/>
    <xf numFmtId="0" fontId="36" fillId="0" borderId="0"/>
    <xf numFmtId="0" fontId="21" fillId="0" borderId="0"/>
    <xf numFmtId="0" fontId="2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81" fillId="0" borderId="0" applyFont="0" applyFill="0" applyBorder="0" applyAlignment="0" applyProtection="0"/>
    <xf numFmtId="43" fontId="81" fillId="0" borderId="0" applyFont="0" applyFill="0" applyBorder="0" applyAlignment="0" applyProtection="0">
      <alignment vertical="top"/>
    </xf>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04" fillId="9" borderId="0" applyNumberFormat="0" applyBorder="0" applyAlignment="0" applyProtection="0"/>
    <xf numFmtId="0" fontId="104" fillId="10" borderId="0" applyNumberFormat="0" applyBorder="0" applyAlignment="0" applyProtection="0"/>
    <xf numFmtId="0" fontId="104" fillId="11"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2"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6" fillId="19"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6"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7" fillId="27" borderId="24" applyNumberFormat="0" applyAlignment="0" applyProtection="0"/>
    <xf numFmtId="0" fontId="108" fillId="28" borderId="25" applyNumberFormat="0" applyAlignment="0" applyProtection="0"/>
    <xf numFmtId="176" fontId="118"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36" fillId="0" borderId="0" applyFont="0" applyFill="0" applyBorder="0" applyAlignment="0" applyProtection="0"/>
    <xf numFmtId="0" fontId="109" fillId="0" borderId="0" applyNumberFormat="0" applyFill="0" applyBorder="0" applyAlignment="0" applyProtection="0"/>
    <xf numFmtId="179" fontId="95" fillId="0" borderId="0"/>
    <xf numFmtId="180" fontId="95" fillId="0" borderId="0"/>
    <xf numFmtId="0" fontId="101" fillId="11" borderId="0" applyNumberFormat="0" applyBorder="0" applyAlignment="0" applyProtection="0"/>
    <xf numFmtId="0" fontId="101" fillId="11" borderId="0" applyNumberFormat="0" applyBorder="0" applyAlignment="0" applyProtection="0"/>
    <xf numFmtId="0" fontId="110" fillId="0" borderId="26" applyNumberFormat="0" applyFill="0" applyAlignment="0" applyProtection="0"/>
    <xf numFmtId="0" fontId="111" fillId="0" borderId="27" applyNumberFormat="0" applyFill="0" applyAlignment="0" applyProtection="0"/>
    <xf numFmtId="0" fontId="112" fillId="0" borderId="28" applyNumberFormat="0" applyFill="0" applyAlignment="0" applyProtection="0"/>
    <xf numFmtId="0" fontId="112" fillId="0" borderId="0" applyNumberFormat="0" applyFill="0" applyBorder="0" applyAlignment="0" applyProtection="0"/>
    <xf numFmtId="0" fontId="105" fillId="14" borderId="24" applyNumberFormat="0" applyAlignment="0" applyProtection="0"/>
    <xf numFmtId="0" fontId="105" fillId="14" borderId="24" applyNumberFormat="0" applyAlignment="0" applyProtection="0"/>
    <xf numFmtId="0" fontId="113" fillId="0" borderId="29" applyNumberFormat="0" applyFill="0" applyAlignment="0" applyProtection="0"/>
    <xf numFmtId="0" fontId="103" fillId="29" borderId="0" applyNumberFormat="0" applyBorder="0" applyAlignment="0" applyProtection="0"/>
    <xf numFmtId="0" fontId="103" fillId="29" borderId="0" applyNumberFormat="0" applyBorder="0" applyAlignment="0" applyProtection="0"/>
    <xf numFmtId="0" fontId="104" fillId="0" borderId="0"/>
    <xf numFmtId="0" fontId="36"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9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95" fillId="0" borderId="0"/>
    <xf numFmtId="0" fontId="104" fillId="30" borderId="30" applyNumberFormat="0" applyFont="0" applyAlignment="0" applyProtection="0"/>
    <xf numFmtId="0" fontId="104" fillId="30" borderId="30" applyNumberFormat="0" applyFont="0" applyAlignment="0" applyProtection="0"/>
    <xf numFmtId="0" fontId="114" fillId="27" borderId="31"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95" fillId="0" borderId="0"/>
    <xf numFmtId="0" fontId="81" fillId="0" borderId="0" applyNumberFormat="0" applyBorder="0" applyAlignment="0"/>
    <xf numFmtId="0" fontId="93" fillId="0" borderId="0" applyNumberFormat="0" applyBorder="0" applyAlignment="0"/>
    <xf numFmtId="0" fontId="119" fillId="0" borderId="0"/>
    <xf numFmtId="0" fontId="93" fillId="0" borderId="0" applyNumberFormat="0" applyBorder="0" applyAlignment="0"/>
    <xf numFmtId="0" fontId="100" fillId="0" borderId="0" applyNumberFormat="0" applyBorder="0" applyAlignment="0"/>
    <xf numFmtId="0" fontId="120" fillId="0" borderId="0"/>
    <xf numFmtId="0" fontId="121" fillId="0" borderId="0"/>
    <xf numFmtId="0" fontId="122" fillId="0" borderId="0"/>
    <xf numFmtId="0" fontId="115" fillId="0" borderId="0" applyNumberFormat="0" applyFill="0" applyBorder="0" applyAlignment="0" applyProtection="0"/>
    <xf numFmtId="0" fontId="116" fillId="0" borderId="32" applyNumberFormat="0" applyFill="0" applyAlignment="0" applyProtection="0"/>
    <xf numFmtId="0" fontId="11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1" fontId="97" fillId="0" borderId="0">
      <alignment wrapText="1"/>
    </xf>
    <xf numFmtId="42" fontId="97" fillId="0" borderId="0">
      <alignment wrapText="1"/>
    </xf>
    <xf numFmtId="42" fontId="97" fillId="0" borderId="33">
      <alignment wrapText="1"/>
    </xf>
    <xf numFmtId="42" fontId="97" fillId="0" borderId="3">
      <alignment wrapText="1"/>
    </xf>
    <xf numFmtId="9" fontId="97" fillId="0" borderId="0">
      <alignment wrapText="1"/>
    </xf>
    <xf numFmtId="9" fontId="97" fillId="0" borderId="33">
      <alignment wrapText="1"/>
    </xf>
    <xf numFmtId="9" fontId="97" fillId="0" borderId="3">
      <alignment wrapText="1"/>
    </xf>
    <xf numFmtId="41" fontId="97" fillId="0" borderId="3">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1" fontId="92" fillId="0" borderId="0" applyFont="0" applyFill="0" applyBorder="0" applyAlignment="0" applyProtection="0"/>
    <xf numFmtId="0" fontId="36" fillId="0" borderId="0"/>
    <xf numFmtId="0" fontId="36" fillId="0" borderId="0"/>
    <xf numFmtId="41" fontId="123" fillId="0" borderId="0">
      <alignment wrapText="1"/>
    </xf>
    <xf numFmtId="42" fontId="123" fillId="0" borderId="33">
      <alignment wrapText="1"/>
    </xf>
    <xf numFmtId="42" fontId="123" fillId="0" borderId="3">
      <alignment wrapText="1"/>
    </xf>
    <xf numFmtId="9" fontId="123" fillId="0" borderId="0">
      <alignment wrapText="1"/>
    </xf>
    <xf numFmtId="9" fontId="123" fillId="0" borderId="33">
      <alignment wrapText="1"/>
    </xf>
    <xf numFmtId="9" fontId="123" fillId="0" borderId="3">
      <alignment wrapText="1"/>
    </xf>
    <xf numFmtId="41" fontId="123" fillId="0" borderId="3">
      <alignment wrapText="1"/>
    </xf>
    <xf numFmtId="42" fontId="123" fillId="0" borderId="0">
      <alignment wrapText="1"/>
    </xf>
    <xf numFmtId="0" fontId="96" fillId="0" borderId="23">
      <alignment horizontal="center" wrapText="1"/>
    </xf>
    <xf numFmtId="0" fontId="53" fillId="0" borderId="23">
      <alignment horizontal="center" wrapText="1"/>
    </xf>
    <xf numFmtId="0" fontId="123" fillId="0" borderId="0">
      <alignment horizontal="left" wrapText="1" indent="4"/>
    </xf>
    <xf numFmtId="0" fontId="97" fillId="0" borderId="0">
      <alignment horizontal="left" wrapText="1"/>
    </xf>
    <xf numFmtId="0" fontId="123" fillId="0" borderId="0">
      <alignment horizontal="left" wrapText="1" indent="5"/>
    </xf>
    <xf numFmtId="0" fontId="97" fillId="0" borderId="0">
      <alignment horizontal="left" wrapText="1" indent="1"/>
    </xf>
    <xf numFmtId="0" fontId="123" fillId="0" borderId="0">
      <alignment horizontal="left" wrapText="1" indent="6"/>
    </xf>
    <xf numFmtId="0" fontId="97" fillId="0" borderId="0">
      <alignment horizontal="left" wrapText="1" indent="2"/>
    </xf>
    <xf numFmtId="0" fontId="123" fillId="0" borderId="0">
      <alignment horizontal="left" wrapText="1" indent="4"/>
    </xf>
    <xf numFmtId="0" fontId="123" fillId="0" borderId="0">
      <alignment horizontal="left" wrapText="1" indent="7"/>
    </xf>
    <xf numFmtId="0" fontId="97" fillId="0" borderId="0">
      <alignment horizontal="left" wrapText="1" indent="3"/>
    </xf>
    <xf numFmtId="0" fontId="123" fillId="0" borderId="0">
      <alignment horizontal="left" wrapText="1" indent="5"/>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3" fillId="0" borderId="3">
      <alignment horizontal="center" wrapText="1"/>
    </xf>
    <xf numFmtId="0" fontId="97" fillId="0" borderId="0">
      <alignment horizontal="left" wrapText="1" indent="4"/>
    </xf>
    <xf numFmtId="0" fontId="97" fillId="0" borderId="0">
      <alignment horizontal="left" wrapText="1" indent="6"/>
    </xf>
    <xf numFmtId="0" fontId="97" fillId="0" borderId="0">
      <alignment horizontal="left" wrapText="1" indent="8"/>
    </xf>
    <xf numFmtId="0" fontId="98" fillId="0" borderId="0">
      <alignment horizontal="left" wrapText="1" indent="2"/>
    </xf>
    <xf numFmtId="0" fontId="89" fillId="0" borderId="0"/>
    <xf numFmtId="0" fontId="92" fillId="0" borderId="0"/>
    <xf numFmtId="181" fontId="92" fillId="0" borderId="0" applyFont="0" applyFill="0" applyBorder="0" applyAlignment="0" applyProtection="0"/>
    <xf numFmtId="0" fontId="92"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1"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3" fontId="81"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81" fillId="0" borderId="0" applyFont="0" applyFill="0" applyBorder="0" applyAlignment="0" applyProtection="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0" fontId="21" fillId="0" borderId="0"/>
    <xf numFmtId="43"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43" fontId="21" fillId="0" borderId="0" applyFont="0" applyFill="0" applyBorder="0" applyAlignment="0" applyProtection="0"/>
    <xf numFmtId="44" fontId="21" fillId="0" borderId="0" applyFont="0" applyFill="0" applyBorder="0" applyAlignment="0" applyProtection="0"/>
    <xf numFmtId="0" fontId="125" fillId="0" borderId="0"/>
    <xf numFmtId="0" fontId="36" fillId="0" borderId="0">
      <alignment horizontal="left"/>
    </xf>
    <xf numFmtId="40" fontId="36" fillId="0" borderId="0">
      <alignment horizontal="right"/>
    </xf>
    <xf numFmtId="0" fontId="36" fillId="0" borderId="0">
      <protection locked="0"/>
    </xf>
    <xf numFmtId="0" fontId="36" fillId="0" borderId="0">
      <alignment horizontal="left"/>
    </xf>
    <xf numFmtId="176" fontId="124" fillId="0" borderId="0" applyFont="0" applyFill="0" applyBorder="0" applyAlignment="0" applyProtection="0"/>
    <xf numFmtId="182" fontId="124" fillId="0" borderId="0" applyFont="0" applyFill="0" applyBorder="0" applyAlignment="0" applyProtection="0"/>
    <xf numFmtId="0" fontId="126" fillId="31" borderId="0">
      <alignment horizontal="center" vertical="center"/>
    </xf>
    <xf numFmtId="40" fontId="126" fillId="31" borderId="0">
      <alignment horizontal="center" vertical="center"/>
    </xf>
    <xf numFmtId="40" fontId="126" fillId="31" borderId="0">
      <alignment horizontal="center" vertical="center"/>
    </xf>
    <xf numFmtId="40" fontId="126" fillId="31" borderId="0">
      <alignment horizontal="center" vertical="center"/>
    </xf>
    <xf numFmtId="0" fontId="36" fillId="0" borderId="0"/>
    <xf numFmtId="9" fontId="21" fillId="0" borderId="0" applyFont="0" applyFill="0" applyBorder="0" applyAlignment="0" applyProtection="0"/>
    <xf numFmtId="44" fontId="81"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40" fontId="56" fillId="0" borderId="0" applyFont="0" applyFill="0" applyBorder="0" applyAlignment="0" applyProtection="0"/>
    <xf numFmtId="0" fontId="1" fillId="0" borderId="0"/>
    <xf numFmtId="0" fontId="56" fillId="0" borderId="0"/>
    <xf numFmtId="0" fontId="21" fillId="0" borderId="0"/>
    <xf numFmtId="0" fontId="21" fillId="0" borderId="0"/>
    <xf numFmtId="0" fontId="127" fillId="0" borderId="0"/>
    <xf numFmtId="9" fontId="9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36"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21" fillId="0" borderId="0"/>
    <xf numFmtId="9" fontId="21" fillId="0" borderId="0" applyFont="0" applyFill="0" applyBorder="0" applyAlignment="0" applyProtection="0"/>
    <xf numFmtId="0" fontId="1" fillId="0" borderId="0"/>
    <xf numFmtId="0" fontId="88" fillId="0" borderId="0"/>
    <xf numFmtId="0" fontId="87"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5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88"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91" fillId="0" borderId="0"/>
    <xf numFmtId="0" fontId="1" fillId="0" borderId="0"/>
    <xf numFmtId="0" fontId="56" fillId="0" borderId="0"/>
    <xf numFmtId="0" fontId="5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0" fontId="1" fillId="0" borderId="0"/>
    <xf numFmtId="44" fontId="21" fillId="0" borderId="0" applyFont="0" applyFill="0" applyBorder="0" applyAlignment="0" applyProtection="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9" fontId="2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28"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28" fillId="0" borderId="0"/>
    <xf numFmtId="0" fontId="128" fillId="0" borderId="0"/>
    <xf numFmtId="0" fontId="81" fillId="0" borderId="0">
      <alignment vertical="top"/>
    </xf>
    <xf numFmtId="0" fontId="81" fillId="0" borderId="0">
      <alignment vertical="top"/>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8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21" fillId="0" borderId="0"/>
    <xf numFmtId="0" fontId="36" fillId="0" borderId="0"/>
    <xf numFmtId="0" fontId="21" fillId="0" borderId="0"/>
    <xf numFmtId="0" fontId="128" fillId="0" borderId="0"/>
    <xf numFmtId="9" fontId="1" fillId="0" borderId="0" applyFont="0" applyFill="0" applyBorder="0" applyAlignment="0" applyProtection="0"/>
    <xf numFmtId="0" fontId="128"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 fontId="36"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87" fillId="0" borderId="0"/>
    <xf numFmtId="0" fontId="88"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36"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81" fillId="0" borderId="0">
      <alignment vertical="top"/>
    </xf>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82" fillId="0" borderId="0" applyFont="0" applyFill="0" applyBorder="0" applyAlignment="0" applyProtection="0"/>
    <xf numFmtId="0" fontId="1" fillId="0" borderId="0"/>
    <xf numFmtId="0" fontId="128"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81" fillId="0" borderId="0">
      <alignment vertical="top"/>
    </xf>
    <xf numFmtId="0" fontId="81" fillId="0" borderId="0">
      <alignment vertical="top"/>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1" fillId="0" borderId="0">
      <alignment vertical="top"/>
    </xf>
    <xf numFmtId="0" fontId="91" fillId="0" borderId="0"/>
    <xf numFmtId="0" fontId="81" fillId="0" borderId="0">
      <alignment vertical="top"/>
    </xf>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79" fillId="0" borderId="0">
      <alignment vertical="center"/>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0" fontId="1" fillId="0" borderId="0"/>
    <xf numFmtId="43" fontId="3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9" fillId="0" borderId="0">
      <alignment vertical="center"/>
    </xf>
    <xf numFmtId="44" fontId="1" fillId="0" borderId="0" applyFont="0" applyFill="0" applyBorder="0" applyAlignment="0" applyProtection="0"/>
    <xf numFmtId="0" fontId="1" fillId="0" borderId="0"/>
    <xf numFmtId="0" fontId="104"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56" fillId="0" borderId="0"/>
    <xf numFmtId="44"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43" fontId="1" fillId="0" borderId="0" applyFont="0" applyFill="0" applyBorder="0" applyAlignment="0" applyProtection="0"/>
    <xf numFmtId="9" fontId="36" fillId="0" borderId="0" applyFont="0" applyFill="0" applyBorder="0" applyAlignment="0" applyProtection="0"/>
    <xf numFmtId="44" fontId="2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6" fillId="0" borderId="0"/>
    <xf numFmtId="9" fontId="36"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0" fontId="9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04" fillId="0" borderId="0"/>
    <xf numFmtId="0" fontId="1" fillId="0" borderId="0"/>
    <xf numFmtId="0" fontId="104" fillId="0" borderId="0"/>
    <xf numFmtId="0" fontId="1" fillId="0" borderId="0"/>
    <xf numFmtId="0" fontId="36" fillId="0" borderId="0"/>
    <xf numFmtId="7"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0" fontId="87" fillId="0" borderId="0"/>
    <xf numFmtId="44" fontId="21" fillId="0" borderId="0" applyFont="0" applyFill="0" applyBorder="0" applyAlignment="0" applyProtection="0"/>
    <xf numFmtId="0" fontId="8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79" fillId="0" borderId="0" applyFont="0" applyFill="0" applyBorder="0" applyAlignment="0" applyProtection="0"/>
    <xf numFmtId="0" fontId="36" fillId="0" borderId="0"/>
    <xf numFmtId="44"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0" fontId="1" fillId="0" borderId="0"/>
    <xf numFmtId="44" fontId="21"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81" fillId="0" borderId="0">
      <alignment vertical="top"/>
    </xf>
    <xf numFmtId="0" fontId="21" fillId="0" borderId="0"/>
    <xf numFmtId="0" fontId="21" fillId="0" borderId="0"/>
    <xf numFmtId="9" fontId="1" fillId="0" borderId="0" applyFont="0" applyFill="0" applyBorder="0" applyAlignment="0" applyProtection="0"/>
    <xf numFmtId="0" fontId="36" fillId="0" borderId="0"/>
    <xf numFmtId="0" fontId="79" fillId="0" borderId="0">
      <alignment vertical="center"/>
    </xf>
    <xf numFmtId="44" fontId="1" fillId="0" borderId="0" applyFont="0" applyFill="0" applyBorder="0" applyAlignment="0" applyProtection="0"/>
    <xf numFmtId="0" fontId="1" fillId="0" borderId="0"/>
    <xf numFmtId="9" fontId="10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1" fillId="0" borderId="0" applyFont="0" applyFill="0" applyBorder="0" applyAlignment="0" applyProtection="0"/>
    <xf numFmtId="0" fontId="1" fillId="0" borderId="0"/>
    <xf numFmtId="0" fontId="21" fillId="0" borderId="0"/>
    <xf numFmtId="0" fontId="1" fillId="0" borderId="0"/>
    <xf numFmtId="40" fontId="57" fillId="0" borderId="0" applyFont="0" applyFill="0" applyBorder="0" applyAlignment="0" applyProtection="0"/>
    <xf numFmtId="0" fontId="1" fillId="0" borderId="0"/>
    <xf numFmtId="0" fontId="1" fillId="0" borderId="0"/>
    <xf numFmtId="0" fontId="1" fillId="0" borderId="0"/>
    <xf numFmtId="43" fontId="94" fillId="0" borderId="0" applyFont="0" applyFill="0" applyBorder="0" applyAlignment="0" applyProtection="0"/>
    <xf numFmtId="0" fontId="1" fillId="0" borderId="0"/>
    <xf numFmtId="0" fontId="104" fillId="0" borderId="0"/>
    <xf numFmtId="44" fontId="36" fillId="0" borderId="0" applyFont="0" applyFill="0" applyBorder="0" applyAlignment="0" applyProtection="0"/>
    <xf numFmtId="0" fontId="1" fillId="0" borderId="0"/>
    <xf numFmtId="44" fontId="1" fillId="0" borderId="0" applyFont="0" applyFill="0" applyBorder="0" applyAlignment="0" applyProtection="0"/>
    <xf numFmtId="44" fontId="3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2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6" fillId="0" borderId="0">
      <alignment vertical="top"/>
    </xf>
    <xf numFmtId="0" fontId="1" fillId="0" borderId="0"/>
    <xf numFmtId="43" fontId="1" fillId="0" borderId="0" applyFont="0" applyFill="0" applyBorder="0" applyAlignment="0" applyProtection="0"/>
    <xf numFmtId="44" fontId="79" fillId="0" borderId="0" applyFont="0" applyFill="0" applyBorder="0" applyAlignment="0" applyProtection="0"/>
    <xf numFmtId="44" fontId="1" fillId="0" borderId="0" applyFont="0" applyFill="0" applyBorder="0" applyAlignment="0" applyProtection="0"/>
    <xf numFmtId="9"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1" fillId="0" borderId="0"/>
    <xf numFmtId="9" fontId="79" fillId="0" borderId="0" applyFont="0" applyFill="0" applyBorder="0" applyAlignment="0" applyProtection="0"/>
    <xf numFmtId="0" fontId="21" fillId="0" borderId="0"/>
    <xf numFmtId="0" fontId="1" fillId="0" borderId="0"/>
    <xf numFmtId="9" fontId="1" fillId="0" borderId="0" applyFont="0" applyFill="0" applyBorder="0" applyAlignment="0" applyProtection="0"/>
    <xf numFmtId="44" fontId="81" fillId="0" borderId="0" applyFont="0" applyFill="0" applyBorder="0" applyAlignment="0" applyProtection="0"/>
    <xf numFmtId="0" fontId="88" fillId="0" borderId="0"/>
    <xf numFmtId="44" fontId="1" fillId="0" borderId="0" applyFont="0" applyFill="0" applyBorder="0" applyAlignment="0" applyProtection="0"/>
    <xf numFmtId="43" fontId="91" fillId="0" borderId="0" applyFont="0" applyFill="0" applyBorder="0" applyAlignment="0" applyProtection="0"/>
    <xf numFmtId="0" fontId="1" fillId="0" borderId="0"/>
    <xf numFmtId="4"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9" fontId="21" fillId="0" borderId="0" applyFont="0" applyFill="0" applyBorder="0" applyAlignment="0" applyProtection="0"/>
    <xf numFmtId="43" fontId="1" fillId="0" borderId="0" applyFont="0" applyFill="0" applyBorder="0" applyAlignment="0" applyProtection="0"/>
    <xf numFmtId="44" fontId="81" fillId="0" borderId="0" applyFont="0" applyFill="0" applyBorder="0" applyAlignment="0" applyProtection="0"/>
    <xf numFmtId="44" fontId="91" fillId="0" borderId="0" applyFont="0" applyFill="0" applyBorder="0" applyAlignment="0" applyProtection="0"/>
    <xf numFmtId="0" fontId="88"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1" fillId="0" borderId="0">
      <alignment vertical="top"/>
    </xf>
    <xf numFmtId="44" fontId="1" fillId="0" borderId="0" applyFont="0" applyFill="0" applyBorder="0" applyAlignment="0" applyProtection="0"/>
    <xf numFmtId="9" fontId="21" fillId="0" borderId="0" applyFont="0" applyFill="0" applyBorder="0" applyAlignment="0" applyProtection="0"/>
    <xf numFmtId="0" fontId="1" fillId="0" borderId="0"/>
    <xf numFmtId="44" fontId="81" fillId="0" borderId="0" applyFont="0" applyFill="0" applyBorder="0" applyAlignment="0" applyProtection="0"/>
    <xf numFmtId="9" fontId="36" fillId="0" borderId="0" applyFont="0" applyFill="0" applyBorder="0" applyAlignment="0" applyProtection="0"/>
    <xf numFmtId="0" fontId="21" fillId="0" borderId="0"/>
    <xf numFmtId="0" fontId="21" fillId="0" borderId="0"/>
    <xf numFmtId="0" fontId="1" fillId="0" borderId="0"/>
    <xf numFmtId="43" fontId="104" fillId="0" borderId="0" applyFont="0" applyFill="0" applyBorder="0" applyAlignment="0" applyProtection="0"/>
    <xf numFmtId="9" fontId="1" fillId="0" borderId="0" applyFont="0" applyFill="0" applyBorder="0" applyAlignment="0" applyProtection="0"/>
    <xf numFmtId="0" fontId="1" fillId="0" borderId="0"/>
    <xf numFmtId="0" fontId="21" fillId="0" borderId="0"/>
    <xf numFmtId="0" fontId="1" fillId="0" borderId="0"/>
    <xf numFmtId="0" fontId="1" fillId="0" borderId="0"/>
    <xf numFmtId="0" fontId="21" fillId="0" borderId="0"/>
    <xf numFmtId="44" fontId="88" fillId="0" borderId="0" applyFont="0" applyFill="0" applyBorder="0" applyAlignment="0" applyProtection="0"/>
    <xf numFmtId="9" fontId="56" fillId="0" borderId="0" applyFont="0" applyFill="0" applyBorder="0" applyAlignment="0" applyProtection="0"/>
    <xf numFmtId="0" fontId="1" fillId="0" borderId="0"/>
    <xf numFmtId="43" fontId="2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04" fillId="0" borderId="0" applyFont="0" applyFill="0" applyBorder="0" applyAlignment="0" applyProtection="0"/>
    <xf numFmtId="9" fontId="90" fillId="0" borderId="0" applyFont="0" applyFill="0" applyBorder="0" applyAlignment="0" applyProtection="0"/>
    <xf numFmtId="0" fontId="1" fillId="0" borderId="0"/>
    <xf numFmtId="0" fontId="56"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9" fillId="0" borderId="0">
      <alignment vertical="center"/>
    </xf>
    <xf numFmtId="44" fontId="1" fillId="0" borderId="0" applyFont="0" applyFill="0" applyBorder="0" applyAlignment="0" applyProtection="0"/>
    <xf numFmtId="44" fontId="21" fillId="0" borderId="0" applyFont="0" applyFill="0" applyBorder="0" applyAlignment="0" applyProtection="0"/>
    <xf numFmtId="43" fontId="91" fillId="0" borderId="0" applyFont="0" applyFill="0" applyBorder="0" applyAlignment="0" applyProtection="0"/>
    <xf numFmtId="43" fontId="56" fillId="0" borderId="0" applyFont="0" applyFill="0" applyBorder="0" applyAlignment="0" applyProtection="0"/>
    <xf numFmtId="43" fontId="79" fillId="0" borderId="0" applyFont="0" applyFill="0" applyBorder="0" applyAlignment="0" applyProtection="0"/>
    <xf numFmtId="9" fontId="21" fillId="0" borderId="0" applyFont="0" applyFill="0" applyBorder="0" applyAlignment="0" applyProtection="0"/>
    <xf numFmtId="43" fontId="1" fillId="0" borderId="0" applyFont="0" applyFill="0" applyBorder="0" applyAlignment="0" applyProtection="0"/>
    <xf numFmtId="0" fontId="1" fillId="0" borderId="0"/>
    <xf numFmtId="0" fontId="87" fillId="0" borderId="0"/>
    <xf numFmtId="0" fontId="91" fillId="0" borderId="0"/>
    <xf numFmtId="0" fontId="1" fillId="0" borderId="0"/>
    <xf numFmtId="0" fontId="1" fillId="0" borderId="0"/>
    <xf numFmtId="43" fontId="1" fillId="0" borderId="0" applyFont="0" applyFill="0" applyBorder="0" applyAlignment="0" applyProtection="0"/>
    <xf numFmtId="44" fontId="21" fillId="0" borderId="0" applyFont="0" applyFill="0" applyBorder="0" applyAlignment="0" applyProtection="0"/>
    <xf numFmtId="0" fontId="21" fillId="0" borderId="0"/>
    <xf numFmtId="0" fontId="36" fillId="0" borderId="0">
      <alignment vertical="top"/>
    </xf>
    <xf numFmtId="9" fontId="1" fillId="0" borderId="0" applyFont="0" applyFill="0" applyBorder="0" applyAlignment="0" applyProtection="0"/>
    <xf numFmtId="0" fontId="1" fillId="0" borderId="0"/>
    <xf numFmtId="9" fontId="36" fillId="0" borderId="0" applyFont="0" applyFill="0" applyBorder="0" applyAlignment="0" applyProtection="0"/>
    <xf numFmtId="0" fontId="104" fillId="0" borderId="0"/>
    <xf numFmtId="43" fontId="1" fillId="0" borderId="0" applyFont="0" applyFill="0" applyBorder="0" applyAlignment="0" applyProtection="0"/>
    <xf numFmtId="0" fontId="21" fillId="0" borderId="0"/>
    <xf numFmtId="9" fontId="91" fillId="0" borderId="0" applyFont="0" applyFill="0" applyBorder="0" applyAlignment="0" applyProtection="0"/>
    <xf numFmtId="9" fontId="36" fillId="0" borderId="0" applyFont="0" applyFill="0" applyBorder="0" applyAlignment="0" applyProtection="0"/>
    <xf numFmtId="43" fontId="94"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9" fontId="36" fillId="0" borderId="0" applyFont="0" applyFill="0" applyBorder="0" applyAlignment="0" applyProtection="0"/>
    <xf numFmtId="0" fontId="2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xf numFmtId="44" fontId="1" fillId="0" borderId="0" applyFont="0" applyFill="0" applyBorder="0" applyAlignment="0" applyProtection="0"/>
    <xf numFmtId="0" fontId="1" fillId="0" borderId="0"/>
    <xf numFmtId="44" fontId="36" fillId="0" borderId="0" applyFont="0" applyFill="0" applyBorder="0" applyAlignment="0" applyProtection="0"/>
    <xf numFmtId="9" fontId="10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21" fillId="0" borderId="0" applyFont="0" applyFill="0" applyBorder="0" applyAlignment="0" applyProtection="0"/>
    <xf numFmtId="43" fontId="1" fillId="0" borderId="0" applyFont="0" applyFill="0" applyBorder="0" applyAlignment="0" applyProtection="0"/>
    <xf numFmtId="0" fontId="1" fillId="0" borderId="0"/>
    <xf numFmtId="44" fontId="56" fillId="0" borderId="0" applyFont="0" applyFill="0" applyBorder="0" applyAlignment="0" applyProtection="0"/>
    <xf numFmtId="9"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0" fontId="1" fillId="0" borderId="0"/>
    <xf numFmtId="0" fontId="56" fillId="0" borderId="0"/>
    <xf numFmtId="43" fontId="21" fillId="0" borderId="0" applyFont="0" applyFill="0" applyBorder="0" applyAlignment="0" applyProtection="0"/>
    <xf numFmtId="43" fontId="1" fillId="0" borderId="0" applyFont="0" applyFill="0" applyBorder="0" applyAlignment="0" applyProtection="0"/>
    <xf numFmtId="40" fontId="56" fillId="0" borderId="0" applyFont="0" applyFill="0" applyBorder="0" applyAlignment="0" applyProtection="0"/>
    <xf numFmtId="9" fontId="79" fillId="0" borderId="0" applyFont="0" applyFill="0" applyBorder="0" applyAlignment="0" applyProtection="0"/>
    <xf numFmtId="0" fontId="1" fillId="0" borderId="0"/>
    <xf numFmtId="0" fontId="1" fillId="0" borderId="0"/>
    <xf numFmtId="9" fontId="88"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04" fillId="0" borderId="0"/>
    <xf numFmtId="44" fontId="1" fillId="0" borderId="0" applyFont="0" applyFill="0" applyBorder="0" applyAlignment="0" applyProtection="0"/>
    <xf numFmtId="0" fontId="104" fillId="0" borderId="0"/>
    <xf numFmtId="9" fontId="1" fillId="0" borderId="0" applyFont="0" applyFill="0" applyBorder="0" applyAlignment="0" applyProtection="0"/>
    <xf numFmtId="4" fontId="36"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36" fillId="0" borderId="0" applyFont="0" applyFill="0" applyBorder="0" applyAlignment="0" applyProtection="0"/>
    <xf numFmtId="44" fontId="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36" fillId="0" borderId="0">
      <alignment vertical="top"/>
    </xf>
    <xf numFmtId="0" fontId="36" fillId="0" borderId="0"/>
    <xf numFmtId="9" fontId="1" fillId="0" borderId="0" applyFont="0" applyFill="0" applyBorder="0" applyAlignment="0" applyProtection="0"/>
    <xf numFmtId="40" fontId="57" fillId="0" borderId="0" applyFont="0" applyFill="0" applyBorder="0" applyAlignment="0" applyProtection="0"/>
    <xf numFmtId="0" fontId="81" fillId="0" borderId="0">
      <alignment vertical="top"/>
    </xf>
    <xf numFmtId="43" fontId="1" fillId="0" borderId="0" applyFont="0" applyFill="0" applyBorder="0" applyAlignment="0" applyProtection="0"/>
    <xf numFmtId="0" fontId="1" fillId="0" borderId="0"/>
    <xf numFmtId="43" fontId="21" fillId="0" borderId="0" applyFont="0" applyFill="0" applyBorder="0" applyAlignment="0" applyProtection="0"/>
    <xf numFmtId="44" fontId="81" fillId="0" borderId="0" applyFont="0" applyFill="0" applyBorder="0" applyAlignment="0" applyProtection="0"/>
    <xf numFmtId="0" fontId="104" fillId="0" borderId="0"/>
    <xf numFmtId="43" fontId="2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21" fillId="0" borderId="0"/>
    <xf numFmtId="44" fontId="1" fillId="0" borderId="0" applyFont="0" applyFill="0" applyBorder="0" applyAlignment="0" applyProtection="0"/>
    <xf numFmtId="0" fontId="36" fillId="0" borderId="0">
      <alignment vertical="top"/>
    </xf>
    <xf numFmtId="9" fontId="104" fillId="0" borderId="0" applyFont="0" applyFill="0" applyBorder="0" applyAlignment="0" applyProtection="0"/>
    <xf numFmtId="0" fontId="21" fillId="0" borderId="0"/>
    <xf numFmtId="0" fontId="1" fillId="0" borderId="0"/>
    <xf numFmtId="44" fontId="1" fillId="0" borderId="0" applyFont="0" applyFill="0" applyBorder="0" applyAlignment="0" applyProtection="0"/>
    <xf numFmtId="0" fontId="1" fillId="0" borderId="0"/>
    <xf numFmtId="0" fontId="21" fillId="0" borderId="0"/>
    <xf numFmtId="9" fontId="1" fillId="0" borderId="0" applyFont="0" applyFill="0" applyBorder="0" applyAlignment="0" applyProtection="0"/>
    <xf numFmtId="43" fontId="104"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 fillId="0" borderId="0"/>
    <xf numFmtId="0" fontId="95" fillId="0" borderId="0"/>
    <xf numFmtId="43" fontId="1" fillId="0" borderId="0" applyFont="0" applyFill="0" applyBorder="0" applyAlignment="0" applyProtection="0"/>
    <xf numFmtId="0" fontId="104" fillId="0" borderId="0"/>
    <xf numFmtId="43" fontId="104" fillId="0" borderId="0" applyFont="0" applyFill="0" applyBorder="0" applyAlignment="0" applyProtection="0"/>
    <xf numFmtId="43" fontId="36" fillId="0" borderId="0" applyFont="0" applyFill="0" applyBorder="0" applyAlignment="0" applyProtection="0"/>
    <xf numFmtId="9" fontId="21" fillId="0" borderId="0" applyFont="0" applyFill="0" applyBorder="0" applyAlignment="0" applyProtection="0"/>
    <xf numFmtId="9" fontId="91" fillId="0" borderId="0" applyFont="0" applyFill="0" applyBorder="0" applyAlignment="0" applyProtection="0"/>
    <xf numFmtId="0" fontId="1" fillId="0" borderId="0"/>
    <xf numFmtId="0" fontId="1" fillId="0" borderId="0"/>
    <xf numFmtId="0" fontId="21" fillId="0" borderId="0"/>
    <xf numFmtId="0" fontId="36" fillId="0" borderId="0"/>
    <xf numFmtId="9" fontId="1" fillId="0" borderId="0" applyFont="0" applyFill="0" applyBorder="0" applyAlignment="0" applyProtection="0"/>
    <xf numFmtId="0" fontId="36" fillId="0" borderId="0">
      <alignment vertical="top"/>
    </xf>
    <xf numFmtId="0" fontId="21" fillId="0" borderId="0"/>
    <xf numFmtId="0" fontId="81" fillId="0" borderId="0">
      <alignment vertical="top"/>
    </xf>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2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xf numFmtId="0" fontId="1" fillId="0" borderId="0"/>
    <xf numFmtId="44" fontId="1" fillId="0" borderId="0" applyFont="0" applyFill="0" applyBorder="0" applyAlignment="0" applyProtection="0"/>
    <xf numFmtId="44" fontId="36" fillId="0" borderId="0" applyFont="0" applyFill="0" applyBorder="0" applyAlignment="0" applyProtection="0"/>
    <xf numFmtId="0" fontId="21" fillId="0" borderId="0"/>
    <xf numFmtId="44" fontId="1" fillId="0" borderId="0" applyFont="0" applyFill="0" applyBorder="0" applyAlignment="0" applyProtection="0"/>
    <xf numFmtId="0" fontId="21" fillId="0" borderId="0"/>
    <xf numFmtId="0" fontId="1" fillId="0" borderId="0"/>
    <xf numFmtId="44" fontId="1" fillId="0" borderId="0" applyFont="0" applyFill="0" applyBorder="0" applyAlignment="0" applyProtection="0"/>
    <xf numFmtId="0" fontId="36" fillId="0" borderId="0"/>
    <xf numFmtId="43" fontId="91" fillId="0" borderId="0" applyFont="0" applyFill="0" applyBorder="0" applyAlignment="0" applyProtection="0"/>
    <xf numFmtId="9" fontId="2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0" fontId="104" fillId="0" borderId="0"/>
    <xf numFmtId="43" fontId="1" fillId="0" borderId="0" applyFont="0" applyFill="0" applyBorder="0" applyAlignment="0" applyProtection="0"/>
    <xf numFmtId="0" fontId="104" fillId="0" borderId="0"/>
    <xf numFmtId="43" fontId="104"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21" fillId="0" borderId="0" applyFont="0" applyFill="0" applyBorder="0" applyAlignment="0" applyProtection="0"/>
    <xf numFmtId="0" fontId="1" fillId="0" borderId="0"/>
    <xf numFmtId="0" fontId="104"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94" fillId="0" borderId="0"/>
    <xf numFmtId="9" fontId="21" fillId="0" borderId="0" applyFont="0" applyFill="0" applyBorder="0" applyAlignment="0" applyProtection="0"/>
    <xf numFmtId="0" fontId="1" fillId="0" borderId="0"/>
    <xf numFmtId="40" fontId="57" fillId="0" borderId="0" applyFont="0" applyFill="0" applyBorder="0" applyAlignment="0" applyProtection="0"/>
    <xf numFmtId="44" fontId="36" fillId="0" borderId="0" applyFont="0" applyFill="0" applyBorder="0" applyAlignment="0" applyProtection="0"/>
    <xf numFmtId="43" fontId="1" fillId="0" borderId="0" applyFont="0" applyFill="0" applyBorder="0" applyAlignment="0" applyProtection="0"/>
    <xf numFmtId="44" fontId="81" fillId="0" borderId="0" applyFont="0" applyFill="0" applyBorder="0" applyAlignment="0" applyProtection="0"/>
    <xf numFmtId="0" fontId="88" fillId="0" borderId="0"/>
    <xf numFmtId="0" fontId="21" fillId="0" borderId="0"/>
    <xf numFmtId="0" fontId="1" fillId="0" borderId="0"/>
    <xf numFmtId="0" fontId="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1" fillId="0" borderId="0"/>
    <xf numFmtId="0" fontId="91"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1" fillId="0" borderId="0"/>
    <xf numFmtId="0" fontId="91"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9" fontId="91" fillId="0" borderId="0" applyFont="0" applyFill="0" applyBorder="0" applyAlignment="0" applyProtection="0"/>
    <xf numFmtId="43" fontId="91" fillId="0" borderId="0" applyFont="0" applyFill="0" applyBorder="0" applyAlignment="0" applyProtection="0"/>
    <xf numFmtId="0" fontId="91" fillId="0" borderId="0"/>
    <xf numFmtId="9" fontId="91" fillId="0" borderId="0" applyFont="0" applyFill="0" applyBorder="0" applyAlignment="0" applyProtection="0"/>
    <xf numFmtId="9" fontId="91" fillId="0" borderId="0" applyFont="0" applyFill="0" applyBorder="0" applyAlignment="0" applyProtection="0"/>
    <xf numFmtId="43" fontId="91" fillId="0" borderId="0" applyFont="0" applyFill="0" applyBorder="0" applyAlignment="0" applyProtection="0"/>
    <xf numFmtId="0" fontId="9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9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0" fontId="1"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9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0" fontId="1" fillId="0" borderId="0"/>
    <xf numFmtId="0" fontId="91" fillId="0" borderId="0"/>
    <xf numFmtId="43" fontId="91" fillId="0" borderId="0" applyFont="0" applyFill="0" applyBorder="0" applyAlignment="0" applyProtection="0"/>
    <xf numFmtId="44" fontId="91" fillId="0" borderId="0" applyFont="0" applyFill="0" applyBorder="0" applyAlignment="0" applyProtection="0"/>
    <xf numFmtId="9" fontId="9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9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9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0" fontId="1" fillId="0" borderId="0"/>
    <xf numFmtId="0" fontId="9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9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9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56" fillId="0" borderId="0"/>
    <xf numFmtId="9" fontId="1" fillId="0" borderId="0" applyFont="0" applyFill="0" applyBorder="0" applyAlignment="0" applyProtection="0"/>
    <xf numFmtId="0" fontId="1" fillId="0" borderId="0"/>
    <xf numFmtId="44" fontId="21" fillId="0" borderId="0" applyFont="0" applyFill="0" applyBorder="0" applyAlignment="0" applyProtection="0"/>
    <xf numFmtId="43" fontId="1" fillId="0" borderId="0" applyFont="0" applyFill="0" applyBorder="0" applyAlignment="0" applyProtection="0"/>
    <xf numFmtId="0" fontId="36" fillId="0" borderId="0">
      <alignment vertical="top"/>
    </xf>
    <xf numFmtId="0" fontId="36" fillId="0" borderId="0"/>
    <xf numFmtId="4" fontId="36" fillId="0" borderId="0" applyFont="0" applyFill="0" applyBorder="0" applyAlignment="0" applyProtection="0"/>
    <xf numFmtId="0" fontId="1" fillId="0" borderId="0"/>
    <xf numFmtId="9" fontId="36" fillId="0" borderId="0" applyFont="0" applyFill="0" applyBorder="0" applyAlignment="0" applyProtection="0"/>
    <xf numFmtId="43" fontId="81" fillId="0" borderId="0" applyFont="0" applyFill="0" applyBorder="0" applyAlignment="0" applyProtection="0"/>
  </cellStyleXfs>
  <cellXfs count="598">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169" fontId="36" fillId="0" borderId="0" xfId="1219" applyNumberFormat="1" applyFont="1" applyAlignment="1">
      <alignment horizontal="center" vertical="top"/>
    </xf>
    <xf numFmtId="0" fontId="36" fillId="0" borderId="0" xfId="5" applyFont="1" applyAlignment="1">
      <alignment vertical="top"/>
    </xf>
    <xf numFmtId="0" fontId="36" fillId="0" borderId="0" xfId="1219" applyFont="1" applyAlignment="1" applyProtection="1">
      <alignment horizontal="center" vertical="top"/>
      <protection locked="0"/>
    </xf>
    <xf numFmtId="0" fontId="36" fillId="0" borderId="0" xfId="1219" applyFont="1" applyAlignment="1">
      <alignment vertical="top"/>
    </xf>
    <xf numFmtId="9" fontId="0" fillId="6" borderId="0" xfId="3" applyFont="1" applyFill="1" applyBorder="1" applyAlignment="1">
      <alignment vertical="center"/>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165" fontId="26" fillId="5" borderId="1" xfId="1" applyNumberFormat="1" applyFont="1" applyFill="1" applyBorder="1" applyProtection="1">
      <protection locked="0"/>
    </xf>
    <xf numFmtId="0" fontId="9" fillId="5" borderId="1" xfId="0" applyFont="1" applyFill="1" applyBorder="1" applyAlignment="1" applyProtection="1">
      <alignment horizontal="center"/>
      <protection locked="0"/>
    </xf>
    <xf numFmtId="0" fontId="11" fillId="0" borderId="0" xfId="0" applyFont="1" applyAlignment="1">
      <alignment vertical="center"/>
    </xf>
    <xf numFmtId="0" fontId="36" fillId="0" borderId="0" xfId="1219" applyFont="1" applyAlignment="1">
      <alignment horizontal="center" vertical="top"/>
    </xf>
    <xf numFmtId="0" fontId="55" fillId="0" borderId="0" xfId="1219" applyFont="1" applyAlignment="1" applyProtection="1">
      <alignment horizontal="left" vertical="top"/>
      <protection locked="0"/>
    </xf>
    <xf numFmtId="0" fontId="55" fillId="0" borderId="0" xfId="1219" applyFont="1" applyAlignment="1" applyProtection="1">
      <alignment vertical="top"/>
      <protection locked="0"/>
    </xf>
    <xf numFmtId="0" fontId="58" fillId="0" borderId="0" xfId="1219" applyFont="1" applyAlignment="1" applyProtection="1">
      <alignment vertical="top"/>
      <protection locked="0"/>
    </xf>
    <xf numFmtId="0" fontId="36" fillId="0" borderId="0" xfId="1219" applyFont="1" applyAlignment="1">
      <alignment horizontal="left" vertical="top" wrapText="1"/>
    </xf>
    <xf numFmtId="49" fontId="36" fillId="0" borderId="0" xfId="1219" applyNumberFormat="1" applyFont="1" applyAlignment="1">
      <alignment horizontal="left" vertical="top" wrapText="1"/>
    </xf>
    <xf numFmtId="37" fontId="36" fillId="0" borderId="0" xfId="1219" applyNumberFormat="1" applyFont="1" applyAlignment="1">
      <alignment horizontal="left" vertical="top" wrapText="1"/>
    </xf>
    <xf numFmtId="49" fontId="36" fillId="0" borderId="0" xfId="1219" applyNumberFormat="1" applyFont="1" applyAlignment="1">
      <alignment horizontal="left" vertical="top"/>
    </xf>
    <xf numFmtId="37" fontId="53" fillId="0" borderId="0" xfId="1219" applyNumberFormat="1" applyFont="1" applyAlignment="1">
      <alignment horizontal="center" vertical="top" wrapText="1"/>
    </xf>
    <xf numFmtId="183" fontId="53" fillId="0" borderId="0" xfId="1219" applyNumberFormat="1" applyFont="1" applyAlignment="1">
      <alignment horizontal="center" vertical="top" wrapText="1"/>
    </xf>
    <xf numFmtId="37" fontId="53" fillId="0" borderId="0" xfId="1126" applyNumberFormat="1" applyFont="1" applyAlignment="1">
      <alignment horizontal="center" vertical="top" wrapText="1"/>
    </xf>
    <xf numFmtId="0" fontId="36" fillId="0" borderId="0" xfId="1219" applyFont="1" applyAlignment="1" applyProtection="1">
      <alignment vertical="top"/>
      <protection locked="0"/>
    </xf>
    <xf numFmtId="37" fontId="36" fillId="0" borderId="0" xfId="1219" applyNumberFormat="1" applyFont="1" applyAlignment="1">
      <alignment vertical="top"/>
    </xf>
    <xf numFmtId="0" fontId="36" fillId="0" borderId="0" xfId="1219" applyFont="1" applyAlignment="1" applyProtection="1">
      <alignment horizontal="left" vertical="top"/>
      <protection locked="0"/>
    </xf>
    <xf numFmtId="49" fontId="53" fillId="0" borderId="0" xfId="1219" applyNumberFormat="1" applyFont="1" applyAlignment="1">
      <alignment horizontal="center" vertical="top" wrapText="1"/>
    </xf>
    <xf numFmtId="37" fontId="53" fillId="0" borderId="0" xfId="1219" applyNumberFormat="1" applyFont="1" applyAlignment="1">
      <alignment horizontal="center" vertical="top"/>
    </xf>
    <xf numFmtId="169" fontId="36" fillId="0" borderId="0" xfId="1219" applyNumberFormat="1" applyFont="1" applyAlignment="1">
      <alignment vertical="top"/>
    </xf>
    <xf numFmtId="39" fontId="36" fillId="0" borderId="0" xfId="1219" applyNumberFormat="1" applyFont="1" applyAlignment="1">
      <alignment horizontal="right" vertical="top"/>
    </xf>
    <xf numFmtId="37" fontId="36" fillId="0" borderId="0" xfId="1219" applyNumberFormat="1" applyFont="1" applyAlignment="1">
      <alignment horizontal="center" vertical="top"/>
    </xf>
    <xf numFmtId="0" fontId="53" fillId="0" borderId="0" xfId="1219" applyFont="1" applyAlignment="1">
      <alignment horizontal="center" vertical="top"/>
    </xf>
    <xf numFmtId="37" fontId="36" fillId="0" borderId="0" xfId="1219" applyNumberFormat="1" applyFont="1" applyAlignment="1">
      <alignment horizontal="center" vertical="top" wrapText="1"/>
    </xf>
    <xf numFmtId="0" fontId="53" fillId="0" borderId="0" xfId="1219" applyFont="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0" fontId="0" fillId="5" borderId="0" xfId="0" applyFill="1" applyAlignment="1" applyProtection="1">
      <alignment horizontal="left" vertical="top" wrapText="1"/>
      <protection locked="0"/>
    </xf>
    <xf numFmtId="172" fontId="0" fillId="5" borderId="0" xfId="0" quotePrefix="1" applyNumberFormat="1" applyFill="1" applyAlignment="1" applyProtection="1">
      <alignment horizontal="left" vertical="top" wrapText="1"/>
      <protection locked="0"/>
    </xf>
    <xf numFmtId="172" fontId="0" fillId="5" borderId="0" xfId="0" applyNumberFormat="1" applyFill="1" applyAlignment="1" applyProtection="1">
      <alignment horizontal="left"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lignment horizontal="left" vertical="top" wrapText="1"/>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1" fillId="5" borderId="13" xfId="54" applyFill="1" applyBorder="1" applyAlignment="1">
      <alignment horizontal="left" vertical="top"/>
    </xf>
    <xf numFmtId="0" fontId="1" fillId="5" borderId="14" xfId="54" applyFill="1" applyBorder="1" applyAlignment="1">
      <alignment horizontal="left" vertical="top"/>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3575">
    <cellStyle name="20% - Accent1 2" xfId="436" xr:uid="{00000000-0005-0000-0000-000000000000}"/>
    <cellStyle name="20% - Accent2 2" xfId="437" xr:uid="{00000000-0005-0000-0000-000001000000}"/>
    <cellStyle name="20% - Accent3 2" xfId="438" xr:uid="{00000000-0005-0000-0000-000002000000}"/>
    <cellStyle name="20% - Accent4 2" xfId="439" xr:uid="{00000000-0005-0000-0000-000003000000}"/>
    <cellStyle name="20% - Accent5 2" xfId="440" xr:uid="{00000000-0005-0000-0000-000004000000}"/>
    <cellStyle name="20% - Accent6 2" xfId="441" xr:uid="{00000000-0005-0000-0000-000005000000}"/>
    <cellStyle name="40% - Accent1 2" xfId="442" xr:uid="{00000000-0005-0000-0000-000006000000}"/>
    <cellStyle name="40% - Accent2 2" xfId="443" xr:uid="{00000000-0005-0000-0000-000007000000}"/>
    <cellStyle name="40% - Accent3 2" xfId="444" xr:uid="{00000000-0005-0000-0000-000008000000}"/>
    <cellStyle name="40% - Accent4 2" xfId="445" xr:uid="{00000000-0005-0000-0000-000009000000}"/>
    <cellStyle name="40% - Accent5 2" xfId="446" xr:uid="{00000000-0005-0000-0000-00000A000000}"/>
    <cellStyle name="40% - Accent6 2" xfId="447" xr:uid="{00000000-0005-0000-0000-00000B000000}"/>
    <cellStyle name="60% - Accent1 2" xfId="448" xr:uid="{00000000-0005-0000-0000-00000C000000}"/>
    <cellStyle name="60% - Accent2 2" xfId="449" xr:uid="{00000000-0005-0000-0000-00000D000000}"/>
    <cellStyle name="60% - Accent3 2" xfId="450" xr:uid="{00000000-0005-0000-0000-00000E000000}"/>
    <cellStyle name="60% - Accent4 2" xfId="451" xr:uid="{00000000-0005-0000-0000-00000F000000}"/>
    <cellStyle name="60% - Accent5 2" xfId="452" xr:uid="{00000000-0005-0000-0000-000010000000}"/>
    <cellStyle name="60% - Accent6 2" xfId="453" xr:uid="{00000000-0005-0000-0000-000011000000}"/>
    <cellStyle name="Accent1 2" xfId="454" xr:uid="{00000000-0005-0000-0000-000012000000}"/>
    <cellStyle name="Accent2 2" xfId="455" xr:uid="{00000000-0005-0000-0000-000013000000}"/>
    <cellStyle name="Accent3 2" xfId="456" xr:uid="{00000000-0005-0000-0000-000014000000}"/>
    <cellStyle name="Accent4 2" xfId="457" xr:uid="{00000000-0005-0000-0000-000015000000}"/>
    <cellStyle name="Accent5 2" xfId="458" xr:uid="{00000000-0005-0000-0000-000016000000}"/>
    <cellStyle name="Accent6 2" xfId="459" xr:uid="{00000000-0005-0000-0000-000017000000}"/>
    <cellStyle name="AccountDetailRowBalanceCol" xfId="814" xr:uid="{00000000-0005-0000-0000-000018000000}"/>
    <cellStyle name="AccountDetailRowDescCol" xfId="813" xr:uid="{00000000-0005-0000-0000-000019000000}"/>
    <cellStyle name="AccountDetailRowNameCol" xfId="816" xr:uid="{00000000-0005-0000-0000-00001A000000}"/>
    <cellStyle name="AccountDetailRowSpacerCol" xfId="815" xr:uid="{00000000-0005-0000-0000-00001B000000}"/>
    <cellStyle name="Amount" xfId="542" xr:uid="{00000000-0005-0000-0000-00001C000000}"/>
    <cellStyle name="Amount - $" xfId="543" xr:uid="{00000000-0005-0000-0000-00001D000000}"/>
    <cellStyle name="Amount - $ Double Underline" xfId="544" xr:uid="{00000000-0005-0000-0000-00001E000000}"/>
    <cellStyle name="Amount - $ Single Underline" xfId="545" xr:uid="{00000000-0005-0000-0000-00001F000000}"/>
    <cellStyle name="Amount - %" xfId="546" xr:uid="{00000000-0005-0000-0000-000020000000}"/>
    <cellStyle name="Amount - % Double Underline" xfId="547" xr:uid="{00000000-0005-0000-0000-000021000000}"/>
    <cellStyle name="Amount - % Single Underline" xfId="548" xr:uid="{00000000-0005-0000-0000-000022000000}"/>
    <cellStyle name="Amount - Single Underline" xfId="549" xr:uid="{00000000-0005-0000-0000-000023000000}"/>
    <cellStyle name="Bad 2" xfId="460" xr:uid="{00000000-0005-0000-0000-000024000000}"/>
    <cellStyle name="Bad 3" xfId="461" xr:uid="{00000000-0005-0000-0000-000025000000}"/>
    <cellStyle name="Calculation 2" xfId="462" xr:uid="{00000000-0005-0000-0000-000026000000}"/>
    <cellStyle name="Check Cell 2" xfId="463" xr:uid="{00000000-0005-0000-0000-000027000000}"/>
    <cellStyle name="ColumnHeaderRowBalanceCol" xfId="819" xr:uid="{00000000-0005-0000-0000-000028000000}"/>
    <cellStyle name="ColumnHeaderRowDescCol" xfId="821" xr:uid="{00000000-0005-0000-0000-000029000000}"/>
    <cellStyle name="ColumnHeaderRowNameCol" xfId="822" xr:uid="{00000000-0005-0000-0000-00002A000000}"/>
    <cellStyle name="ColumnHeaderRowSpacerCol" xfId="820" xr:uid="{00000000-0005-0000-0000-00002B000000}"/>
    <cellStyle name="Comma" xfId="1" builtinId="3"/>
    <cellStyle name="Comma 10" xfId="298" xr:uid="{00000000-0005-0000-0000-00002D000000}"/>
    <cellStyle name="Comma 10 2" xfId="300" xr:uid="{00000000-0005-0000-0000-00002E000000}"/>
    <cellStyle name="Comma 10 2 2" xfId="427" xr:uid="{00000000-0005-0000-0000-00002F000000}"/>
    <cellStyle name="Comma 10 3" xfId="425" xr:uid="{00000000-0005-0000-0000-000030000000}"/>
    <cellStyle name="Comma 10 3 2" xfId="750" xr:uid="{00000000-0005-0000-0000-000031000000}"/>
    <cellStyle name="Comma 10 4" xfId="680" xr:uid="{00000000-0005-0000-0000-000032000000}"/>
    <cellStyle name="Comma 11" xfId="429" xr:uid="{00000000-0005-0000-0000-000033000000}"/>
    <cellStyle name="Comma 11 2" xfId="550" xr:uid="{00000000-0005-0000-0000-000034000000}"/>
    <cellStyle name="Comma 12" xfId="551" xr:uid="{00000000-0005-0000-0000-000035000000}"/>
    <cellStyle name="Comma 13" xfId="552" xr:uid="{00000000-0005-0000-0000-000036000000}"/>
    <cellStyle name="Comma 13 2" xfId="553" xr:uid="{00000000-0005-0000-0000-000037000000}"/>
    <cellStyle name="Comma 14" xfId="554" xr:uid="{00000000-0005-0000-0000-000038000000}"/>
    <cellStyle name="Comma 15" xfId="601" xr:uid="{00000000-0005-0000-0000-000039000000}"/>
    <cellStyle name="Comma 15 2" xfId="758" xr:uid="{00000000-0005-0000-0000-00003A000000}"/>
    <cellStyle name="Comma 15 2 2" xfId="959" xr:uid="{00000000-0005-0000-0000-00003B000000}"/>
    <cellStyle name="Comma 15 2 2 2" xfId="1251" xr:uid="{00000000-0005-0000-0000-00003C000000}"/>
    <cellStyle name="Comma 15 2 2 2 2" xfId="1760" xr:uid="{00000000-0005-0000-0000-00003D000000}"/>
    <cellStyle name="Comma 15 2 2 2 2 2" xfId="3232" xr:uid="{00000000-0005-0000-0000-00003E000000}"/>
    <cellStyle name="Comma 15 2 2 2 3" xfId="2757" xr:uid="{00000000-0005-0000-0000-00003F000000}"/>
    <cellStyle name="Comma 15 2 2 3" xfId="1090" xr:uid="{00000000-0005-0000-0000-000040000000}"/>
    <cellStyle name="Comma 15 2 2 3 2" xfId="2627" xr:uid="{00000000-0005-0000-0000-000041000000}"/>
    <cellStyle name="Comma 15 2 2 4" xfId="1629" xr:uid="{00000000-0005-0000-0000-000042000000}"/>
    <cellStyle name="Comma 15 2 2 4 2" xfId="3101" xr:uid="{00000000-0005-0000-0000-000043000000}"/>
    <cellStyle name="Comma 15 2 2 5" xfId="1844" xr:uid="{00000000-0005-0000-0000-000044000000}"/>
    <cellStyle name="Comma 15 2 2 5 2" xfId="3316" xr:uid="{00000000-0005-0000-0000-000045000000}"/>
    <cellStyle name="Comma 15 2 2 6" xfId="2500" xr:uid="{00000000-0005-0000-0000-000046000000}"/>
    <cellStyle name="Comma 15 2 3" xfId="1160" xr:uid="{00000000-0005-0000-0000-000047000000}"/>
    <cellStyle name="Comma 15 2 3 2" xfId="1390" xr:uid="{00000000-0005-0000-0000-000048000000}"/>
    <cellStyle name="Comma 15 2 3 2 2" xfId="2884" xr:uid="{00000000-0005-0000-0000-000049000000}"/>
    <cellStyle name="Comma 15 2 3 3" xfId="2694" xr:uid="{00000000-0005-0000-0000-00004A000000}"/>
    <cellStyle name="Comma 15 2 4" xfId="1027" xr:uid="{00000000-0005-0000-0000-00004B000000}"/>
    <cellStyle name="Comma 15 2 4 2" xfId="1699" xr:uid="{00000000-0005-0000-0000-00004C000000}"/>
    <cellStyle name="Comma 15 2 4 2 2" xfId="3171" xr:uid="{00000000-0005-0000-0000-00004D000000}"/>
    <cellStyle name="Comma 15 2 4 3" xfId="2564" xr:uid="{00000000-0005-0000-0000-00004E000000}"/>
    <cellStyle name="Comma 15 2 5" xfId="890" xr:uid="{00000000-0005-0000-0000-00004F000000}"/>
    <cellStyle name="Comma 15 2 5 2" xfId="2433" xr:uid="{00000000-0005-0000-0000-000050000000}"/>
    <cellStyle name="Comma 15 2 6" xfId="1498" xr:uid="{00000000-0005-0000-0000-000051000000}"/>
    <cellStyle name="Comma 15 2 6 2" xfId="2981" xr:uid="{00000000-0005-0000-0000-000052000000}"/>
    <cellStyle name="Comma 15 2 7" xfId="2370" xr:uid="{00000000-0005-0000-0000-000053000000}"/>
    <cellStyle name="Comma 15 3" xfId="938" xr:uid="{00000000-0005-0000-0000-000054000000}"/>
    <cellStyle name="Comma 15 3 2" xfId="1230" xr:uid="{00000000-0005-0000-0000-000055000000}"/>
    <cellStyle name="Comma 15 3 2 2" xfId="1739" xr:uid="{00000000-0005-0000-0000-000056000000}"/>
    <cellStyle name="Comma 15 3 2 2 2" xfId="3211" xr:uid="{00000000-0005-0000-0000-000057000000}"/>
    <cellStyle name="Comma 15 3 2 3" xfId="2736" xr:uid="{00000000-0005-0000-0000-000058000000}"/>
    <cellStyle name="Comma 15 3 3" xfId="1069" xr:uid="{00000000-0005-0000-0000-000059000000}"/>
    <cellStyle name="Comma 15 3 3 2" xfId="2606" xr:uid="{00000000-0005-0000-0000-00005A000000}"/>
    <cellStyle name="Comma 15 3 4" xfId="1608" xr:uid="{00000000-0005-0000-0000-00005B000000}"/>
    <cellStyle name="Comma 15 3 4 2" xfId="3080" xr:uid="{00000000-0005-0000-0000-00005C000000}"/>
    <cellStyle name="Comma 15 3 5" xfId="1823" xr:uid="{00000000-0005-0000-0000-00005D000000}"/>
    <cellStyle name="Comma 15 3 5 2" xfId="3295" xr:uid="{00000000-0005-0000-0000-00005E000000}"/>
    <cellStyle name="Comma 15 3 6" xfId="2479" xr:uid="{00000000-0005-0000-0000-00005F000000}"/>
    <cellStyle name="Comma 15 4" xfId="1139" xr:uid="{00000000-0005-0000-0000-000060000000}"/>
    <cellStyle name="Comma 15 4 2" xfId="1544" xr:uid="{00000000-0005-0000-0000-000061000000}"/>
    <cellStyle name="Comma 15 4 2 2" xfId="3025" xr:uid="{00000000-0005-0000-0000-000062000000}"/>
    <cellStyle name="Comma 15 4 3" xfId="2673" xr:uid="{00000000-0005-0000-0000-000063000000}"/>
    <cellStyle name="Comma 15 5" xfId="1006" xr:uid="{00000000-0005-0000-0000-000064000000}"/>
    <cellStyle name="Comma 15 5 2" xfId="1678" xr:uid="{00000000-0005-0000-0000-000065000000}"/>
    <cellStyle name="Comma 15 5 2 2" xfId="3150" xr:uid="{00000000-0005-0000-0000-000066000000}"/>
    <cellStyle name="Comma 15 5 3" xfId="2543" xr:uid="{00000000-0005-0000-0000-000067000000}"/>
    <cellStyle name="Comma 15 6" xfId="869" xr:uid="{00000000-0005-0000-0000-000068000000}"/>
    <cellStyle name="Comma 15 6 2" xfId="2412" xr:uid="{00000000-0005-0000-0000-000069000000}"/>
    <cellStyle name="Comma 15 7" xfId="1477" xr:uid="{00000000-0005-0000-0000-00006A000000}"/>
    <cellStyle name="Comma 15 7 2" xfId="2960" xr:uid="{00000000-0005-0000-0000-00006B000000}"/>
    <cellStyle name="Comma 15 8" xfId="2349" xr:uid="{00000000-0005-0000-0000-00006C000000}"/>
    <cellStyle name="Comma 16" xfId="539" xr:uid="{00000000-0005-0000-0000-00006D000000}"/>
    <cellStyle name="Comma 16 2" xfId="753" xr:uid="{00000000-0005-0000-0000-00006E000000}"/>
    <cellStyle name="Comma 16 2 2" xfId="955" xr:uid="{00000000-0005-0000-0000-00006F000000}"/>
    <cellStyle name="Comma 16 2 2 2" xfId="1247" xr:uid="{00000000-0005-0000-0000-000070000000}"/>
    <cellStyle name="Comma 16 2 2 2 2" xfId="1756" xr:uid="{00000000-0005-0000-0000-000071000000}"/>
    <cellStyle name="Comma 16 2 2 2 2 2" xfId="3228" xr:uid="{00000000-0005-0000-0000-000072000000}"/>
    <cellStyle name="Comma 16 2 2 2 3" xfId="2753" xr:uid="{00000000-0005-0000-0000-000073000000}"/>
    <cellStyle name="Comma 16 2 2 3" xfId="1086" xr:uid="{00000000-0005-0000-0000-000074000000}"/>
    <cellStyle name="Comma 16 2 2 3 2" xfId="2623" xr:uid="{00000000-0005-0000-0000-000075000000}"/>
    <cellStyle name="Comma 16 2 2 4" xfId="1625" xr:uid="{00000000-0005-0000-0000-000076000000}"/>
    <cellStyle name="Comma 16 2 2 4 2" xfId="3097" xr:uid="{00000000-0005-0000-0000-000077000000}"/>
    <cellStyle name="Comma 16 2 2 5" xfId="1840" xr:uid="{00000000-0005-0000-0000-000078000000}"/>
    <cellStyle name="Comma 16 2 2 5 2" xfId="3312" xr:uid="{00000000-0005-0000-0000-000079000000}"/>
    <cellStyle name="Comma 16 2 2 6" xfId="2496" xr:uid="{00000000-0005-0000-0000-00007A000000}"/>
    <cellStyle name="Comma 16 2 3" xfId="1156" xr:uid="{00000000-0005-0000-0000-00007B000000}"/>
    <cellStyle name="Comma 16 2 3 2" xfId="1454" xr:uid="{00000000-0005-0000-0000-00007C000000}"/>
    <cellStyle name="Comma 16 2 3 2 2" xfId="2939" xr:uid="{00000000-0005-0000-0000-00007D000000}"/>
    <cellStyle name="Comma 16 2 3 3" xfId="2690" xr:uid="{00000000-0005-0000-0000-00007E000000}"/>
    <cellStyle name="Comma 16 2 4" xfId="1023" xr:uid="{00000000-0005-0000-0000-00007F000000}"/>
    <cellStyle name="Comma 16 2 4 2" xfId="1695" xr:uid="{00000000-0005-0000-0000-000080000000}"/>
    <cellStyle name="Comma 16 2 4 2 2" xfId="3167" xr:uid="{00000000-0005-0000-0000-000081000000}"/>
    <cellStyle name="Comma 16 2 4 3" xfId="2560" xr:uid="{00000000-0005-0000-0000-000082000000}"/>
    <cellStyle name="Comma 16 2 5" xfId="886" xr:uid="{00000000-0005-0000-0000-000083000000}"/>
    <cellStyle name="Comma 16 2 5 2" xfId="2429" xr:uid="{00000000-0005-0000-0000-000084000000}"/>
    <cellStyle name="Comma 16 2 6" xfId="1494" xr:uid="{00000000-0005-0000-0000-000085000000}"/>
    <cellStyle name="Comma 16 2 6 2" xfId="2977" xr:uid="{00000000-0005-0000-0000-000086000000}"/>
    <cellStyle name="Comma 16 2 7" xfId="2366" xr:uid="{00000000-0005-0000-0000-000087000000}"/>
    <cellStyle name="Comma 16 3" xfId="934" xr:uid="{00000000-0005-0000-0000-000088000000}"/>
    <cellStyle name="Comma 16 3 2" xfId="1226" xr:uid="{00000000-0005-0000-0000-000089000000}"/>
    <cellStyle name="Comma 16 3 2 2" xfId="1735" xr:uid="{00000000-0005-0000-0000-00008A000000}"/>
    <cellStyle name="Comma 16 3 2 2 2" xfId="3207" xr:uid="{00000000-0005-0000-0000-00008B000000}"/>
    <cellStyle name="Comma 16 3 2 3" xfId="2732" xr:uid="{00000000-0005-0000-0000-00008C000000}"/>
    <cellStyle name="Comma 16 3 3" xfId="1065" xr:uid="{00000000-0005-0000-0000-00008D000000}"/>
    <cellStyle name="Comma 16 3 3 2" xfId="2602" xr:uid="{00000000-0005-0000-0000-00008E000000}"/>
    <cellStyle name="Comma 16 3 4" xfId="1604" xr:uid="{00000000-0005-0000-0000-00008F000000}"/>
    <cellStyle name="Comma 16 3 4 2" xfId="3076" xr:uid="{00000000-0005-0000-0000-000090000000}"/>
    <cellStyle name="Comma 16 3 5" xfId="1819" xr:uid="{00000000-0005-0000-0000-000091000000}"/>
    <cellStyle name="Comma 16 3 5 2" xfId="3291" xr:uid="{00000000-0005-0000-0000-000092000000}"/>
    <cellStyle name="Comma 16 3 6" xfId="2475" xr:uid="{00000000-0005-0000-0000-000093000000}"/>
    <cellStyle name="Comma 16 4" xfId="1135" xr:uid="{00000000-0005-0000-0000-000094000000}"/>
    <cellStyle name="Comma 16 4 2" xfId="1557" xr:uid="{00000000-0005-0000-0000-000095000000}"/>
    <cellStyle name="Comma 16 4 2 2" xfId="3037" xr:uid="{00000000-0005-0000-0000-000096000000}"/>
    <cellStyle name="Comma 16 4 3" xfId="2669" xr:uid="{00000000-0005-0000-0000-000097000000}"/>
    <cellStyle name="Comma 16 5" xfId="1002" xr:uid="{00000000-0005-0000-0000-000098000000}"/>
    <cellStyle name="Comma 16 5 2" xfId="1674" xr:uid="{00000000-0005-0000-0000-000099000000}"/>
    <cellStyle name="Comma 16 5 2 2" xfId="3146" xr:uid="{00000000-0005-0000-0000-00009A000000}"/>
    <cellStyle name="Comma 16 5 3" xfId="2539" xr:uid="{00000000-0005-0000-0000-00009B000000}"/>
    <cellStyle name="Comma 16 6" xfId="865" xr:uid="{00000000-0005-0000-0000-00009C000000}"/>
    <cellStyle name="Comma 16 6 2" xfId="2408" xr:uid="{00000000-0005-0000-0000-00009D000000}"/>
    <cellStyle name="Comma 16 7" xfId="1473" xr:uid="{00000000-0005-0000-0000-00009E000000}"/>
    <cellStyle name="Comma 16 7 2" xfId="2956" xr:uid="{00000000-0005-0000-0000-00009F000000}"/>
    <cellStyle name="Comma 16 8" xfId="2345" xr:uid="{00000000-0005-0000-0000-0000A0000000}"/>
    <cellStyle name="Comma 17" xfId="761" xr:uid="{00000000-0005-0000-0000-0000A1000000}"/>
    <cellStyle name="Comma 17 2" xfId="775" xr:uid="{00000000-0005-0000-0000-0000A2000000}"/>
    <cellStyle name="Comma 18" xfId="801" xr:uid="{00000000-0005-0000-0000-0000A3000000}"/>
    <cellStyle name="Comma 19" xfId="810" xr:uid="{00000000-0005-0000-0000-0000A4000000}"/>
    <cellStyle name="Comma 2" xfId="10" xr:uid="{00000000-0005-0000-0000-0000A5000000}"/>
    <cellStyle name="Comma 2 10" xfId="464" xr:uid="{00000000-0005-0000-0000-0000A6000000}"/>
    <cellStyle name="Comma 2 11" xfId="615" xr:uid="{00000000-0005-0000-0000-0000A7000000}"/>
    <cellStyle name="Comma 2 12" xfId="125" xr:uid="{00000000-0005-0000-0000-0000A8000000}"/>
    <cellStyle name="Comma 2 13" xfId="841" xr:uid="{00000000-0005-0000-0000-0000A9000000}"/>
    <cellStyle name="Comma 2 13 2" xfId="974" xr:uid="{00000000-0005-0000-0000-0000AA000000}"/>
    <cellStyle name="Comma 2 13 2 2" xfId="1266" xr:uid="{00000000-0005-0000-0000-0000AB000000}"/>
    <cellStyle name="Comma 2 13 2 2 2" xfId="2772" xr:uid="{00000000-0005-0000-0000-0000AC000000}"/>
    <cellStyle name="Comma 2 13 2 3" xfId="1105" xr:uid="{00000000-0005-0000-0000-0000AD000000}"/>
    <cellStyle name="Comma 2 13 2 3 2" xfId="2642" xr:uid="{00000000-0005-0000-0000-0000AE000000}"/>
    <cellStyle name="Comma 2 13 2 4" xfId="2515" xr:uid="{00000000-0005-0000-0000-0000AF000000}"/>
    <cellStyle name="Comma 2 13 3" xfId="1175" xr:uid="{00000000-0005-0000-0000-0000B0000000}"/>
    <cellStyle name="Comma 2 13 3 2" xfId="2709" xr:uid="{00000000-0005-0000-0000-0000B1000000}"/>
    <cellStyle name="Comma 2 13 4" xfId="1042" xr:uid="{00000000-0005-0000-0000-0000B2000000}"/>
    <cellStyle name="Comma 2 13 4 2" xfId="2579" xr:uid="{00000000-0005-0000-0000-0000B3000000}"/>
    <cellStyle name="Comma 2 13 5" xfId="905" xr:uid="{00000000-0005-0000-0000-0000B4000000}"/>
    <cellStyle name="Comma 2 13 5 2" xfId="2448" xr:uid="{00000000-0005-0000-0000-0000B5000000}"/>
    <cellStyle name="Comma 2 13 6" xfId="1512" xr:uid="{00000000-0005-0000-0000-0000B6000000}"/>
    <cellStyle name="Comma 2 13 6 2" xfId="2995" xr:uid="{00000000-0005-0000-0000-0000B7000000}"/>
    <cellStyle name="Comma 2 13 7" xfId="1539" xr:uid="{00000000-0005-0000-0000-0000B8000000}"/>
    <cellStyle name="Comma 2 13 7 2" xfId="2112" xr:uid="{00000000-0005-0000-0000-0000B9000000}"/>
    <cellStyle name="Comma 2 13 7 2 2" xfId="3493" xr:uid="{00000000-0005-0000-0000-0000BA000000}"/>
    <cellStyle name="Comma 2 13 8" xfId="2385" xr:uid="{00000000-0005-0000-0000-0000BB000000}"/>
    <cellStyle name="Comma 2 14" xfId="858" xr:uid="{00000000-0005-0000-0000-0000BC000000}"/>
    <cellStyle name="Comma 2 14 2" xfId="1462" xr:uid="{00000000-0005-0000-0000-0000BD000000}"/>
    <cellStyle name="Comma 2 14 2 2" xfId="1667" xr:uid="{00000000-0005-0000-0000-0000BE000000}"/>
    <cellStyle name="Comma 2 14 2 2 2" xfId="3139" xr:uid="{00000000-0005-0000-0000-0000BF000000}"/>
    <cellStyle name="Comma 2 14 2 3" xfId="1953" xr:uid="{00000000-0005-0000-0000-0000C0000000}"/>
    <cellStyle name="Comma 2 14 2 4" xfId="2947" xr:uid="{00000000-0005-0000-0000-0000C1000000}"/>
    <cellStyle name="Comma 2 14 3" xfId="1547" xr:uid="{00000000-0005-0000-0000-0000C2000000}"/>
    <cellStyle name="Comma 2 14 3 2" xfId="3028" xr:uid="{00000000-0005-0000-0000-0000C3000000}"/>
    <cellStyle name="Comma 2 14 4" xfId="1532" xr:uid="{00000000-0005-0000-0000-0000C4000000}"/>
    <cellStyle name="Comma 2 14 4 2" xfId="3014" xr:uid="{00000000-0005-0000-0000-0000C5000000}"/>
    <cellStyle name="Comma 2 14 5" xfId="1793" xr:uid="{00000000-0005-0000-0000-0000C6000000}"/>
    <cellStyle name="Comma 2 14 5 2" xfId="3265" xr:uid="{00000000-0005-0000-0000-0000C7000000}"/>
    <cellStyle name="Comma 2 14 6" xfId="1461" xr:uid="{00000000-0005-0000-0000-0000C8000000}"/>
    <cellStyle name="Comma 2 14 6 2" xfId="2946" xr:uid="{00000000-0005-0000-0000-0000C9000000}"/>
    <cellStyle name="Comma 2 15" xfId="1284" xr:uid="{00000000-0005-0000-0000-0000CA000000}"/>
    <cellStyle name="Comma 2 15 2" xfId="1444" xr:uid="{00000000-0005-0000-0000-0000CB000000}"/>
    <cellStyle name="Comma 2 15 2 2" xfId="2068" xr:uid="{00000000-0005-0000-0000-0000CC000000}"/>
    <cellStyle name="Comma 2 15 2 2 2" xfId="3468" xr:uid="{00000000-0005-0000-0000-0000CD000000}"/>
    <cellStyle name="Comma 2 15 2 2 3" xfId="2279" xr:uid="{00000000-0005-0000-0000-0000CE000000}"/>
    <cellStyle name="Comma 2 15 2 3" xfId="2929" xr:uid="{00000000-0005-0000-0000-0000CF000000}"/>
    <cellStyle name="Comma 2 15 3" xfId="1406" xr:uid="{00000000-0005-0000-0000-0000D0000000}"/>
    <cellStyle name="Comma 2 15 3 2" xfId="2900" xr:uid="{00000000-0005-0000-0000-0000D1000000}"/>
    <cellStyle name="Comma 2 15 4" xfId="2789" xr:uid="{00000000-0005-0000-0000-0000D2000000}"/>
    <cellStyle name="Comma 2 15 5" xfId="2258" xr:uid="{00000000-0005-0000-0000-0000D3000000}"/>
    <cellStyle name="Comma 2 16" xfId="1360" xr:uid="{00000000-0005-0000-0000-0000D4000000}"/>
    <cellStyle name="Comma 2 16 2" xfId="1659" xr:uid="{00000000-0005-0000-0000-0000D5000000}"/>
    <cellStyle name="Comma 2 16 2 2" xfId="3131" xr:uid="{00000000-0005-0000-0000-0000D6000000}"/>
    <cellStyle name="Comma 2 16 3" xfId="2855" xr:uid="{00000000-0005-0000-0000-0000D7000000}"/>
    <cellStyle name="Comma 2 17" xfId="1790" xr:uid="{00000000-0005-0000-0000-0000D8000000}"/>
    <cellStyle name="Comma 2 17 2" xfId="3262" xr:uid="{00000000-0005-0000-0000-0000D9000000}"/>
    <cellStyle name="Comma 2 18" xfId="2070" xr:uid="{00000000-0005-0000-0000-0000DA000000}"/>
    <cellStyle name="Comma 2 19" xfId="45" xr:uid="{00000000-0005-0000-0000-0000DB000000}"/>
    <cellStyle name="Comma 2 2" xfId="23" xr:uid="{00000000-0005-0000-0000-0000DC000000}"/>
    <cellStyle name="Comma 2 2 2" xfId="36" xr:uid="{00000000-0005-0000-0000-0000DD000000}"/>
    <cellStyle name="Comma 2 2 2 2" xfId="111" xr:uid="{00000000-0005-0000-0000-0000DE000000}"/>
    <cellStyle name="Comma 2 2 2 2 2" xfId="315" xr:uid="{00000000-0005-0000-0000-0000DF000000}"/>
    <cellStyle name="Comma 2 2 2 3" xfId="314" xr:uid="{00000000-0005-0000-0000-0000E0000000}"/>
    <cellStyle name="Comma 2 2 2 4" xfId="556" xr:uid="{00000000-0005-0000-0000-0000E1000000}"/>
    <cellStyle name="Comma 2 2 2 5" xfId="113" xr:uid="{00000000-0005-0000-0000-0000E2000000}"/>
    <cellStyle name="Comma 2 2 2 6" xfId="1973" xr:uid="{00000000-0005-0000-0000-0000E3000000}"/>
    <cellStyle name="Comma 2 2 3" xfId="32" xr:uid="{00000000-0005-0000-0000-0000E4000000}"/>
    <cellStyle name="Comma 2 2 3 2" xfId="316" xr:uid="{00000000-0005-0000-0000-0000E5000000}"/>
    <cellStyle name="Comma 2 2 3 3" xfId="110" xr:uid="{00000000-0005-0000-0000-0000E6000000}"/>
    <cellStyle name="Comma 2 2 3 4" xfId="1945" xr:uid="{00000000-0005-0000-0000-0000E7000000}"/>
    <cellStyle name="Comma 2 2 3 5" xfId="50" xr:uid="{00000000-0005-0000-0000-0000E8000000}"/>
    <cellStyle name="Comma 2 2 4" xfId="313" xr:uid="{00000000-0005-0000-0000-0000E9000000}"/>
    <cellStyle name="Comma 2 2 5" xfId="555" xr:uid="{00000000-0005-0000-0000-0000EA000000}"/>
    <cellStyle name="Comma 2 2 6" xfId="830" xr:uid="{00000000-0005-0000-0000-0000EB000000}"/>
    <cellStyle name="Comma 2 2 7" xfId="119" xr:uid="{00000000-0005-0000-0000-0000EC000000}"/>
    <cellStyle name="Comma 2 2 8" xfId="3574" xr:uid="{00000000-0005-0000-0000-0000ED000000}"/>
    <cellStyle name="Comma 2 3" xfId="21" xr:uid="{00000000-0005-0000-0000-0000EE000000}"/>
    <cellStyle name="Comma 2 3 2" xfId="317" xr:uid="{00000000-0005-0000-0000-0000EF000000}"/>
    <cellStyle name="Comma 2 3 2 2" xfId="2243" xr:uid="{00000000-0005-0000-0000-0000F0000000}"/>
    <cellStyle name="Comma 2 3 2 2 2" xfId="3560" xr:uid="{00000000-0005-0000-0000-0000F1000000}"/>
    <cellStyle name="Comma 2 3 2 3" xfId="2219" xr:uid="{00000000-0005-0000-0000-0000F2000000}"/>
    <cellStyle name="Comma 2 3 2 4" xfId="2003" xr:uid="{00000000-0005-0000-0000-0000F3000000}"/>
    <cellStyle name="Comma 2 3 2 4 2" xfId="3430" xr:uid="{00000000-0005-0000-0000-0000F4000000}"/>
    <cellStyle name="Comma 2 3 3" xfId="1312" xr:uid="{00000000-0005-0000-0000-0000F5000000}"/>
    <cellStyle name="Comma 2 3 3 2" xfId="2062" xr:uid="{00000000-0005-0000-0000-0000F6000000}"/>
    <cellStyle name="Comma 2 3 3 2 2" xfId="3464" xr:uid="{00000000-0005-0000-0000-0000F7000000}"/>
    <cellStyle name="Comma 2 3 3 3" xfId="2013" xr:uid="{00000000-0005-0000-0000-0000F8000000}"/>
    <cellStyle name="Comma 2 3 3 3 2" xfId="3436" xr:uid="{00000000-0005-0000-0000-0000F9000000}"/>
    <cellStyle name="Comma 2 3 3 3 3" xfId="2272" xr:uid="{00000000-0005-0000-0000-0000FA000000}"/>
    <cellStyle name="Comma 2 3 3 4" xfId="2137" xr:uid="{00000000-0005-0000-0000-0000FB000000}"/>
    <cellStyle name="Comma 2 3 3 4 2" xfId="3507" xr:uid="{00000000-0005-0000-0000-0000FC000000}"/>
    <cellStyle name="Comma 2 3 3 5" xfId="2813" xr:uid="{00000000-0005-0000-0000-0000FD000000}"/>
    <cellStyle name="Comma 2 3 3 6" xfId="2268" xr:uid="{00000000-0005-0000-0000-0000FE000000}"/>
    <cellStyle name="Comma 2 3 4" xfId="114" xr:uid="{00000000-0005-0000-0000-0000FF000000}"/>
    <cellStyle name="Comma 2 3 4 2" xfId="2203" xr:uid="{00000000-0005-0000-0000-000000010000}"/>
    <cellStyle name="Comma 2 3 4 2 2" xfId="3538" xr:uid="{00000000-0005-0000-0000-000001010000}"/>
    <cellStyle name="Comma 2 3 5" xfId="83" xr:uid="{00000000-0005-0000-0000-000002010000}"/>
    <cellStyle name="Comma 2 3 5 2" xfId="1941" xr:uid="{00000000-0005-0000-0000-000003010000}"/>
    <cellStyle name="Comma 2 3 5 3" xfId="2318" xr:uid="{00000000-0005-0000-0000-000004010000}"/>
    <cellStyle name="Comma 2 3 5 4" xfId="2282" xr:uid="{00000000-0005-0000-0000-000005010000}"/>
    <cellStyle name="Comma 2 3 6" xfId="1936" xr:uid="{00000000-0005-0000-0000-000006010000}"/>
    <cellStyle name="Comma 2 3 6 2" xfId="3387" xr:uid="{00000000-0005-0000-0000-000007010000}"/>
    <cellStyle name="Comma 2 3 7" xfId="2255" xr:uid="{00000000-0005-0000-0000-000008010000}"/>
    <cellStyle name="Comma 2 4" xfId="42" xr:uid="{00000000-0005-0000-0000-000009010000}"/>
    <cellStyle name="Comma 2 4 2" xfId="120" xr:uid="{00000000-0005-0000-0000-00000A010000}"/>
    <cellStyle name="Comma 2 4 2 2" xfId="126" xr:uid="{00000000-0005-0000-0000-00000B010000}"/>
    <cellStyle name="Comma 2 4 2 2 2" xfId="127" xr:uid="{00000000-0005-0000-0000-00000C010000}"/>
    <cellStyle name="Comma 2 4 2 2 2 2" xfId="321" xr:uid="{00000000-0005-0000-0000-00000D010000}"/>
    <cellStyle name="Comma 2 4 2 2 2 2 2" xfId="690" xr:uid="{00000000-0005-0000-0000-00000E010000}"/>
    <cellStyle name="Comma 2 4 2 2 2 3" xfId="619" xr:uid="{00000000-0005-0000-0000-00000F010000}"/>
    <cellStyle name="Comma 2 4 2 2 3" xfId="320" xr:uid="{00000000-0005-0000-0000-000010010000}"/>
    <cellStyle name="Comma 2 4 2 2 3 2" xfId="689" xr:uid="{00000000-0005-0000-0000-000011010000}"/>
    <cellStyle name="Comma 2 4 2 2 4" xfId="618" xr:uid="{00000000-0005-0000-0000-000012010000}"/>
    <cellStyle name="Comma 2 4 2 3" xfId="128" xr:uid="{00000000-0005-0000-0000-000013010000}"/>
    <cellStyle name="Comma 2 4 2 3 2" xfId="322" xr:uid="{00000000-0005-0000-0000-000014010000}"/>
    <cellStyle name="Comma 2 4 2 3 2 2" xfId="691" xr:uid="{00000000-0005-0000-0000-000015010000}"/>
    <cellStyle name="Comma 2 4 2 3 3" xfId="620" xr:uid="{00000000-0005-0000-0000-000016010000}"/>
    <cellStyle name="Comma 2 4 2 4" xfId="319" xr:uid="{00000000-0005-0000-0000-000017010000}"/>
    <cellStyle name="Comma 2 4 2 4 2" xfId="688" xr:uid="{00000000-0005-0000-0000-000018010000}"/>
    <cellStyle name="Comma 2 4 2 5" xfId="617" xr:uid="{00000000-0005-0000-0000-000019010000}"/>
    <cellStyle name="Comma 2 4 2 6" xfId="2163" xr:uid="{00000000-0005-0000-0000-00001A010000}"/>
    <cellStyle name="Comma 2 4 2 7" xfId="1987" xr:uid="{00000000-0005-0000-0000-00001B010000}"/>
    <cellStyle name="Comma 2 4 2 7 2" xfId="3418" xr:uid="{00000000-0005-0000-0000-00001C010000}"/>
    <cellStyle name="Comma 2 4 3" xfId="318" xr:uid="{00000000-0005-0000-0000-00001D010000}"/>
    <cellStyle name="Comma 2 4 3 2" xfId="687" xr:uid="{00000000-0005-0000-0000-00001E010000}"/>
    <cellStyle name="Comma 2 4 4" xfId="616" xr:uid="{00000000-0005-0000-0000-00001F010000}"/>
    <cellStyle name="Comma 2 4 5" xfId="117" xr:uid="{00000000-0005-0000-0000-000020010000}"/>
    <cellStyle name="Comma 2 4 6" xfId="58" xr:uid="{00000000-0005-0000-0000-000021010000}"/>
    <cellStyle name="Comma 2 4 7" xfId="1949" xr:uid="{00000000-0005-0000-0000-000022010000}"/>
    <cellStyle name="Comma 2 4 8" xfId="2027" xr:uid="{00000000-0005-0000-0000-000023010000}"/>
    <cellStyle name="Comma 2 4 8 2" xfId="3446" xr:uid="{00000000-0005-0000-0000-000024010000}"/>
    <cellStyle name="Comma 2 4 9" xfId="52" xr:uid="{00000000-0005-0000-0000-000025010000}"/>
    <cellStyle name="Comma 2 5" xfId="129" xr:uid="{00000000-0005-0000-0000-000026010000}"/>
    <cellStyle name="Comma 2 5 2" xfId="323" xr:uid="{00000000-0005-0000-0000-000027010000}"/>
    <cellStyle name="Comma 2 5 2 2" xfId="692" xr:uid="{00000000-0005-0000-0000-000028010000}"/>
    <cellStyle name="Comma 2 5 3" xfId="621" xr:uid="{00000000-0005-0000-0000-000029010000}"/>
    <cellStyle name="Comma 2 6" xfId="130" xr:uid="{00000000-0005-0000-0000-00002A010000}"/>
    <cellStyle name="Comma 2 6 2" xfId="131" xr:uid="{00000000-0005-0000-0000-00002B010000}"/>
    <cellStyle name="Comma 2 6 2 2" xfId="325" xr:uid="{00000000-0005-0000-0000-00002C010000}"/>
    <cellStyle name="Comma 2 6 2 2 2" xfId="694" xr:uid="{00000000-0005-0000-0000-00002D010000}"/>
    <cellStyle name="Comma 2 6 2 3" xfId="623" xr:uid="{00000000-0005-0000-0000-00002E010000}"/>
    <cellStyle name="Comma 2 6 2 4" xfId="2126" xr:uid="{00000000-0005-0000-0000-00002F010000}"/>
    <cellStyle name="Comma 2 6 2 5" xfId="1964" xr:uid="{00000000-0005-0000-0000-000030010000}"/>
    <cellStyle name="Comma 2 6 2 5 2" xfId="3403" xr:uid="{00000000-0005-0000-0000-000031010000}"/>
    <cellStyle name="Comma 2 6 3" xfId="324" xr:uid="{00000000-0005-0000-0000-000032010000}"/>
    <cellStyle name="Comma 2 6 3 2" xfId="693" xr:uid="{00000000-0005-0000-0000-000033010000}"/>
    <cellStyle name="Comma 2 6 4" xfId="622" xr:uid="{00000000-0005-0000-0000-000034010000}"/>
    <cellStyle name="Comma 2 6 5" xfId="2160" xr:uid="{00000000-0005-0000-0000-000035010000}"/>
    <cellStyle name="Comma 2 6 6" xfId="2138" xr:uid="{00000000-0005-0000-0000-000036010000}"/>
    <cellStyle name="Comma 2 6 6 2" xfId="3508" xr:uid="{00000000-0005-0000-0000-000037010000}"/>
    <cellStyle name="Comma 2 7" xfId="132" xr:uid="{00000000-0005-0000-0000-000038010000}"/>
    <cellStyle name="Comma 2 7 2" xfId="326" xr:uid="{00000000-0005-0000-0000-000039010000}"/>
    <cellStyle name="Comma 2 7 2 2" xfId="695" xr:uid="{00000000-0005-0000-0000-00003A010000}"/>
    <cellStyle name="Comma 2 7 3" xfId="624" xr:uid="{00000000-0005-0000-0000-00003B010000}"/>
    <cellStyle name="Comma 2 7 4" xfId="2053" xr:uid="{00000000-0005-0000-0000-00003C010000}"/>
    <cellStyle name="Comma 2 7 5" xfId="1916" xr:uid="{00000000-0005-0000-0000-00003D010000}"/>
    <cellStyle name="Comma 2 7 5 2" xfId="3376" xr:uid="{00000000-0005-0000-0000-00003E010000}"/>
    <cellStyle name="Comma 2 8" xfId="308" xr:uid="{00000000-0005-0000-0000-00003F010000}"/>
    <cellStyle name="Comma 2 8 2" xfId="683" xr:uid="{00000000-0005-0000-0000-000040010000}"/>
    <cellStyle name="Comma 2 8 2 2" xfId="953" xr:uid="{00000000-0005-0000-0000-000041010000}"/>
    <cellStyle name="Comma 2 8 2 2 2" xfId="1245" xr:uid="{00000000-0005-0000-0000-000042010000}"/>
    <cellStyle name="Comma 2 8 2 2 2 2" xfId="1754" xr:uid="{00000000-0005-0000-0000-000043010000}"/>
    <cellStyle name="Comma 2 8 2 2 2 2 2" xfId="3226" xr:uid="{00000000-0005-0000-0000-000044010000}"/>
    <cellStyle name="Comma 2 8 2 2 2 3" xfId="2751" xr:uid="{00000000-0005-0000-0000-000045010000}"/>
    <cellStyle name="Comma 2 8 2 2 3" xfId="1084" xr:uid="{00000000-0005-0000-0000-000046010000}"/>
    <cellStyle name="Comma 2 8 2 2 3 2" xfId="2621" xr:uid="{00000000-0005-0000-0000-000047010000}"/>
    <cellStyle name="Comma 2 8 2 2 4" xfId="1623" xr:uid="{00000000-0005-0000-0000-000048010000}"/>
    <cellStyle name="Comma 2 8 2 2 4 2" xfId="3095" xr:uid="{00000000-0005-0000-0000-000049010000}"/>
    <cellStyle name="Comma 2 8 2 2 5" xfId="1838" xr:uid="{00000000-0005-0000-0000-00004A010000}"/>
    <cellStyle name="Comma 2 8 2 2 5 2" xfId="3310" xr:uid="{00000000-0005-0000-0000-00004B010000}"/>
    <cellStyle name="Comma 2 8 2 2 6" xfId="2494" xr:uid="{00000000-0005-0000-0000-00004C010000}"/>
    <cellStyle name="Comma 2 8 2 3" xfId="1154" xr:uid="{00000000-0005-0000-0000-00004D010000}"/>
    <cellStyle name="Comma 2 8 2 3 2" xfId="1453" xr:uid="{00000000-0005-0000-0000-00004E010000}"/>
    <cellStyle name="Comma 2 8 2 3 2 2" xfId="2938" xr:uid="{00000000-0005-0000-0000-00004F010000}"/>
    <cellStyle name="Comma 2 8 2 3 3" xfId="2688" xr:uid="{00000000-0005-0000-0000-000050010000}"/>
    <cellStyle name="Comma 2 8 2 4" xfId="1021" xr:uid="{00000000-0005-0000-0000-000051010000}"/>
    <cellStyle name="Comma 2 8 2 4 2" xfId="1693" xr:uid="{00000000-0005-0000-0000-000052010000}"/>
    <cellStyle name="Comma 2 8 2 4 2 2" xfId="3165" xr:uid="{00000000-0005-0000-0000-000053010000}"/>
    <cellStyle name="Comma 2 8 2 4 3" xfId="2558" xr:uid="{00000000-0005-0000-0000-000054010000}"/>
    <cellStyle name="Comma 2 8 2 5" xfId="884" xr:uid="{00000000-0005-0000-0000-000055010000}"/>
    <cellStyle name="Comma 2 8 2 5 2" xfId="2427" xr:uid="{00000000-0005-0000-0000-000056010000}"/>
    <cellStyle name="Comma 2 8 2 6" xfId="1492" xr:uid="{00000000-0005-0000-0000-000057010000}"/>
    <cellStyle name="Comma 2 8 2 6 2" xfId="2975" xr:uid="{00000000-0005-0000-0000-000058010000}"/>
    <cellStyle name="Comma 2 8 2 7" xfId="2364" xr:uid="{00000000-0005-0000-0000-000059010000}"/>
    <cellStyle name="Comma 2 8 3" xfId="932" xr:uid="{00000000-0005-0000-0000-00005A010000}"/>
    <cellStyle name="Comma 2 8 3 2" xfId="1224" xr:uid="{00000000-0005-0000-0000-00005B010000}"/>
    <cellStyle name="Comma 2 8 3 2 2" xfId="1733" xr:uid="{00000000-0005-0000-0000-00005C010000}"/>
    <cellStyle name="Comma 2 8 3 2 2 2" xfId="3205" xr:uid="{00000000-0005-0000-0000-00005D010000}"/>
    <cellStyle name="Comma 2 8 3 2 3" xfId="2730" xr:uid="{00000000-0005-0000-0000-00005E010000}"/>
    <cellStyle name="Comma 2 8 3 3" xfId="1063" xr:uid="{00000000-0005-0000-0000-00005F010000}"/>
    <cellStyle name="Comma 2 8 3 3 2" xfId="2600" xr:uid="{00000000-0005-0000-0000-000060010000}"/>
    <cellStyle name="Comma 2 8 3 4" xfId="1369" xr:uid="{00000000-0005-0000-0000-000061010000}"/>
    <cellStyle name="Comma 2 8 3 4 2" xfId="2863" xr:uid="{00000000-0005-0000-0000-000062010000}"/>
    <cellStyle name="Comma 2 8 3 5" xfId="1817" xr:uid="{00000000-0005-0000-0000-000063010000}"/>
    <cellStyle name="Comma 2 8 3 5 2" xfId="3289" xr:uid="{00000000-0005-0000-0000-000064010000}"/>
    <cellStyle name="Comma 2 8 3 6" xfId="2473" xr:uid="{00000000-0005-0000-0000-000065010000}"/>
    <cellStyle name="Comma 2 8 4" xfId="1133" xr:uid="{00000000-0005-0000-0000-000066010000}"/>
    <cellStyle name="Comma 2 8 4 2" xfId="1541" xr:uid="{00000000-0005-0000-0000-000067010000}"/>
    <cellStyle name="Comma 2 8 4 2 2" xfId="3022" xr:uid="{00000000-0005-0000-0000-000068010000}"/>
    <cellStyle name="Comma 2 8 4 3" xfId="2667" xr:uid="{00000000-0005-0000-0000-000069010000}"/>
    <cellStyle name="Comma 2 8 5" xfId="1000" xr:uid="{00000000-0005-0000-0000-00006A010000}"/>
    <cellStyle name="Comma 2 8 5 2" xfId="1672" xr:uid="{00000000-0005-0000-0000-00006B010000}"/>
    <cellStyle name="Comma 2 8 5 2 2" xfId="3144" xr:uid="{00000000-0005-0000-0000-00006C010000}"/>
    <cellStyle name="Comma 2 8 5 3" xfId="2537" xr:uid="{00000000-0005-0000-0000-00006D010000}"/>
    <cellStyle name="Comma 2 8 6" xfId="863" xr:uid="{00000000-0005-0000-0000-00006E010000}"/>
    <cellStyle name="Comma 2 8 6 2" xfId="2406" xr:uid="{00000000-0005-0000-0000-00006F010000}"/>
    <cellStyle name="Comma 2 8 7" xfId="1471" xr:uid="{00000000-0005-0000-0000-000070010000}"/>
    <cellStyle name="Comma 2 8 7 2" xfId="2954" xr:uid="{00000000-0005-0000-0000-000071010000}"/>
    <cellStyle name="Comma 2 8 8" xfId="2343" xr:uid="{00000000-0005-0000-0000-000072010000}"/>
    <cellStyle name="Comma 2 9" xfId="312" xr:uid="{00000000-0005-0000-0000-000073010000}"/>
    <cellStyle name="Comma 2 9 2" xfId="686" xr:uid="{00000000-0005-0000-0000-000074010000}"/>
    <cellStyle name="Comma 20" xfId="817" xr:uid="{00000000-0005-0000-0000-000075010000}"/>
    <cellStyle name="Comma 21" xfId="923" xr:uid="{00000000-0005-0000-0000-000076010000}"/>
    <cellStyle name="Comma 21 2" xfId="1123" xr:uid="{00000000-0005-0000-0000-000077010000}"/>
    <cellStyle name="Comma 21 2 2" xfId="1336" xr:uid="{00000000-0005-0000-0000-000078010000}"/>
    <cellStyle name="Comma 21 2 2 2" xfId="1774" xr:uid="{00000000-0005-0000-0000-000079010000}"/>
    <cellStyle name="Comma 21 2 2 2 2" xfId="3246" xr:uid="{00000000-0005-0000-0000-00007A010000}"/>
    <cellStyle name="Comma 21 2 2 3" xfId="2835" xr:uid="{00000000-0005-0000-0000-00007B010000}"/>
    <cellStyle name="Comma 21 2 3" xfId="1534" xr:uid="{00000000-0005-0000-0000-00007C010000}"/>
    <cellStyle name="Comma 21 2 3 2" xfId="3016" xr:uid="{00000000-0005-0000-0000-00007D010000}"/>
    <cellStyle name="Comma 21 2 4" xfId="1643" xr:uid="{00000000-0005-0000-0000-00007E010000}"/>
    <cellStyle name="Comma 21 2 4 2" xfId="3115" xr:uid="{00000000-0005-0000-0000-00007F010000}"/>
    <cellStyle name="Comma 21 2 5" xfId="1858" xr:uid="{00000000-0005-0000-0000-000080010000}"/>
    <cellStyle name="Comma 21 2 5 2" xfId="3330" xr:uid="{00000000-0005-0000-0000-000081010000}"/>
    <cellStyle name="Comma 21 2 6" xfId="2660" xr:uid="{00000000-0005-0000-0000-000082010000}"/>
    <cellStyle name="Comma 21 3" xfId="1337" xr:uid="{00000000-0005-0000-0000-000083010000}"/>
    <cellStyle name="Comma 21 3 2" xfId="1388" xr:uid="{00000000-0005-0000-0000-000084010000}"/>
    <cellStyle name="Comma 21 3 2 2" xfId="2882" xr:uid="{00000000-0005-0000-0000-000085010000}"/>
    <cellStyle name="Comma 21 3 3" xfId="2836" xr:uid="{00000000-0005-0000-0000-000086010000}"/>
    <cellStyle name="Comma 21 4" xfId="1584" xr:uid="{00000000-0005-0000-0000-000087010000}"/>
    <cellStyle name="Comma 21 4 2" xfId="1713" xr:uid="{00000000-0005-0000-0000-000088010000}"/>
    <cellStyle name="Comma 21 4 2 2" xfId="3185" xr:uid="{00000000-0005-0000-0000-000089010000}"/>
    <cellStyle name="Comma 21 4 3" xfId="3060" xr:uid="{00000000-0005-0000-0000-00008A010000}"/>
    <cellStyle name="Comma 21 5" xfId="1581" xr:uid="{00000000-0005-0000-0000-00008B010000}"/>
    <cellStyle name="Comma 21 5 2" xfId="3057" xr:uid="{00000000-0005-0000-0000-00008C010000}"/>
    <cellStyle name="Comma 21 6" xfId="1796" xr:uid="{00000000-0005-0000-0000-00008D010000}"/>
    <cellStyle name="Comma 21 6 2" xfId="3268" xr:uid="{00000000-0005-0000-0000-00008E010000}"/>
    <cellStyle name="Comma 21 7" xfId="2466" xr:uid="{00000000-0005-0000-0000-00008F010000}"/>
    <cellStyle name="Comma 22" xfId="1561" xr:uid="{00000000-0005-0000-0000-000090010000}"/>
    <cellStyle name="Comma 22 2" xfId="1400" xr:uid="{00000000-0005-0000-0000-000091010000}"/>
    <cellStyle name="Comma 22 2 2" xfId="1357" xr:uid="{00000000-0005-0000-0000-000092010000}"/>
    <cellStyle name="Comma 22 2 2 2" xfId="1782" xr:uid="{00000000-0005-0000-0000-000093010000}"/>
    <cellStyle name="Comma 22 2 2 2 2" xfId="3254" xr:uid="{00000000-0005-0000-0000-000094010000}"/>
    <cellStyle name="Comma 22 2 2 3" xfId="2852" xr:uid="{00000000-0005-0000-0000-000095010000}"/>
    <cellStyle name="Comma 22 2 3" xfId="1431" xr:uid="{00000000-0005-0000-0000-000096010000}"/>
    <cellStyle name="Comma 22 2 3 2" xfId="2919" xr:uid="{00000000-0005-0000-0000-000097010000}"/>
    <cellStyle name="Comma 22 2 4" xfId="1651" xr:uid="{00000000-0005-0000-0000-000098010000}"/>
    <cellStyle name="Comma 22 2 4 2" xfId="3123" xr:uid="{00000000-0005-0000-0000-000099010000}"/>
    <cellStyle name="Comma 22 2 5" xfId="1866" xr:uid="{00000000-0005-0000-0000-00009A010000}"/>
    <cellStyle name="Comma 22 2 5 2" xfId="3338" xr:uid="{00000000-0005-0000-0000-00009B010000}"/>
    <cellStyle name="Comma 22 2 6" xfId="2894" xr:uid="{00000000-0005-0000-0000-00009C010000}"/>
    <cellStyle name="Comma 22 3" xfId="1458" xr:uid="{00000000-0005-0000-0000-00009D010000}"/>
    <cellStyle name="Comma 22 3 2" xfId="1381" xr:uid="{00000000-0005-0000-0000-00009E010000}"/>
    <cellStyle name="Comma 22 3 2 2" xfId="2875" xr:uid="{00000000-0005-0000-0000-00009F010000}"/>
    <cellStyle name="Comma 22 3 3" xfId="2943" xr:uid="{00000000-0005-0000-0000-0000A0010000}"/>
    <cellStyle name="Comma 22 4" xfId="1325" xr:uid="{00000000-0005-0000-0000-0000A1010000}"/>
    <cellStyle name="Comma 22 4 2" xfId="1721" xr:uid="{00000000-0005-0000-0000-0000A2010000}"/>
    <cellStyle name="Comma 22 4 2 2" xfId="3193" xr:uid="{00000000-0005-0000-0000-0000A3010000}"/>
    <cellStyle name="Comma 22 4 3" xfId="2825" xr:uid="{00000000-0005-0000-0000-0000A4010000}"/>
    <cellStyle name="Comma 22 5" xfId="1457" xr:uid="{00000000-0005-0000-0000-0000A5010000}"/>
    <cellStyle name="Comma 22 5 2" xfId="2942" xr:uid="{00000000-0005-0000-0000-0000A6010000}"/>
    <cellStyle name="Comma 22 6" xfId="1804" xr:uid="{00000000-0005-0000-0000-0000A7010000}"/>
    <cellStyle name="Comma 22 6 2" xfId="3276" xr:uid="{00000000-0005-0000-0000-0000A8010000}"/>
    <cellStyle name="Comma 22 7" xfId="3041" xr:uid="{00000000-0005-0000-0000-0000A9010000}"/>
    <cellStyle name="Comma 23" xfId="1327" xr:uid="{00000000-0005-0000-0000-0000AA010000}"/>
    <cellStyle name="Comma 23 2" xfId="2827" xr:uid="{00000000-0005-0000-0000-0000AB010000}"/>
    <cellStyle name="Comma 24" xfId="2289" xr:uid="{00000000-0005-0000-0000-0000AC010000}"/>
    <cellStyle name="Comma 3" xfId="18" xr:uid="{00000000-0005-0000-0000-0000AD010000}"/>
    <cellStyle name="Comma 3 2" xfId="24" xr:uid="{00000000-0005-0000-0000-0000AE010000}"/>
    <cellStyle name="Comma 3 2 2" xfId="327" xr:uid="{00000000-0005-0000-0000-0000AF010000}"/>
    <cellStyle name="Comma 3 2 2 2" xfId="467" xr:uid="{00000000-0005-0000-0000-0000B0010000}"/>
    <cellStyle name="Comma 3 2 3" xfId="466" xr:uid="{00000000-0005-0000-0000-0000B1010000}"/>
    <cellStyle name="Comma 3 2 4" xfId="831" xr:uid="{00000000-0005-0000-0000-0000B2010000}"/>
    <cellStyle name="Comma 3 2 5" xfId="133" xr:uid="{00000000-0005-0000-0000-0000B3010000}"/>
    <cellStyle name="Comma 3 3" xfId="35" xr:uid="{00000000-0005-0000-0000-0000B4010000}"/>
    <cellStyle name="Comma 3 3 2" xfId="468" xr:uid="{00000000-0005-0000-0000-0000B5010000}"/>
    <cellStyle name="Comma 3 3 2 2" xfId="2078" xr:uid="{00000000-0005-0000-0000-0000B6010000}"/>
    <cellStyle name="Comma 3 3 2 2 2" xfId="3474" xr:uid="{00000000-0005-0000-0000-0000B7010000}"/>
    <cellStyle name="Comma 3 3 2 3" xfId="1992" xr:uid="{00000000-0005-0000-0000-0000B8010000}"/>
    <cellStyle name="Comma 3 3 2 4" xfId="2105" xr:uid="{00000000-0005-0000-0000-0000B9010000}"/>
    <cellStyle name="Comma 3 3 2 4 2" xfId="3489" xr:uid="{00000000-0005-0000-0000-0000BA010000}"/>
    <cellStyle name="Comma 3 3 3" xfId="2118" xr:uid="{00000000-0005-0000-0000-0000BB010000}"/>
    <cellStyle name="Comma 3 3 3 2" xfId="1905" xr:uid="{00000000-0005-0000-0000-0000BC010000}"/>
    <cellStyle name="Comma 3 3 3 2 2" xfId="3370" xr:uid="{00000000-0005-0000-0000-0000BD010000}"/>
    <cellStyle name="Comma 3 3 3 3" xfId="3498" xr:uid="{00000000-0005-0000-0000-0000BE010000}"/>
    <cellStyle name="Comma 3 3 4" xfId="2199" xr:uid="{00000000-0005-0000-0000-0000BF010000}"/>
    <cellStyle name="Comma 3 3 4 2" xfId="3537" xr:uid="{00000000-0005-0000-0000-0000C0010000}"/>
    <cellStyle name="Comma 3 3 5" xfId="1932" xr:uid="{00000000-0005-0000-0000-0000C1010000}"/>
    <cellStyle name="Comma 3 3 6" xfId="2024" xr:uid="{00000000-0005-0000-0000-0000C2010000}"/>
    <cellStyle name="Comma 3 3 6 2" xfId="3445" xr:uid="{00000000-0005-0000-0000-0000C3010000}"/>
    <cellStyle name="Comma 3 4" xfId="33" xr:uid="{00000000-0005-0000-0000-0000C4010000}"/>
    <cellStyle name="Comma 3 4 2" xfId="465" xr:uid="{00000000-0005-0000-0000-0000C5010000}"/>
    <cellStyle name="Comma 3 4 2 2" xfId="2229" xr:uid="{00000000-0005-0000-0000-0000C6010000}"/>
    <cellStyle name="Comma 3 4 2 2 2" xfId="3552" xr:uid="{00000000-0005-0000-0000-0000C7010000}"/>
    <cellStyle name="Comma 3 4 3" xfId="2135" xr:uid="{00000000-0005-0000-0000-0000C8010000}"/>
    <cellStyle name="Comma 3 4 3 2" xfId="2025" xr:uid="{00000000-0005-0000-0000-0000C9010000}"/>
    <cellStyle name="Comma 3 4 4" xfId="2095" xr:uid="{00000000-0005-0000-0000-0000CA010000}"/>
    <cellStyle name="Comma 3 4 4 2" xfId="3482" xr:uid="{00000000-0005-0000-0000-0000CB010000}"/>
    <cellStyle name="Comma 3 5" xfId="44" xr:uid="{00000000-0005-0000-0000-0000CC010000}"/>
    <cellStyle name="Comma 3 5 2" xfId="1883" xr:uid="{00000000-0005-0000-0000-0000CD010000}"/>
    <cellStyle name="Comma 3 5 2 2" xfId="3354" xr:uid="{00000000-0005-0000-0000-0000CE010000}"/>
    <cellStyle name="Comma 3 5 3" xfId="1887" xr:uid="{00000000-0005-0000-0000-0000CF010000}"/>
    <cellStyle name="Comma 3 5 4" xfId="2236" xr:uid="{00000000-0005-0000-0000-0000D0010000}"/>
    <cellStyle name="Comma 3 5 4 2" xfId="3557" xr:uid="{00000000-0005-0000-0000-0000D1010000}"/>
    <cellStyle name="Comma 3 6" xfId="849" xr:uid="{00000000-0005-0000-0000-0000D2010000}"/>
    <cellStyle name="Comma 3 6 2" xfId="982" xr:uid="{00000000-0005-0000-0000-0000D3010000}"/>
    <cellStyle name="Comma 3 6 2 2" xfId="1274" xr:uid="{00000000-0005-0000-0000-0000D4010000}"/>
    <cellStyle name="Comma 3 6 2 2 2" xfId="2780" xr:uid="{00000000-0005-0000-0000-0000D5010000}"/>
    <cellStyle name="Comma 3 6 2 3" xfId="1113" xr:uid="{00000000-0005-0000-0000-0000D6010000}"/>
    <cellStyle name="Comma 3 6 2 3 2" xfId="2650" xr:uid="{00000000-0005-0000-0000-0000D7010000}"/>
    <cellStyle name="Comma 3 6 2 4" xfId="2523" xr:uid="{00000000-0005-0000-0000-0000D8010000}"/>
    <cellStyle name="Comma 3 6 3" xfId="1183" xr:uid="{00000000-0005-0000-0000-0000D9010000}"/>
    <cellStyle name="Comma 3 6 3 2" xfId="2717" xr:uid="{00000000-0005-0000-0000-0000DA010000}"/>
    <cellStyle name="Comma 3 6 4" xfId="1050" xr:uid="{00000000-0005-0000-0000-0000DB010000}"/>
    <cellStyle name="Comma 3 6 4 2" xfId="2587" xr:uid="{00000000-0005-0000-0000-0000DC010000}"/>
    <cellStyle name="Comma 3 6 5" xfId="913" xr:uid="{00000000-0005-0000-0000-0000DD010000}"/>
    <cellStyle name="Comma 3 6 5 2" xfId="2456" xr:uid="{00000000-0005-0000-0000-0000DE010000}"/>
    <cellStyle name="Comma 3 6 6" xfId="1520" xr:uid="{00000000-0005-0000-0000-0000DF010000}"/>
    <cellStyle name="Comma 3 6 6 2" xfId="3003" xr:uid="{00000000-0005-0000-0000-0000E0010000}"/>
    <cellStyle name="Comma 3 6 7" xfId="1907" xr:uid="{00000000-0005-0000-0000-0000E1010000}"/>
    <cellStyle name="Comma 3 6 7 2" xfId="3371" xr:uid="{00000000-0005-0000-0000-0000E2010000}"/>
    <cellStyle name="Comma 3 6 8" xfId="2393" xr:uid="{00000000-0005-0000-0000-0000E3010000}"/>
    <cellStyle name="Comma 3 7" xfId="1128" xr:uid="{00000000-0005-0000-0000-0000E4010000}"/>
    <cellStyle name="Comma 3 7 2" xfId="1662" xr:uid="{00000000-0005-0000-0000-0000E5010000}"/>
    <cellStyle name="Comma 3 7 2 2" xfId="2091" xr:uid="{00000000-0005-0000-0000-0000E6010000}"/>
    <cellStyle name="Comma 3 7 2 3" xfId="3134" xr:uid="{00000000-0005-0000-0000-0000E7010000}"/>
    <cellStyle name="Comma 3 8" xfId="1127" xr:uid="{00000000-0005-0000-0000-0000E8010000}"/>
    <cellStyle name="Comma 3 8 2" xfId="1813" xr:uid="{00000000-0005-0000-0000-0000E9010000}"/>
    <cellStyle name="Comma 3 8 2 2" xfId="3285" xr:uid="{00000000-0005-0000-0000-0000EA010000}"/>
    <cellStyle name="Comma 3 9" xfId="105" xr:uid="{00000000-0005-0000-0000-0000EB010000}"/>
    <cellStyle name="Comma 3 9 2" xfId="3568" xr:uid="{00000000-0005-0000-0000-0000EC010000}"/>
    <cellStyle name="Comma 4" xfId="22" xr:uid="{00000000-0005-0000-0000-0000ED010000}"/>
    <cellStyle name="Comma 4 10" xfId="1290" xr:uid="{00000000-0005-0000-0000-0000EE010000}"/>
    <cellStyle name="Comma 4 10 2" xfId="2794" xr:uid="{00000000-0005-0000-0000-0000EF010000}"/>
    <cellStyle name="Comma 4 11" xfId="96" xr:uid="{00000000-0005-0000-0000-0000F0010000}"/>
    <cellStyle name="Comma 4 11 2" xfId="2330" xr:uid="{00000000-0005-0000-0000-0000F1010000}"/>
    <cellStyle name="Comma 4 11 3" xfId="3571" xr:uid="{00000000-0005-0000-0000-0000F2010000}"/>
    <cellStyle name="Comma 4 12" xfId="59" xr:uid="{00000000-0005-0000-0000-0000F3010000}"/>
    <cellStyle name="Comma 4 12 2" xfId="2301" xr:uid="{00000000-0005-0000-0000-0000F4010000}"/>
    <cellStyle name="Comma 4 2" xfId="75" xr:uid="{00000000-0005-0000-0000-0000F5010000}"/>
    <cellStyle name="Comma 4 2 2" xfId="329" xr:uid="{00000000-0005-0000-0000-0000F6010000}"/>
    <cellStyle name="Comma 4 2 2 2" xfId="471" xr:uid="{00000000-0005-0000-0000-0000F7010000}"/>
    <cellStyle name="Comma 4 2 2 2 2" xfId="2224" xr:uid="{00000000-0005-0000-0000-0000F8010000}"/>
    <cellStyle name="Comma 4 2 2 2 3" xfId="1939" xr:uid="{00000000-0005-0000-0000-0000F9010000}"/>
    <cellStyle name="Comma 4 2 2 2 3 2" xfId="3390" xr:uid="{00000000-0005-0000-0000-0000FA010000}"/>
    <cellStyle name="Comma 4 2 2 3" xfId="2186" xr:uid="{00000000-0005-0000-0000-0000FB010000}"/>
    <cellStyle name="Comma 4 2 2 4" xfId="1878" xr:uid="{00000000-0005-0000-0000-0000FC010000}"/>
    <cellStyle name="Comma 4 2 2 4 2" xfId="3349" xr:uid="{00000000-0005-0000-0000-0000FD010000}"/>
    <cellStyle name="Comma 4 2 3" xfId="470" xr:uid="{00000000-0005-0000-0000-0000FE010000}"/>
    <cellStyle name="Comma 4 2 3 2" xfId="2094" xr:uid="{00000000-0005-0000-0000-0000FF010000}"/>
    <cellStyle name="Comma 4 2 3 2 2" xfId="3481" xr:uid="{00000000-0005-0000-0000-000000020000}"/>
    <cellStyle name="Comma 4 2 3 3" xfId="2043" xr:uid="{00000000-0005-0000-0000-000001020000}"/>
    <cellStyle name="Comma 4 2 3 4" xfId="2016" xr:uid="{00000000-0005-0000-0000-000002020000}"/>
    <cellStyle name="Comma 4 2 3 4 2" xfId="3438" xr:uid="{00000000-0005-0000-0000-000003020000}"/>
    <cellStyle name="Comma 4 2 4" xfId="1304" xr:uid="{00000000-0005-0000-0000-000004020000}"/>
    <cellStyle name="Comma 4 2 4 2" xfId="1999" xr:uid="{00000000-0005-0000-0000-000005020000}"/>
    <cellStyle name="Comma 4 2 4 2 2" xfId="3428" xr:uid="{00000000-0005-0000-0000-000006020000}"/>
    <cellStyle name="Comma 4 2 4 3" xfId="2806" xr:uid="{00000000-0005-0000-0000-000007020000}"/>
    <cellStyle name="Comma 4 2 5" xfId="135" xr:uid="{00000000-0005-0000-0000-000008020000}"/>
    <cellStyle name="Comma 4 2 5 2" xfId="2004" xr:uid="{00000000-0005-0000-0000-000009020000}"/>
    <cellStyle name="Comma 4 2 5 2 2" xfId="3431" xr:uid="{00000000-0005-0000-0000-00000A020000}"/>
    <cellStyle name="Comma 4 2 6" xfId="2311" xr:uid="{00000000-0005-0000-0000-00000B020000}"/>
    <cellStyle name="Comma 4 3" xfId="90" xr:uid="{00000000-0005-0000-0000-00000C020000}"/>
    <cellStyle name="Comma 4 3 2" xfId="472" xr:uid="{00000000-0005-0000-0000-00000D020000}"/>
    <cellStyle name="Comma 4 3 2 2" xfId="2058" xr:uid="{00000000-0005-0000-0000-00000E020000}"/>
    <cellStyle name="Comma 4 3 2 3" xfId="2183" xr:uid="{00000000-0005-0000-0000-00000F020000}"/>
    <cellStyle name="Comma 4 3 2 3 2" xfId="3530" xr:uid="{00000000-0005-0000-0000-000010020000}"/>
    <cellStyle name="Comma 4 3 3" xfId="1319" xr:uid="{00000000-0005-0000-0000-000011020000}"/>
    <cellStyle name="Comma 4 3 3 2" xfId="1918" xr:uid="{00000000-0005-0000-0000-000012020000}"/>
    <cellStyle name="Comma 4 3 3 2 2" xfId="3377" xr:uid="{00000000-0005-0000-0000-000013020000}"/>
    <cellStyle name="Comma 4 3 3 3" xfId="2015" xr:uid="{00000000-0005-0000-0000-000014020000}"/>
    <cellStyle name="Comma 4 3 3 4" xfId="2819" xr:uid="{00000000-0005-0000-0000-000015020000}"/>
    <cellStyle name="Comma 4 3 4" xfId="328" xr:uid="{00000000-0005-0000-0000-000016020000}"/>
    <cellStyle name="Comma 4 3 4 2" xfId="2032" xr:uid="{00000000-0005-0000-0000-000017020000}"/>
    <cellStyle name="Comma 4 3 4 2 2" xfId="3449" xr:uid="{00000000-0005-0000-0000-000018020000}"/>
    <cellStyle name="Comma 4 3 5" xfId="2324" xr:uid="{00000000-0005-0000-0000-000019020000}"/>
    <cellStyle name="Comma 4 4" xfId="469" xr:uid="{00000000-0005-0000-0000-00001A020000}"/>
    <cellStyle name="Comma 4 4 2" xfId="1921" xr:uid="{00000000-0005-0000-0000-00001B020000}"/>
    <cellStyle name="Comma 4 4 2 2" xfId="3380" xr:uid="{00000000-0005-0000-0000-00001C020000}"/>
    <cellStyle name="Comma 4 4 3" xfId="2185" xr:uid="{00000000-0005-0000-0000-00001D020000}"/>
    <cellStyle name="Comma 4 4 4" xfId="2218" xr:uid="{00000000-0005-0000-0000-00001E020000}"/>
    <cellStyle name="Comma 4 4 4 2" xfId="3547" xr:uid="{00000000-0005-0000-0000-00001F020000}"/>
    <cellStyle name="Comma 4 5" xfId="829" xr:uid="{00000000-0005-0000-0000-000020020000}"/>
    <cellStyle name="Comma 4 5 2" xfId="2241" xr:uid="{00000000-0005-0000-0000-000021020000}"/>
    <cellStyle name="Comma 4 5 3" xfId="2158" xr:uid="{00000000-0005-0000-0000-000022020000}"/>
    <cellStyle name="Comma 4 5 3 2" xfId="3518" xr:uid="{00000000-0005-0000-0000-000023020000}"/>
    <cellStyle name="Comma 4 6" xfId="134" xr:uid="{00000000-0005-0000-0000-000024020000}"/>
    <cellStyle name="Comma 4 6 2" xfId="1533" xr:uid="{00000000-0005-0000-0000-000025020000}"/>
    <cellStyle name="Comma 4 6 2 2" xfId="1728" xr:uid="{00000000-0005-0000-0000-000026020000}"/>
    <cellStyle name="Comma 4 6 2 2 2" xfId="3200" xr:uid="{00000000-0005-0000-0000-000027020000}"/>
    <cellStyle name="Comma 4 6 2 3" xfId="3015" xr:uid="{00000000-0005-0000-0000-000028020000}"/>
    <cellStyle name="Comma 4 6 3" xfId="1436" xr:uid="{00000000-0005-0000-0000-000029020000}"/>
    <cellStyle name="Comma 4 6 3 2" xfId="2144" xr:uid="{00000000-0005-0000-0000-00002A020000}"/>
    <cellStyle name="Comma 4 6 3 3" xfId="2923" xr:uid="{00000000-0005-0000-0000-00002B020000}"/>
    <cellStyle name="Comma 4 6 4" xfId="1374" xr:uid="{00000000-0005-0000-0000-00002C020000}"/>
    <cellStyle name="Comma 4 6 4 2" xfId="2868" xr:uid="{00000000-0005-0000-0000-00002D020000}"/>
    <cellStyle name="Comma 4 6 5" xfId="1811" xr:uid="{00000000-0005-0000-0000-00002E020000}"/>
    <cellStyle name="Comma 4 6 5 2" xfId="3283" xr:uid="{00000000-0005-0000-0000-00002F020000}"/>
    <cellStyle name="Comma 4 6 6" xfId="1442" xr:uid="{00000000-0005-0000-0000-000030020000}"/>
    <cellStyle name="Comma 4 6 6 2" xfId="2927" xr:uid="{00000000-0005-0000-0000-000031020000}"/>
    <cellStyle name="Comma 4 7" xfId="852" xr:uid="{00000000-0005-0000-0000-000032020000}"/>
    <cellStyle name="Comma 4 7 2" xfId="985" xr:uid="{00000000-0005-0000-0000-000033020000}"/>
    <cellStyle name="Comma 4 7 2 2" xfId="1277" xr:uid="{00000000-0005-0000-0000-000034020000}"/>
    <cellStyle name="Comma 4 7 2 2 2" xfId="2783" xr:uid="{00000000-0005-0000-0000-000035020000}"/>
    <cellStyle name="Comma 4 7 2 3" xfId="1116" xr:uid="{00000000-0005-0000-0000-000036020000}"/>
    <cellStyle name="Comma 4 7 2 3 2" xfId="2653" xr:uid="{00000000-0005-0000-0000-000037020000}"/>
    <cellStyle name="Comma 4 7 2 4" xfId="2526" xr:uid="{00000000-0005-0000-0000-000038020000}"/>
    <cellStyle name="Comma 4 7 3" xfId="1186" xr:uid="{00000000-0005-0000-0000-000039020000}"/>
    <cellStyle name="Comma 4 7 3 2" xfId="2720" xr:uid="{00000000-0005-0000-0000-00003A020000}"/>
    <cellStyle name="Comma 4 7 4" xfId="1053" xr:uid="{00000000-0005-0000-0000-00003B020000}"/>
    <cellStyle name="Comma 4 7 4 2" xfId="2590" xr:uid="{00000000-0005-0000-0000-00003C020000}"/>
    <cellStyle name="Comma 4 7 5" xfId="916" xr:uid="{00000000-0005-0000-0000-00003D020000}"/>
    <cellStyle name="Comma 4 7 5 2" xfId="2459" xr:uid="{00000000-0005-0000-0000-00003E020000}"/>
    <cellStyle name="Comma 4 7 6" xfId="1523" xr:uid="{00000000-0005-0000-0000-00003F020000}"/>
    <cellStyle name="Comma 4 7 6 2" xfId="3006" xr:uid="{00000000-0005-0000-0000-000040020000}"/>
    <cellStyle name="Comma 4 7 7" xfId="1432" xr:uid="{00000000-0005-0000-0000-000041020000}"/>
    <cellStyle name="Comma 4 7 7 2" xfId="2114" xr:uid="{00000000-0005-0000-0000-000042020000}"/>
    <cellStyle name="Comma 4 7 7 2 2" xfId="3495" xr:uid="{00000000-0005-0000-0000-000043020000}"/>
    <cellStyle name="Comma 4 7 8" xfId="2396" xr:uid="{00000000-0005-0000-0000-000044020000}"/>
    <cellStyle name="Comma 4 8" xfId="107" xr:uid="{00000000-0005-0000-0000-000045020000}"/>
    <cellStyle name="Comma 4 8 2" xfId="1441" xr:uid="{00000000-0005-0000-0000-000046020000}"/>
    <cellStyle name="Comma 4 8 2 2" xfId="2156" xr:uid="{00000000-0005-0000-0000-000047020000}"/>
    <cellStyle name="Comma 4 8 2 3" xfId="2926" xr:uid="{00000000-0005-0000-0000-000048020000}"/>
    <cellStyle name="Comma 4 9" xfId="101" xr:uid="{00000000-0005-0000-0000-000049020000}"/>
    <cellStyle name="Comma 4 9 2" xfId="2335" xr:uid="{00000000-0005-0000-0000-00004A020000}"/>
    <cellStyle name="Comma 5" xfId="27" xr:uid="{00000000-0005-0000-0000-00004B020000}"/>
    <cellStyle name="Comma 5 2" xfId="473" xr:uid="{00000000-0005-0000-0000-00004C020000}"/>
    <cellStyle name="Comma 5 2 2" xfId="2127" xr:uid="{00000000-0005-0000-0000-00004D020000}"/>
    <cellStyle name="Comma 5 2 2 2" xfId="2072" xr:uid="{00000000-0005-0000-0000-00004E020000}"/>
    <cellStyle name="Comma 5 2 2 2 2" xfId="3469" xr:uid="{00000000-0005-0000-0000-00004F020000}"/>
    <cellStyle name="Comma 5 2 2 3" xfId="3502" xr:uid="{00000000-0005-0000-0000-000050020000}"/>
    <cellStyle name="Comma 5 2 3" xfId="1989" xr:uid="{00000000-0005-0000-0000-000051020000}"/>
    <cellStyle name="Comma 5 2 3 2" xfId="2103" xr:uid="{00000000-0005-0000-0000-000052020000}"/>
    <cellStyle name="Comma 5 2 3 2 2" xfId="3487" xr:uid="{00000000-0005-0000-0000-000053020000}"/>
    <cellStyle name="Comma 5 2 3 3" xfId="3420" xr:uid="{00000000-0005-0000-0000-000054020000}"/>
    <cellStyle name="Comma 5 2 4" xfId="1898" xr:uid="{00000000-0005-0000-0000-000055020000}"/>
    <cellStyle name="Comma 5 2 4 2" xfId="3365" xr:uid="{00000000-0005-0000-0000-000056020000}"/>
    <cellStyle name="Comma 5 2 5" xfId="2177" xr:uid="{00000000-0005-0000-0000-000057020000}"/>
    <cellStyle name="Comma 5 2 6" xfId="1902" xr:uid="{00000000-0005-0000-0000-000058020000}"/>
    <cellStyle name="Comma 5 2 6 2" xfId="3368" xr:uid="{00000000-0005-0000-0000-000059020000}"/>
    <cellStyle name="Comma 5 3" xfId="833" xr:uid="{00000000-0005-0000-0000-00005A020000}"/>
    <cellStyle name="Comma 5 3 2" xfId="2222" xr:uid="{00000000-0005-0000-0000-00005B020000}"/>
    <cellStyle name="Comma 5 3 2 2" xfId="3549" xr:uid="{00000000-0005-0000-0000-00005C020000}"/>
    <cellStyle name="Comma 5 3 3" xfId="2128" xr:uid="{00000000-0005-0000-0000-00005D020000}"/>
    <cellStyle name="Comma 5 3 4" xfId="2086" xr:uid="{00000000-0005-0000-0000-00005E020000}"/>
    <cellStyle name="Comma 5 3 4 2" xfId="3477" xr:uid="{00000000-0005-0000-0000-00005F020000}"/>
    <cellStyle name="Comma 5 4" xfId="136" xr:uid="{00000000-0005-0000-0000-000060020000}"/>
    <cellStyle name="Comma 5 4 2" xfId="1993" xr:uid="{00000000-0005-0000-0000-000061020000}"/>
    <cellStyle name="Comma 5 4 2 2" xfId="3423" xr:uid="{00000000-0005-0000-0000-000062020000}"/>
    <cellStyle name="Comma 5 4 3" xfId="2090" xr:uid="{00000000-0005-0000-0000-000063020000}"/>
    <cellStyle name="Comma 5 4 4" xfId="2064" xr:uid="{00000000-0005-0000-0000-000064020000}"/>
    <cellStyle name="Comma 5 4 4 2" xfId="3466" xr:uid="{00000000-0005-0000-0000-000065020000}"/>
    <cellStyle name="Comma 5 5" xfId="854" xr:uid="{00000000-0005-0000-0000-000066020000}"/>
    <cellStyle name="Comma 5 5 2" xfId="987" xr:uid="{00000000-0005-0000-0000-000067020000}"/>
    <cellStyle name="Comma 5 5 2 2" xfId="1279" xr:uid="{00000000-0005-0000-0000-000068020000}"/>
    <cellStyle name="Comma 5 5 2 2 2" xfId="2785" xr:uid="{00000000-0005-0000-0000-000069020000}"/>
    <cellStyle name="Comma 5 5 2 3" xfId="1118" xr:uid="{00000000-0005-0000-0000-00006A020000}"/>
    <cellStyle name="Comma 5 5 2 3 2" xfId="2655" xr:uid="{00000000-0005-0000-0000-00006B020000}"/>
    <cellStyle name="Comma 5 5 2 4" xfId="2528" xr:uid="{00000000-0005-0000-0000-00006C020000}"/>
    <cellStyle name="Comma 5 5 3" xfId="1188" xr:uid="{00000000-0005-0000-0000-00006D020000}"/>
    <cellStyle name="Comma 5 5 3 2" xfId="2722" xr:uid="{00000000-0005-0000-0000-00006E020000}"/>
    <cellStyle name="Comma 5 5 4" xfId="1055" xr:uid="{00000000-0005-0000-0000-00006F020000}"/>
    <cellStyle name="Comma 5 5 4 2" xfId="2592" xr:uid="{00000000-0005-0000-0000-000070020000}"/>
    <cellStyle name="Comma 5 5 5" xfId="918" xr:uid="{00000000-0005-0000-0000-000071020000}"/>
    <cellStyle name="Comma 5 5 5 2" xfId="2461" xr:uid="{00000000-0005-0000-0000-000072020000}"/>
    <cellStyle name="Comma 5 5 6" xfId="1525" xr:uid="{00000000-0005-0000-0000-000073020000}"/>
    <cellStyle name="Comma 5 5 6 2" xfId="3008" xr:uid="{00000000-0005-0000-0000-000074020000}"/>
    <cellStyle name="Comma 5 5 7" xfId="1948" xr:uid="{00000000-0005-0000-0000-000075020000}"/>
    <cellStyle name="Comma 5 5 7 2" xfId="3396" xr:uid="{00000000-0005-0000-0000-000076020000}"/>
    <cellStyle name="Comma 5 5 8" xfId="2398" xr:uid="{00000000-0005-0000-0000-000077020000}"/>
    <cellStyle name="Comma 5 6" xfId="1295" xr:uid="{00000000-0005-0000-0000-000078020000}"/>
    <cellStyle name="Comma 5 6 2" xfId="2216" xr:uid="{00000000-0005-0000-0000-000079020000}"/>
    <cellStyle name="Comma 5 6 2 2" xfId="3546" xr:uid="{00000000-0005-0000-0000-00007A020000}"/>
    <cellStyle name="Comma 5 6 2 3" xfId="2286" xr:uid="{00000000-0005-0000-0000-00007B020000}"/>
    <cellStyle name="Comma 5 6 3" xfId="1977" xr:uid="{00000000-0005-0000-0000-00007C020000}"/>
    <cellStyle name="Comma 5 6 4" xfId="2799" xr:uid="{00000000-0005-0000-0000-00007D020000}"/>
    <cellStyle name="Comma 5 6 5" xfId="2262" xr:uid="{00000000-0005-0000-0000-00007E020000}"/>
    <cellStyle name="Comma 5 7" xfId="108" xr:uid="{00000000-0005-0000-0000-00007F020000}"/>
    <cellStyle name="Comma 5 8" xfId="66" xr:uid="{00000000-0005-0000-0000-000080020000}"/>
    <cellStyle name="Comma 5 8 2" xfId="2304" xr:uid="{00000000-0005-0000-0000-000081020000}"/>
    <cellStyle name="Comma 5 8 3" xfId="2277" xr:uid="{00000000-0005-0000-0000-000082020000}"/>
    <cellStyle name="Comma 5 9" xfId="2249" xr:uid="{00000000-0005-0000-0000-000083020000}"/>
    <cellStyle name="Comma 6" xfId="29" xr:uid="{00000000-0005-0000-0000-000084020000}"/>
    <cellStyle name="Comma 6 2" xfId="138" xr:uid="{00000000-0005-0000-0000-000085020000}"/>
    <cellStyle name="Comma 6 3" xfId="299" xr:uid="{00000000-0005-0000-0000-000086020000}"/>
    <cellStyle name="Comma 6 3 2" xfId="426" xr:uid="{00000000-0005-0000-0000-000087020000}"/>
    <cellStyle name="Comma 6 4" xfId="137" xr:uid="{00000000-0005-0000-0000-000088020000}"/>
    <cellStyle name="Comma 6 5" xfId="1930" xr:uid="{00000000-0005-0000-0000-000089020000}"/>
    <cellStyle name="Comma 6 5 2" xfId="3385" xr:uid="{00000000-0005-0000-0000-00008A020000}"/>
    <cellStyle name="Comma 6 6" xfId="2020" xr:uid="{00000000-0005-0000-0000-00008B020000}"/>
    <cellStyle name="Comma 6 7" xfId="2293" xr:uid="{00000000-0005-0000-0000-00008C020000}"/>
    <cellStyle name="Comma 7" xfId="28" xr:uid="{00000000-0005-0000-0000-00008D020000}"/>
    <cellStyle name="Comma 7 2" xfId="140" xr:uid="{00000000-0005-0000-0000-00008E020000}"/>
    <cellStyle name="Comma 7 2 2" xfId="141" xr:uid="{00000000-0005-0000-0000-00008F020000}"/>
    <cellStyle name="Comma 7 2 3" xfId="142" xr:uid="{00000000-0005-0000-0000-000090020000}"/>
    <cellStyle name="Comma 7 3" xfId="557" xr:uid="{00000000-0005-0000-0000-000091020000}"/>
    <cellStyle name="Comma 7 4" xfId="139" xr:uid="{00000000-0005-0000-0000-000092020000}"/>
    <cellStyle name="Comma 7 5" xfId="2069" xr:uid="{00000000-0005-0000-0000-000093020000}"/>
    <cellStyle name="Comma 8" xfId="38" xr:uid="{00000000-0005-0000-0000-000094020000}"/>
    <cellStyle name="Comma 8 2" xfId="144" xr:uid="{00000000-0005-0000-0000-000095020000}"/>
    <cellStyle name="Comma 8 3" xfId="558" xr:uid="{00000000-0005-0000-0000-000096020000}"/>
    <cellStyle name="Comma 8 4" xfId="143" xr:uid="{00000000-0005-0000-0000-000097020000}"/>
    <cellStyle name="Comma 8 5" xfId="1938" xr:uid="{00000000-0005-0000-0000-000098020000}"/>
    <cellStyle name="Comma 8 5 2" xfId="3389" xr:uid="{00000000-0005-0000-0000-000099020000}"/>
    <cellStyle name="Comma 8 6" xfId="2297" xr:uid="{00000000-0005-0000-0000-00009A020000}"/>
    <cellStyle name="Comma 9" xfId="145" xr:uid="{00000000-0005-0000-0000-00009B020000}"/>
    <cellStyle name="Comma 9 2" xfId="146" xr:uid="{00000000-0005-0000-0000-00009C020000}"/>
    <cellStyle name="Comma 9 3" xfId="559" xr:uid="{00000000-0005-0000-0000-00009D020000}"/>
    <cellStyle name="Comma0" xfId="147" xr:uid="{00000000-0005-0000-0000-00009E020000}"/>
    <cellStyle name="Comma0 2" xfId="330" xr:uid="{00000000-0005-0000-0000-00009F020000}"/>
    <cellStyle name="Currency" xfId="2" builtinId="4"/>
    <cellStyle name="Currency 10" xfId="428" xr:uid="{00000000-0005-0000-0000-0000A1020000}"/>
    <cellStyle name="Currency 11" xfId="540" xr:uid="{00000000-0005-0000-0000-0000A2020000}"/>
    <cellStyle name="Currency 11 2" xfId="754" xr:uid="{00000000-0005-0000-0000-0000A3020000}"/>
    <cellStyle name="Currency 11 2 2" xfId="956" xr:uid="{00000000-0005-0000-0000-0000A4020000}"/>
    <cellStyle name="Currency 11 2 2 2" xfId="1248" xr:uid="{00000000-0005-0000-0000-0000A5020000}"/>
    <cellStyle name="Currency 11 2 2 2 2" xfId="1757" xr:uid="{00000000-0005-0000-0000-0000A6020000}"/>
    <cellStyle name="Currency 11 2 2 2 2 2" xfId="3229" xr:uid="{00000000-0005-0000-0000-0000A7020000}"/>
    <cellStyle name="Currency 11 2 2 2 3" xfId="2754" xr:uid="{00000000-0005-0000-0000-0000A8020000}"/>
    <cellStyle name="Currency 11 2 2 3" xfId="1087" xr:uid="{00000000-0005-0000-0000-0000A9020000}"/>
    <cellStyle name="Currency 11 2 2 3 2" xfId="2624" xr:uid="{00000000-0005-0000-0000-0000AA020000}"/>
    <cellStyle name="Currency 11 2 2 4" xfId="1626" xr:uid="{00000000-0005-0000-0000-0000AB020000}"/>
    <cellStyle name="Currency 11 2 2 4 2" xfId="3098" xr:uid="{00000000-0005-0000-0000-0000AC020000}"/>
    <cellStyle name="Currency 11 2 2 5" xfId="1841" xr:uid="{00000000-0005-0000-0000-0000AD020000}"/>
    <cellStyle name="Currency 11 2 2 5 2" xfId="3313" xr:uid="{00000000-0005-0000-0000-0000AE020000}"/>
    <cellStyle name="Currency 11 2 2 6" xfId="2497" xr:uid="{00000000-0005-0000-0000-0000AF020000}"/>
    <cellStyle name="Currency 11 2 3" xfId="1157" xr:uid="{00000000-0005-0000-0000-0000B0020000}"/>
    <cellStyle name="Currency 11 2 3 2" xfId="1452" xr:uid="{00000000-0005-0000-0000-0000B1020000}"/>
    <cellStyle name="Currency 11 2 3 2 2" xfId="2937" xr:uid="{00000000-0005-0000-0000-0000B2020000}"/>
    <cellStyle name="Currency 11 2 3 3" xfId="2691" xr:uid="{00000000-0005-0000-0000-0000B3020000}"/>
    <cellStyle name="Currency 11 2 4" xfId="1024" xr:uid="{00000000-0005-0000-0000-0000B4020000}"/>
    <cellStyle name="Currency 11 2 4 2" xfId="1696" xr:uid="{00000000-0005-0000-0000-0000B5020000}"/>
    <cellStyle name="Currency 11 2 4 2 2" xfId="3168" xr:uid="{00000000-0005-0000-0000-0000B6020000}"/>
    <cellStyle name="Currency 11 2 4 3" xfId="2561" xr:uid="{00000000-0005-0000-0000-0000B7020000}"/>
    <cellStyle name="Currency 11 2 5" xfId="887" xr:uid="{00000000-0005-0000-0000-0000B8020000}"/>
    <cellStyle name="Currency 11 2 5 2" xfId="2430" xr:uid="{00000000-0005-0000-0000-0000B9020000}"/>
    <cellStyle name="Currency 11 2 6" xfId="1495" xr:uid="{00000000-0005-0000-0000-0000BA020000}"/>
    <cellStyle name="Currency 11 2 6 2" xfId="2978" xr:uid="{00000000-0005-0000-0000-0000BB020000}"/>
    <cellStyle name="Currency 11 2 7" xfId="2367" xr:uid="{00000000-0005-0000-0000-0000BC020000}"/>
    <cellStyle name="Currency 11 3" xfId="935" xr:uid="{00000000-0005-0000-0000-0000BD020000}"/>
    <cellStyle name="Currency 11 3 2" xfId="1227" xr:uid="{00000000-0005-0000-0000-0000BE020000}"/>
    <cellStyle name="Currency 11 3 2 2" xfId="1736" xr:uid="{00000000-0005-0000-0000-0000BF020000}"/>
    <cellStyle name="Currency 11 3 2 2 2" xfId="3208" xr:uid="{00000000-0005-0000-0000-0000C0020000}"/>
    <cellStyle name="Currency 11 3 2 3" xfId="2733" xr:uid="{00000000-0005-0000-0000-0000C1020000}"/>
    <cellStyle name="Currency 11 3 3" xfId="1066" xr:uid="{00000000-0005-0000-0000-0000C2020000}"/>
    <cellStyle name="Currency 11 3 3 2" xfId="2603" xr:uid="{00000000-0005-0000-0000-0000C3020000}"/>
    <cellStyle name="Currency 11 3 4" xfId="1605" xr:uid="{00000000-0005-0000-0000-0000C4020000}"/>
    <cellStyle name="Currency 11 3 4 2" xfId="3077" xr:uid="{00000000-0005-0000-0000-0000C5020000}"/>
    <cellStyle name="Currency 11 3 5" xfId="1820" xr:uid="{00000000-0005-0000-0000-0000C6020000}"/>
    <cellStyle name="Currency 11 3 5 2" xfId="3292" xr:uid="{00000000-0005-0000-0000-0000C7020000}"/>
    <cellStyle name="Currency 11 3 6" xfId="2476" xr:uid="{00000000-0005-0000-0000-0000C8020000}"/>
    <cellStyle name="Currency 11 4" xfId="1136" xr:uid="{00000000-0005-0000-0000-0000C9020000}"/>
    <cellStyle name="Currency 11 4 2" xfId="1580" xr:uid="{00000000-0005-0000-0000-0000CA020000}"/>
    <cellStyle name="Currency 11 4 2 2" xfId="3056" xr:uid="{00000000-0005-0000-0000-0000CB020000}"/>
    <cellStyle name="Currency 11 4 3" xfId="2670" xr:uid="{00000000-0005-0000-0000-0000CC020000}"/>
    <cellStyle name="Currency 11 5" xfId="1003" xr:uid="{00000000-0005-0000-0000-0000CD020000}"/>
    <cellStyle name="Currency 11 5 2" xfId="1675" xr:uid="{00000000-0005-0000-0000-0000CE020000}"/>
    <cellStyle name="Currency 11 5 2 2" xfId="3147" xr:uid="{00000000-0005-0000-0000-0000CF020000}"/>
    <cellStyle name="Currency 11 5 3" xfId="2540" xr:uid="{00000000-0005-0000-0000-0000D0020000}"/>
    <cellStyle name="Currency 11 6" xfId="866" xr:uid="{00000000-0005-0000-0000-0000D1020000}"/>
    <cellStyle name="Currency 11 6 2" xfId="2409" xr:uid="{00000000-0005-0000-0000-0000D2020000}"/>
    <cellStyle name="Currency 11 7" xfId="1474" xr:uid="{00000000-0005-0000-0000-0000D3020000}"/>
    <cellStyle name="Currency 11 7 2" xfId="2957" xr:uid="{00000000-0005-0000-0000-0000D4020000}"/>
    <cellStyle name="Currency 11 8" xfId="2346" xr:uid="{00000000-0005-0000-0000-0000D5020000}"/>
    <cellStyle name="Currency 12" xfId="781" xr:uid="{00000000-0005-0000-0000-0000D6020000}"/>
    <cellStyle name="Currency 13" xfId="811" xr:uid="{00000000-0005-0000-0000-0000D7020000}"/>
    <cellStyle name="Currency 14" xfId="818" xr:uid="{00000000-0005-0000-0000-0000D8020000}"/>
    <cellStyle name="Currency 15" xfId="825" xr:uid="{00000000-0005-0000-0000-0000D9020000}"/>
    <cellStyle name="Currency 16" xfId="924" xr:uid="{00000000-0005-0000-0000-0000DA020000}"/>
    <cellStyle name="Currency 16 2" xfId="1124" xr:uid="{00000000-0005-0000-0000-0000DB020000}"/>
    <cellStyle name="Currency 16 2 2" xfId="1603" xr:uid="{00000000-0005-0000-0000-0000DC020000}"/>
    <cellStyle name="Currency 16 2 2 2" xfId="1775" xr:uid="{00000000-0005-0000-0000-0000DD020000}"/>
    <cellStyle name="Currency 16 2 2 2 2" xfId="3247" xr:uid="{00000000-0005-0000-0000-0000DE020000}"/>
    <cellStyle name="Currency 16 2 2 3" xfId="3075" xr:uid="{00000000-0005-0000-0000-0000DF020000}"/>
    <cellStyle name="Currency 16 2 3" xfId="1554" xr:uid="{00000000-0005-0000-0000-0000E0020000}"/>
    <cellStyle name="Currency 16 2 3 2" xfId="3034" xr:uid="{00000000-0005-0000-0000-0000E1020000}"/>
    <cellStyle name="Currency 16 2 4" xfId="1644" xr:uid="{00000000-0005-0000-0000-0000E2020000}"/>
    <cellStyle name="Currency 16 2 4 2" xfId="3116" xr:uid="{00000000-0005-0000-0000-0000E3020000}"/>
    <cellStyle name="Currency 16 2 5" xfId="1859" xr:uid="{00000000-0005-0000-0000-0000E4020000}"/>
    <cellStyle name="Currency 16 2 5 2" xfId="3331" xr:uid="{00000000-0005-0000-0000-0000E5020000}"/>
    <cellStyle name="Currency 16 2 6" xfId="2661" xr:uid="{00000000-0005-0000-0000-0000E6020000}"/>
    <cellStyle name="Currency 16 3" xfId="1600" xr:uid="{00000000-0005-0000-0000-0000E7020000}"/>
    <cellStyle name="Currency 16 3 2" xfId="1387" xr:uid="{00000000-0005-0000-0000-0000E8020000}"/>
    <cellStyle name="Currency 16 3 2 2" xfId="2881" xr:uid="{00000000-0005-0000-0000-0000E9020000}"/>
    <cellStyle name="Currency 16 3 3" xfId="3072" xr:uid="{00000000-0005-0000-0000-0000EA020000}"/>
    <cellStyle name="Currency 16 4" xfId="1570" xr:uid="{00000000-0005-0000-0000-0000EB020000}"/>
    <cellStyle name="Currency 16 4 2" xfId="1714" xr:uid="{00000000-0005-0000-0000-0000EC020000}"/>
    <cellStyle name="Currency 16 4 2 2" xfId="3186" xr:uid="{00000000-0005-0000-0000-0000ED020000}"/>
    <cellStyle name="Currency 16 4 3" xfId="3049" xr:uid="{00000000-0005-0000-0000-0000EE020000}"/>
    <cellStyle name="Currency 16 5" xfId="1567" xr:uid="{00000000-0005-0000-0000-0000EF020000}"/>
    <cellStyle name="Currency 16 5 2" xfId="3046" xr:uid="{00000000-0005-0000-0000-0000F0020000}"/>
    <cellStyle name="Currency 16 6" xfId="1797" xr:uid="{00000000-0005-0000-0000-0000F1020000}"/>
    <cellStyle name="Currency 16 6 2" xfId="3269" xr:uid="{00000000-0005-0000-0000-0000F2020000}"/>
    <cellStyle name="Currency 16 7" xfId="2467" xr:uid="{00000000-0005-0000-0000-0000F3020000}"/>
    <cellStyle name="Currency 17" xfId="1586" xr:uid="{00000000-0005-0000-0000-0000F4020000}"/>
    <cellStyle name="Currency 17 2" xfId="1399" xr:uid="{00000000-0005-0000-0000-0000F5020000}"/>
    <cellStyle name="Currency 17 2 2" xfId="1334" xr:uid="{00000000-0005-0000-0000-0000F6020000}"/>
    <cellStyle name="Currency 17 2 2 2" xfId="1783" xr:uid="{00000000-0005-0000-0000-0000F7020000}"/>
    <cellStyle name="Currency 17 2 2 2 2" xfId="3255" xr:uid="{00000000-0005-0000-0000-0000F8020000}"/>
    <cellStyle name="Currency 17 2 2 3" xfId="2833" xr:uid="{00000000-0005-0000-0000-0000F9020000}"/>
    <cellStyle name="Currency 17 2 3" xfId="1437" xr:uid="{00000000-0005-0000-0000-0000FA020000}"/>
    <cellStyle name="Currency 17 2 3 2" xfId="2924" xr:uid="{00000000-0005-0000-0000-0000FB020000}"/>
    <cellStyle name="Currency 17 2 4" xfId="1652" xr:uid="{00000000-0005-0000-0000-0000FC020000}"/>
    <cellStyle name="Currency 17 2 4 2" xfId="3124" xr:uid="{00000000-0005-0000-0000-0000FD020000}"/>
    <cellStyle name="Currency 17 2 5" xfId="1867" xr:uid="{00000000-0005-0000-0000-0000FE020000}"/>
    <cellStyle name="Currency 17 2 5 2" xfId="3339" xr:uid="{00000000-0005-0000-0000-0000FF020000}"/>
    <cellStyle name="Currency 17 2 6" xfId="2893" xr:uid="{00000000-0005-0000-0000-000000030000}"/>
    <cellStyle name="Currency 17 3" xfId="1359" xr:uid="{00000000-0005-0000-0000-000001030000}"/>
    <cellStyle name="Currency 17 3 2" xfId="1380" xr:uid="{00000000-0005-0000-0000-000002030000}"/>
    <cellStyle name="Currency 17 3 2 2" xfId="2874" xr:uid="{00000000-0005-0000-0000-000003030000}"/>
    <cellStyle name="Currency 17 3 3" xfId="2854" xr:uid="{00000000-0005-0000-0000-000004030000}"/>
    <cellStyle name="Currency 17 4" xfId="1465" xr:uid="{00000000-0005-0000-0000-000005030000}"/>
    <cellStyle name="Currency 17 4 2" xfId="1722" xr:uid="{00000000-0005-0000-0000-000006030000}"/>
    <cellStyle name="Currency 17 4 2 2" xfId="3194" xr:uid="{00000000-0005-0000-0000-000007030000}"/>
    <cellStyle name="Currency 17 4 3" xfId="2948" xr:uid="{00000000-0005-0000-0000-000008030000}"/>
    <cellStyle name="Currency 17 5" xfId="1330" xr:uid="{00000000-0005-0000-0000-000009030000}"/>
    <cellStyle name="Currency 17 5 2" xfId="2829" xr:uid="{00000000-0005-0000-0000-00000A030000}"/>
    <cellStyle name="Currency 17 6" xfId="1805" xr:uid="{00000000-0005-0000-0000-00000B030000}"/>
    <cellStyle name="Currency 17 6 2" xfId="3277" xr:uid="{00000000-0005-0000-0000-00000C030000}"/>
    <cellStyle name="Currency 17 7" xfId="3062" xr:uid="{00000000-0005-0000-0000-00000D030000}"/>
    <cellStyle name="Currency 18" xfId="1447" xr:uid="{00000000-0005-0000-0000-00000E030000}"/>
    <cellStyle name="Currency 18 2" xfId="2932" xr:uid="{00000000-0005-0000-0000-00000F030000}"/>
    <cellStyle name="Currency 19" xfId="2290" xr:uid="{00000000-0005-0000-0000-000010030000}"/>
    <cellStyle name="Currency 2" xfId="11" xr:uid="{00000000-0005-0000-0000-000011030000}"/>
    <cellStyle name="Currency 2 10" xfId="102" xr:uid="{00000000-0005-0000-0000-000012030000}"/>
    <cellStyle name="Currency 2 10 2" xfId="1530" xr:uid="{00000000-0005-0000-0000-000013030000}"/>
    <cellStyle name="Currency 2 10 2 2" xfId="3013" xr:uid="{00000000-0005-0000-0000-000014030000}"/>
    <cellStyle name="Currency 2 10 3" xfId="2336" xr:uid="{00000000-0005-0000-0000-000015030000}"/>
    <cellStyle name="Currency 2 11" xfId="1285" xr:uid="{00000000-0005-0000-0000-000016030000}"/>
    <cellStyle name="Currency 2 11 2" xfId="1660" xr:uid="{00000000-0005-0000-0000-000017030000}"/>
    <cellStyle name="Currency 2 11 2 2" xfId="3132" xr:uid="{00000000-0005-0000-0000-000018030000}"/>
    <cellStyle name="Currency 2 11 3" xfId="2790" xr:uid="{00000000-0005-0000-0000-000019030000}"/>
    <cellStyle name="Currency 2 11 4" xfId="2259" xr:uid="{00000000-0005-0000-0000-00001A030000}"/>
    <cellStyle name="Currency 2 12" xfId="1291" xr:uid="{00000000-0005-0000-0000-00001B030000}"/>
    <cellStyle name="Currency 2 12 2" xfId="2795" xr:uid="{00000000-0005-0000-0000-00001C030000}"/>
    <cellStyle name="Currency 2 13" xfId="97" xr:uid="{00000000-0005-0000-0000-00001D030000}"/>
    <cellStyle name="Currency 2 13 2" xfId="2331" xr:uid="{00000000-0005-0000-0000-00001E030000}"/>
    <cellStyle name="Currency 2 14" xfId="60" xr:uid="{00000000-0005-0000-0000-00001F030000}"/>
    <cellStyle name="Currency 2 14 2" xfId="2302" xr:uid="{00000000-0005-0000-0000-000020030000}"/>
    <cellStyle name="Currency 2 14 3" xfId="3567" xr:uid="{00000000-0005-0000-0000-000021030000}"/>
    <cellStyle name="Currency 2 15" xfId="2000" xr:uid="{00000000-0005-0000-0000-000022030000}"/>
    <cellStyle name="Currency 2 16" xfId="46" xr:uid="{00000000-0005-0000-0000-000023030000}"/>
    <cellStyle name="Currency 2 2" xfId="76" xr:uid="{00000000-0005-0000-0000-000024030000}"/>
    <cellStyle name="Currency 2 2 10" xfId="2312" xr:uid="{00000000-0005-0000-0000-000025030000}"/>
    <cellStyle name="Currency 2 2 2" xfId="150" xr:uid="{00000000-0005-0000-0000-000026030000}"/>
    <cellStyle name="Currency 2 2 2 2" xfId="151" xr:uid="{00000000-0005-0000-0000-000027030000}"/>
    <cellStyle name="Currency 2 2 2 2 2" xfId="334" xr:uid="{00000000-0005-0000-0000-000028030000}"/>
    <cellStyle name="Currency 2 2 2 2 3" xfId="2161" xr:uid="{00000000-0005-0000-0000-000029030000}"/>
    <cellStyle name="Currency 2 2 2 2 4" xfId="2208" xr:uid="{00000000-0005-0000-0000-00002A030000}"/>
    <cellStyle name="Currency 2 2 2 2 4 2" xfId="3542" xr:uid="{00000000-0005-0000-0000-00002B030000}"/>
    <cellStyle name="Currency 2 2 2 3" xfId="333" xr:uid="{00000000-0005-0000-0000-00002C030000}"/>
    <cellStyle name="Currency 2 2 2 4" xfId="475" xr:uid="{00000000-0005-0000-0000-00002D030000}"/>
    <cellStyle name="Currency 2 2 2 5" xfId="2010" xr:uid="{00000000-0005-0000-0000-00002E030000}"/>
    <cellStyle name="Currency 2 2 2 6" xfId="1947" xr:uid="{00000000-0005-0000-0000-00002F030000}"/>
    <cellStyle name="Currency 2 2 2 6 2" xfId="3395" xr:uid="{00000000-0005-0000-0000-000030030000}"/>
    <cellStyle name="Currency 2 2 3" xfId="152" xr:uid="{00000000-0005-0000-0000-000031030000}"/>
    <cellStyle name="Currency 2 2 3 2" xfId="335" xr:uid="{00000000-0005-0000-0000-000032030000}"/>
    <cellStyle name="Currency 2 2 3 2 2" xfId="2244" xr:uid="{00000000-0005-0000-0000-000033030000}"/>
    <cellStyle name="Currency 2 2 3 2 3" xfId="1991" xr:uid="{00000000-0005-0000-0000-000034030000}"/>
    <cellStyle name="Currency 2 2 3 2 3 2" xfId="3422" xr:uid="{00000000-0005-0000-0000-000035030000}"/>
    <cellStyle name="Currency 2 2 3 3" xfId="2028" xr:uid="{00000000-0005-0000-0000-000036030000}"/>
    <cellStyle name="Currency 2 2 3 4" xfId="2035" xr:uid="{00000000-0005-0000-0000-000037030000}"/>
    <cellStyle name="Currency 2 2 3 4 2" xfId="3451" xr:uid="{00000000-0005-0000-0000-000038030000}"/>
    <cellStyle name="Currency 2 2 4" xfId="332" xr:uid="{00000000-0005-0000-0000-000039030000}"/>
    <cellStyle name="Currency 2 2 4 2" xfId="2038" xr:uid="{00000000-0005-0000-0000-00003A030000}"/>
    <cellStyle name="Currency 2 2 4 3" xfId="2226" xr:uid="{00000000-0005-0000-0000-00003B030000}"/>
    <cellStyle name="Currency 2 2 4 3 2" xfId="3550" xr:uid="{00000000-0005-0000-0000-00003C030000}"/>
    <cellStyle name="Currency 2 2 5" xfId="474" xr:uid="{00000000-0005-0000-0000-00003D030000}"/>
    <cellStyle name="Currency 2 2 6" xfId="1305" xr:uid="{00000000-0005-0000-0000-00003E030000}"/>
    <cellStyle name="Currency 2 2 6 2" xfId="1364" xr:uid="{00000000-0005-0000-0000-00003F030000}"/>
    <cellStyle name="Currency 2 2 6 2 2" xfId="1913" xr:uid="{00000000-0005-0000-0000-000040030000}"/>
    <cellStyle name="Currency 2 2 6 2 2 2" xfId="3375" xr:uid="{00000000-0005-0000-0000-000041030000}"/>
    <cellStyle name="Currency 2 2 6 3" xfId="2807" xr:uid="{00000000-0005-0000-0000-000042030000}"/>
    <cellStyle name="Currency 2 2 7" xfId="149" xr:uid="{00000000-0005-0000-0000-000043030000}"/>
    <cellStyle name="Currency 2 2 7 2" xfId="1407" xr:uid="{00000000-0005-0000-0000-000044030000}"/>
    <cellStyle name="Currency 2 2 7 2 2" xfId="2901" xr:uid="{00000000-0005-0000-0000-000045030000}"/>
    <cellStyle name="Currency 2 2 7 3" xfId="1350" xr:uid="{00000000-0005-0000-0000-000046030000}"/>
    <cellStyle name="Currency 2 2 7 3 2" xfId="2845" xr:uid="{00000000-0005-0000-0000-000047030000}"/>
    <cellStyle name="Currency 2 2 8" xfId="1666" xr:uid="{00000000-0005-0000-0000-000048030000}"/>
    <cellStyle name="Currency 2 2 8 2" xfId="3138" xr:uid="{00000000-0005-0000-0000-000049030000}"/>
    <cellStyle name="Currency 2 2 9" xfId="1792" xr:uid="{00000000-0005-0000-0000-00004A030000}"/>
    <cellStyle name="Currency 2 2 9 2" xfId="3264" xr:uid="{00000000-0005-0000-0000-00004B030000}"/>
    <cellStyle name="Currency 2 3" xfId="84" xr:uid="{00000000-0005-0000-0000-00004C030000}"/>
    <cellStyle name="Currency 2 3 2" xfId="336" xr:uid="{00000000-0005-0000-0000-00004D030000}"/>
    <cellStyle name="Currency 2 3 2 2" xfId="2209" xr:uid="{00000000-0005-0000-0000-00004E030000}"/>
    <cellStyle name="Currency 2 3 2 3" xfId="2220" xr:uid="{00000000-0005-0000-0000-00004F030000}"/>
    <cellStyle name="Currency 2 3 2 3 2" xfId="3548" xr:uid="{00000000-0005-0000-0000-000050030000}"/>
    <cellStyle name="Currency 2 3 3" xfId="476" xr:uid="{00000000-0005-0000-0000-000051030000}"/>
    <cellStyle name="Currency 2 3 4" xfId="1313" xr:uid="{00000000-0005-0000-0000-000052030000}"/>
    <cellStyle name="Currency 2 3 4 2" xfId="1969" xr:uid="{00000000-0005-0000-0000-000053030000}"/>
    <cellStyle name="Currency 2 3 4 2 2" xfId="3407" xr:uid="{00000000-0005-0000-0000-000054030000}"/>
    <cellStyle name="Currency 2 3 4 2 3" xfId="2276" xr:uid="{00000000-0005-0000-0000-000055030000}"/>
    <cellStyle name="Currency 2 3 4 3" xfId="2242" xr:uid="{00000000-0005-0000-0000-000056030000}"/>
    <cellStyle name="Currency 2 3 4 4" xfId="2814" xr:uid="{00000000-0005-0000-0000-000057030000}"/>
    <cellStyle name="Currency 2 3 4 5" xfId="2269" xr:uid="{00000000-0005-0000-0000-000058030000}"/>
    <cellStyle name="Currency 2 3 5" xfId="153" xr:uid="{00000000-0005-0000-0000-000059030000}"/>
    <cellStyle name="Currency 2 3 6" xfId="2149" xr:uid="{00000000-0005-0000-0000-00005A030000}"/>
    <cellStyle name="Currency 2 3 6 2" xfId="3515" xr:uid="{00000000-0005-0000-0000-00005B030000}"/>
    <cellStyle name="Currency 2 3 7" xfId="2319" xr:uid="{00000000-0005-0000-0000-00005C030000}"/>
    <cellStyle name="Currency 2 3 8" xfId="2256" xr:uid="{00000000-0005-0000-0000-00005D030000}"/>
    <cellStyle name="Currency 2 4" xfId="91" xr:uid="{00000000-0005-0000-0000-00005E030000}"/>
    <cellStyle name="Currency 2 4 2" xfId="155" xr:uid="{00000000-0005-0000-0000-00005F030000}"/>
    <cellStyle name="Currency 2 4 2 2" xfId="156" xr:uid="{00000000-0005-0000-0000-000060030000}"/>
    <cellStyle name="Currency 2 4 2 2 2" xfId="339" xr:uid="{00000000-0005-0000-0000-000061030000}"/>
    <cellStyle name="Currency 2 4 2 2 2 2" xfId="699" xr:uid="{00000000-0005-0000-0000-000062030000}"/>
    <cellStyle name="Currency 2 4 2 2 3" xfId="628" xr:uid="{00000000-0005-0000-0000-000063030000}"/>
    <cellStyle name="Currency 2 4 2 3" xfId="338" xr:uid="{00000000-0005-0000-0000-000064030000}"/>
    <cellStyle name="Currency 2 4 2 3 2" xfId="698" xr:uid="{00000000-0005-0000-0000-000065030000}"/>
    <cellStyle name="Currency 2 4 2 4" xfId="627" xr:uid="{00000000-0005-0000-0000-000066030000}"/>
    <cellStyle name="Currency 2 4 3" xfId="337" xr:uid="{00000000-0005-0000-0000-000067030000}"/>
    <cellStyle name="Currency 2 4 3 2" xfId="697" xr:uid="{00000000-0005-0000-0000-000068030000}"/>
    <cellStyle name="Currency 2 4 4" xfId="626" xr:uid="{00000000-0005-0000-0000-000069030000}"/>
    <cellStyle name="Currency 2 4 5" xfId="1320" xr:uid="{00000000-0005-0000-0000-00006A030000}"/>
    <cellStyle name="Currency 2 4 5 2" xfId="2820" xr:uid="{00000000-0005-0000-0000-00006B030000}"/>
    <cellStyle name="Currency 2 4 6" xfId="154" xr:uid="{00000000-0005-0000-0000-00006C030000}"/>
    <cellStyle name="Currency 2 4 6 2" xfId="1967" xr:uid="{00000000-0005-0000-0000-00006D030000}"/>
    <cellStyle name="Currency 2 4 6 2 2" xfId="3405" xr:uid="{00000000-0005-0000-0000-00006E030000}"/>
    <cellStyle name="Currency 2 4 7" xfId="2325" xr:uid="{00000000-0005-0000-0000-00006F030000}"/>
    <cellStyle name="Currency 2 5" xfId="157" xr:uid="{00000000-0005-0000-0000-000070030000}"/>
    <cellStyle name="Currency 2 5 2" xfId="158" xr:uid="{00000000-0005-0000-0000-000071030000}"/>
    <cellStyle name="Currency 2 5 2 2" xfId="341" xr:uid="{00000000-0005-0000-0000-000072030000}"/>
    <cellStyle name="Currency 2 5 2 2 2" xfId="701" xr:uid="{00000000-0005-0000-0000-000073030000}"/>
    <cellStyle name="Currency 2 5 2 3" xfId="630" xr:uid="{00000000-0005-0000-0000-000074030000}"/>
    <cellStyle name="Currency 2 5 2 4" xfId="1934" xr:uid="{00000000-0005-0000-0000-000075030000}"/>
    <cellStyle name="Currency 2 5 2 5" xfId="2031" xr:uid="{00000000-0005-0000-0000-000076030000}"/>
    <cellStyle name="Currency 2 5 2 5 2" xfId="3448" xr:uid="{00000000-0005-0000-0000-000077030000}"/>
    <cellStyle name="Currency 2 5 3" xfId="340" xr:uid="{00000000-0005-0000-0000-000078030000}"/>
    <cellStyle name="Currency 2 5 3 2" xfId="700" xr:uid="{00000000-0005-0000-0000-000079030000}"/>
    <cellStyle name="Currency 2 5 4" xfId="629" xr:uid="{00000000-0005-0000-0000-00007A030000}"/>
    <cellStyle name="Currency 2 5 5" xfId="2230" xr:uid="{00000000-0005-0000-0000-00007B030000}"/>
    <cellStyle name="Currency 2 5 6" xfId="1890" xr:uid="{00000000-0005-0000-0000-00007C030000}"/>
    <cellStyle name="Currency 2 5 6 2" xfId="3359" xr:uid="{00000000-0005-0000-0000-00007D030000}"/>
    <cellStyle name="Currency 2 6" xfId="331" xr:uid="{00000000-0005-0000-0000-00007E030000}"/>
    <cellStyle name="Currency 2 6 2" xfId="696" xr:uid="{00000000-0005-0000-0000-00007F030000}"/>
    <cellStyle name="Currency 2 6 3" xfId="2225" xr:uid="{00000000-0005-0000-0000-000080030000}"/>
    <cellStyle name="Currency 2 6 4" xfId="1944" xr:uid="{00000000-0005-0000-0000-000081030000}"/>
    <cellStyle name="Currency 2 6 4 2" xfId="3394" xr:uid="{00000000-0005-0000-0000-000082030000}"/>
    <cellStyle name="Currency 2 7" xfId="625" xr:uid="{00000000-0005-0000-0000-000083030000}"/>
    <cellStyle name="Currency 2 7 2" xfId="1951" xr:uid="{00000000-0005-0000-0000-000084030000}"/>
    <cellStyle name="Currency 2 7 3" xfId="2101" xr:uid="{00000000-0005-0000-0000-000085030000}"/>
    <cellStyle name="Currency 2 7 3 2" xfId="3485" xr:uid="{00000000-0005-0000-0000-000086030000}"/>
    <cellStyle name="Currency 2 8" xfId="842" xr:uid="{00000000-0005-0000-0000-000087030000}"/>
    <cellStyle name="Currency 2 8 2" xfId="975" xr:uid="{00000000-0005-0000-0000-000088030000}"/>
    <cellStyle name="Currency 2 8 2 2" xfId="1267" xr:uid="{00000000-0005-0000-0000-000089030000}"/>
    <cellStyle name="Currency 2 8 2 2 2" xfId="2773" xr:uid="{00000000-0005-0000-0000-00008A030000}"/>
    <cellStyle name="Currency 2 8 2 3" xfId="1106" xr:uid="{00000000-0005-0000-0000-00008B030000}"/>
    <cellStyle name="Currency 2 8 2 3 2" xfId="2643" xr:uid="{00000000-0005-0000-0000-00008C030000}"/>
    <cellStyle name="Currency 2 8 2 4" xfId="2516" xr:uid="{00000000-0005-0000-0000-00008D030000}"/>
    <cellStyle name="Currency 2 8 3" xfId="1176" xr:uid="{00000000-0005-0000-0000-00008E030000}"/>
    <cellStyle name="Currency 2 8 3 2" xfId="2710" xr:uid="{00000000-0005-0000-0000-00008F030000}"/>
    <cellStyle name="Currency 2 8 4" xfId="1043" xr:uid="{00000000-0005-0000-0000-000090030000}"/>
    <cellStyle name="Currency 2 8 4 2" xfId="2580" xr:uid="{00000000-0005-0000-0000-000091030000}"/>
    <cellStyle name="Currency 2 8 5" xfId="906" xr:uid="{00000000-0005-0000-0000-000092030000}"/>
    <cellStyle name="Currency 2 8 5 2" xfId="2449" xr:uid="{00000000-0005-0000-0000-000093030000}"/>
    <cellStyle name="Currency 2 8 6" xfId="1513" xr:uid="{00000000-0005-0000-0000-000094030000}"/>
    <cellStyle name="Currency 2 8 6 2" xfId="2996" xr:uid="{00000000-0005-0000-0000-000095030000}"/>
    <cellStyle name="Currency 2 8 7" xfId="1439" xr:uid="{00000000-0005-0000-0000-000096030000}"/>
    <cellStyle name="Currency 2 8 7 2" xfId="2173" xr:uid="{00000000-0005-0000-0000-000097030000}"/>
    <cellStyle name="Currency 2 8 7 2 2" xfId="3524" xr:uid="{00000000-0005-0000-0000-000098030000}"/>
    <cellStyle name="Currency 2 8 8" xfId="2386" xr:uid="{00000000-0005-0000-0000-000099030000}"/>
    <cellStyle name="Currency 2 9" xfId="148" xr:uid="{00000000-0005-0000-0000-00009A030000}"/>
    <cellStyle name="Currency 2 9 2" xfId="1576" xr:uid="{00000000-0005-0000-0000-00009B030000}"/>
    <cellStyle name="Currency 2 9 2 2" xfId="1729" xr:uid="{00000000-0005-0000-0000-00009C030000}"/>
    <cellStyle name="Currency 2 9 2 2 2" xfId="3201" xr:uid="{00000000-0005-0000-0000-00009D030000}"/>
    <cellStyle name="Currency 2 9 2 3" xfId="1906" xr:uid="{00000000-0005-0000-0000-00009E030000}"/>
    <cellStyle name="Currency 2 9 2 4" xfId="3053" xr:uid="{00000000-0005-0000-0000-00009F030000}"/>
    <cellStyle name="Currency 2 9 3" xfId="1459" xr:uid="{00000000-0005-0000-0000-0000A0030000}"/>
    <cellStyle name="Currency 2 9 3 2" xfId="2944" xr:uid="{00000000-0005-0000-0000-0000A1030000}"/>
    <cellStyle name="Currency 2 9 4" xfId="1373" xr:uid="{00000000-0005-0000-0000-0000A2030000}"/>
    <cellStyle name="Currency 2 9 4 2" xfId="2867" xr:uid="{00000000-0005-0000-0000-0000A3030000}"/>
    <cellStyle name="Currency 2 9 5" xfId="1812" xr:uid="{00000000-0005-0000-0000-0000A4030000}"/>
    <cellStyle name="Currency 2 9 5 2" xfId="3284" xr:uid="{00000000-0005-0000-0000-0000A5030000}"/>
    <cellStyle name="Currency 2 9 6" xfId="1341" xr:uid="{00000000-0005-0000-0000-0000A6030000}"/>
    <cellStyle name="Currency 2 9 6 2" xfId="2840" xr:uid="{00000000-0005-0000-0000-0000A7030000}"/>
    <cellStyle name="Currency 3" xfId="14" xr:uid="{00000000-0005-0000-0000-0000A8030000}"/>
    <cellStyle name="Currency 3 10" xfId="2120" xr:uid="{00000000-0005-0000-0000-0000A9030000}"/>
    <cellStyle name="Currency 3 11" xfId="2250" xr:uid="{00000000-0005-0000-0000-0000AA030000}"/>
    <cellStyle name="Currency 3 2" xfId="160" xr:uid="{00000000-0005-0000-0000-0000AB030000}"/>
    <cellStyle name="Currency 3 2 2" xfId="343" xr:uid="{00000000-0005-0000-0000-0000AC030000}"/>
    <cellStyle name="Currency 3 2 2 2" xfId="702" xr:uid="{00000000-0005-0000-0000-0000AD030000}"/>
    <cellStyle name="Currency 3 2 2 2 2" xfId="2079" xr:uid="{00000000-0005-0000-0000-0000AE030000}"/>
    <cellStyle name="Currency 3 2 2 2 3" xfId="2108" xr:uid="{00000000-0005-0000-0000-0000AF030000}"/>
    <cellStyle name="Currency 3 2 2 2 3 2" xfId="3491" xr:uid="{00000000-0005-0000-0000-0000B0030000}"/>
    <cellStyle name="Currency 3 2 2 3" xfId="2096" xr:uid="{00000000-0005-0000-0000-0000B1030000}"/>
    <cellStyle name="Currency 3 2 2 4" xfId="2017" xr:uid="{00000000-0005-0000-0000-0000B2030000}"/>
    <cellStyle name="Currency 3 2 2 4 2" xfId="3439" xr:uid="{00000000-0005-0000-0000-0000B3030000}"/>
    <cellStyle name="Currency 3 2 3" xfId="631" xr:uid="{00000000-0005-0000-0000-0000B4030000}"/>
    <cellStyle name="Currency 3 2 3 2" xfId="2012" xr:uid="{00000000-0005-0000-0000-0000B5030000}"/>
    <cellStyle name="Currency 3 2 3 2 2" xfId="3435" xr:uid="{00000000-0005-0000-0000-0000B6030000}"/>
    <cellStyle name="Currency 3 2 3 3" xfId="2067" xr:uid="{00000000-0005-0000-0000-0000B7030000}"/>
    <cellStyle name="Currency 3 2 3 4" xfId="1895" xr:uid="{00000000-0005-0000-0000-0000B8030000}"/>
    <cellStyle name="Currency 3 2 3 4 2" xfId="3363" xr:uid="{00000000-0005-0000-0000-0000B9030000}"/>
    <cellStyle name="Currency 3 2 4" xfId="2211" xr:uid="{00000000-0005-0000-0000-0000BA030000}"/>
    <cellStyle name="Currency 3 2 4 2" xfId="3543" xr:uid="{00000000-0005-0000-0000-0000BB030000}"/>
    <cellStyle name="Currency 3 2 5" xfId="1966" xr:uid="{00000000-0005-0000-0000-0000BC030000}"/>
    <cellStyle name="Currency 3 2 6" xfId="1931" xr:uid="{00000000-0005-0000-0000-0000BD030000}"/>
    <cellStyle name="Currency 3 2 6 2" xfId="3386" xr:uid="{00000000-0005-0000-0000-0000BE030000}"/>
    <cellStyle name="Currency 3 3" xfId="161" xr:uid="{00000000-0005-0000-0000-0000BF030000}"/>
    <cellStyle name="Currency 3 3 2" xfId="344" xr:uid="{00000000-0005-0000-0000-0000C0030000}"/>
    <cellStyle name="Currency 3 3 2 2" xfId="1980" xr:uid="{00000000-0005-0000-0000-0000C1030000}"/>
    <cellStyle name="Currency 3 3 2 3" xfId="2023" xr:uid="{00000000-0005-0000-0000-0000C2030000}"/>
    <cellStyle name="Currency 3 3 2 3 2" xfId="3444" xr:uid="{00000000-0005-0000-0000-0000C3030000}"/>
    <cellStyle name="Currency 3 3 3" xfId="1983" xr:uid="{00000000-0005-0000-0000-0000C4030000}"/>
    <cellStyle name="Currency 3 3 4" xfId="1893" xr:uid="{00000000-0005-0000-0000-0000C5030000}"/>
    <cellStyle name="Currency 3 3 4 2" xfId="3362" xr:uid="{00000000-0005-0000-0000-0000C6030000}"/>
    <cellStyle name="Currency 3 4" xfId="307" xr:uid="{00000000-0005-0000-0000-0000C7030000}"/>
    <cellStyle name="Currency 3 4 2" xfId="682" xr:uid="{00000000-0005-0000-0000-0000C8030000}"/>
    <cellStyle name="Currency 3 4 2 2" xfId="952" xr:uid="{00000000-0005-0000-0000-0000C9030000}"/>
    <cellStyle name="Currency 3 4 2 2 2" xfId="1244" xr:uid="{00000000-0005-0000-0000-0000CA030000}"/>
    <cellStyle name="Currency 3 4 2 2 2 2" xfId="1753" xr:uid="{00000000-0005-0000-0000-0000CB030000}"/>
    <cellStyle name="Currency 3 4 2 2 2 2 2" xfId="3225" xr:uid="{00000000-0005-0000-0000-0000CC030000}"/>
    <cellStyle name="Currency 3 4 2 2 2 3" xfId="2750" xr:uid="{00000000-0005-0000-0000-0000CD030000}"/>
    <cellStyle name="Currency 3 4 2 2 3" xfId="1083" xr:uid="{00000000-0005-0000-0000-0000CE030000}"/>
    <cellStyle name="Currency 3 4 2 2 3 2" xfId="2620" xr:uid="{00000000-0005-0000-0000-0000CF030000}"/>
    <cellStyle name="Currency 3 4 2 2 4" xfId="1622" xr:uid="{00000000-0005-0000-0000-0000D0030000}"/>
    <cellStyle name="Currency 3 4 2 2 4 2" xfId="3094" xr:uid="{00000000-0005-0000-0000-0000D1030000}"/>
    <cellStyle name="Currency 3 4 2 2 5" xfId="1837" xr:uid="{00000000-0005-0000-0000-0000D2030000}"/>
    <cellStyle name="Currency 3 4 2 2 5 2" xfId="3309" xr:uid="{00000000-0005-0000-0000-0000D3030000}"/>
    <cellStyle name="Currency 3 4 2 2 6" xfId="2493" xr:uid="{00000000-0005-0000-0000-0000D4030000}"/>
    <cellStyle name="Currency 3 4 2 3" xfId="1153" xr:uid="{00000000-0005-0000-0000-0000D5030000}"/>
    <cellStyle name="Currency 3 4 2 3 2" xfId="1347" xr:uid="{00000000-0005-0000-0000-0000D6030000}"/>
    <cellStyle name="Currency 3 4 2 3 2 2" xfId="2842" xr:uid="{00000000-0005-0000-0000-0000D7030000}"/>
    <cellStyle name="Currency 3 4 2 3 3" xfId="2687" xr:uid="{00000000-0005-0000-0000-0000D8030000}"/>
    <cellStyle name="Currency 3 4 2 4" xfId="1020" xr:uid="{00000000-0005-0000-0000-0000D9030000}"/>
    <cellStyle name="Currency 3 4 2 4 2" xfId="1692" xr:uid="{00000000-0005-0000-0000-0000DA030000}"/>
    <cellStyle name="Currency 3 4 2 4 2 2" xfId="3164" xr:uid="{00000000-0005-0000-0000-0000DB030000}"/>
    <cellStyle name="Currency 3 4 2 4 3" xfId="2557" xr:uid="{00000000-0005-0000-0000-0000DC030000}"/>
    <cellStyle name="Currency 3 4 2 5" xfId="883" xr:uid="{00000000-0005-0000-0000-0000DD030000}"/>
    <cellStyle name="Currency 3 4 2 5 2" xfId="2426" xr:uid="{00000000-0005-0000-0000-0000DE030000}"/>
    <cellStyle name="Currency 3 4 2 6" xfId="1491" xr:uid="{00000000-0005-0000-0000-0000DF030000}"/>
    <cellStyle name="Currency 3 4 2 6 2" xfId="2974" xr:uid="{00000000-0005-0000-0000-0000E0030000}"/>
    <cellStyle name="Currency 3 4 2 7" xfId="2363" xr:uid="{00000000-0005-0000-0000-0000E1030000}"/>
    <cellStyle name="Currency 3 4 3" xfId="931" xr:uid="{00000000-0005-0000-0000-0000E2030000}"/>
    <cellStyle name="Currency 3 4 3 2" xfId="1223" xr:uid="{00000000-0005-0000-0000-0000E3030000}"/>
    <cellStyle name="Currency 3 4 3 2 2" xfId="1732" xr:uid="{00000000-0005-0000-0000-0000E4030000}"/>
    <cellStyle name="Currency 3 4 3 2 2 2" xfId="3204" xr:uid="{00000000-0005-0000-0000-0000E5030000}"/>
    <cellStyle name="Currency 3 4 3 2 3" xfId="2729" xr:uid="{00000000-0005-0000-0000-0000E6030000}"/>
    <cellStyle name="Currency 3 4 3 3" xfId="1062" xr:uid="{00000000-0005-0000-0000-0000E7030000}"/>
    <cellStyle name="Currency 3 4 3 3 2" xfId="2599" xr:uid="{00000000-0005-0000-0000-0000E8030000}"/>
    <cellStyle name="Currency 3 4 3 4" xfId="1370" xr:uid="{00000000-0005-0000-0000-0000E9030000}"/>
    <cellStyle name="Currency 3 4 3 4 2" xfId="2864" xr:uid="{00000000-0005-0000-0000-0000EA030000}"/>
    <cellStyle name="Currency 3 4 3 5" xfId="1816" xr:uid="{00000000-0005-0000-0000-0000EB030000}"/>
    <cellStyle name="Currency 3 4 3 5 2" xfId="3288" xr:uid="{00000000-0005-0000-0000-0000EC030000}"/>
    <cellStyle name="Currency 3 4 3 6" xfId="2472" xr:uid="{00000000-0005-0000-0000-0000ED030000}"/>
    <cellStyle name="Currency 3 4 4" xfId="1132" xr:uid="{00000000-0005-0000-0000-0000EE030000}"/>
    <cellStyle name="Currency 3 4 4 2" xfId="1587" xr:uid="{00000000-0005-0000-0000-0000EF030000}"/>
    <cellStyle name="Currency 3 4 4 2 2" xfId="3063" xr:uid="{00000000-0005-0000-0000-0000F0030000}"/>
    <cellStyle name="Currency 3 4 4 3" xfId="2666" xr:uid="{00000000-0005-0000-0000-0000F1030000}"/>
    <cellStyle name="Currency 3 4 5" xfId="999" xr:uid="{00000000-0005-0000-0000-0000F2030000}"/>
    <cellStyle name="Currency 3 4 5 2" xfId="1671" xr:uid="{00000000-0005-0000-0000-0000F3030000}"/>
    <cellStyle name="Currency 3 4 5 2 2" xfId="3143" xr:uid="{00000000-0005-0000-0000-0000F4030000}"/>
    <cellStyle name="Currency 3 4 5 3" xfId="2536" xr:uid="{00000000-0005-0000-0000-0000F5030000}"/>
    <cellStyle name="Currency 3 4 6" xfId="862" xr:uid="{00000000-0005-0000-0000-0000F6030000}"/>
    <cellStyle name="Currency 3 4 6 2" xfId="2405" xr:uid="{00000000-0005-0000-0000-0000F7030000}"/>
    <cellStyle name="Currency 3 4 7" xfId="1470" xr:uid="{00000000-0005-0000-0000-0000F8030000}"/>
    <cellStyle name="Currency 3 4 7 2" xfId="2953" xr:uid="{00000000-0005-0000-0000-0000F9030000}"/>
    <cellStyle name="Currency 3 4 8" xfId="2342" xr:uid="{00000000-0005-0000-0000-0000FA030000}"/>
    <cellStyle name="Currency 3 5" xfId="342" xr:uid="{00000000-0005-0000-0000-0000FB030000}"/>
    <cellStyle name="Currency 3 5 2" xfId="1885" xr:uid="{00000000-0005-0000-0000-0000FC030000}"/>
    <cellStyle name="Currency 3 5 3" xfId="2164" xr:uid="{00000000-0005-0000-0000-0000FD030000}"/>
    <cellStyle name="Currency 3 5 3 2" xfId="3520" xr:uid="{00000000-0005-0000-0000-0000FE030000}"/>
    <cellStyle name="Currency 3 6" xfId="848" xr:uid="{00000000-0005-0000-0000-0000FF030000}"/>
    <cellStyle name="Currency 3 6 2" xfId="981" xr:uid="{00000000-0005-0000-0000-000000040000}"/>
    <cellStyle name="Currency 3 6 2 2" xfId="1273" xr:uid="{00000000-0005-0000-0000-000001040000}"/>
    <cellStyle name="Currency 3 6 2 2 2" xfId="2779" xr:uid="{00000000-0005-0000-0000-000002040000}"/>
    <cellStyle name="Currency 3 6 2 3" xfId="1112" xr:uid="{00000000-0005-0000-0000-000003040000}"/>
    <cellStyle name="Currency 3 6 2 3 2" xfId="2649" xr:uid="{00000000-0005-0000-0000-000004040000}"/>
    <cellStyle name="Currency 3 6 2 4" xfId="2522" xr:uid="{00000000-0005-0000-0000-000005040000}"/>
    <cellStyle name="Currency 3 6 3" xfId="1182" xr:uid="{00000000-0005-0000-0000-000006040000}"/>
    <cellStyle name="Currency 3 6 3 2" xfId="2716" xr:uid="{00000000-0005-0000-0000-000007040000}"/>
    <cellStyle name="Currency 3 6 4" xfId="1049" xr:uid="{00000000-0005-0000-0000-000008040000}"/>
    <cellStyle name="Currency 3 6 4 2" xfId="2586" xr:uid="{00000000-0005-0000-0000-000009040000}"/>
    <cellStyle name="Currency 3 6 5" xfId="912" xr:uid="{00000000-0005-0000-0000-00000A040000}"/>
    <cellStyle name="Currency 3 6 5 2" xfId="2455" xr:uid="{00000000-0005-0000-0000-00000B040000}"/>
    <cellStyle name="Currency 3 6 6" xfId="1519" xr:uid="{00000000-0005-0000-0000-00000C040000}"/>
    <cellStyle name="Currency 3 6 6 2" xfId="3002" xr:uid="{00000000-0005-0000-0000-00000D040000}"/>
    <cellStyle name="Currency 3 6 7" xfId="1438" xr:uid="{00000000-0005-0000-0000-00000E040000}"/>
    <cellStyle name="Currency 3 6 7 2" xfId="2100" xr:uid="{00000000-0005-0000-0000-00000F040000}"/>
    <cellStyle name="Currency 3 6 7 2 2" xfId="3484" xr:uid="{00000000-0005-0000-0000-000010040000}"/>
    <cellStyle name="Currency 3 6 8" xfId="2392" xr:uid="{00000000-0005-0000-0000-000011040000}"/>
    <cellStyle name="Currency 3 7" xfId="1296" xr:uid="{00000000-0005-0000-0000-000012040000}"/>
    <cellStyle name="Currency 3 7 2" xfId="1540" xr:uid="{00000000-0005-0000-0000-000013040000}"/>
    <cellStyle name="Currency 3 7 2 2" xfId="2029" xr:uid="{00000000-0005-0000-0000-000014040000}"/>
    <cellStyle name="Currency 3 7 2 2 2" xfId="3447" xr:uid="{00000000-0005-0000-0000-000015040000}"/>
    <cellStyle name="Currency 3 7 2 2 3" xfId="2274" xr:uid="{00000000-0005-0000-0000-000016040000}"/>
    <cellStyle name="Currency 3 7 2 3" xfId="3021" xr:uid="{00000000-0005-0000-0000-000017040000}"/>
    <cellStyle name="Currency 3 7 3" xfId="2800" xr:uid="{00000000-0005-0000-0000-000018040000}"/>
    <cellStyle name="Currency 3 7 4" xfId="2263" xr:uid="{00000000-0005-0000-0000-000019040000}"/>
    <cellStyle name="Currency 3 8" xfId="159" xr:uid="{00000000-0005-0000-0000-00001A040000}"/>
    <cellStyle name="Currency 3 8 2" xfId="1663" xr:uid="{00000000-0005-0000-0000-00001B040000}"/>
    <cellStyle name="Currency 3 8 2 2" xfId="3135" xr:uid="{00000000-0005-0000-0000-00001C040000}"/>
    <cellStyle name="Currency 3 9" xfId="67" xr:uid="{00000000-0005-0000-0000-00001D040000}"/>
    <cellStyle name="Currency 3 9 2" xfId="2305" xr:uid="{00000000-0005-0000-0000-00001E040000}"/>
    <cellStyle name="Currency 3 9 3" xfId="2275" xr:uid="{00000000-0005-0000-0000-00001F040000}"/>
    <cellStyle name="Currency 3 9 3 2" xfId="3563" xr:uid="{00000000-0005-0000-0000-000020040000}"/>
    <cellStyle name="Currency 4" xfId="31" xr:uid="{00000000-0005-0000-0000-000021040000}"/>
    <cellStyle name="Currency 4 2" xfId="345" xr:uid="{00000000-0005-0000-0000-000022040000}"/>
    <cellStyle name="Currency 4 2 2" xfId="1982" xr:uid="{00000000-0005-0000-0000-000023040000}"/>
    <cellStyle name="Currency 4 2 2 2" xfId="2001" xr:uid="{00000000-0005-0000-0000-000024040000}"/>
    <cellStyle name="Currency 4 2 2 2 2" xfId="3429" xr:uid="{00000000-0005-0000-0000-000025040000}"/>
    <cellStyle name="Currency 4 2 2 3" xfId="3415" xr:uid="{00000000-0005-0000-0000-000026040000}"/>
    <cellStyle name="Currency 4 2 3" xfId="1961" xr:uid="{00000000-0005-0000-0000-000027040000}"/>
    <cellStyle name="Currency 4 2 3 2" xfId="1968" xr:uid="{00000000-0005-0000-0000-000028040000}"/>
    <cellStyle name="Currency 4 2 3 2 2" xfId="3406" xr:uid="{00000000-0005-0000-0000-000029040000}"/>
    <cellStyle name="Currency 4 2 3 3" xfId="3401" xr:uid="{00000000-0005-0000-0000-00002A040000}"/>
    <cellStyle name="Currency 4 2 4" xfId="2168" xr:uid="{00000000-0005-0000-0000-00002B040000}"/>
    <cellStyle name="Currency 4 2 4 2" xfId="3522" xr:uid="{00000000-0005-0000-0000-00002C040000}"/>
    <cellStyle name="Currency 4 2 5" xfId="1929" xr:uid="{00000000-0005-0000-0000-00002D040000}"/>
    <cellStyle name="Currency 4 2 6" xfId="2066" xr:uid="{00000000-0005-0000-0000-00002E040000}"/>
    <cellStyle name="Currency 4 2 6 2" xfId="3467" xr:uid="{00000000-0005-0000-0000-00002F040000}"/>
    <cellStyle name="Currency 4 3" xfId="477" xr:uid="{00000000-0005-0000-0000-000030040000}"/>
    <cellStyle name="Currency 4 3 2" xfId="2054" xr:uid="{00000000-0005-0000-0000-000031040000}"/>
    <cellStyle name="Currency 4 3 2 2" xfId="3459" xr:uid="{00000000-0005-0000-0000-000032040000}"/>
    <cellStyle name="Currency 4 3 3" xfId="2110" xr:uid="{00000000-0005-0000-0000-000033040000}"/>
    <cellStyle name="Currency 4 3 4" xfId="2019" xr:uid="{00000000-0005-0000-0000-000034040000}"/>
    <cellStyle name="Currency 4 3 4 2" xfId="3441" xr:uid="{00000000-0005-0000-0000-000035040000}"/>
    <cellStyle name="Currency 4 4" xfId="851" xr:uid="{00000000-0005-0000-0000-000036040000}"/>
    <cellStyle name="Currency 4 4 2" xfId="984" xr:uid="{00000000-0005-0000-0000-000037040000}"/>
    <cellStyle name="Currency 4 4 2 2" xfId="1276" xr:uid="{00000000-0005-0000-0000-000038040000}"/>
    <cellStyle name="Currency 4 4 2 2 2" xfId="2782" xr:uid="{00000000-0005-0000-0000-000039040000}"/>
    <cellStyle name="Currency 4 4 2 3" xfId="1115" xr:uid="{00000000-0005-0000-0000-00003A040000}"/>
    <cellStyle name="Currency 4 4 2 3 2" xfId="2652" xr:uid="{00000000-0005-0000-0000-00003B040000}"/>
    <cellStyle name="Currency 4 4 2 4" xfId="1891" xr:uid="{00000000-0005-0000-0000-00003C040000}"/>
    <cellStyle name="Currency 4 4 2 4 2" xfId="3360" xr:uid="{00000000-0005-0000-0000-00003D040000}"/>
    <cellStyle name="Currency 4 4 2 5" xfId="2525" xr:uid="{00000000-0005-0000-0000-00003E040000}"/>
    <cellStyle name="Currency 4 4 3" xfId="1185" xr:uid="{00000000-0005-0000-0000-00003F040000}"/>
    <cellStyle name="Currency 4 4 3 2" xfId="2719" xr:uid="{00000000-0005-0000-0000-000040040000}"/>
    <cellStyle name="Currency 4 4 4" xfId="1052" xr:uid="{00000000-0005-0000-0000-000041040000}"/>
    <cellStyle name="Currency 4 4 4 2" xfId="2589" xr:uid="{00000000-0005-0000-0000-000042040000}"/>
    <cellStyle name="Currency 4 4 5" xfId="915" xr:uid="{00000000-0005-0000-0000-000043040000}"/>
    <cellStyle name="Currency 4 4 5 2" xfId="2458" xr:uid="{00000000-0005-0000-0000-000044040000}"/>
    <cellStyle name="Currency 4 4 6" xfId="1522" xr:uid="{00000000-0005-0000-0000-000045040000}"/>
    <cellStyle name="Currency 4 4 6 2" xfId="3005" xr:uid="{00000000-0005-0000-0000-000046040000}"/>
    <cellStyle name="Currency 4 4 7" xfId="2063" xr:uid="{00000000-0005-0000-0000-000047040000}"/>
    <cellStyle name="Currency 4 4 7 2" xfId="3465" xr:uid="{00000000-0005-0000-0000-000048040000}"/>
    <cellStyle name="Currency 4 4 8" xfId="2395" xr:uid="{00000000-0005-0000-0000-000049040000}"/>
    <cellStyle name="Currency 4 5" xfId="1310" xr:uid="{00000000-0005-0000-0000-00004A040000}"/>
    <cellStyle name="Currency 4 5 2" xfId="1909" xr:uid="{00000000-0005-0000-0000-00004B040000}"/>
    <cellStyle name="Currency 4 5 3" xfId="2214" xr:uid="{00000000-0005-0000-0000-00004C040000}"/>
    <cellStyle name="Currency 4 5 3 2" xfId="3545" xr:uid="{00000000-0005-0000-0000-00004D040000}"/>
    <cellStyle name="Currency 4 6" xfId="162" xr:uid="{00000000-0005-0000-0000-00004E040000}"/>
    <cellStyle name="Currency 4 7" xfId="81" xr:uid="{00000000-0005-0000-0000-00004F040000}"/>
    <cellStyle name="Currency 4 8" xfId="2295" xr:uid="{00000000-0005-0000-0000-000050040000}"/>
    <cellStyle name="Currency 5" xfId="39" xr:uid="{00000000-0005-0000-0000-000051040000}"/>
    <cellStyle name="Currency 5 2" xfId="164" xr:uid="{00000000-0005-0000-0000-000052040000}"/>
    <cellStyle name="Currency 5 2 2" xfId="1884" xr:uid="{00000000-0005-0000-0000-000053040000}"/>
    <cellStyle name="Currency 5 2 2 2" xfId="2018" xr:uid="{00000000-0005-0000-0000-000054040000}"/>
    <cellStyle name="Currency 5 2 2 2 2" xfId="3440" xr:uid="{00000000-0005-0000-0000-000055040000}"/>
    <cellStyle name="Currency 5 2 2 3" xfId="3355" xr:uid="{00000000-0005-0000-0000-000056040000}"/>
    <cellStyle name="Currency 5 2 3" xfId="1904" xr:uid="{00000000-0005-0000-0000-000057040000}"/>
    <cellStyle name="Currency 5 2 3 2" xfId="2141" xr:uid="{00000000-0005-0000-0000-000058040000}"/>
    <cellStyle name="Currency 5 2 3 2 2" xfId="3510" xr:uid="{00000000-0005-0000-0000-000059040000}"/>
    <cellStyle name="Currency 5 2 3 3" xfId="3369" xr:uid="{00000000-0005-0000-0000-00005A040000}"/>
    <cellStyle name="Currency 5 2 4" xfId="1882" xr:uid="{00000000-0005-0000-0000-00005B040000}"/>
    <cellStyle name="Currency 5 2 4 2" xfId="3353" xr:uid="{00000000-0005-0000-0000-00005C040000}"/>
    <cellStyle name="Currency 5 2 5" xfId="2122" xr:uid="{00000000-0005-0000-0000-00005D040000}"/>
    <cellStyle name="Currency 5 2 6" xfId="2147" xr:uid="{00000000-0005-0000-0000-00005E040000}"/>
    <cellStyle name="Currency 5 2 6 2" xfId="3514" xr:uid="{00000000-0005-0000-0000-00005F040000}"/>
    <cellStyle name="Currency 5 3" xfId="602" xr:uid="{00000000-0005-0000-0000-000060040000}"/>
    <cellStyle name="Currency 5 3 2" xfId="759" xr:uid="{00000000-0005-0000-0000-000061040000}"/>
    <cellStyle name="Currency 5 3 2 2" xfId="960" xr:uid="{00000000-0005-0000-0000-000062040000}"/>
    <cellStyle name="Currency 5 3 2 2 2" xfId="1252" xr:uid="{00000000-0005-0000-0000-000063040000}"/>
    <cellStyle name="Currency 5 3 2 2 2 2" xfId="1761" xr:uid="{00000000-0005-0000-0000-000064040000}"/>
    <cellStyle name="Currency 5 3 2 2 2 2 2" xfId="3233" xr:uid="{00000000-0005-0000-0000-000065040000}"/>
    <cellStyle name="Currency 5 3 2 2 2 3" xfId="2758" xr:uid="{00000000-0005-0000-0000-000066040000}"/>
    <cellStyle name="Currency 5 3 2 2 3" xfId="1091" xr:uid="{00000000-0005-0000-0000-000067040000}"/>
    <cellStyle name="Currency 5 3 2 2 3 2" xfId="2628" xr:uid="{00000000-0005-0000-0000-000068040000}"/>
    <cellStyle name="Currency 5 3 2 2 4" xfId="1630" xr:uid="{00000000-0005-0000-0000-000069040000}"/>
    <cellStyle name="Currency 5 3 2 2 4 2" xfId="3102" xr:uid="{00000000-0005-0000-0000-00006A040000}"/>
    <cellStyle name="Currency 5 3 2 2 5" xfId="1845" xr:uid="{00000000-0005-0000-0000-00006B040000}"/>
    <cellStyle name="Currency 5 3 2 2 5 2" xfId="3317" xr:uid="{00000000-0005-0000-0000-00006C040000}"/>
    <cellStyle name="Currency 5 3 2 2 6" xfId="2501" xr:uid="{00000000-0005-0000-0000-00006D040000}"/>
    <cellStyle name="Currency 5 3 2 3" xfId="1161" xr:uid="{00000000-0005-0000-0000-00006E040000}"/>
    <cellStyle name="Currency 5 3 2 3 2" xfId="1389" xr:uid="{00000000-0005-0000-0000-00006F040000}"/>
    <cellStyle name="Currency 5 3 2 3 2 2" xfId="2883" xr:uid="{00000000-0005-0000-0000-000070040000}"/>
    <cellStyle name="Currency 5 3 2 3 3" xfId="2695" xr:uid="{00000000-0005-0000-0000-000071040000}"/>
    <cellStyle name="Currency 5 3 2 4" xfId="1028" xr:uid="{00000000-0005-0000-0000-000072040000}"/>
    <cellStyle name="Currency 5 3 2 4 2" xfId="1700" xr:uid="{00000000-0005-0000-0000-000073040000}"/>
    <cellStyle name="Currency 5 3 2 4 2 2" xfId="3172" xr:uid="{00000000-0005-0000-0000-000074040000}"/>
    <cellStyle name="Currency 5 3 2 4 3" xfId="2565" xr:uid="{00000000-0005-0000-0000-000075040000}"/>
    <cellStyle name="Currency 5 3 2 5" xfId="891" xr:uid="{00000000-0005-0000-0000-000076040000}"/>
    <cellStyle name="Currency 5 3 2 5 2" xfId="2434" xr:uid="{00000000-0005-0000-0000-000077040000}"/>
    <cellStyle name="Currency 5 3 2 6" xfId="1499" xr:uid="{00000000-0005-0000-0000-000078040000}"/>
    <cellStyle name="Currency 5 3 2 6 2" xfId="2982" xr:uid="{00000000-0005-0000-0000-000079040000}"/>
    <cellStyle name="Currency 5 3 2 7" xfId="2371" xr:uid="{00000000-0005-0000-0000-00007A040000}"/>
    <cellStyle name="Currency 5 3 3" xfId="939" xr:uid="{00000000-0005-0000-0000-00007B040000}"/>
    <cellStyle name="Currency 5 3 3 2" xfId="1231" xr:uid="{00000000-0005-0000-0000-00007C040000}"/>
    <cellStyle name="Currency 5 3 3 2 2" xfId="1740" xr:uid="{00000000-0005-0000-0000-00007D040000}"/>
    <cellStyle name="Currency 5 3 3 2 2 2" xfId="3212" xr:uid="{00000000-0005-0000-0000-00007E040000}"/>
    <cellStyle name="Currency 5 3 3 2 3" xfId="2737" xr:uid="{00000000-0005-0000-0000-00007F040000}"/>
    <cellStyle name="Currency 5 3 3 3" xfId="1070" xr:uid="{00000000-0005-0000-0000-000080040000}"/>
    <cellStyle name="Currency 5 3 3 3 2" xfId="2607" xr:uid="{00000000-0005-0000-0000-000081040000}"/>
    <cellStyle name="Currency 5 3 3 4" xfId="1609" xr:uid="{00000000-0005-0000-0000-000082040000}"/>
    <cellStyle name="Currency 5 3 3 4 2" xfId="3081" xr:uid="{00000000-0005-0000-0000-000083040000}"/>
    <cellStyle name="Currency 5 3 3 5" xfId="1824" xr:uid="{00000000-0005-0000-0000-000084040000}"/>
    <cellStyle name="Currency 5 3 3 5 2" xfId="3296" xr:uid="{00000000-0005-0000-0000-000085040000}"/>
    <cellStyle name="Currency 5 3 3 6" xfId="2480" xr:uid="{00000000-0005-0000-0000-000086040000}"/>
    <cellStyle name="Currency 5 3 4" xfId="1140" xr:uid="{00000000-0005-0000-0000-000087040000}"/>
    <cellStyle name="Currency 5 3 4 2" xfId="1443" xr:uid="{00000000-0005-0000-0000-000088040000}"/>
    <cellStyle name="Currency 5 3 4 2 2" xfId="2928" xr:uid="{00000000-0005-0000-0000-000089040000}"/>
    <cellStyle name="Currency 5 3 4 3" xfId="2674" xr:uid="{00000000-0005-0000-0000-00008A040000}"/>
    <cellStyle name="Currency 5 3 5" xfId="1007" xr:uid="{00000000-0005-0000-0000-00008B040000}"/>
    <cellStyle name="Currency 5 3 5 2" xfId="1679" xr:uid="{00000000-0005-0000-0000-00008C040000}"/>
    <cellStyle name="Currency 5 3 5 2 2" xfId="3151" xr:uid="{00000000-0005-0000-0000-00008D040000}"/>
    <cellStyle name="Currency 5 3 5 3" xfId="2544" xr:uid="{00000000-0005-0000-0000-00008E040000}"/>
    <cellStyle name="Currency 5 3 6" xfId="870" xr:uid="{00000000-0005-0000-0000-00008F040000}"/>
    <cellStyle name="Currency 5 3 6 2" xfId="2413" xr:uid="{00000000-0005-0000-0000-000090040000}"/>
    <cellStyle name="Currency 5 3 7" xfId="1478" xr:uid="{00000000-0005-0000-0000-000091040000}"/>
    <cellStyle name="Currency 5 3 7 2" xfId="2961" xr:uid="{00000000-0005-0000-0000-000092040000}"/>
    <cellStyle name="Currency 5 3 8" xfId="2350" xr:uid="{00000000-0005-0000-0000-000093040000}"/>
    <cellStyle name="Currency 5 4" xfId="856" xr:uid="{00000000-0005-0000-0000-000094040000}"/>
    <cellStyle name="Currency 5 4 2" xfId="989" xr:uid="{00000000-0005-0000-0000-000095040000}"/>
    <cellStyle name="Currency 5 4 2 2" xfId="1281" xr:uid="{00000000-0005-0000-0000-000096040000}"/>
    <cellStyle name="Currency 5 4 2 2 2" xfId="2787" xr:uid="{00000000-0005-0000-0000-000097040000}"/>
    <cellStyle name="Currency 5 4 2 3" xfId="1120" xr:uid="{00000000-0005-0000-0000-000098040000}"/>
    <cellStyle name="Currency 5 4 2 3 2" xfId="2657" xr:uid="{00000000-0005-0000-0000-000099040000}"/>
    <cellStyle name="Currency 5 4 2 4" xfId="1888" xr:uid="{00000000-0005-0000-0000-00009A040000}"/>
    <cellStyle name="Currency 5 4 2 4 2" xfId="3357" xr:uid="{00000000-0005-0000-0000-00009B040000}"/>
    <cellStyle name="Currency 5 4 2 5" xfId="2530" xr:uid="{00000000-0005-0000-0000-00009C040000}"/>
    <cellStyle name="Currency 5 4 3" xfId="1190" xr:uid="{00000000-0005-0000-0000-00009D040000}"/>
    <cellStyle name="Currency 5 4 3 2" xfId="2724" xr:uid="{00000000-0005-0000-0000-00009E040000}"/>
    <cellStyle name="Currency 5 4 4" xfId="1057" xr:uid="{00000000-0005-0000-0000-00009F040000}"/>
    <cellStyle name="Currency 5 4 4 2" xfId="2594" xr:uid="{00000000-0005-0000-0000-0000A0040000}"/>
    <cellStyle name="Currency 5 4 5" xfId="920" xr:uid="{00000000-0005-0000-0000-0000A1040000}"/>
    <cellStyle name="Currency 5 4 5 2" xfId="2463" xr:uid="{00000000-0005-0000-0000-0000A2040000}"/>
    <cellStyle name="Currency 5 4 6" xfId="1527" xr:uid="{00000000-0005-0000-0000-0000A3040000}"/>
    <cellStyle name="Currency 5 4 6 2" xfId="3010" xr:uid="{00000000-0005-0000-0000-0000A4040000}"/>
    <cellStyle name="Currency 5 4 7" xfId="1879" xr:uid="{00000000-0005-0000-0000-0000A5040000}"/>
    <cellStyle name="Currency 5 4 7 2" xfId="3350" xr:uid="{00000000-0005-0000-0000-0000A6040000}"/>
    <cellStyle name="Currency 5 4 8" xfId="2400" xr:uid="{00000000-0005-0000-0000-0000A7040000}"/>
    <cellStyle name="Currency 5 5" xfId="163" xr:uid="{00000000-0005-0000-0000-0000A8040000}"/>
    <cellStyle name="Currency 5 5 2" xfId="1985" xr:uid="{00000000-0005-0000-0000-0000A9040000}"/>
    <cellStyle name="Currency 5 5 2 2" xfId="3417" xr:uid="{00000000-0005-0000-0000-0000AA040000}"/>
    <cellStyle name="Currency 5 6" xfId="2050" xr:uid="{00000000-0005-0000-0000-0000AB040000}"/>
    <cellStyle name="Currency 5 7" xfId="2298" xr:uid="{00000000-0005-0000-0000-0000AC040000}"/>
    <cellStyle name="Currency 6" xfId="165" xr:uid="{00000000-0005-0000-0000-0000AD040000}"/>
    <cellStyle name="Currency 6 2" xfId="166" xr:uid="{00000000-0005-0000-0000-0000AE040000}"/>
    <cellStyle name="Currency 6 3" xfId="167" xr:uid="{00000000-0005-0000-0000-0000AF040000}"/>
    <cellStyle name="Currency 6 4" xfId="168" xr:uid="{00000000-0005-0000-0000-0000B0040000}"/>
    <cellStyle name="Currency 6 5" xfId="2123" xr:uid="{00000000-0005-0000-0000-0000B1040000}"/>
    <cellStyle name="Currency 6 6" xfId="2117" xr:uid="{00000000-0005-0000-0000-0000B2040000}"/>
    <cellStyle name="Currency 7" xfId="169" xr:uid="{00000000-0005-0000-0000-0000B3040000}"/>
    <cellStyle name="Currency 7 2" xfId="346" xr:uid="{00000000-0005-0000-0000-0000B4040000}"/>
    <cellStyle name="Currency 7 2 2" xfId="703" xr:uid="{00000000-0005-0000-0000-0000B5040000}"/>
    <cellStyle name="Currency 7 3" xfId="632" xr:uid="{00000000-0005-0000-0000-0000B6040000}"/>
    <cellStyle name="Currency 8" xfId="296" xr:uid="{00000000-0005-0000-0000-0000B7040000}"/>
    <cellStyle name="Currency 8 2" xfId="424" xr:uid="{00000000-0005-0000-0000-0000B8040000}"/>
    <cellStyle name="Currency 8 2 2" xfId="749" xr:uid="{00000000-0005-0000-0000-0000B9040000}"/>
    <cellStyle name="Currency 8 3" xfId="679" xr:uid="{00000000-0005-0000-0000-0000BA040000}"/>
    <cellStyle name="Currency 9" xfId="305" xr:uid="{00000000-0005-0000-0000-0000BB040000}"/>
    <cellStyle name="Currency0" xfId="170" xr:uid="{00000000-0005-0000-0000-0000BC040000}"/>
    <cellStyle name="Currency0 2" xfId="171" xr:uid="{00000000-0005-0000-0000-0000BD040000}"/>
    <cellStyle name="Currency0 2 2" xfId="348" xr:uid="{00000000-0005-0000-0000-0000BE040000}"/>
    <cellStyle name="Currency0 2 3" xfId="597" xr:uid="{00000000-0005-0000-0000-0000BF040000}"/>
    <cellStyle name="Currency0 3" xfId="172" xr:uid="{00000000-0005-0000-0000-0000C0040000}"/>
    <cellStyle name="Currency0 3 2" xfId="173" xr:uid="{00000000-0005-0000-0000-0000C1040000}"/>
    <cellStyle name="Currency0 3 2 2" xfId="350" xr:uid="{00000000-0005-0000-0000-0000C2040000}"/>
    <cellStyle name="Currency0 3 3" xfId="349" xr:uid="{00000000-0005-0000-0000-0000C3040000}"/>
    <cellStyle name="Currency0 4" xfId="347" xr:uid="{00000000-0005-0000-0000-0000C4040000}"/>
    <cellStyle name="Currency0 5" xfId="560" xr:uid="{00000000-0005-0000-0000-0000C5040000}"/>
    <cellStyle name="Date" xfId="174" xr:uid="{00000000-0005-0000-0000-0000C6040000}"/>
    <cellStyle name="Date 2" xfId="351" xr:uid="{00000000-0005-0000-0000-0000C7040000}"/>
    <cellStyle name="Explanatory Text 2" xfId="478" xr:uid="{00000000-0005-0000-0000-0000C8040000}"/>
    <cellStyle name="Fixed" xfId="175" xr:uid="{00000000-0005-0000-0000-0000C9040000}"/>
    <cellStyle name="Fixed 2" xfId="352" xr:uid="{00000000-0005-0000-0000-0000CA040000}"/>
    <cellStyle name="FRxAmtStyle" xfId="176" xr:uid="{00000000-0005-0000-0000-0000CB040000}"/>
    <cellStyle name="FRxAmtStyle 2" xfId="479" xr:uid="{00000000-0005-0000-0000-0000CC040000}"/>
    <cellStyle name="FRxCurrStyle" xfId="480" xr:uid="{00000000-0005-0000-0000-0000CD040000}"/>
    <cellStyle name="FRxPcntStyle" xfId="177" xr:uid="{00000000-0005-0000-0000-0000CE040000}"/>
    <cellStyle name="Good 2" xfId="481" xr:uid="{00000000-0005-0000-0000-0000CF040000}"/>
    <cellStyle name="Good 3" xfId="482" xr:uid="{00000000-0005-0000-0000-0000D0040000}"/>
    <cellStyle name="Heading 1 2" xfId="483" xr:uid="{00000000-0005-0000-0000-0000D1040000}"/>
    <cellStyle name="Heading 2 2" xfId="484" xr:uid="{00000000-0005-0000-0000-0000D2040000}"/>
    <cellStyle name="Heading 3 2" xfId="485" xr:uid="{00000000-0005-0000-0000-0000D3040000}"/>
    <cellStyle name="Heading 4 2" xfId="486" xr:uid="{00000000-0005-0000-0000-0000D4040000}"/>
    <cellStyle name="Hyperlink 2" xfId="838" xr:uid="{00000000-0005-0000-0000-0000D5040000}"/>
    <cellStyle name="Input 2" xfId="487" xr:uid="{00000000-0005-0000-0000-0000D6040000}"/>
    <cellStyle name="Input 3" xfId="488" xr:uid="{00000000-0005-0000-0000-0000D7040000}"/>
    <cellStyle name="Linked Cell 2" xfId="489" xr:uid="{00000000-0005-0000-0000-0000D8040000}"/>
    <cellStyle name="Neutral 2" xfId="490" xr:uid="{00000000-0005-0000-0000-0000D9040000}"/>
    <cellStyle name="Neutral 3" xfId="491" xr:uid="{00000000-0005-0000-0000-0000DA040000}"/>
    <cellStyle name="Normal" xfId="0" builtinId="0"/>
    <cellStyle name="Normal 10" xfId="178" xr:uid="{00000000-0005-0000-0000-0000DC040000}"/>
    <cellStyle name="Normal 10 2" xfId="179" xr:uid="{00000000-0005-0000-0000-0000DD040000}"/>
    <cellStyle name="Normal 10 2 2" xfId="180" xr:uid="{00000000-0005-0000-0000-0000DE040000}"/>
    <cellStyle name="Normal 10 3" xfId="181" xr:uid="{00000000-0005-0000-0000-0000DF040000}"/>
    <cellStyle name="Normal 10 4" xfId="492" xr:uid="{00000000-0005-0000-0000-0000E0040000}"/>
    <cellStyle name="Normal 100" xfId="1216" xr:uid="{00000000-0005-0000-0000-0000E1040000}"/>
    <cellStyle name="Normal 101" xfId="1219" xr:uid="{00000000-0005-0000-0000-0000E2040000}"/>
    <cellStyle name="Normal 102" xfId="1122" xr:uid="{00000000-0005-0000-0000-0000E3040000}"/>
    <cellStyle name="Normal 102 2" xfId="2659" xr:uid="{00000000-0005-0000-0000-0000E4040000}"/>
    <cellStyle name="Normal 103" xfId="2288" xr:uid="{00000000-0005-0000-0000-0000E5040000}"/>
    <cellStyle name="Normal 11" xfId="182" xr:uid="{00000000-0005-0000-0000-0000E6040000}"/>
    <cellStyle name="Normal 11 2" xfId="183" xr:uid="{00000000-0005-0000-0000-0000E7040000}"/>
    <cellStyle name="Normal 11 2 2" xfId="184" xr:uid="{00000000-0005-0000-0000-0000E8040000}"/>
    <cellStyle name="Normal 11 2 3" xfId="600" xr:uid="{00000000-0005-0000-0000-0000E9040000}"/>
    <cellStyle name="Normal 11 3" xfId="185" xr:uid="{00000000-0005-0000-0000-0000EA040000}"/>
    <cellStyle name="Normal 11 3 2" xfId="186" xr:uid="{00000000-0005-0000-0000-0000EB040000}"/>
    <cellStyle name="Normal 11 4" xfId="493" xr:uid="{00000000-0005-0000-0000-0000EC040000}"/>
    <cellStyle name="Normal 12" xfId="187" xr:uid="{00000000-0005-0000-0000-0000ED040000}"/>
    <cellStyle name="Normal 12 2" xfId="188" xr:uid="{00000000-0005-0000-0000-0000EE040000}"/>
    <cellStyle name="Normal 12 2 2" xfId="541" xr:uid="{00000000-0005-0000-0000-0000EF040000}"/>
    <cellStyle name="Normal 12 2 2 2" xfId="755" xr:uid="{00000000-0005-0000-0000-0000F0040000}"/>
    <cellStyle name="Normal 12 2 2 2 2" xfId="957" xr:uid="{00000000-0005-0000-0000-0000F1040000}"/>
    <cellStyle name="Normal 12 2 2 2 2 2" xfId="1249" xr:uid="{00000000-0005-0000-0000-0000F2040000}"/>
    <cellStyle name="Normal 12 2 2 2 2 2 2" xfId="1758" xr:uid="{00000000-0005-0000-0000-0000F3040000}"/>
    <cellStyle name="Normal 12 2 2 2 2 2 2 2" xfId="3230" xr:uid="{00000000-0005-0000-0000-0000F4040000}"/>
    <cellStyle name="Normal 12 2 2 2 2 2 3" xfId="2755" xr:uid="{00000000-0005-0000-0000-0000F5040000}"/>
    <cellStyle name="Normal 12 2 2 2 2 3" xfId="1088" xr:uid="{00000000-0005-0000-0000-0000F6040000}"/>
    <cellStyle name="Normal 12 2 2 2 2 3 2" xfId="2625" xr:uid="{00000000-0005-0000-0000-0000F7040000}"/>
    <cellStyle name="Normal 12 2 2 2 2 4" xfId="1627" xr:uid="{00000000-0005-0000-0000-0000F8040000}"/>
    <cellStyle name="Normal 12 2 2 2 2 4 2" xfId="3099" xr:uid="{00000000-0005-0000-0000-0000F9040000}"/>
    <cellStyle name="Normal 12 2 2 2 2 5" xfId="1842" xr:uid="{00000000-0005-0000-0000-0000FA040000}"/>
    <cellStyle name="Normal 12 2 2 2 2 5 2" xfId="3314" xr:uid="{00000000-0005-0000-0000-0000FB040000}"/>
    <cellStyle name="Normal 12 2 2 2 2 6" xfId="2498" xr:uid="{00000000-0005-0000-0000-0000FC040000}"/>
    <cellStyle name="Normal 12 2 2 2 3" xfId="1158" xr:uid="{00000000-0005-0000-0000-0000FD040000}"/>
    <cellStyle name="Normal 12 2 2 2 3 2" xfId="1392" xr:uid="{00000000-0005-0000-0000-0000FE040000}"/>
    <cellStyle name="Normal 12 2 2 2 3 2 2" xfId="2886" xr:uid="{00000000-0005-0000-0000-0000FF040000}"/>
    <cellStyle name="Normal 12 2 2 2 3 3" xfId="2692" xr:uid="{00000000-0005-0000-0000-000000050000}"/>
    <cellStyle name="Normal 12 2 2 2 4" xfId="1025" xr:uid="{00000000-0005-0000-0000-000001050000}"/>
    <cellStyle name="Normal 12 2 2 2 4 2" xfId="1697" xr:uid="{00000000-0005-0000-0000-000002050000}"/>
    <cellStyle name="Normal 12 2 2 2 4 2 2" xfId="3169" xr:uid="{00000000-0005-0000-0000-000003050000}"/>
    <cellStyle name="Normal 12 2 2 2 4 3" xfId="2562" xr:uid="{00000000-0005-0000-0000-000004050000}"/>
    <cellStyle name="Normal 12 2 2 2 5" xfId="888" xr:uid="{00000000-0005-0000-0000-000005050000}"/>
    <cellStyle name="Normal 12 2 2 2 5 2" xfId="2431" xr:uid="{00000000-0005-0000-0000-000006050000}"/>
    <cellStyle name="Normal 12 2 2 2 6" xfId="1496" xr:uid="{00000000-0005-0000-0000-000007050000}"/>
    <cellStyle name="Normal 12 2 2 2 6 2" xfId="2979" xr:uid="{00000000-0005-0000-0000-000008050000}"/>
    <cellStyle name="Normal 12 2 2 2 7" xfId="2368" xr:uid="{00000000-0005-0000-0000-000009050000}"/>
    <cellStyle name="Normal 12 2 2 3" xfId="936" xr:uid="{00000000-0005-0000-0000-00000A050000}"/>
    <cellStyle name="Normal 12 2 2 3 2" xfId="1228" xr:uid="{00000000-0005-0000-0000-00000B050000}"/>
    <cellStyle name="Normal 12 2 2 3 2 2" xfId="1737" xr:uid="{00000000-0005-0000-0000-00000C050000}"/>
    <cellStyle name="Normal 12 2 2 3 2 2 2" xfId="3209" xr:uid="{00000000-0005-0000-0000-00000D050000}"/>
    <cellStyle name="Normal 12 2 2 3 2 3" xfId="2734" xr:uid="{00000000-0005-0000-0000-00000E050000}"/>
    <cellStyle name="Normal 12 2 2 3 3" xfId="1067" xr:uid="{00000000-0005-0000-0000-00000F050000}"/>
    <cellStyle name="Normal 12 2 2 3 3 2" xfId="2604" xr:uid="{00000000-0005-0000-0000-000010050000}"/>
    <cellStyle name="Normal 12 2 2 3 4" xfId="1606" xr:uid="{00000000-0005-0000-0000-000011050000}"/>
    <cellStyle name="Normal 12 2 2 3 4 2" xfId="3078" xr:uid="{00000000-0005-0000-0000-000012050000}"/>
    <cellStyle name="Normal 12 2 2 3 5" xfId="1821" xr:uid="{00000000-0005-0000-0000-000013050000}"/>
    <cellStyle name="Normal 12 2 2 3 5 2" xfId="3293" xr:uid="{00000000-0005-0000-0000-000014050000}"/>
    <cellStyle name="Normal 12 2 2 3 6" xfId="2477" xr:uid="{00000000-0005-0000-0000-000015050000}"/>
    <cellStyle name="Normal 12 2 2 4" xfId="1137" xr:uid="{00000000-0005-0000-0000-000016050000}"/>
    <cellStyle name="Normal 12 2 2 4 2" xfId="1566" xr:uid="{00000000-0005-0000-0000-000017050000}"/>
    <cellStyle name="Normal 12 2 2 4 2 2" xfId="3045" xr:uid="{00000000-0005-0000-0000-000018050000}"/>
    <cellStyle name="Normal 12 2 2 4 3" xfId="2671" xr:uid="{00000000-0005-0000-0000-000019050000}"/>
    <cellStyle name="Normal 12 2 2 5" xfId="1004" xr:uid="{00000000-0005-0000-0000-00001A050000}"/>
    <cellStyle name="Normal 12 2 2 5 2" xfId="1676" xr:uid="{00000000-0005-0000-0000-00001B050000}"/>
    <cellStyle name="Normal 12 2 2 5 2 2" xfId="3148" xr:uid="{00000000-0005-0000-0000-00001C050000}"/>
    <cellStyle name="Normal 12 2 2 5 3" xfId="2541" xr:uid="{00000000-0005-0000-0000-00001D050000}"/>
    <cellStyle name="Normal 12 2 2 6" xfId="867" xr:uid="{00000000-0005-0000-0000-00001E050000}"/>
    <cellStyle name="Normal 12 2 2 6 2" xfId="2410" xr:uid="{00000000-0005-0000-0000-00001F050000}"/>
    <cellStyle name="Normal 12 2 2 7" xfId="1475" xr:uid="{00000000-0005-0000-0000-000020050000}"/>
    <cellStyle name="Normal 12 2 2 7 2" xfId="2958" xr:uid="{00000000-0005-0000-0000-000021050000}"/>
    <cellStyle name="Normal 12 2 2 8" xfId="2347" xr:uid="{00000000-0005-0000-0000-000022050000}"/>
    <cellStyle name="Normal 12 3" xfId="189" xr:uid="{00000000-0005-0000-0000-000023050000}"/>
    <cellStyle name="Normal 12 3 2" xfId="353" xr:uid="{00000000-0005-0000-0000-000024050000}"/>
    <cellStyle name="Normal 12 3 3" xfId="596" xr:uid="{00000000-0005-0000-0000-000025050000}"/>
    <cellStyle name="Normal 12 4" xfId="190" xr:uid="{00000000-0005-0000-0000-000026050000}"/>
    <cellStyle name="Normal 12 4 2" xfId="191" xr:uid="{00000000-0005-0000-0000-000027050000}"/>
    <cellStyle name="Normal 12 4 3" xfId="598" xr:uid="{00000000-0005-0000-0000-000028050000}"/>
    <cellStyle name="Normal 12 5" xfId="124" xr:uid="{00000000-0005-0000-0000-000029050000}"/>
    <cellStyle name="Normal 13" xfId="192" xr:uid="{00000000-0005-0000-0000-00002A050000}"/>
    <cellStyle name="Normal 13 2" xfId="193" xr:uid="{00000000-0005-0000-0000-00002B050000}"/>
    <cellStyle name="Normal 13 3" xfId="194" xr:uid="{00000000-0005-0000-0000-00002C050000}"/>
    <cellStyle name="Normal 13 4" xfId="599" xr:uid="{00000000-0005-0000-0000-00002D050000}"/>
    <cellStyle name="Normal 13 4 2" xfId="757" xr:uid="{00000000-0005-0000-0000-00002E050000}"/>
    <cellStyle name="Normal 13 4 2 2" xfId="958" xr:uid="{00000000-0005-0000-0000-00002F050000}"/>
    <cellStyle name="Normal 13 4 2 2 2" xfId="1250" xr:uid="{00000000-0005-0000-0000-000030050000}"/>
    <cellStyle name="Normal 13 4 2 2 2 2" xfId="1759" xr:uid="{00000000-0005-0000-0000-000031050000}"/>
    <cellStyle name="Normal 13 4 2 2 2 2 2" xfId="3231" xr:uid="{00000000-0005-0000-0000-000032050000}"/>
    <cellStyle name="Normal 13 4 2 2 2 3" xfId="2756" xr:uid="{00000000-0005-0000-0000-000033050000}"/>
    <cellStyle name="Normal 13 4 2 2 3" xfId="1089" xr:uid="{00000000-0005-0000-0000-000034050000}"/>
    <cellStyle name="Normal 13 4 2 2 3 2" xfId="2626" xr:uid="{00000000-0005-0000-0000-000035050000}"/>
    <cellStyle name="Normal 13 4 2 2 4" xfId="1628" xr:uid="{00000000-0005-0000-0000-000036050000}"/>
    <cellStyle name="Normal 13 4 2 2 4 2" xfId="3100" xr:uid="{00000000-0005-0000-0000-000037050000}"/>
    <cellStyle name="Normal 13 4 2 2 5" xfId="1843" xr:uid="{00000000-0005-0000-0000-000038050000}"/>
    <cellStyle name="Normal 13 4 2 2 5 2" xfId="3315" xr:uid="{00000000-0005-0000-0000-000039050000}"/>
    <cellStyle name="Normal 13 4 2 2 6" xfId="2499" xr:uid="{00000000-0005-0000-0000-00003A050000}"/>
    <cellStyle name="Normal 13 4 2 3" xfId="1159" xr:uid="{00000000-0005-0000-0000-00003B050000}"/>
    <cellStyle name="Normal 13 4 2 3 2" xfId="1391" xr:uid="{00000000-0005-0000-0000-00003C050000}"/>
    <cellStyle name="Normal 13 4 2 3 2 2" xfId="2885" xr:uid="{00000000-0005-0000-0000-00003D050000}"/>
    <cellStyle name="Normal 13 4 2 3 3" xfId="2693" xr:uid="{00000000-0005-0000-0000-00003E050000}"/>
    <cellStyle name="Normal 13 4 2 4" xfId="1026" xr:uid="{00000000-0005-0000-0000-00003F050000}"/>
    <cellStyle name="Normal 13 4 2 4 2" xfId="1698" xr:uid="{00000000-0005-0000-0000-000040050000}"/>
    <cellStyle name="Normal 13 4 2 4 2 2" xfId="3170" xr:uid="{00000000-0005-0000-0000-000041050000}"/>
    <cellStyle name="Normal 13 4 2 4 3" xfId="2563" xr:uid="{00000000-0005-0000-0000-000042050000}"/>
    <cellStyle name="Normal 13 4 2 5" xfId="889" xr:uid="{00000000-0005-0000-0000-000043050000}"/>
    <cellStyle name="Normal 13 4 2 5 2" xfId="2432" xr:uid="{00000000-0005-0000-0000-000044050000}"/>
    <cellStyle name="Normal 13 4 2 6" xfId="1497" xr:uid="{00000000-0005-0000-0000-000045050000}"/>
    <cellStyle name="Normal 13 4 2 6 2" xfId="2980" xr:uid="{00000000-0005-0000-0000-000046050000}"/>
    <cellStyle name="Normal 13 4 2 7" xfId="2369" xr:uid="{00000000-0005-0000-0000-000047050000}"/>
    <cellStyle name="Normal 13 4 3" xfId="937" xr:uid="{00000000-0005-0000-0000-000048050000}"/>
    <cellStyle name="Normal 13 4 3 2" xfId="1229" xr:uid="{00000000-0005-0000-0000-000049050000}"/>
    <cellStyle name="Normal 13 4 3 2 2" xfId="1738" xr:uid="{00000000-0005-0000-0000-00004A050000}"/>
    <cellStyle name="Normal 13 4 3 2 2 2" xfId="3210" xr:uid="{00000000-0005-0000-0000-00004B050000}"/>
    <cellStyle name="Normal 13 4 3 2 3" xfId="2735" xr:uid="{00000000-0005-0000-0000-00004C050000}"/>
    <cellStyle name="Normal 13 4 3 3" xfId="1068" xr:uid="{00000000-0005-0000-0000-00004D050000}"/>
    <cellStyle name="Normal 13 4 3 3 2" xfId="2605" xr:uid="{00000000-0005-0000-0000-00004E050000}"/>
    <cellStyle name="Normal 13 4 3 4" xfId="1607" xr:uid="{00000000-0005-0000-0000-00004F050000}"/>
    <cellStyle name="Normal 13 4 3 4 2" xfId="3079" xr:uid="{00000000-0005-0000-0000-000050050000}"/>
    <cellStyle name="Normal 13 4 3 5" xfId="1822" xr:uid="{00000000-0005-0000-0000-000051050000}"/>
    <cellStyle name="Normal 13 4 3 5 2" xfId="3294" xr:uid="{00000000-0005-0000-0000-000052050000}"/>
    <cellStyle name="Normal 13 4 3 6" xfId="2478" xr:uid="{00000000-0005-0000-0000-000053050000}"/>
    <cellStyle name="Normal 13 4 4" xfId="1138" xr:uid="{00000000-0005-0000-0000-000054050000}"/>
    <cellStyle name="Normal 13 4 4 2" xfId="1591" xr:uid="{00000000-0005-0000-0000-000055050000}"/>
    <cellStyle name="Normal 13 4 4 2 2" xfId="3065" xr:uid="{00000000-0005-0000-0000-000056050000}"/>
    <cellStyle name="Normal 13 4 4 3" xfId="2672" xr:uid="{00000000-0005-0000-0000-000057050000}"/>
    <cellStyle name="Normal 13 4 5" xfId="1005" xr:uid="{00000000-0005-0000-0000-000058050000}"/>
    <cellStyle name="Normal 13 4 5 2" xfId="1677" xr:uid="{00000000-0005-0000-0000-000059050000}"/>
    <cellStyle name="Normal 13 4 5 2 2" xfId="3149" xr:uid="{00000000-0005-0000-0000-00005A050000}"/>
    <cellStyle name="Normal 13 4 5 3" xfId="2542" xr:uid="{00000000-0005-0000-0000-00005B050000}"/>
    <cellStyle name="Normal 13 4 6" xfId="868" xr:uid="{00000000-0005-0000-0000-00005C050000}"/>
    <cellStyle name="Normal 13 4 6 2" xfId="2411" xr:uid="{00000000-0005-0000-0000-00005D050000}"/>
    <cellStyle name="Normal 13 4 7" xfId="1476" xr:uid="{00000000-0005-0000-0000-00005E050000}"/>
    <cellStyle name="Normal 13 4 7 2" xfId="2959" xr:uid="{00000000-0005-0000-0000-00005F050000}"/>
    <cellStyle name="Normal 13 4 8" xfId="2348" xr:uid="{00000000-0005-0000-0000-000060050000}"/>
    <cellStyle name="Normal 14" xfId="195" xr:uid="{00000000-0005-0000-0000-000061050000}"/>
    <cellStyle name="Normal 14 2" xfId="196" xr:uid="{00000000-0005-0000-0000-000062050000}"/>
    <cellStyle name="Normal 14 2 2" xfId="604" xr:uid="{00000000-0005-0000-0000-000063050000}"/>
    <cellStyle name="Normal 14 3" xfId="301" xr:uid="{00000000-0005-0000-0000-000064050000}"/>
    <cellStyle name="Normal 15" xfId="118" xr:uid="{00000000-0005-0000-0000-000065050000}"/>
    <cellStyle name="Normal 15 2" xfId="197" xr:uid="{00000000-0005-0000-0000-000066050000}"/>
    <cellStyle name="Normal 15 2 2" xfId="302" xr:uid="{00000000-0005-0000-0000-000067050000}"/>
    <cellStyle name="Normal 15 2 3" xfId="354" xr:uid="{00000000-0005-0000-0000-000068050000}"/>
    <cellStyle name="Normal 15 3" xfId="297" xr:uid="{00000000-0005-0000-0000-000069050000}"/>
    <cellStyle name="Normal 15 4" xfId="311" xr:uid="{00000000-0005-0000-0000-00006A050000}"/>
    <cellStyle name="Normal 16" xfId="198" xr:uid="{00000000-0005-0000-0000-00006B050000}"/>
    <cellStyle name="Normal 16 2" xfId="199" xr:uid="{00000000-0005-0000-0000-00006C050000}"/>
    <cellStyle name="Normal 16 2 2" xfId="356" xr:uid="{00000000-0005-0000-0000-00006D050000}"/>
    <cellStyle name="Normal 16 3" xfId="355" xr:uid="{00000000-0005-0000-0000-00006E050000}"/>
    <cellStyle name="Normal 17" xfId="200" xr:uid="{00000000-0005-0000-0000-00006F050000}"/>
    <cellStyle name="Normal 17 2" xfId="201" xr:uid="{00000000-0005-0000-0000-000070050000}"/>
    <cellStyle name="Normal 17 2 2" xfId="358" xr:uid="{00000000-0005-0000-0000-000071050000}"/>
    <cellStyle name="Normal 17 3" xfId="357" xr:uid="{00000000-0005-0000-0000-000072050000}"/>
    <cellStyle name="Normal 18" xfId="202" xr:uid="{00000000-0005-0000-0000-000073050000}"/>
    <cellStyle name="Normal 18 2" xfId="203" xr:uid="{00000000-0005-0000-0000-000074050000}"/>
    <cellStyle name="Normal 18 2 2" xfId="360" xr:uid="{00000000-0005-0000-0000-000075050000}"/>
    <cellStyle name="Normal 18 3" xfId="359" xr:uid="{00000000-0005-0000-0000-000076050000}"/>
    <cellStyle name="Normal 19" xfId="204" xr:uid="{00000000-0005-0000-0000-000077050000}"/>
    <cellStyle name="Normal 19 2" xfId="205" xr:uid="{00000000-0005-0000-0000-000078050000}"/>
    <cellStyle name="Normal 2" xfId="5" xr:uid="{00000000-0005-0000-0000-000079050000}"/>
    <cellStyle name="Normal 2 10" xfId="857" xr:uid="{00000000-0005-0000-0000-00007A050000}"/>
    <cellStyle name="Normal 2 10 2" xfId="990" xr:uid="{00000000-0005-0000-0000-00007B050000}"/>
    <cellStyle name="Normal 2 10 2 2" xfId="1282" xr:uid="{00000000-0005-0000-0000-00007C050000}"/>
    <cellStyle name="Normal 2 10 2 2 2" xfId="2788" xr:uid="{00000000-0005-0000-0000-00007D050000}"/>
    <cellStyle name="Normal 2 10 2 3" xfId="1121" xr:uid="{00000000-0005-0000-0000-00007E050000}"/>
    <cellStyle name="Normal 2 10 2 3 2" xfId="2658" xr:uid="{00000000-0005-0000-0000-00007F050000}"/>
    <cellStyle name="Normal 2 10 2 4" xfId="2531" xr:uid="{00000000-0005-0000-0000-000080050000}"/>
    <cellStyle name="Normal 2 10 3" xfId="1191" xr:uid="{00000000-0005-0000-0000-000081050000}"/>
    <cellStyle name="Normal 2 10 3 2" xfId="2725" xr:uid="{00000000-0005-0000-0000-000082050000}"/>
    <cellStyle name="Normal 2 10 4" xfId="1058" xr:uid="{00000000-0005-0000-0000-000083050000}"/>
    <cellStyle name="Normal 2 10 4 2" xfId="2595" xr:uid="{00000000-0005-0000-0000-000084050000}"/>
    <cellStyle name="Normal 2 10 5" xfId="921" xr:uid="{00000000-0005-0000-0000-000085050000}"/>
    <cellStyle name="Normal 2 10 5 2" xfId="2464" xr:uid="{00000000-0005-0000-0000-000086050000}"/>
    <cellStyle name="Normal 2 10 6" xfId="1528" xr:uid="{00000000-0005-0000-0000-000087050000}"/>
    <cellStyle name="Normal 2 10 6 2" xfId="3011" xr:uid="{00000000-0005-0000-0000-000088050000}"/>
    <cellStyle name="Normal 2 10 7" xfId="1342" xr:uid="{00000000-0005-0000-0000-000089050000}"/>
    <cellStyle name="Normal 2 10 7 2" xfId="2172" xr:uid="{00000000-0005-0000-0000-00008A050000}"/>
    <cellStyle name="Normal 2 10 7 2 2" xfId="3523" xr:uid="{00000000-0005-0000-0000-00008B050000}"/>
    <cellStyle name="Normal 2 10 8" xfId="2401" xr:uid="{00000000-0005-0000-0000-00008C050000}"/>
    <cellStyle name="Normal 2 11" xfId="991" xr:uid="{00000000-0005-0000-0000-00008D050000}"/>
    <cellStyle name="Normal 2 12" xfId="1287" xr:uid="{00000000-0005-0000-0000-00008E050000}"/>
    <cellStyle name="Normal 2 12 2" xfId="2792" xr:uid="{00000000-0005-0000-0000-00008F050000}"/>
    <cellStyle name="Normal 2 13" xfId="1288" xr:uid="{00000000-0005-0000-0000-000090050000}"/>
    <cellStyle name="Normal 2 2" xfId="13" xr:uid="{00000000-0005-0000-0000-000091050000}"/>
    <cellStyle name="Normal 2 2 2" xfId="112" xr:uid="{00000000-0005-0000-0000-000092050000}"/>
    <cellStyle name="Normal 2 2 2 2" xfId="304" xr:uid="{00000000-0005-0000-0000-000093050000}"/>
    <cellStyle name="Normal 2 2 2 2 2" xfId="496" xr:uid="{00000000-0005-0000-0000-000094050000}"/>
    <cellStyle name="Normal 2 2 2 2 2 2" xfId="2140" xr:uid="{00000000-0005-0000-0000-000095050000}"/>
    <cellStyle name="Normal 2 2 2 2 2 3" xfId="1873" xr:uid="{00000000-0005-0000-0000-000096050000}"/>
    <cellStyle name="Normal 2 2 2 2 2 3 2" xfId="3345" xr:uid="{00000000-0005-0000-0000-000097050000}"/>
    <cellStyle name="Normal 2 2 2 2 3" xfId="1914" xr:uid="{00000000-0005-0000-0000-000098050000}"/>
    <cellStyle name="Normal 2 2 2 2 4" xfId="2115" xr:uid="{00000000-0005-0000-0000-000099050000}"/>
    <cellStyle name="Normal 2 2 2 2 4 2" xfId="3496" xr:uid="{00000000-0005-0000-0000-00009A050000}"/>
    <cellStyle name="Normal 2 2 2 3" xfId="495" xr:uid="{00000000-0005-0000-0000-00009B050000}"/>
    <cellStyle name="Normal 2 2 2 3 2" xfId="1927" xr:uid="{00000000-0005-0000-0000-00009C050000}"/>
    <cellStyle name="Normal 2 2 2 3 2 2" xfId="3384" xr:uid="{00000000-0005-0000-0000-00009D050000}"/>
    <cellStyle name="Normal 2 2 2 3 3" xfId="2184" xr:uid="{00000000-0005-0000-0000-00009E050000}"/>
    <cellStyle name="Normal 2 2 2 3 4" xfId="2076" xr:uid="{00000000-0005-0000-0000-00009F050000}"/>
    <cellStyle name="Normal 2 2 2 3 4 2" xfId="3472" xr:uid="{00000000-0005-0000-0000-0000A0050000}"/>
    <cellStyle name="Normal 2 2 2 4" xfId="2237" xr:uid="{00000000-0005-0000-0000-0000A1050000}"/>
    <cellStyle name="Normal 2 2 2 4 2" xfId="3558" xr:uid="{00000000-0005-0000-0000-0000A2050000}"/>
    <cellStyle name="Normal 2 2 2 5" xfId="1959" xr:uid="{00000000-0005-0000-0000-0000A3050000}"/>
    <cellStyle name="Normal 2 2 2 6" xfId="1942" xr:uid="{00000000-0005-0000-0000-0000A4050000}"/>
    <cellStyle name="Normal 2 2 2 6 2" xfId="3392" xr:uid="{00000000-0005-0000-0000-0000A5050000}"/>
    <cellStyle name="Normal 2 2 3" xfId="497" xr:uid="{00000000-0005-0000-0000-0000A6050000}"/>
    <cellStyle name="Normal 2 2 3 2" xfId="2181" xr:uid="{00000000-0005-0000-0000-0000A7050000}"/>
    <cellStyle name="Normal 2 2 3 2 2" xfId="3529" xr:uid="{00000000-0005-0000-0000-0000A8050000}"/>
    <cellStyle name="Normal 2 2 3 3" xfId="2223" xr:uid="{00000000-0005-0000-0000-0000A9050000}"/>
    <cellStyle name="Normal 2 2 3 4" xfId="1978" xr:uid="{00000000-0005-0000-0000-0000AA050000}"/>
    <cellStyle name="Normal 2 2 3 4 2" xfId="3413" xr:uid="{00000000-0005-0000-0000-0000AB050000}"/>
    <cellStyle name="Normal 2 2 4" xfId="494" xr:uid="{00000000-0005-0000-0000-0000AC050000}"/>
    <cellStyle name="Normal 2 2 4 2" xfId="1954" xr:uid="{00000000-0005-0000-0000-0000AD050000}"/>
    <cellStyle name="Normal 2 2 4 2 2" xfId="3399" xr:uid="{00000000-0005-0000-0000-0000AE050000}"/>
    <cellStyle name="Normal 2 2 4 3" xfId="2085" xr:uid="{00000000-0005-0000-0000-0000AF050000}"/>
    <cellStyle name="Normal 2 2 4 4" xfId="2109" xr:uid="{00000000-0005-0000-0000-0000B0050000}"/>
    <cellStyle name="Normal 2 2 4 4 2" xfId="3492" xr:uid="{00000000-0005-0000-0000-0000B1050000}"/>
    <cellStyle name="Normal 2 2 5" xfId="993" xr:uid="{00000000-0005-0000-0000-0000B2050000}"/>
    <cellStyle name="Normal 2 2 5 2" xfId="1531" xr:uid="{00000000-0005-0000-0000-0000B3050000}"/>
    <cellStyle name="Normal 2 2 5 3" xfId="2060" xr:uid="{00000000-0005-0000-0000-0000B4050000}"/>
    <cellStyle name="Normal 2 2 5 3 2" xfId="3463" xr:uid="{00000000-0005-0000-0000-0000B5050000}"/>
    <cellStyle name="Normal 2 2 5 4" xfId="2532" xr:uid="{00000000-0005-0000-0000-0000B6050000}"/>
    <cellStyle name="Normal 2 2 6" xfId="1425" xr:uid="{00000000-0005-0000-0000-0000B7050000}"/>
    <cellStyle name="Normal 2 2 6 2" xfId="2102" xr:uid="{00000000-0005-0000-0000-0000B8050000}"/>
    <cellStyle name="Normal 2 2 6 2 2" xfId="3486" xr:uid="{00000000-0005-0000-0000-0000B9050000}"/>
    <cellStyle name="Normal 2 2 7" xfId="64" xr:uid="{00000000-0005-0000-0000-0000BA050000}"/>
    <cellStyle name="Normal 2 2 7 2" xfId="2080" xr:uid="{00000000-0005-0000-0000-0000BB050000}"/>
    <cellStyle name="Normal 2 2 8" xfId="2065" xr:uid="{00000000-0005-0000-0000-0000BC050000}"/>
    <cellStyle name="Normal 2 2 9" xfId="48" xr:uid="{00000000-0005-0000-0000-0000BD050000}"/>
    <cellStyle name="Normal 2 2_Final FY 08 Unit Cost Summary" xfId="561" xr:uid="{00000000-0005-0000-0000-0000BE050000}"/>
    <cellStyle name="Normal 2 3" xfId="56" xr:uid="{00000000-0005-0000-0000-0000BF050000}"/>
    <cellStyle name="Normal 2 3 10" xfId="57" xr:uid="{00000000-0005-0000-0000-0000C0050000}"/>
    <cellStyle name="Normal 2 3 10 2" xfId="3569" xr:uid="{00000000-0005-0000-0000-0000C1050000}"/>
    <cellStyle name="Normal 2 3 11" xfId="2030" xr:uid="{00000000-0005-0000-0000-0000C2050000}"/>
    <cellStyle name="Normal 2 3 2" xfId="207" xr:uid="{00000000-0005-0000-0000-0000C3050000}"/>
    <cellStyle name="Normal 2 3 2 2" xfId="362" xr:uid="{00000000-0005-0000-0000-0000C4050000}"/>
    <cellStyle name="Normal 2 3 2 3" xfId="499" xr:uid="{00000000-0005-0000-0000-0000C5050000}"/>
    <cellStyle name="Normal 2 3 2 4" xfId="2194" xr:uid="{00000000-0005-0000-0000-0000C6050000}"/>
    <cellStyle name="Normal 2 3 2 5" xfId="2098" xr:uid="{00000000-0005-0000-0000-0000C7050000}"/>
    <cellStyle name="Normal 2 3 3" xfId="208" xr:uid="{00000000-0005-0000-0000-0000C8050000}"/>
    <cellStyle name="Normal 2 3 3 2" xfId="363" xr:uid="{00000000-0005-0000-0000-0000C9050000}"/>
    <cellStyle name="Normal 2 3 4" xfId="361" xr:uid="{00000000-0005-0000-0000-0000CA050000}"/>
    <cellStyle name="Normal 2 3 5" xfId="498" xr:uid="{00000000-0005-0000-0000-0000CB050000}"/>
    <cellStyle name="Normal 2 3 6" xfId="206" xr:uid="{00000000-0005-0000-0000-0000CC050000}"/>
    <cellStyle name="Normal 2 3 7" xfId="1329" xr:uid="{00000000-0005-0000-0000-0000CD050000}"/>
    <cellStyle name="Normal 2 3 8" xfId="1573" xr:uid="{00000000-0005-0000-0000-0000CE050000}"/>
    <cellStyle name="Normal 2 3 9" xfId="1426" xr:uid="{00000000-0005-0000-0000-0000CF050000}"/>
    <cellStyle name="Normal 2 4" xfId="62" xr:uid="{00000000-0005-0000-0000-0000D0050000}"/>
    <cellStyle name="Normal 2 4 2" xfId="364" xr:uid="{00000000-0005-0000-0000-0000D1050000}"/>
    <cellStyle name="Normal 2 4 3" xfId="500" xr:uid="{00000000-0005-0000-0000-0000D2050000}"/>
    <cellStyle name="Normal 2 4 4" xfId="209" xr:uid="{00000000-0005-0000-0000-0000D3050000}"/>
    <cellStyle name="Normal 2 4 5" xfId="1464" xr:uid="{00000000-0005-0000-0000-0000D4050000}"/>
    <cellStyle name="Normal 2 5" xfId="69" xr:uid="{00000000-0005-0000-0000-0000D5050000}"/>
    <cellStyle name="Normal 2 5 2" xfId="80" xr:uid="{00000000-0005-0000-0000-0000D6050000}"/>
    <cellStyle name="Normal 2 5 2 2" xfId="1309" xr:uid="{00000000-0005-0000-0000-0000D7050000}"/>
    <cellStyle name="Normal 2 5 2 2 2" xfId="2811" xr:uid="{00000000-0005-0000-0000-0000D8050000}"/>
    <cellStyle name="Normal 2 5 2 3" xfId="365" xr:uid="{00000000-0005-0000-0000-0000D9050000}"/>
    <cellStyle name="Normal 2 5 2 3 2" xfId="1988" xr:uid="{00000000-0005-0000-0000-0000DA050000}"/>
    <cellStyle name="Normal 2 5 2 3 2 2" xfId="3419" xr:uid="{00000000-0005-0000-0000-0000DB050000}"/>
    <cellStyle name="Normal 2 5 2 4" xfId="2316" xr:uid="{00000000-0005-0000-0000-0000DC050000}"/>
    <cellStyle name="Normal 2 5 3" xfId="94" xr:uid="{00000000-0005-0000-0000-0000DD050000}"/>
    <cellStyle name="Normal 2 5 3 2" xfId="1323" xr:uid="{00000000-0005-0000-0000-0000DE050000}"/>
    <cellStyle name="Normal 2 5 3 2 2" xfId="2823" xr:uid="{00000000-0005-0000-0000-0000DF050000}"/>
    <cellStyle name="Normal 2 5 3 3" xfId="2328" xr:uid="{00000000-0005-0000-0000-0000E0050000}"/>
    <cellStyle name="Normal 2 5 4" xfId="1298" xr:uid="{00000000-0005-0000-0000-0000E1050000}"/>
    <cellStyle name="Normal 2 5 4 2" xfId="2802" xr:uid="{00000000-0005-0000-0000-0000E2050000}"/>
    <cellStyle name="Normal 2 5 5" xfId="210" xr:uid="{00000000-0005-0000-0000-0000E3050000}"/>
    <cellStyle name="Normal 2 5 5 2" xfId="2045" xr:uid="{00000000-0005-0000-0000-0000E4050000}"/>
    <cellStyle name="Normal 2 5 5 2 2" xfId="3455" xr:uid="{00000000-0005-0000-0000-0000E5050000}"/>
    <cellStyle name="Normal 2 5 6" xfId="2307" xr:uid="{00000000-0005-0000-0000-0000E6050000}"/>
    <cellStyle name="Normal 2 6" xfId="73" xr:uid="{00000000-0005-0000-0000-0000E7050000}"/>
    <cellStyle name="Normal 2 6 2" xfId="1302" xr:uid="{00000000-0005-0000-0000-0000E8050000}"/>
    <cellStyle name="Normal 2 6 3" xfId="306" xr:uid="{00000000-0005-0000-0000-0000E9050000}"/>
    <cellStyle name="Normal 2 7" xfId="71" xr:uid="{00000000-0005-0000-0000-0000EA050000}"/>
    <cellStyle name="Normal 2 7 2" xfId="1300" xr:uid="{00000000-0005-0000-0000-0000EB050000}"/>
    <cellStyle name="Normal 2 7 2 2" xfId="2804" xr:uid="{00000000-0005-0000-0000-0000EC050000}"/>
    <cellStyle name="Normal 2 7 3" xfId="115" xr:uid="{00000000-0005-0000-0000-0000ED050000}"/>
    <cellStyle name="Normal 2 7 3 2" xfId="1970" xr:uid="{00000000-0005-0000-0000-0000EE050000}"/>
    <cellStyle name="Normal 2 7 3 2 2" xfId="3408" xr:uid="{00000000-0005-0000-0000-0000EF050000}"/>
    <cellStyle name="Normal 2 7 4" xfId="2309" xr:uid="{00000000-0005-0000-0000-0000F0050000}"/>
    <cellStyle name="Normal 2 8" xfId="86" xr:uid="{00000000-0005-0000-0000-0000F1050000}"/>
    <cellStyle name="Normal 2 8 2" xfId="1315" xr:uid="{00000000-0005-0000-0000-0000F2050000}"/>
    <cellStyle name="Normal 2 8 2 2" xfId="2816" xr:uid="{00000000-0005-0000-0000-0000F3050000}"/>
    <cellStyle name="Normal 2 8 3" xfId="835" xr:uid="{00000000-0005-0000-0000-0000F4050000}"/>
    <cellStyle name="Normal 2 8 3 2" xfId="1998" xr:uid="{00000000-0005-0000-0000-0000F5050000}"/>
    <cellStyle name="Normal 2 8 3 2 2" xfId="3427" xr:uid="{00000000-0005-0000-0000-0000F6050000}"/>
    <cellStyle name="Normal 2 8 4" xfId="1343" xr:uid="{00000000-0005-0000-0000-0000F7050000}"/>
    <cellStyle name="Normal 2 8 4 2" xfId="2125" xr:uid="{00000000-0005-0000-0000-0000F8050000}"/>
    <cellStyle name="Normal 2 8 5" xfId="2321" xr:uid="{00000000-0005-0000-0000-0000F9050000}"/>
    <cellStyle name="Normal 2 9" xfId="88" xr:uid="{00000000-0005-0000-0000-0000FA050000}"/>
    <cellStyle name="Normal 2 9 10" xfId="2322" xr:uid="{00000000-0005-0000-0000-0000FB050000}"/>
    <cellStyle name="Normal 2 9 2" xfId="973" xr:uid="{00000000-0005-0000-0000-0000FC050000}"/>
    <cellStyle name="Normal 2 9 2 2" xfId="1265" xr:uid="{00000000-0005-0000-0000-0000FD050000}"/>
    <cellStyle name="Normal 2 9 2 2 2" xfId="2771" xr:uid="{00000000-0005-0000-0000-0000FE050000}"/>
    <cellStyle name="Normal 2 9 2 3" xfId="1104" xr:uid="{00000000-0005-0000-0000-0000FF050000}"/>
    <cellStyle name="Normal 2 9 2 3 2" xfId="2641" xr:uid="{00000000-0005-0000-0000-000000060000}"/>
    <cellStyle name="Normal 2 9 2 4" xfId="2514" xr:uid="{00000000-0005-0000-0000-000001060000}"/>
    <cellStyle name="Normal 2 9 3" xfId="1174" xr:uid="{00000000-0005-0000-0000-000002060000}"/>
    <cellStyle name="Normal 2 9 3 2" xfId="2708" xr:uid="{00000000-0005-0000-0000-000003060000}"/>
    <cellStyle name="Normal 2 9 4" xfId="1041" xr:uid="{00000000-0005-0000-0000-000004060000}"/>
    <cellStyle name="Normal 2 9 4 2" xfId="2578" xr:uid="{00000000-0005-0000-0000-000005060000}"/>
    <cellStyle name="Normal 2 9 5" xfId="904" xr:uid="{00000000-0005-0000-0000-000006060000}"/>
    <cellStyle name="Normal 2 9 5 2" xfId="2447" xr:uid="{00000000-0005-0000-0000-000007060000}"/>
    <cellStyle name="Normal 2 9 6" xfId="1317" xr:uid="{00000000-0005-0000-0000-000008060000}"/>
    <cellStyle name="Normal 2 9 6 2" xfId="2817" xr:uid="{00000000-0005-0000-0000-000009060000}"/>
    <cellStyle name="Normal 2 9 7" xfId="840" xr:uid="{00000000-0005-0000-0000-00000A060000}"/>
    <cellStyle name="Normal 2 9 7 2" xfId="2384" xr:uid="{00000000-0005-0000-0000-00000B060000}"/>
    <cellStyle name="Normal 2 9 8" xfId="1428" xr:uid="{00000000-0005-0000-0000-00000C060000}"/>
    <cellStyle name="Normal 2 9 8 2" xfId="2014" xr:uid="{00000000-0005-0000-0000-00000D060000}"/>
    <cellStyle name="Normal 2 9 8 2 2" xfId="3437" xr:uid="{00000000-0005-0000-0000-00000E060000}"/>
    <cellStyle name="Normal 2 9 9" xfId="2130" xr:uid="{00000000-0005-0000-0000-00000F060000}"/>
    <cellStyle name="Normal 2 9 9 2" xfId="3503" xr:uid="{00000000-0005-0000-0000-000010060000}"/>
    <cellStyle name="Normal 2_09 AuMHC NG Unit Cost Worksheet TJ" xfId="562" xr:uid="{00000000-0005-0000-0000-000011060000}"/>
    <cellStyle name="Normal 20" xfId="211" xr:uid="{00000000-0005-0000-0000-000012060000}"/>
    <cellStyle name="Normal 20 2" xfId="212" xr:uid="{00000000-0005-0000-0000-000013060000}"/>
    <cellStyle name="Normal 20 2 2" xfId="367" xr:uid="{00000000-0005-0000-0000-000014060000}"/>
    <cellStyle name="Normal 20 2 2 2" xfId="705" xr:uid="{00000000-0005-0000-0000-000015060000}"/>
    <cellStyle name="Normal 20 2 3" xfId="634" xr:uid="{00000000-0005-0000-0000-000016060000}"/>
    <cellStyle name="Normal 20 3" xfId="366" xr:uid="{00000000-0005-0000-0000-000017060000}"/>
    <cellStyle name="Normal 20 3 2" xfId="704" xr:uid="{00000000-0005-0000-0000-000018060000}"/>
    <cellStyle name="Normal 20 4" xfId="633" xr:uid="{00000000-0005-0000-0000-000019060000}"/>
    <cellStyle name="Normal 21" xfId="295" xr:uid="{00000000-0005-0000-0000-00001A060000}"/>
    <cellStyle name="Normal 21 2" xfId="423" xr:uid="{00000000-0005-0000-0000-00001B060000}"/>
    <cellStyle name="Normal 21 2 2" xfId="748" xr:uid="{00000000-0005-0000-0000-00001C060000}"/>
    <cellStyle name="Normal 21 3" xfId="678" xr:uid="{00000000-0005-0000-0000-00001D060000}"/>
    <cellStyle name="Normal 22" xfId="303" xr:uid="{00000000-0005-0000-0000-00001E060000}"/>
    <cellStyle name="Normal 23" xfId="310" xr:uid="{00000000-0005-0000-0000-00001F060000}"/>
    <cellStyle name="Normal 23 2" xfId="430" xr:uid="{00000000-0005-0000-0000-000020060000}"/>
    <cellStyle name="Normal 23 2 2" xfId="751" xr:uid="{00000000-0005-0000-0000-000021060000}"/>
    <cellStyle name="Normal 23 3" xfId="685" xr:uid="{00000000-0005-0000-0000-000022060000}"/>
    <cellStyle name="Normal 24" xfId="431" xr:uid="{00000000-0005-0000-0000-000023060000}"/>
    <cellStyle name="Normal 24 2" xfId="433" xr:uid="{00000000-0005-0000-0000-000024060000}"/>
    <cellStyle name="Normal 24 3" xfId="799" xr:uid="{00000000-0005-0000-0000-000025060000}"/>
    <cellStyle name="Normal 24 3 2" xfId="800" xr:uid="{00000000-0005-0000-0000-000026060000}"/>
    <cellStyle name="Normal 25" xfId="435" xr:uid="{00000000-0005-0000-0000-000027060000}"/>
    <cellStyle name="Normal 25 2" xfId="752" xr:uid="{00000000-0005-0000-0000-000028060000}"/>
    <cellStyle name="Normal 25 2 2" xfId="954" xr:uid="{00000000-0005-0000-0000-000029060000}"/>
    <cellStyle name="Normal 25 2 2 2" xfId="1246" xr:uid="{00000000-0005-0000-0000-00002A060000}"/>
    <cellStyle name="Normal 25 2 2 2 2" xfId="1755" xr:uid="{00000000-0005-0000-0000-00002B060000}"/>
    <cellStyle name="Normal 25 2 2 2 2 2" xfId="3227" xr:uid="{00000000-0005-0000-0000-00002C060000}"/>
    <cellStyle name="Normal 25 2 2 2 3" xfId="2752" xr:uid="{00000000-0005-0000-0000-00002D060000}"/>
    <cellStyle name="Normal 25 2 2 3" xfId="1085" xr:uid="{00000000-0005-0000-0000-00002E060000}"/>
    <cellStyle name="Normal 25 2 2 3 2" xfId="2622" xr:uid="{00000000-0005-0000-0000-00002F060000}"/>
    <cellStyle name="Normal 25 2 2 4" xfId="1624" xr:uid="{00000000-0005-0000-0000-000030060000}"/>
    <cellStyle name="Normal 25 2 2 4 2" xfId="3096" xr:uid="{00000000-0005-0000-0000-000031060000}"/>
    <cellStyle name="Normal 25 2 2 5" xfId="1839" xr:uid="{00000000-0005-0000-0000-000032060000}"/>
    <cellStyle name="Normal 25 2 2 5 2" xfId="3311" xr:uid="{00000000-0005-0000-0000-000033060000}"/>
    <cellStyle name="Normal 25 2 2 6" xfId="2495" xr:uid="{00000000-0005-0000-0000-000034060000}"/>
    <cellStyle name="Normal 25 2 3" xfId="1155" xr:uid="{00000000-0005-0000-0000-000035060000}"/>
    <cellStyle name="Normal 25 2 3 2" xfId="1455" xr:uid="{00000000-0005-0000-0000-000036060000}"/>
    <cellStyle name="Normal 25 2 3 2 2" xfId="2940" xr:uid="{00000000-0005-0000-0000-000037060000}"/>
    <cellStyle name="Normal 25 2 3 3" xfId="2689" xr:uid="{00000000-0005-0000-0000-000038060000}"/>
    <cellStyle name="Normal 25 2 4" xfId="1022" xr:uid="{00000000-0005-0000-0000-000039060000}"/>
    <cellStyle name="Normal 25 2 4 2" xfId="1694" xr:uid="{00000000-0005-0000-0000-00003A060000}"/>
    <cellStyle name="Normal 25 2 4 2 2" xfId="3166" xr:uid="{00000000-0005-0000-0000-00003B060000}"/>
    <cellStyle name="Normal 25 2 4 3" xfId="2559" xr:uid="{00000000-0005-0000-0000-00003C060000}"/>
    <cellStyle name="Normal 25 2 5" xfId="885" xr:uid="{00000000-0005-0000-0000-00003D060000}"/>
    <cellStyle name="Normal 25 2 5 2" xfId="2428" xr:uid="{00000000-0005-0000-0000-00003E060000}"/>
    <cellStyle name="Normal 25 2 6" xfId="1493" xr:uid="{00000000-0005-0000-0000-00003F060000}"/>
    <cellStyle name="Normal 25 2 6 2" xfId="2976" xr:uid="{00000000-0005-0000-0000-000040060000}"/>
    <cellStyle name="Normal 25 2 7" xfId="2365" xr:uid="{00000000-0005-0000-0000-000041060000}"/>
    <cellStyle name="Normal 25 3" xfId="933" xr:uid="{00000000-0005-0000-0000-000042060000}"/>
    <cellStyle name="Normal 25 3 2" xfId="1225" xr:uid="{00000000-0005-0000-0000-000043060000}"/>
    <cellStyle name="Normal 25 3 2 2" xfId="1734" xr:uid="{00000000-0005-0000-0000-000044060000}"/>
    <cellStyle name="Normal 25 3 2 2 2" xfId="3206" xr:uid="{00000000-0005-0000-0000-000045060000}"/>
    <cellStyle name="Normal 25 3 2 3" xfId="2731" xr:uid="{00000000-0005-0000-0000-000046060000}"/>
    <cellStyle name="Normal 25 3 3" xfId="1064" xr:uid="{00000000-0005-0000-0000-000047060000}"/>
    <cellStyle name="Normal 25 3 3 2" xfId="2601" xr:uid="{00000000-0005-0000-0000-000048060000}"/>
    <cellStyle name="Normal 25 3 4" xfId="1368" xr:uid="{00000000-0005-0000-0000-000049060000}"/>
    <cellStyle name="Normal 25 3 4 2" xfId="2862" xr:uid="{00000000-0005-0000-0000-00004A060000}"/>
    <cellStyle name="Normal 25 3 5" xfId="1818" xr:uid="{00000000-0005-0000-0000-00004B060000}"/>
    <cellStyle name="Normal 25 3 5 2" xfId="3290" xr:uid="{00000000-0005-0000-0000-00004C060000}"/>
    <cellStyle name="Normal 25 3 6" xfId="2474" xr:uid="{00000000-0005-0000-0000-00004D060000}"/>
    <cellStyle name="Normal 25 4" xfId="1134" xr:uid="{00000000-0005-0000-0000-00004E060000}"/>
    <cellStyle name="Normal 25 4 2" xfId="1536" xr:uid="{00000000-0005-0000-0000-00004F060000}"/>
    <cellStyle name="Normal 25 4 2 2" xfId="3018" xr:uid="{00000000-0005-0000-0000-000050060000}"/>
    <cellStyle name="Normal 25 4 3" xfId="2668" xr:uid="{00000000-0005-0000-0000-000051060000}"/>
    <cellStyle name="Normal 25 5" xfId="1001" xr:uid="{00000000-0005-0000-0000-000052060000}"/>
    <cellStyle name="Normal 25 5 2" xfId="1673" xr:uid="{00000000-0005-0000-0000-000053060000}"/>
    <cellStyle name="Normal 25 5 2 2" xfId="3145" xr:uid="{00000000-0005-0000-0000-000054060000}"/>
    <cellStyle name="Normal 25 5 3" xfId="2538" xr:uid="{00000000-0005-0000-0000-000055060000}"/>
    <cellStyle name="Normal 25 6" xfId="864" xr:uid="{00000000-0005-0000-0000-000056060000}"/>
    <cellStyle name="Normal 25 6 2" xfId="2407" xr:uid="{00000000-0005-0000-0000-000057060000}"/>
    <cellStyle name="Normal 25 7" xfId="1472" xr:uid="{00000000-0005-0000-0000-000058060000}"/>
    <cellStyle name="Normal 25 7 2" xfId="2955" xr:uid="{00000000-0005-0000-0000-000059060000}"/>
    <cellStyle name="Normal 25 8" xfId="2344" xr:uid="{00000000-0005-0000-0000-00005A060000}"/>
    <cellStyle name="Normal 26" xfId="605" xr:uid="{00000000-0005-0000-0000-00005B060000}"/>
    <cellStyle name="Normal 26 2" xfId="762" xr:uid="{00000000-0005-0000-0000-00005C060000}"/>
    <cellStyle name="Normal 26 2 2" xfId="962" xr:uid="{00000000-0005-0000-0000-00005D060000}"/>
    <cellStyle name="Normal 26 2 2 2" xfId="1254" xr:uid="{00000000-0005-0000-0000-00005E060000}"/>
    <cellStyle name="Normal 26 2 2 2 2" xfId="1763" xr:uid="{00000000-0005-0000-0000-00005F060000}"/>
    <cellStyle name="Normal 26 2 2 2 2 2" xfId="3235" xr:uid="{00000000-0005-0000-0000-000060060000}"/>
    <cellStyle name="Normal 26 2 2 2 3" xfId="2760" xr:uid="{00000000-0005-0000-0000-000061060000}"/>
    <cellStyle name="Normal 26 2 2 3" xfId="1093" xr:uid="{00000000-0005-0000-0000-000062060000}"/>
    <cellStyle name="Normal 26 2 2 3 2" xfId="2630" xr:uid="{00000000-0005-0000-0000-000063060000}"/>
    <cellStyle name="Normal 26 2 2 4" xfId="1632" xr:uid="{00000000-0005-0000-0000-000064060000}"/>
    <cellStyle name="Normal 26 2 2 4 2" xfId="3104" xr:uid="{00000000-0005-0000-0000-000065060000}"/>
    <cellStyle name="Normal 26 2 2 5" xfId="1847" xr:uid="{00000000-0005-0000-0000-000066060000}"/>
    <cellStyle name="Normal 26 2 2 5 2" xfId="3319" xr:uid="{00000000-0005-0000-0000-000067060000}"/>
    <cellStyle name="Normal 26 2 2 6" xfId="2503" xr:uid="{00000000-0005-0000-0000-000068060000}"/>
    <cellStyle name="Normal 26 2 3" xfId="1163" xr:uid="{00000000-0005-0000-0000-000069060000}"/>
    <cellStyle name="Normal 26 2 3 2" xfId="1414" xr:uid="{00000000-0005-0000-0000-00006A060000}"/>
    <cellStyle name="Normal 26 2 3 2 2" xfId="2908" xr:uid="{00000000-0005-0000-0000-00006B060000}"/>
    <cellStyle name="Normal 26 2 3 3" xfId="2697" xr:uid="{00000000-0005-0000-0000-00006C060000}"/>
    <cellStyle name="Normal 26 2 4" xfId="1030" xr:uid="{00000000-0005-0000-0000-00006D060000}"/>
    <cellStyle name="Normal 26 2 4 2" xfId="1702" xr:uid="{00000000-0005-0000-0000-00006E060000}"/>
    <cellStyle name="Normal 26 2 4 2 2" xfId="3174" xr:uid="{00000000-0005-0000-0000-00006F060000}"/>
    <cellStyle name="Normal 26 2 4 3" xfId="2567" xr:uid="{00000000-0005-0000-0000-000070060000}"/>
    <cellStyle name="Normal 26 2 5" xfId="893" xr:uid="{00000000-0005-0000-0000-000071060000}"/>
    <cellStyle name="Normal 26 2 5 2" xfId="2436" xr:uid="{00000000-0005-0000-0000-000072060000}"/>
    <cellStyle name="Normal 26 2 6" xfId="1501" xr:uid="{00000000-0005-0000-0000-000073060000}"/>
    <cellStyle name="Normal 26 2 6 2" xfId="2984" xr:uid="{00000000-0005-0000-0000-000074060000}"/>
    <cellStyle name="Normal 26 2 7" xfId="2373" xr:uid="{00000000-0005-0000-0000-000075060000}"/>
    <cellStyle name="Normal 26 3" xfId="941" xr:uid="{00000000-0005-0000-0000-000076060000}"/>
    <cellStyle name="Normal 26 3 2" xfId="1233" xr:uid="{00000000-0005-0000-0000-000077060000}"/>
    <cellStyle name="Normal 26 3 2 2" xfId="1742" xr:uid="{00000000-0005-0000-0000-000078060000}"/>
    <cellStyle name="Normal 26 3 2 2 2" xfId="3214" xr:uid="{00000000-0005-0000-0000-000079060000}"/>
    <cellStyle name="Normal 26 3 2 3" xfId="2739" xr:uid="{00000000-0005-0000-0000-00007A060000}"/>
    <cellStyle name="Normal 26 3 3" xfId="1072" xr:uid="{00000000-0005-0000-0000-00007B060000}"/>
    <cellStyle name="Normal 26 3 3 2" xfId="2609" xr:uid="{00000000-0005-0000-0000-00007C060000}"/>
    <cellStyle name="Normal 26 3 4" xfId="1611" xr:uid="{00000000-0005-0000-0000-00007D060000}"/>
    <cellStyle name="Normal 26 3 4 2" xfId="3083" xr:uid="{00000000-0005-0000-0000-00007E060000}"/>
    <cellStyle name="Normal 26 3 5" xfId="1826" xr:uid="{00000000-0005-0000-0000-00007F060000}"/>
    <cellStyle name="Normal 26 3 5 2" xfId="3298" xr:uid="{00000000-0005-0000-0000-000080060000}"/>
    <cellStyle name="Normal 26 3 6" xfId="2482" xr:uid="{00000000-0005-0000-0000-000081060000}"/>
    <cellStyle name="Normal 26 4" xfId="1142" xr:uid="{00000000-0005-0000-0000-000082060000}"/>
    <cellStyle name="Normal 26 4 2" xfId="1420" xr:uid="{00000000-0005-0000-0000-000083060000}"/>
    <cellStyle name="Normal 26 4 2 2" xfId="2914" xr:uid="{00000000-0005-0000-0000-000084060000}"/>
    <cellStyle name="Normal 26 4 3" xfId="2676" xr:uid="{00000000-0005-0000-0000-000085060000}"/>
    <cellStyle name="Normal 26 5" xfId="1009" xr:uid="{00000000-0005-0000-0000-000086060000}"/>
    <cellStyle name="Normal 26 5 2" xfId="1681" xr:uid="{00000000-0005-0000-0000-000087060000}"/>
    <cellStyle name="Normal 26 5 2 2" xfId="3153" xr:uid="{00000000-0005-0000-0000-000088060000}"/>
    <cellStyle name="Normal 26 5 3" xfId="2546" xr:uid="{00000000-0005-0000-0000-000089060000}"/>
    <cellStyle name="Normal 26 6" xfId="872" xr:uid="{00000000-0005-0000-0000-00008A060000}"/>
    <cellStyle name="Normal 26 6 2" xfId="2415" xr:uid="{00000000-0005-0000-0000-00008B060000}"/>
    <cellStyle name="Normal 26 7" xfId="1480" xr:uid="{00000000-0005-0000-0000-00008C060000}"/>
    <cellStyle name="Normal 26 7 2" xfId="2963" xr:uid="{00000000-0005-0000-0000-00008D060000}"/>
    <cellStyle name="Normal 26 8" xfId="2352" xr:uid="{00000000-0005-0000-0000-00008E060000}"/>
    <cellStyle name="Normal 27" xfId="606" xr:uid="{00000000-0005-0000-0000-00008F060000}"/>
    <cellStyle name="Normal 27 2" xfId="763" xr:uid="{00000000-0005-0000-0000-000090060000}"/>
    <cellStyle name="Normal 27 2 2" xfId="963" xr:uid="{00000000-0005-0000-0000-000091060000}"/>
    <cellStyle name="Normal 27 2 2 2" xfId="1255" xr:uid="{00000000-0005-0000-0000-000092060000}"/>
    <cellStyle name="Normal 27 2 2 2 2" xfId="1764" xr:uid="{00000000-0005-0000-0000-000093060000}"/>
    <cellStyle name="Normal 27 2 2 2 2 2" xfId="3236" xr:uid="{00000000-0005-0000-0000-000094060000}"/>
    <cellStyle name="Normal 27 2 2 2 3" xfId="2761" xr:uid="{00000000-0005-0000-0000-000095060000}"/>
    <cellStyle name="Normal 27 2 2 3" xfId="1094" xr:uid="{00000000-0005-0000-0000-000096060000}"/>
    <cellStyle name="Normal 27 2 2 3 2" xfId="2631" xr:uid="{00000000-0005-0000-0000-000097060000}"/>
    <cellStyle name="Normal 27 2 2 4" xfId="1633" xr:uid="{00000000-0005-0000-0000-000098060000}"/>
    <cellStyle name="Normal 27 2 2 4 2" xfId="3105" xr:uid="{00000000-0005-0000-0000-000099060000}"/>
    <cellStyle name="Normal 27 2 2 5" xfId="1848" xr:uid="{00000000-0005-0000-0000-00009A060000}"/>
    <cellStyle name="Normal 27 2 2 5 2" xfId="3320" xr:uid="{00000000-0005-0000-0000-00009B060000}"/>
    <cellStyle name="Normal 27 2 2 6" xfId="2504" xr:uid="{00000000-0005-0000-0000-00009C060000}"/>
    <cellStyle name="Normal 27 2 3" xfId="1164" xr:uid="{00000000-0005-0000-0000-00009D060000}"/>
    <cellStyle name="Normal 27 2 3 2" xfId="1413" xr:uid="{00000000-0005-0000-0000-00009E060000}"/>
    <cellStyle name="Normal 27 2 3 2 2" xfId="2907" xr:uid="{00000000-0005-0000-0000-00009F060000}"/>
    <cellStyle name="Normal 27 2 3 3" xfId="2698" xr:uid="{00000000-0005-0000-0000-0000A0060000}"/>
    <cellStyle name="Normal 27 2 4" xfId="1031" xr:uid="{00000000-0005-0000-0000-0000A1060000}"/>
    <cellStyle name="Normal 27 2 4 2" xfId="1703" xr:uid="{00000000-0005-0000-0000-0000A2060000}"/>
    <cellStyle name="Normal 27 2 4 2 2" xfId="3175" xr:uid="{00000000-0005-0000-0000-0000A3060000}"/>
    <cellStyle name="Normal 27 2 4 3" xfId="2568" xr:uid="{00000000-0005-0000-0000-0000A4060000}"/>
    <cellStyle name="Normal 27 2 5" xfId="894" xr:uid="{00000000-0005-0000-0000-0000A5060000}"/>
    <cellStyle name="Normal 27 2 5 2" xfId="2437" xr:uid="{00000000-0005-0000-0000-0000A6060000}"/>
    <cellStyle name="Normal 27 2 6" xfId="1502" xr:uid="{00000000-0005-0000-0000-0000A7060000}"/>
    <cellStyle name="Normal 27 2 6 2" xfId="2985" xr:uid="{00000000-0005-0000-0000-0000A8060000}"/>
    <cellStyle name="Normal 27 2 7" xfId="2374" xr:uid="{00000000-0005-0000-0000-0000A9060000}"/>
    <cellStyle name="Normal 27 3" xfId="942" xr:uid="{00000000-0005-0000-0000-0000AA060000}"/>
    <cellStyle name="Normal 27 3 2" xfId="1234" xr:uid="{00000000-0005-0000-0000-0000AB060000}"/>
    <cellStyle name="Normal 27 3 2 2" xfId="1743" xr:uid="{00000000-0005-0000-0000-0000AC060000}"/>
    <cellStyle name="Normal 27 3 2 2 2" xfId="3215" xr:uid="{00000000-0005-0000-0000-0000AD060000}"/>
    <cellStyle name="Normal 27 3 2 3" xfId="2740" xr:uid="{00000000-0005-0000-0000-0000AE060000}"/>
    <cellStyle name="Normal 27 3 3" xfId="1073" xr:uid="{00000000-0005-0000-0000-0000AF060000}"/>
    <cellStyle name="Normal 27 3 3 2" xfId="2610" xr:uid="{00000000-0005-0000-0000-0000B0060000}"/>
    <cellStyle name="Normal 27 3 4" xfId="1612" xr:uid="{00000000-0005-0000-0000-0000B1060000}"/>
    <cellStyle name="Normal 27 3 4 2" xfId="3084" xr:uid="{00000000-0005-0000-0000-0000B2060000}"/>
    <cellStyle name="Normal 27 3 5" xfId="1827" xr:uid="{00000000-0005-0000-0000-0000B3060000}"/>
    <cellStyle name="Normal 27 3 5 2" xfId="3299" xr:uid="{00000000-0005-0000-0000-0000B4060000}"/>
    <cellStyle name="Normal 27 3 6" xfId="2483" xr:uid="{00000000-0005-0000-0000-0000B5060000}"/>
    <cellStyle name="Normal 27 4" xfId="1143" xr:uid="{00000000-0005-0000-0000-0000B6060000}"/>
    <cellStyle name="Normal 27 4 2" xfId="1419" xr:uid="{00000000-0005-0000-0000-0000B7060000}"/>
    <cellStyle name="Normal 27 4 2 2" xfId="2913" xr:uid="{00000000-0005-0000-0000-0000B8060000}"/>
    <cellStyle name="Normal 27 4 3" xfId="2677" xr:uid="{00000000-0005-0000-0000-0000B9060000}"/>
    <cellStyle name="Normal 27 5" xfId="1010" xr:uid="{00000000-0005-0000-0000-0000BA060000}"/>
    <cellStyle name="Normal 27 5 2" xfId="1682" xr:uid="{00000000-0005-0000-0000-0000BB060000}"/>
    <cellStyle name="Normal 27 5 2 2" xfId="3154" xr:uid="{00000000-0005-0000-0000-0000BC060000}"/>
    <cellStyle name="Normal 27 5 3" xfId="2547" xr:uid="{00000000-0005-0000-0000-0000BD060000}"/>
    <cellStyle name="Normal 27 6" xfId="873" xr:uid="{00000000-0005-0000-0000-0000BE060000}"/>
    <cellStyle name="Normal 27 6 2" xfId="2416" xr:uid="{00000000-0005-0000-0000-0000BF060000}"/>
    <cellStyle name="Normal 27 7" xfId="1481" xr:uid="{00000000-0005-0000-0000-0000C0060000}"/>
    <cellStyle name="Normal 27 7 2" xfId="2964" xr:uid="{00000000-0005-0000-0000-0000C1060000}"/>
    <cellStyle name="Normal 27 8" xfId="2353" xr:uid="{00000000-0005-0000-0000-0000C2060000}"/>
    <cellStyle name="Normal 28" xfId="607" xr:uid="{00000000-0005-0000-0000-0000C3060000}"/>
    <cellStyle name="Normal 28 2" xfId="764" xr:uid="{00000000-0005-0000-0000-0000C4060000}"/>
    <cellStyle name="Normal 28 2 2" xfId="964" xr:uid="{00000000-0005-0000-0000-0000C5060000}"/>
    <cellStyle name="Normal 28 2 2 2" xfId="1256" xr:uid="{00000000-0005-0000-0000-0000C6060000}"/>
    <cellStyle name="Normal 28 2 2 2 2" xfId="1765" xr:uid="{00000000-0005-0000-0000-0000C7060000}"/>
    <cellStyle name="Normal 28 2 2 2 2 2" xfId="3237" xr:uid="{00000000-0005-0000-0000-0000C8060000}"/>
    <cellStyle name="Normal 28 2 2 2 3" xfId="2762" xr:uid="{00000000-0005-0000-0000-0000C9060000}"/>
    <cellStyle name="Normal 28 2 2 3" xfId="1095" xr:uid="{00000000-0005-0000-0000-0000CA060000}"/>
    <cellStyle name="Normal 28 2 2 3 2" xfId="2632" xr:uid="{00000000-0005-0000-0000-0000CB060000}"/>
    <cellStyle name="Normal 28 2 2 4" xfId="1634" xr:uid="{00000000-0005-0000-0000-0000CC060000}"/>
    <cellStyle name="Normal 28 2 2 4 2" xfId="3106" xr:uid="{00000000-0005-0000-0000-0000CD060000}"/>
    <cellStyle name="Normal 28 2 2 5" xfId="1849" xr:uid="{00000000-0005-0000-0000-0000CE060000}"/>
    <cellStyle name="Normal 28 2 2 5 2" xfId="3321" xr:uid="{00000000-0005-0000-0000-0000CF060000}"/>
    <cellStyle name="Normal 28 2 2 6" xfId="2505" xr:uid="{00000000-0005-0000-0000-0000D0060000}"/>
    <cellStyle name="Normal 28 2 3" xfId="1165" xr:uid="{00000000-0005-0000-0000-0000D1060000}"/>
    <cellStyle name="Normal 28 2 3 2" xfId="1412" xr:uid="{00000000-0005-0000-0000-0000D2060000}"/>
    <cellStyle name="Normal 28 2 3 2 2" xfId="2906" xr:uid="{00000000-0005-0000-0000-0000D3060000}"/>
    <cellStyle name="Normal 28 2 3 3" xfId="2699" xr:uid="{00000000-0005-0000-0000-0000D4060000}"/>
    <cellStyle name="Normal 28 2 4" xfId="1032" xr:uid="{00000000-0005-0000-0000-0000D5060000}"/>
    <cellStyle name="Normal 28 2 4 2" xfId="1704" xr:uid="{00000000-0005-0000-0000-0000D6060000}"/>
    <cellStyle name="Normal 28 2 4 2 2" xfId="3176" xr:uid="{00000000-0005-0000-0000-0000D7060000}"/>
    <cellStyle name="Normal 28 2 4 3" xfId="2569" xr:uid="{00000000-0005-0000-0000-0000D8060000}"/>
    <cellStyle name="Normal 28 2 5" xfId="895" xr:uid="{00000000-0005-0000-0000-0000D9060000}"/>
    <cellStyle name="Normal 28 2 5 2" xfId="2438" xr:uid="{00000000-0005-0000-0000-0000DA060000}"/>
    <cellStyle name="Normal 28 2 6" xfId="1503" xr:uid="{00000000-0005-0000-0000-0000DB060000}"/>
    <cellStyle name="Normal 28 2 6 2" xfId="2986" xr:uid="{00000000-0005-0000-0000-0000DC060000}"/>
    <cellStyle name="Normal 28 2 7" xfId="2375" xr:uid="{00000000-0005-0000-0000-0000DD060000}"/>
    <cellStyle name="Normal 28 3" xfId="943" xr:uid="{00000000-0005-0000-0000-0000DE060000}"/>
    <cellStyle name="Normal 28 3 2" xfId="1235" xr:uid="{00000000-0005-0000-0000-0000DF060000}"/>
    <cellStyle name="Normal 28 3 2 2" xfId="1744" xr:uid="{00000000-0005-0000-0000-0000E0060000}"/>
    <cellStyle name="Normal 28 3 2 2 2" xfId="3216" xr:uid="{00000000-0005-0000-0000-0000E1060000}"/>
    <cellStyle name="Normal 28 3 2 3" xfId="2741" xr:uid="{00000000-0005-0000-0000-0000E2060000}"/>
    <cellStyle name="Normal 28 3 3" xfId="1074" xr:uid="{00000000-0005-0000-0000-0000E3060000}"/>
    <cellStyle name="Normal 28 3 3 2" xfId="2611" xr:uid="{00000000-0005-0000-0000-0000E4060000}"/>
    <cellStyle name="Normal 28 3 4" xfId="1613" xr:uid="{00000000-0005-0000-0000-0000E5060000}"/>
    <cellStyle name="Normal 28 3 4 2" xfId="3085" xr:uid="{00000000-0005-0000-0000-0000E6060000}"/>
    <cellStyle name="Normal 28 3 5" xfId="1828" xr:uid="{00000000-0005-0000-0000-0000E7060000}"/>
    <cellStyle name="Normal 28 3 5 2" xfId="3300" xr:uid="{00000000-0005-0000-0000-0000E8060000}"/>
    <cellStyle name="Normal 28 3 6" xfId="2484" xr:uid="{00000000-0005-0000-0000-0000E9060000}"/>
    <cellStyle name="Normal 28 4" xfId="1144" xr:uid="{00000000-0005-0000-0000-0000EA060000}"/>
    <cellStyle name="Normal 28 4 2" xfId="1418" xr:uid="{00000000-0005-0000-0000-0000EB060000}"/>
    <cellStyle name="Normal 28 4 2 2" xfId="2912" xr:uid="{00000000-0005-0000-0000-0000EC060000}"/>
    <cellStyle name="Normal 28 4 3" xfId="2678" xr:uid="{00000000-0005-0000-0000-0000ED060000}"/>
    <cellStyle name="Normal 28 5" xfId="1011" xr:uid="{00000000-0005-0000-0000-0000EE060000}"/>
    <cellStyle name="Normal 28 5 2" xfId="1683" xr:uid="{00000000-0005-0000-0000-0000EF060000}"/>
    <cellStyle name="Normal 28 5 2 2" xfId="3155" xr:uid="{00000000-0005-0000-0000-0000F0060000}"/>
    <cellStyle name="Normal 28 5 3" xfId="2548" xr:uid="{00000000-0005-0000-0000-0000F1060000}"/>
    <cellStyle name="Normal 28 6" xfId="874" xr:uid="{00000000-0005-0000-0000-0000F2060000}"/>
    <cellStyle name="Normal 28 6 2" xfId="2417" xr:uid="{00000000-0005-0000-0000-0000F3060000}"/>
    <cellStyle name="Normal 28 7" xfId="1482" xr:uid="{00000000-0005-0000-0000-0000F4060000}"/>
    <cellStyle name="Normal 28 7 2" xfId="2965" xr:uid="{00000000-0005-0000-0000-0000F5060000}"/>
    <cellStyle name="Normal 28 8" xfId="2354" xr:uid="{00000000-0005-0000-0000-0000F6060000}"/>
    <cellStyle name="Normal 29" xfId="608" xr:uid="{00000000-0005-0000-0000-0000F7060000}"/>
    <cellStyle name="Normal 29 2" xfId="765" xr:uid="{00000000-0005-0000-0000-0000F8060000}"/>
    <cellStyle name="Normal 29 2 2" xfId="965" xr:uid="{00000000-0005-0000-0000-0000F9060000}"/>
    <cellStyle name="Normal 29 2 2 2" xfId="1257" xr:uid="{00000000-0005-0000-0000-0000FA060000}"/>
    <cellStyle name="Normal 29 2 2 2 2" xfId="1766" xr:uid="{00000000-0005-0000-0000-0000FB060000}"/>
    <cellStyle name="Normal 29 2 2 2 2 2" xfId="3238" xr:uid="{00000000-0005-0000-0000-0000FC060000}"/>
    <cellStyle name="Normal 29 2 2 2 3" xfId="2763" xr:uid="{00000000-0005-0000-0000-0000FD060000}"/>
    <cellStyle name="Normal 29 2 2 3" xfId="1096" xr:uid="{00000000-0005-0000-0000-0000FE060000}"/>
    <cellStyle name="Normal 29 2 2 3 2" xfId="2633" xr:uid="{00000000-0005-0000-0000-0000FF060000}"/>
    <cellStyle name="Normal 29 2 2 4" xfId="1635" xr:uid="{00000000-0005-0000-0000-000000070000}"/>
    <cellStyle name="Normal 29 2 2 4 2" xfId="3107" xr:uid="{00000000-0005-0000-0000-000001070000}"/>
    <cellStyle name="Normal 29 2 2 5" xfId="1850" xr:uid="{00000000-0005-0000-0000-000002070000}"/>
    <cellStyle name="Normal 29 2 2 5 2" xfId="3322" xr:uid="{00000000-0005-0000-0000-000003070000}"/>
    <cellStyle name="Normal 29 2 2 6" xfId="2506" xr:uid="{00000000-0005-0000-0000-000004070000}"/>
    <cellStyle name="Normal 29 2 3" xfId="1166" xr:uid="{00000000-0005-0000-0000-000005070000}"/>
    <cellStyle name="Normal 29 2 3 2" xfId="1411" xr:uid="{00000000-0005-0000-0000-000006070000}"/>
    <cellStyle name="Normal 29 2 3 2 2" xfId="2905" xr:uid="{00000000-0005-0000-0000-000007070000}"/>
    <cellStyle name="Normal 29 2 3 3" xfId="2700" xr:uid="{00000000-0005-0000-0000-000008070000}"/>
    <cellStyle name="Normal 29 2 4" xfId="1033" xr:uid="{00000000-0005-0000-0000-000009070000}"/>
    <cellStyle name="Normal 29 2 4 2" xfId="1705" xr:uid="{00000000-0005-0000-0000-00000A070000}"/>
    <cellStyle name="Normal 29 2 4 2 2" xfId="3177" xr:uid="{00000000-0005-0000-0000-00000B070000}"/>
    <cellStyle name="Normal 29 2 4 3" xfId="2570" xr:uid="{00000000-0005-0000-0000-00000C070000}"/>
    <cellStyle name="Normal 29 2 5" xfId="896" xr:uid="{00000000-0005-0000-0000-00000D070000}"/>
    <cellStyle name="Normal 29 2 5 2" xfId="2439" xr:uid="{00000000-0005-0000-0000-00000E070000}"/>
    <cellStyle name="Normal 29 2 6" xfId="1504" xr:uid="{00000000-0005-0000-0000-00000F070000}"/>
    <cellStyle name="Normal 29 2 6 2" xfId="2987" xr:uid="{00000000-0005-0000-0000-000010070000}"/>
    <cellStyle name="Normal 29 2 7" xfId="2376" xr:uid="{00000000-0005-0000-0000-000011070000}"/>
    <cellStyle name="Normal 29 3" xfId="944" xr:uid="{00000000-0005-0000-0000-000012070000}"/>
    <cellStyle name="Normal 29 3 2" xfId="1236" xr:uid="{00000000-0005-0000-0000-000013070000}"/>
    <cellStyle name="Normal 29 3 2 2" xfId="1745" xr:uid="{00000000-0005-0000-0000-000014070000}"/>
    <cellStyle name="Normal 29 3 2 2 2" xfId="3217" xr:uid="{00000000-0005-0000-0000-000015070000}"/>
    <cellStyle name="Normal 29 3 2 3" xfId="2742" xr:uid="{00000000-0005-0000-0000-000016070000}"/>
    <cellStyle name="Normal 29 3 3" xfId="1075" xr:uid="{00000000-0005-0000-0000-000017070000}"/>
    <cellStyle name="Normal 29 3 3 2" xfId="2612" xr:uid="{00000000-0005-0000-0000-000018070000}"/>
    <cellStyle name="Normal 29 3 4" xfId="1614" xr:uid="{00000000-0005-0000-0000-000019070000}"/>
    <cellStyle name="Normal 29 3 4 2" xfId="3086" xr:uid="{00000000-0005-0000-0000-00001A070000}"/>
    <cellStyle name="Normal 29 3 5" xfId="1829" xr:uid="{00000000-0005-0000-0000-00001B070000}"/>
    <cellStyle name="Normal 29 3 5 2" xfId="3301" xr:uid="{00000000-0005-0000-0000-00001C070000}"/>
    <cellStyle name="Normal 29 3 6" xfId="2485" xr:uid="{00000000-0005-0000-0000-00001D070000}"/>
    <cellStyle name="Normal 29 4" xfId="1145" xr:uid="{00000000-0005-0000-0000-00001E070000}"/>
    <cellStyle name="Normal 29 4 2" xfId="1417" xr:uid="{00000000-0005-0000-0000-00001F070000}"/>
    <cellStyle name="Normal 29 4 2 2" xfId="2911" xr:uid="{00000000-0005-0000-0000-000020070000}"/>
    <cellStyle name="Normal 29 4 3" xfId="2679" xr:uid="{00000000-0005-0000-0000-000021070000}"/>
    <cellStyle name="Normal 29 5" xfId="1012" xr:uid="{00000000-0005-0000-0000-000022070000}"/>
    <cellStyle name="Normal 29 5 2" xfId="1684" xr:uid="{00000000-0005-0000-0000-000023070000}"/>
    <cellStyle name="Normal 29 5 2 2" xfId="3156" xr:uid="{00000000-0005-0000-0000-000024070000}"/>
    <cellStyle name="Normal 29 5 3" xfId="2549" xr:uid="{00000000-0005-0000-0000-000025070000}"/>
    <cellStyle name="Normal 29 6" xfId="875" xr:uid="{00000000-0005-0000-0000-000026070000}"/>
    <cellStyle name="Normal 29 6 2" xfId="2418" xr:uid="{00000000-0005-0000-0000-000027070000}"/>
    <cellStyle name="Normal 29 7" xfId="1483" xr:uid="{00000000-0005-0000-0000-000028070000}"/>
    <cellStyle name="Normal 29 7 2" xfId="2966" xr:uid="{00000000-0005-0000-0000-000029070000}"/>
    <cellStyle name="Normal 29 8" xfId="2355" xr:uid="{00000000-0005-0000-0000-00002A070000}"/>
    <cellStyle name="Normal 3" xfId="4" xr:uid="{00000000-0005-0000-0000-00002B070000}"/>
    <cellStyle name="Normal 3 10" xfId="214" xr:uid="{00000000-0005-0000-0000-00002C070000}"/>
    <cellStyle name="Normal 3 10 2" xfId="215" xr:uid="{00000000-0005-0000-0000-00002D070000}"/>
    <cellStyle name="Normal 3 10 2 2" xfId="370" xr:uid="{00000000-0005-0000-0000-00002E070000}"/>
    <cellStyle name="Normal 3 10 2 2 2" xfId="708" xr:uid="{00000000-0005-0000-0000-00002F070000}"/>
    <cellStyle name="Normal 3 10 2 3" xfId="637" xr:uid="{00000000-0005-0000-0000-000030070000}"/>
    <cellStyle name="Normal 3 10 3" xfId="369" xr:uid="{00000000-0005-0000-0000-000031070000}"/>
    <cellStyle name="Normal 3 10 3 2" xfId="707" xr:uid="{00000000-0005-0000-0000-000032070000}"/>
    <cellStyle name="Normal 3 10 4" xfId="636" xr:uid="{00000000-0005-0000-0000-000033070000}"/>
    <cellStyle name="Normal 3 11" xfId="216" xr:uid="{00000000-0005-0000-0000-000034070000}"/>
    <cellStyle name="Normal 3 11 2" xfId="217" xr:uid="{00000000-0005-0000-0000-000035070000}"/>
    <cellStyle name="Normal 3 11 2 2" xfId="218" xr:uid="{00000000-0005-0000-0000-000036070000}"/>
    <cellStyle name="Normal 3 11 2 2 2" xfId="373" xr:uid="{00000000-0005-0000-0000-000037070000}"/>
    <cellStyle name="Normal 3 11 2 2 2 2" xfId="711" xr:uid="{00000000-0005-0000-0000-000038070000}"/>
    <cellStyle name="Normal 3 11 2 2 3" xfId="640" xr:uid="{00000000-0005-0000-0000-000039070000}"/>
    <cellStyle name="Normal 3 11 2 3" xfId="372" xr:uid="{00000000-0005-0000-0000-00003A070000}"/>
    <cellStyle name="Normal 3 11 2 3 2" xfId="710" xr:uid="{00000000-0005-0000-0000-00003B070000}"/>
    <cellStyle name="Normal 3 11 2 4" xfId="639" xr:uid="{00000000-0005-0000-0000-00003C070000}"/>
    <cellStyle name="Normal 3 11 3" xfId="371" xr:uid="{00000000-0005-0000-0000-00003D070000}"/>
    <cellStyle name="Normal 3 11 3 2" xfId="709" xr:uid="{00000000-0005-0000-0000-00003E070000}"/>
    <cellStyle name="Normal 3 11 4" xfId="638" xr:uid="{00000000-0005-0000-0000-00003F070000}"/>
    <cellStyle name="Normal 3 12" xfId="123" xr:uid="{00000000-0005-0000-0000-000040070000}"/>
    <cellStyle name="Normal 3 12 2" xfId="681" xr:uid="{00000000-0005-0000-0000-000041070000}"/>
    <cellStyle name="Normal 3 12 2 2" xfId="951" xr:uid="{00000000-0005-0000-0000-000042070000}"/>
    <cellStyle name="Normal 3 12 2 2 2" xfId="1243" xr:uid="{00000000-0005-0000-0000-000043070000}"/>
    <cellStyle name="Normal 3 12 2 2 2 2" xfId="1752" xr:uid="{00000000-0005-0000-0000-000044070000}"/>
    <cellStyle name="Normal 3 12 2 2 2 2 2" xfId="3224" xr:uid="{00000000-0005-0000-0000-000045070000}"/>
    <cellStyle name="Normal 3 12 2 2 2 3" xfId="2749" xr:uid="{00000000-0005-0000-0000-000046070000}"/>
    <cellStyle name="Normal 3 12 2 2 3" xfId="1082" xr:uid="{00000000-0005-0000-0000-000047070000}"/>
    <cellStyle name="Normal 3 12 2 2 3 2" xfId="2619" xr:uid="{00000000-0005-0000-0000-000048070000}"/>
    <cellStyle name="Normal 3 12 2 2 4" xfId="1621" xr:uid="{00000000-0005-0000-0000-000049070000}"/>
    <cellStyle name="Normal 3 12 2 2 4 2" xfId="3093" xr:uid="{00000000-0005-0000-0000-00004A070000}"/>
    <cellStyle name="Normal 3 12 2 2 5" xfId="1836" xr:uid="{00000000-0005-0000-0000-00004B070000}"/>
    <cellStyle name="Normal 3 12 2 2 5 2" xfId="3308" xr:uid="{00000000-0005-0000-0000-00004C070000}"/>
    <cellStyle name="Normal 3 12 2 2 6" xfId="2492" xr:uid="{00000000-0005-0000-0000-00004D070000}"/>
    <cellStyle name="Normal 3 12 2 3" xfId="1152" xr:uid="{00000000-0005-0000-0000-00004E070000}"/>
    <cellStyle name="Normal 3 12 2 3 2" xfId="1348" xr:uid="{00000000-0005-0000-0000-00004F070000}"/>
    <cellStyle name="Normal 3 12 2 3 2 2" xfId="2843" xr:uid="{00000000-0005-0000-0000-000050070000}"/>
    <cellStyle name="Normal 3 12 2 3 3" xfId="2686" xr:uid="{00000000-0005-0000-0000-000051070000}"/>
    <cellStyle name="Normal 3 12 2 4" xfId="1019" xr:uid="{00000000-0005-0000-0000-000052070000}"/>
    <cellStyle name="Normal 3 12 2 4 2" xfId="1691" xr:uid="{00000000-0005-0000-0000-000053070000}"/>
    <cellStyle name="Normal 3 12 2 4 2 2" xfId="3163" xr:uid="{00000000-0005-0000-0000-000054070000}"/>
    <cellStyle name="Normal 3 12 2 4 3" xfId="2556" xr:uid="{00000000-0005-0000-0000-000055070000}"/>
    <cellStyle name="Normal 3 12 2 5" xfId="882" xr:uid="{00000000-0005-0000-0000-000056070000}"/>
    <cellStyle name="Normal 3 12 2 5 2" xfId="2425" xr:uid="{00000000-0005-0000-0000-000057070000}"/>
    <cellStyle name="Normal 3 12 2 6" xfId="1490" xr:uid="{00000000-0005-0000-0000-000058070000}"/>
    <cellStyle name="Normal 3 12 2 6 2" xfId="2973" xr:uid="{00000000-0005-0000-0000-000059070000}"/>
    <cellStyle name="Normal 3 12 2 7" xfId="2362" xr:uid="{00000000-0005-0000-0000-00005A070000}"/>
    <cellStyle name="Normal 3 12 3" xfId="827" xr:uid="{00000000-0005-0000-0000-00005B070000}"/>
    <cellStyle name="Normal 3 12 3 2" xfId="971" xr:uid="{00000000-0005-0000-0000-00005C070000}"/>
    <cellStyle name="Normal 3 12 3 2 2" xfId="1263" xr:uid="{00000000-0005-0000-0000-00005D070000}"/>
    <cellStyle name="Normal 3 12 3 2 2 2" xfId="1772" xr:uid="{00000000-0005-0000-0000-00005E070000}"/>
    <cellStyle name="Normal 3 12 3 2 2 2 2" xfId="3244" xr:uid="{00000000-0005-0000-0000-00005F070000}"/>
    <cellStyle name="Normal 3 12 3 2 2 3" xfId="2769" xr:uid="{00000000-0005-0000-0000-000060070000}"/>
    <cellStyle name="Normal 3 12 3 2 3" xfId="1102" xr:uid="{00000000-0005-0000-0000-000061070000}"/>
    <cellStyle name="Normal 3 12 3 2 3 2" xfId="2639" xr:uid="{00000000-0005-0000-0000-000062070000}"/>
    <cellStyle name="Normal 3 12 3 2 4" xfId="1641" xr:uid="{00000000-0005-0000-0000-000063070000}"/>
    <cellStyle name="Normal 3 12 3 2 4 2" xfId="3113" xr:uid="{00000000-0005-0000-0000-000064070000}"/>
    <cellStyle name="Normal 3 12 3 2 5" xfId="1856" xr:uid="{00000000-0005-0000-0000-000065070000}"/>
    <cellStyle name="Normal 3 12 3 2 5 2" xfId="3328" xr:uid="{00000000-0005-0000-0000-000066070000}"/>
    <cellStyle name="Normal 3 12 3 2 6" xfId="2512" xr:uid="{00000000-0005-0000-0000-000067070000}"/>
    <cellStyle name="Normal 3 12 3 3" xfId="1172" xr:uid="{00000000-0005-0000-0000-000068070000}"/>
    <cellStyle name="Normal 3 12 3 3 2" xfId="1448" xr:uid="{00000000-0005-0000-0000-000069070000}"/>
    <cellStyle name="Normal 3 12 3 3 2 2" xfId="2933" xr:uid="{00000000-0005-0000-0000-00006A070000}"/>
    <cellStyle name="Normal 3 12 3 3 3" xfId="2706" xr:uid="{00000000-0005-0000-0000-00006B070000}"/>
    <cellStyle name="Normal 3 12 3 4" xfId="1039" xr:uid="{00000000-0005-0000-0000-00006C070000}"/>
    <cellStyle name="Normal 3 12 3 4 2" xfId="1711" xr:uid="{00000000-0005-0000-0000-00006D070000}"/>
    <cellStyle name="Normal 3 12 3 4 2 2" xfId="3183" xr:uid="{00000000-0005-0000-0000-00006E070000}"/>
    <cellStyle name="Normal 3 12 3 4 3" xfId="2576" xr:uid="{00000000-0005-0000-0000-00006F070000}"/>
    <cellStyle name="Normal 3 12 3 5" xfId="902" xr:uid="{00000000-0005-0000-0000-000070070000}"/>
    <cellStyle name="Normal 3 12 3 5 2" xfId="2445" xr:uid="{00000000-0005-0000-0000-000071070000}"/>
    <cellStyle name="Normal 3 12 3 6" xfId="1510" xr:uid="{00000000-0005-0000-0000-000072070000}"/>
    <cellStyle name="Normal 3 12 3 6 2" xfId="2993" xr:uid="{00000000-0005-0000-0000-000073070000}"/>
    <cellStyle name="Normal 3 12 3 7" xfId="2382" xr:uid="{00000000-0005-0000-0000-000074070000}"/>
    <cellStyle name="Normal 3 12 4" xfId="929" xr:uid="{00000000-0005-0000-0000-000075070000}"/>
    <cellStyle name="Normal 3 12 4 2" xfId="1221" xr:uid="{00000000-0005-0000-0000-000076070000}"/>
    <cellStyle name="Normal 3 12 4 2 2" xfId="1730" xr:uid="{00000000-0005-0000-0000-000077070000}"/>
    <cellStyle name="Normal 3 12 4 2 2 2" xfId="3202" xr:uid="{00000000-0005-0000-0000-000078070000}"/>
    <cellStyle name="Normal 3 12 4 2 3" xfId="2727" xr:uid="{00000000-0005-0000-0000-000079070000}"/>
    <cellStyle name="Normal 3 12 4 3" xfId="1060" xr:uid="{00000000-0005-0000-0000-00007A070000}"/>
    <cellStyle name="Normal 3 12 4 3 2" xfId="2597" xr:uid="{00000000-0005-0000-0000-00007B070000}"/>
    <cellStyle name="Normal 3 12 4 4" xfId="1372" xr:uid="{00000000-0005-0000-0000-00007C070000}"/>
    <cellStyle name="Normal 3 12 4 4 2" xfId="2866" xr:uid="{00000000-0005-0000-0000-00007D070000}"/>
    <cellStyle name="Normal 3 12 4 5" xfId="1814" xr:uid="{00000000-0005-0000-0000-00007E070000}"/>
    <cellStyle name="Normal 3 12 4 5 2" xfId="3286" xr:uid="{00000000-0005-0000-0000-00007F070000}"/>
    <cellStyle name="Normal 3 12 4 6" xfId="2470" xr:uid="{00000000-0005-0000-0000-000080070000}"/>
    <cellStyle name="Normal 3 12 5" xfId="1130" xr:uid="{00000000-0005-0000-0000-000081070000}"/>
    <cellStyle name="Normal 3 12 5 2" xfId="1575" xr:uid="{00000000-0005-0000-0000-000082070000}"/>
    <cellStyle name="Normal 3 12 5 2 2" xfId="3052" xr:uid="{00000000-0005-0000-0000-000083070000}"/>
    <cellStyle name="Normal 3 12 5 3" xfId="2664" xr:uid="{00000000-0005-0000-0000-000084070000}"/>
    <cellStyle name="Normal 3 12 6" xfId="997" xr:uid="{00000000-0005-0000-0000-000085070000}"/>
    <cellStyle name="Normal 3 12 6 2" xfId="1669" xr:uid="{00000000-0005-0000-0000-000086070000}"/>
    <cellStyle name="Normal 3 12 6 2 2" xfId="3141" xr:uid="{00000000-0005-0000-0000-000087070000}"/>
    <cellStyle name="Normal 3 12 6 3" xfId="2534" xr:uid="{00000000-0005-0000-0000-000088070000}"/>
    <cellStyle name="Normal 3 12 7" xfId="860" xr:uid="{00000000-0005-0000-0000-000089070000}"/>
    <cellStyle name="Normal 3 12 7 2" xfId="2403" xr:uid="{00000000-0005-0000-0000-00008A070000}"/>
    <cellStyle name="Normal 3 12 8" xfId="1467" xr:uid="{00000000-0005-0000-0000-00008B070000}"/>
    <cellStyle name="Normal 3 12 8 2" xfId="2950" xr:uid="{00000000-0005-0000-0000-00008C070000}"/>
    <cellStyle name="Normal 3 12 9" xfId="2340" xr:uid="{00000000-0005-0000-0000-00008D070000}"/>
    <cellStyle name="Normal 3 13" xfId="368" xr:uid="{00000000-0005-0000-0000-00008E070000}"/>
    <cellStyle name="Normal 3 13 2" xfId="706" xr:uid="{00000000-0005-0000-0000-00008F070000}"/>
    <cellStyle name="Normal 3 14" xfId="501" xr:uid="{00000000-0005-0000-0000-000090070000}"/>
    <cellStyle name="Normal 3 15" xfId="635" xr:uid="{00000000-0005-0000-0000-000091070000}"/>
    <cellStyle name="Normal 3 16" xfId="213" xr:uid="{00000000-0005-0000-0000-000092070000}"/>
    <cellStyle name="Normal 3 17" xfId="844" xr:uid="{00000000-0005-0000-0000-000093070000}"/>
    <cellStyle name="Normal 3 17 2" xfId="977" xr:uid="{00000000-0005-0000-0000-000094070000}"/>
    <cellStyle name="Normal 3 17 2 2" xfId="1269" xr:uid="{00000000-0005-0000-0000-000095070000}"/>
    <cellStyle name="Normal 3 17 2 2 2" xfId="2775" xr:uid="{00000000-0005-0000-0000-000096070000}"/>
    <cellStyle name="Normal 3 17 2 3" xfId="1108" xr:uid="{00000000-0005-0000-0000-000097070000}"/>
    <cellStyle name="Normal 3 17 2 3 2" xfId="2645" xr:uid="{00000000-0005-0000-0000-000098070000}"/>
    <cellStyle name="Normal 3 17 2 4" xfId="2518" xr:uid="{00000000-0005-0000-0000-000099070000}"/>
    <cellStyle name="Normal 3 17 3" xfId="1178" xr:uid="{00000000-0005-0000-0000-00009A070000}"/>
    <cellStyle name="Normal 3 17 3 2" xfId="2712" xr:uid="{00000000-0005-0000-0000-00009B070000}"/>
    <cellStyle name="Normal 3 17 4" xfId="1045" xr:uid="{00000000-0005-0000-0000-00009C070000}"/>
    <cellStyle name="Normal 3 17 4 2" xfId="2582" xr:uid="{00000000-0005-0000-0000-00009D070000}"/>
    <cellStyle name="Normal 3 17 5" xfId="908" xr:uid="{00000000-0005-0000-0000-00009E070000}"/>
    <cellStyle name="Normal 3 17 5 2" xfId="2451" xr:uid="{00000000-0005-0000-0000-00009F070000}"/>
    <cellStyle name="Normal 3 17 6" xfId="1515" xr:uid="{00000000-0005-0000-0000-0000A0070000}"/>
    <cellStyle name="Normal 3 17 6 2" xfId="2998" xr:uid="{00000000-0005-0000-0000-0000A1070000}"/>
    <cellStyle name="Normal 3 17 7" xfId="1549" xr:uid="{00000000-0005-0000-0000-0000A2070000}"/>
    <cellStyle name="Normal 3 17 7 2" xfId="2152" xr:uid="{00000000-0005-0000-0000-0000A3070000}"/>
    <cellStyle name="Normal 3 17 7 2 2" xfId="3516" xr:uid="{00000000-0005-0000-0000-0000A4070000}"/>
    <cellStyle name="Normal 3 17 8" xfId="2388" xr:uid="{00000000-0005-0000-0000-0000A5070000}"/>
    <cellStyle name="Normal 3 18" xfId="927" xr:uid="{00000000-0005-0000-0000-0000A6070000}"/>
    <cellStyle name="Normal 3 18 2" xfId="1599" xr:uid="{00000000-0005-0000-0000-0000A7070000}"/>
    <cellStyle name="Normal 3 18 2 2" xfId="1946" xr:uid="{00000000-0005-0000-0000-0000A8070000}"/>
    <cellStyle name="Normal 3 19" xfId="994" xr:uid="{00000000-0005-0000-0000-0000A9070000}"/>
    <cellStyle name="Normal 3 19 2" xfId="1126" xr:uid="{00000000-0005-0000-0000-0000AA070000}"/>
    <cellStyle name="Normal 3 2" xfId="9" xr:uid="{00000000-0005-0000-0000-0000AB070000}"/>
    <cellStyle name="Normal 3 2 10" xfId="502" xr:uid="{00000000-0005-0000-0000-0000AC070000}"/>
    <cellStyle name="Normal 3 2 11" xfId="641" xr:uid="{00000000-0005-0000-0000-0000AD070000}"/>
    <cellStyle name="Normal 3 2 12" xfId="1590" xr:uid="{00000000-0005-0000-0000-0000AE070000}"/>
    <cellStyle name="Normal 3 2 13" xfId="1423" xr:uid="{00000000-0005-0000-0000-0000AF070000}"/>
    <cellStyle name="Normal 3 2 14" xfId="1589" xr:uid="{00000000-0005-0000-0000-0000B0070000}"/>
    <cellStyle name="Normal 3 2 15" xfId="1344" xr:uid="{00000000-0005-0000-0000-0000B1070000}"/>
    <cellStyle name="Normal 3 2 16" xfId="63" xr:uid="{00000000-0005-0000-0000-0000B2070000}"/>
    <cellStyle name="Normal 3 2 17" xfId="1960" xr:uid="{00000000-0005-0000-0000-0000B3070000}"/>
    <cellStyle name="Normal 3 2 18" xfId="1928" xr:uid="{00000000-0005-0000-0000-0000B4070000}"/>
    <cellStyle name="Normal 3 2 2" xfId="34" xr:uid="{00000000-0005-0000-0000-0000B5070000}"/>
    <cellStyle name="Normal 3 2 2 10" xfId="1894" xr:uid="{00000000-0005-0000-0000-0000B6070000}"/>
    <cellStyle name="Normal 3 2 2 11" xfId="51" xr:uid="{00000000-0005-0000-0000-0000B7070000}"/>
    <cellStyle name="Normal 3 2 2 2" xfId="220" xr:uid="{00000000-0005-0000-0000-0000B8070000}"/>
    <cellStyle name="Normal 3 2 2 2 2" xfId="376" xr:uid="{00000000-0005-0000-0000-0000B9070000}"/>
    <cellStyle name="Normal 3 2 2 2 2 2" xfId="714" xr:uid="{00000000-0005-0000-0000-0000BA070000}"/>
    <cellStyle name="Normal 3 2 2 2 3" xfId="643" xr:uid="{00000000-0005-0000-0000-0000BB070000}"/>
    <cellStyle name="Normal 3 2 2 3" xfId="221" xr:uid="{00000000-0005-0000-0000-0000BC070000}"/>
    <cellStyle name="Normal 3 2 2 3 2" xfId="222" xr:uid="{00000000-0005-0000-0000-0000BD070000}"/>
    <cellStyle name="Normal 3 2 2 3 2 2" xfId="378" xr:uid="{00000000-0005-0000-0000-0000BE070000}"/>
    <cellStyle name="Normal 3 2 2 3 2 2 2" xfId="716" xr:uid="{00000000-0005-0000-0000-0000BF070000}"/>
    <cellStyle name="Normal 3 2 2 3 2 3" xfId="645" xr:uid="{00000000-0005-0000-0000-0000C0070000}"/>
    <cellStyle name="Normal 3 2 2 3 3" xfId="377" xr:uid="{00000000-0005-0000-0000-0000C1070000}"/>
    <cellStyle name="Normal 3 2 2 3 3 2" xfId="715" xr:uid="{00000000-0005-0000-0000-0000C2070000}"/>
    <cellStyle name="Normal 3 2 2 3 4" xfId="644" xr:uid="{00000000-0005-0000-0000-0000C3070000}"/>
    <cellStyle name="Normal 3 2 2 4" xfId="223" xr:uid="{00000000-0005-0000-0000-0000C4070000}"/>
    <cellStyle name="Normal 3 2 2 4 2" xfId="379" xr:uid="{00000000-0005-0000-0000-0000C5070000}"/>
    <cellStyle name="Normal 3 2 2 4 2 2" xfId="717" xr:uid="{00000000-0005-0000-0000-0000C6070000}"/>
    <cellStyle name="Normal 3 2 2 4 3" xfId="646" xr:uid="{00000000-0005-0000-0000-0000C7070000}"/>
    <cellStyle name="Normal 3 2 2 5" xfId="224" xr:uid="{00000000-0005-0000-0000-0000C8070000}"/>
    <cellStyle name="Normal 3 2 2 5 2" xfId="380" xr:uid="{00000000-0005-0000-0000-0000C9070000}"/>
    <cellStyle name="Normal 3 2 2 5 2 2" xfId="718" xr:uid="{00000000-0005-0000-0000-0000CA070000}"/>
    <cellStyle name="Normal 3 2 2 5 3" xfId="647" xr:uid="{00000000-0005-0000-0000-0000CB070000}"/>
    <cellStyle name="Normal 3 2 2 6" xfId="375" xr:uid="{00000000-0005-0000-0000-0000CC070000}"/>
    <cellStyle name="Normal 3 2 2 6 2" xfId="713" xr:uid="{00000000-0005-0000-0000-0000CD070000}"/>
    <cellStyle name="Normal 3 2 2 7" xfId="503" xr:uid="{00000000-0005-0000-0000-0000CE070000}"/>
    <cellStyle name="Normal 3 2 2 8" xfId="642" xr:uid="{00000000-0005-0000-0000-0000CF070000}"/>
    <cellStyle name="Normal 3 2 2 9" xfId="219" xr:uid="{00000000-0005-0000-0000-0000D0070000}"/>
    <cellStyle name="Normal 3 2 3" xfId="225" xr:uid="{00000000-0005-0000-0000-0000D1070000}"/>
    <cellStyle name="Normal 3 2 3 2" xfId="226" xr:uid="{00000000-0005-0000-0000-0000D2070000}"/>
    <cellStyle name="Normal 3 2 3 2 2" xfId="382" xr:uid="{00000000-0005-0000-0000-0000D3070000}"/>
    <cellStyle name="Normal 3 2 3 2 2 2" xfId="720" xr:uid="{00000000-0005-0000-0000-0000D4070000}"/>
    <cellStyle name="Normal 3 2 3 2 3" xfId="649" xr:uid="{00000000-0005-0000-0000-0000D5070000}"/>
    <cellStyle name="Normal 3 2 3 3" xfId="381" xr:uid="{00000000-0005-0000-0000-0000D6070000}"/>
    <cellStyle name="Normal 3 2 3 3 2" xfId="719" xr:uid="{00000000-0005-0000-0000-0000D7070000}"/>
    <cellStyle name="Normal 3 2 3 4" xfId="648" xr:uid="{00000000-0005-0000-0000-0000D8070000}"/>
    <cellStyle name="Normal 3 2 4" xfId="227" xr:uid="{00000000-0005-0000-0000-0000D9070000}"/>
    <cellStyle name="Normal 3 2 4 2" xfId="383" xr:uid="{00000000-0005-0000-0000-0000DA070000}"/>
    <cellStyle name="Normal 3 2 4 2 2" xfId="721" xr:uid="{00000000-0005-0000-0000-0000DB070000}"/>
    <cellStyle name="Normal 3 2 4 3" xfId="650" xr:uid="{00000000-0005-0000-0000-0000DC070000}"/>
    <cellStyle name="Normal 3 2 5" xfId="228" xr:uid="{00000000-0005-0000-0000-0000DD070000}"/>
    <cellStyle name="Normal 3 2 5 2" xfId="384" xr:uid="{00000000-0005-0000-0000-0000DE070000}"/>
    <cellStyle name="Normal 3 2 5 2 2" xfId="722" xr:uid="{00000000-0005-0000-0000-0000DF070000}"/>
    <cellStyle name="Normal 3 2 5 3" xfId="651" xr:uid="{00000000-0005-0000-0000-0000E0070000}"/>
    <cellStyle name="Normal 3 2 6" xfId="229" xr:uid="{00000000-0005-0000-0000-0000E1070000}"/>
    <cellStyle name="Normal 3 2 6 2" xfId="385" xr:uid="{00000000-0005-0000-0000-0000E2070000}"/>
    <cellStyle name="Normal 3 2 6 2 2" xfId="723" xr:uid="{00000000-0005-0000-0000-0000E3070000}"/>
    <cellStyle name="Normal 3 2 6 3" xfId="652" xr:uid="{00000000-0005-0000-0000-0000E4070000}"/>
    <cellStyle name="Normal 3 2 7" xfId="230" xr:uid="{00000000-0005-0000-0000-0000E5070000}"/>
    <cellStyle name="Normal 3 2 7 2" xfId="386" xr:uid="{00000000-0005-0000-0000-0000E6070000}"/>
    <cellStyle name="Normal 3 2 7 2 2" xfId="724" xr:uid="{00000000-0005-0000-0000-0000E7070000}"/>
    <cellStyle name="Normal 3 2 7 3" xfId="653" xr:uid="{00000000-0005-0000-0000-0000E8070000}"/>
    <cellStyle name="Normal 3 2 8" xfId="231" xr:uid="{00000000-0005-0000-0000-0000E9070000}"/>
    <cellStyle name="Normal 3 2 8 2" xfId="387" xr:uid="{00000000-0005-0000-0000-0000EA070000}"/>
    <cellStyle name="Normal 3 2 8 2 2" xfId="725" xr:uid="{00000000-0005-0000-0000-0000EB070000}"/>
    <cellStyle name="Normal 3 2 8 3" xfId="654" xr:uid="{00000000-0005-0000-0000-0000EC070000}"/>
    <cellStyle name="Normal 3 2 9" xfId="374" xr:uid="{00000000-0005-0000-0000-0000ED070000}"/>
    <cellStyle name="Normal 3 2 9 2" xfId="712" xr:uid="{00000000-0005-0000-0000-0000EE070000}"/>
    <cellStyle name="Normal 3 20" xfId="926" xr:uid="{00000000-0005-0000-0000-0000EF070000}"/>
    <cellStyle name="Normal 3 21" xfId="1283" xr:uid="{00000000-0005-0000-0000-0000F0070000}"/>
    <cellStyle name="Normal 3 21 2" xfId="1598" xr:uid="{00000000-0005-0000-0000-0000F1070000}"/>
    <cellStyle name="Normal 3 21 2 2" xfId="3071" xr:uid="{00000000-0005-0000-0000-0000F2070000}"/>
    <cellStyle name="Normal 3 21 2 3" xfId="2278" xr:uid="{00000000-0005-0000-0000-0000F3070000}"/>
    <cellStyle name="Normal 3 3" xfId="16" xr:uid="{00000000-0005-0000-0000-0000F4070000}"/>
    <cellStyle name="Normal 3 3 10" xfId="2055" xr:uid="{00000000-0005-0000-0000-0000F5070000}"/>
    <cellStyle name="Normal 3 3 10 2" xfId="3460" xr:uid="{00000000-0005-0000-0000-0000F6070000}"/>
    <cellStyle name="Normal 3 3 11" xfId="2254" xr:uid="{00000000-0005-0000-0000-0000F7070000}"/>
    <cellStyle name="Normal 3 3 12" xfId="49" xr:uid="{00000000-0005-0000-0000-0000F8070000}"/>
    <cellStyle name="Normal 3 3 2" xfId="233" xr:uid="{00000000-0005-0000-0000-0000F9070000}"/>
    <cellStyle name="Normal 3 3 2 2" xfId="389" xr:uid="{00000000-0005-0000-0000-0000FA070000}"/>
    <cellStyle name="Normal 3 3 2 2 2" xfId="1955" xr:uid="{00000000-0005-0000-0000-0000FB070000}"/>
    <cellStyle name="Normal 3 3 2 2 3" xfId="2231" xr:uid="{00000000-0005-0000-0000-0000FC070000}"/>
    <cellStyle name="Normal 3 3 2 2 3 2" xfId="3553" xr:uid="{00000000-0005-0000-0000-0000FD070000}"/>
    <cellStyle name="Normal 3 3 2 3" xfId="2157" xr:uid="{00000000-0005-0000-0000-0000FE070000}"/>
    <cellStyle name="Normal 3 3 2 4" xfId="1952" xr:uid="{00000000-0005-0000-0000-0000FF070000}"/>
    <cellStyle name="Normal 3 3 2 4 2" xfId="3398" xr:uid="{00000000-0005-0000-0000-000000080000}"/>
    <cellStyle name="Normal 3 3 3" xfId="388" xr:uid="{00000000-0005-0000-0000-000001080000}"/>
    <cellStyle name="Normal 3 3 3 2" xfId="1995" xr:uid="{00000000-0005-0000-0000-000002080000}"/>
    <cellStyle name="Normal 3 3 3 2 2" xfId="3425" xr:uid="{00000000-0005-0000-0000-000003080000}"/>
    <cellStyle name="Normal 3 3 3 3" xfId="2034" xr:uid="{00000000-0005-0000-0000-000004080000}"/>
    <cellStyle name="Normal 3 3 3 4" xfId="2047" xr:uid="{00000000-0005-0000-0000-000005080000}"/>
    <cellStyle name="Normal 3 3 3 4 2" xfId="3456" xr:uid="{00000000-0005-0000-0000-000006080000}"/>
    <cellStyle name="Normal 3 3 4" xfId="504" xr:uid="{00000000-0005-0000-0000-000007080000}"/>
    <cellStyle name="Normal 3 3 4 2" xfId="2232" xr:uid="{00000000-0005-0000-0000-000008080000}"/>
    <cellStyle name="Normal 3 3 4 3" xfId="2166" xr:uid="{00000000-0005-0000-0000-000009080000}"/>
    <cellStyle name="Normal 3 3 4 3 2" xfId="3521" xr:uid="{00000000-0005-0000-0000-00000A080000}"/>
    <cellStyle name="Normal 3 3 5" xfId="1311" xr:uid="{00000000-0005-0000-0000-00000B080000}"/>
    <cellStyle name="Normal 3 3 5 2" xfId="1422" xr:uid="{00000000-0005-0000-0000-00000C080000}"/>
    <cellStyle name="Normal 3 3 5 2 2" xfId="2075" xr:uid="{00000000-0005-0000-0000-00000D080000}"/>
    <cellStyle name="Normal 3 3 5 2 2 2" xfId="3471" xr:uid="{00000000-0005-0000-0000-00000E080000}"/>
    <cellStyle name="Normal 3 3 5 2 2 3" xfId="2280" xr:uid="{00000000-0005-0000-0000-00000F080000}"/>
    <cellStyle name="Normal 3 3 5 3" xfId="2812" xr:uid="{00000000-0005-0000-0000-000010080000}"/>
    <cellStyle name="Normal 3 3 5 4" xfId="2267" xr:uid="{00000000-0005-0000-0000-000011080000}"/>
    <cellStyle name="Normal 3 3 6" xfId="232" xr:uid="{00000000-0005-0000-0000-000012080000}"/>
    <cellStyle name="Normal 3 3 6 2" xfId="1578" xr:uid="{00000000-0005-0000-0000-000013080000}"/>
    <cellStyle name="Normal 3 3 7" xfId="1424" xr:uid="{00000000-0005-0000-0000-000014080000}"/>
    <cellStyle name="Normal 3 3 8" xfId="82" xr:uid="{00000000-0005-0000-0000-000015080000}"/>
    <cellStyle name="Normal 3 3 8 2" xfId="2317" xr:uid="{00000000-0005-0000-0000-000016080000}"/>
    <cellStyle name="Normal 3 3 8 3" xfId="2283" xr:uid="{00000000-0005-0000-0000-000017080000}"/>
    <cellStyle name="Normal 3 3 9" xfId="1876" xr:uid="{00000000-0005-0000-0000-000018080000}"/>
    <cellStyle name="Normal 3 4" xfId="7" xr:uid="{00000000-0005-0000-0000-000019080000}"/>
    <cellStyle name="Normal 3 4 2" xfId="235" xr:uid="{00000000-0005-0000-0000-00001A080000}"/>
    <cellStyle name="Normal 3 4 2 2" xfId="391" xr:uid="{00000000-0005-0000-0000-00001B080000}"/>
    <cellStyle name="Normal 3 4 2 2 2" xfId="727" xr:uid="{00000000-0005-0000-0000-00001C080000}"/>
    <cellStyle name="Normal 3 4 2 3" xfId="656" xr:uid="{00000000-0005-0000-0000-00001D080000}"/>
    <cellStyle name="Normal 3 4 2 4" xfId="2167" xr:uid="{00000000-0005-0000-0000-00001E080000}"/>
    <cellStyle name="Normal 3 4 2 5" xfId="2174" xr:uid="{00000000-0005-0000-0000-00001F080000}"/>
    <cellStyle name="Normal 3 4 2 5 2" xfId="3525" xr:uid="{00000000-0005-0000-0000-000020080000}"/>
    <cellStyle name="Normal 3 4 3" xfId="390" xr:uid="{00000000-0005-0000-0000-000021080000}"/>
    <cellStyle name="Normal 3 4 3 2" xfId="726" xr:uid="{00000000-0005-0000-0000-000022080000}"/>
    <cellStyle name="Normal 3 4 4" xfId="655" xr:uid="{00000000-0005-0000-0000-000023080000}"/>
    <cellStyle name="Normal 3 4 5" xfId="234" xr:uid="{00000000-0005-0000-0000-000024080000}"/>
    <cellStyle name="Normal 3 4 6" xfId="2107" xr:uid="{00000000-0005-0000-0000-000025080000}"/>
    <cellStyle name="Normal 3 4 7" xfId="2136" xr:uid="{00000000-0005-0000-0000-000026080000}"/>
    <cellStyle name="Normal 3 4 7 2" xfId="3506" xr:uid="{00000000-0005-0000-0000-000027080000}"/>
    <cellStyle name="Normal 3 5" xfId="41" xr:uid="{00000000-0005-0000-0000-000028080000}"/>
    <cellStyle name="Normal 3 5 2" xfId="237" xr:uid="{00000000-0005-0000-0000-000029080000}"/>
    <cellStyle name="Normal 3 5 2 2" xfId="393" xr:uid="{00000000-0005-0000-0000-00002A080000}"/>
    <cellStyle name="Normal 3 5 2 2 2" xfId="729" xr:uid="{00000000-0005-0000-0000-00002B080000}"/>
    <cellStyle name="Normal 3 5 2 3" xfId="658" xr:uid="{00000000-0005-0000-0000-00002C080000}"/>
    <cellStyle name="Normal 3 5 3" xfId="392" xr:uid="{00000000-0005-0000-0000-00002D080000}"/>
    <cellStyle name="Normal 3 5 3 2" xfId="728" xr:uid="{00000000-0005-0000-0000-00002E080000}"/>
    <cellStyle name="Normal 3 5 4" xfId="657" xr:uid="{00000000-0005-0000-0000-00002F080000}"/>
    <cellStyle name="Normal 3 5 5" xfId="236" xr:uid="{00000000-0005-0000-0000-000030080000}"/>
    <cellStyle name="Normal 3 5 6" xfId="2061" xr:uid="{00000000-0005-0000-0000-000031080000}"/>
    <cellStyle name="Normal 3 5 7" xfId="2011" xr:uid="{00000000-0005-0000-0000-000032080000}"/>
    <cellStyle name="Normal 3 6" xfId="238" xr:uid="{00000000-0005-0000-0000-000033080000}"/>
    <cellStyle name="Normal 3 6 2" xfId="239" xr:uid="{00000000-0005-0000-0000-000034080000}"/>
    <cellStyle name="Normal 3 6 2 2" xfId="395" xr:uid="{00000000-0005-0000-0000-000035080000}"/>
    <cellStyle name="Normal 3 6 2 2 2" xfId="731" xr:uid="{00000000-0005-0000-0000-000036080000}"/>
    <cellStyle name="Normal 3 6 2 3" xfId="660" xr:uid="{00000000-0005-0000-0000-000037080000}"/>
    <cellStyle name="Normal 3 6 2 4" xfId="2246" xr:uid="{00000000-0005-0000-0000-000038080000}"/>
    <cellStyle name="Normal 3 6 2 5" xfId="1976" xr:uid="{00000000-0005-0000-0000-000039080000}"/>
    <cellStyle name="Normal 3 6 2 5 2" xfId="3412" xr:uid="{00000000-0005-0000-0000-00003A080000}"/>
    <cellStyle name="Normal 3 6 3" xfId="394" xr:uid="{00000000-0005-0000-0000-00003B080000}"/>
    <cellStyle name="Normal 3 6 3 2" xfId="730" xr:uid="{00000000-0005-0000-0000-00003C080000}"/>
    <cellStyle name="Normal 3 6 4" xfId="659" xr:uid="{00000000-0005-0000-0000-00003D080000}"/>
    <cellStyle name="Normal 3 6 5" xfId="2201" xr:uid="{00000000-0005-0000-0000-00003E080000}"/>
    <cellStyle name="Normal 3 6 6" xfId="2235" xr:uid="{00000000-0005-0000-0000-00003F080000}"/>
    <cellStyle name="Normal 3 6 6 2" xfId="3556" xr:uid="{00000000-0005-0000-0000-000040080000}"/>
    <cellStyle name="Normal 3 7" xfId="240" xr:uid="{00000000-0005-0000-0000-000041080000}"/>
    <cellStyle name="Normal 3 7 2" xfId="396" xr:uid="{00000000-0005-0000-0000-000042080000}"/>
    <cellStyle name="Normal 3 7 2 2" xfId="732" xr:uid="{00000000-0005-0000-0000-000043080000}"/>
    <cellStyle name="Normal 3 7 3" xfId="661" xr:uid="{00000000-0005-0000-0000-000044080000}"/>
    <cellStyle name="Normal 3 7 4" xfId="2212" xr:uid="{00000000-0005-0000-0000-000045080000}"/>
    <cellStyle name="Normal 3 7 5" xfId="2240" xr:uid="{00000000-0005-0000-0000-000046080000}"/>
    <cellStyle name="Normal 3 7 5 2" xfId="3559" xr:uid="{00000000-0005-0000-0000-000047080000}"/>
    <cellStyle name="Normal 3 8" xfId="241" xr:uid="{00000000-0005-0000-0000-000048080000}"/>
    <cellStyle name="Normal 3 8 2" xfId="397" xr:uid="{00000000-0005-0000-0000-000049080000}"/>
    <cellStyle name="Normal 3 8 2 2" xfId="733" xr:uid="{00000000-0005-0000-0000-00004A080000}"/>
    <cellStyle name="Normal 3 8 3" xfId="662" xr:uid="{00000000-0005-0000-0000-00004B080000}"/>
    <cellStyle name="Normal 3 9" xfId="242" xr:uid="{00000000-0005-0000-0000-00004C080000}"/>
    <cellStyle name="Normal 3 9 2" xfId="398" xr:uid="{00000000-0005-0000-0000-00004D080000}"/>
    <cellStyle name="Normal 3 9 2 2" xfId="734" xr:uid="{00000000-0005-0000-0000-00004E080000}"/>
    <cellStyle name="Normal 3 9 3" xfId="663" xr:uid="{00000000-0005-0000-0000-00004F080000}"/>
    <cellStyle name="Normal 30" xfId="609" xr:uid="{00000000-0005-0000-0000-000050080000}"/>
    <cellStyle name="Normal 30 2" xfId="766" xr:uid="{00000000-0005-0000-0000-000051080000}"/>
    <cellStyle name="Normal 30 2 2" xfId="966" xr:uid="{00000000-0005-0000-0000-000052080000}"/>
    <cellStyle name="Normal 30 2 2 2" xfId="1258" xr:uid="{00000000-0005-0000-0000-000053080000}"/>
    <cellStyle name="Normal 30 2 2 2 2" xfId="1767" xr:uid="{00000000-0005-0000-0000-000054080000}"/>
    <cellStyle name="Normal 30 2 2 2 2 2" xfId="3239" xr:uid="{00000000-0005-0000-0000-000055080000}"/>
    <cellStyle name="Normal 30 2 2 2 3" xfId="2764" xr:uid="{00000000-0005-0000-0000-000056080000}"/>
    <cellStyle name="Normal 30 2 2 3" xfId="1097" xr:uid="{00000000-0005-0000-0000-000057080000}"/>
    <cellStyle name="Normal 30 2 2 3 2" xfId="2634" xr:uid="{00000000-0005-0000-0000-000058080000}"/>
    <cellStyle name="Normal 30 2 2 4" xfId="1636" xr:uid="{00000000-0005-0000-0000-000059080000}"/>
    <cellStyle name="Normal 30 2 2 4 2" xfId="3108" xr:uid="{00000000-0005-0000-0000-00005A080000}"/>
    <cellStyle name="Normal 30 2 2 5" xfId="1851" xr:uid="{00000000-0005-0000-0000-00005B080000}"/>
    <cellStyle name="Normal 30 2 2 5 2" xfId="3323" xr:uid="{00000000-0005-0000-0000-00005C080000}"/>
    <cellStyle name="Normal 30 2 2 6" xfId="2507" xr:uid="{00000000-0005-0000-0000-00005D080000}"/>
    <cellStyle name="Normal 30 2 3" xfId="1167" xr:uid="{00000000-0005-0000-0000-00005E080000}"/>
    <cellStyle name="Normal 30 2 3 2" xfId="1410" xr:uid="{00000000-0005-0000-0000-00005F080000}"/>
    <cellStyle name="Normal 30 2 3 2 2" xfId="2904" xr:uid="{00000000-0005-0000-0000-000060080000}"/>
    <cellStyle name="Normal 30 2 3 3" xfId="2701" xr:uid="{00000000-0005-0000-0000-000061080000}"/>
    <cellStyle name="Normal 30 2 4" xfId="1034" xr:uid="{00000000-0005-0000-0000-000062080000}"/>
    <cellStyle name="Normal 30 2 4 2" xfId="1706" xr:uid="{00000000-0005-0000-0000-000063080000}"/>
    <cellStyle name="Normal 30 2 4 2 2" xfId="3178" xr:uid="{00000000-0005-0000-0000-000064080000}"/>
    <cellStyle name="Normal 30 2 4 3" xfId="2571" xr:uid="{00000000-0005-0000-0000-000065080000}"/>
    <cellStyle name="Normal 30 2 5" xfId="897" xr:uid="{00000000-0005-0000-0000-000066080000}"/>
    <cellStyle name="Normal 30 2 5 2" xfId="2440" xr:uid="{00000000-0005-0000-0000-000067080000}"/>
    <cellStyle name="Normal 30 2 6" xfId="1505" xr:uid="{00000000-0005-0000-0000-000068080000}"/>
    <cellStyle name="Normal 30 2 6 2" xfId="2988" xr:uid="{00000000-0005-0000-0000-000069080000}"/>
    <cellStyle name="Normal 30 2 7" xfId="2377" xr:uid="{00000000-0005-0000-0000-00006A080000}"/>
    <cellStyle name="Normal 30 3" xfId="945" xr:uid="{00000000-0005-0000-0000-00006B080000}"/>
    <cellStyle name="Normal 30 3 2" xfId="1237" xr:uid="{00000000-0005-0000-0000-00006C080000}"/>
    <cellStyle name="Normal 30 3 2 2" xfId="1746" xr:uid="{00000000-0005-0000-0000-00006D080000}"/>
    <cellStyle name="Normal 30 3 2 2 2" xfId="3218" xr:uid="{00000000-0005-0000-0000-00006E080000}"/>
    <cellStyle name="Normal 30 3 2 3" xfId="2743" xr:uid="{00000000-0005-0000-0000-00006F080000}"/>
    <cellStyle name="Normal 30 3 3" xfId="1076" xr:uid="{00000000-0005-0000-0000-000070080000}"/>
    <cellStyle name="Normal 30 3 3 2" xfId="2613" xr:uid="{00000000-0005-0000-0000-000071080000}"/>
    <cellStyle name="Normal 30 3 4" xfId="1615" xr:uid="{00000000-0005-0000-0000-000072080000}"/>
    <cellStyle name="Normal 30 3 4 2" xfId="3087" xr:uid="{00000000-0005-0000-0000-000073080000}"/>
    <cellStyle name="Normal 30 3 5" xfId="1830" xr:uid="{00000000-0005-0000-0000-000074080000}"/>
    <cellStyle name="Normal 30 3 5 2" xfId="3302" xr:uid="{00000000-0005-0000-0000-000075080000}"/>
    <cellStyle name="Normal 30 3 6" xfId="2486" xr:uid="{00000000-0005-0000-0000-000076080000}"/>
    <cellStyle name="Normal 30 4" xfId="1146" xr:uid="{00000000-0005-0000-0000-000077080000}"/>
    <cellStyle name="Normal 30 4 2" xfId="1416" xr:uid="{00000000-0005-0000-0000-000078080000}"/>
    <cellStyle name="Normal 30 4 2 2" xfId="2910" xr:uid="{00000000-0005-0000-0000-000079080000}"/>
    <cellStyle name="Normal 30 4 3" xfId="2680" xr:uid="{00000000-0005-0000-0000-00007A080000}"/>
    <cellStyle name="Normal 30 5" xfId="1013" xr:uid="{00000000-0005-0000-0000-00007B080000}"/>
    <cellStyle name="Normal 30 5 2" xfId="1685" xr:uid="{00000000-0005-0000-0000-00007C080000}"/>
    <cellStyle name="Normal 30 5 2 2" xfId="3157" xr:uid="{00000000-0005-0000-0000-00007D080000}"/>
    <cellStyle name="Normal 30 5 3" xfId="2550" xr:uid="{00000000-0005-0000-0000-00007E080000}"/>
    <cellStyle name="Normal 30 6" xfId="876" xr:uid="{00000000-0005-0000-0000-00007F080000}"/>
    <cellStyle name="Normal 30 6 2" xfId="2419" xr:uid="{00000000-0005-0000-0000-000080080000}"/>
    <cellStyle name="Normal 30 7" xfId="1484" xr:uid="{00000000-0005-0000-0000-000081080000}"/>
    <cellStyle name="Normal 30 7 2" xfId="2967" xr:uid="{00000000-0005-0000-0000-000082080000}"/>
    <cellStyle name="Normal 30 8" xfId="2356" xr:uid="{00000000-0005-0000-0000-000083080000}"/>
    <cellStyle name="Normal 31" xfId="610" xr:uid="{00000000-0005-0000-0000-000084080000}"/>
    <cellStyle name="Normal 31 2" xfId="767" xr:uid="{00000000-0005-0000-0000-000085080000}"/>
    <cellStyle name="Normal 31 2 2" xfId="967" xr:uid="{00000000-0005-0000-0000-000086080000}"/>
    <cellStyle name="Normal 31 2 2 2" xfId="1259" xr:uid="{00000000-0005-0000-0000-000087080000}"/>
    <cellStyle name="Normal 31 2 2 2 2" xfId="1768" xr:uid="{00000000-0005-0000-0000-000088080000}"/>
    <cellStyle name="Normal 31 2 2 2 2 2" xfId="3240" xr:uid="{00000000-0005-0000-0000-000089080000}"/>
    <cellStyle name="Normal 31 2 2 2 3" xfId="2765" xr:uid="{00000000-0005-0000-0000-00008A080000}"/>
    <cellStyle name="Normal 31 2 2 3" xfId="1098" xr:uid="{00000000-0005-0000-0000-00008B080000}"/>
    <cellStyle name="Normal 31 2 2 3 2" xfId="2635" xr:uid="{00000000-0005-0000-0000-00008C080000}"/>
    <cellStyle name="Normal 31 2 2 4" xfId="1637" xr:uid="{00000000-0005-0000-0000-00008D080000}"/>
    <cellStyle name="Normal 31 2 2 4 2" xfId="3109" xr:uid="{00000000-0005-0000-0000-00008E080000}"/>
    <cellStyle name="Normal 31 2 2 5" xfId="1852" xr:uid="{00000000-0005-0000-0000-00008F080000}"/>
    <cellStyle name="Normal 31 2 2 5 2" xfId="3324" xr:uid="{00000000-0005-0000-0000-000090080000}"/>
    <cellStyle name="Normal 31 2 2 6" xfId="2508" xr:uid="{00000000-0005-0000-0000-000091080000}"/>
    <cellStyle name="Normal 31 2 3" xfId="1168" xr:uid="{00000000-0005-0000-0000-000092080000}"/>
    <cellStyle name="Normal 31 2 3 2" xfId="1409" xr:uid="{00000000-0005-0000-0000-000093080000}"/>
    <cellStyle name="Normal 31 2 3 2 2" xfId="2903" xr:uid="{00000000-0005-0000-0000-000094080000}"/>
    <cellStyle name="Normal 31 2 3 3" xfId="2702" xr:uid="{00000000-0005-0000-0000-000095080000}"/>
    <cellStyle name="Normal 31 2 4" xfId="1035" xr:uid="{00000000-0005-0000-0000-000096080000}"/>
    <cellStyle name="Normal 31 2 4 2" xfId="1707" xr:uid="{00000000-0005-0000-0000-000097080000}"/>
    <cellStyle name="Normal 31 2 4 2 2" xfId="3179" xr:uid="{00000000-0005-0000-0000-000098080000}"/>
    <cellStyle name="Normal 31 2 4 3" xfId="2572" xr:uid="{00000000-0005-0000-0000-000099080000}"/>
    <cellStyle name="Normal 31 2 5" xfId="898" xr:uid="{00000000-0005-0000-0000-00009A080000}"/>
    <cellStyle name="Normal 31 2 5 2" xfId="2441" xr:uid="{00000000-0005-0000-0000-00009B080000}"/>
    <cellStyle name="Normal 31 2 6" xfId="1506" xr:uid="{00000000-0005-0000-0000-00009C080000}"/>
    <cellStyle name="Normal 31 2 6 2" xfId="2989" xr:uid="{00000000-0005-0000-0000-00009D080000}"/>
    <cellStyle name="Normal 31 2 7" xfId="2378" xr:uid="{00000000-0005-0000-0000-00009E080000}"/>
    <cellStyle name="Normal 31 3" xfId="946" xr:uid="{00000000-0005-0000-0000-00009F080000}"/>
    <cellStyle name="Normal 31 3 2" xfId="1238" xr:uid="{00000000-0005-0000-0000-0000A0080000}"/>
    <cellStyle name="Normal 31 3 2 2" xfId="1747" xr:uid="{00000000-0005-0000-0000-0000A1080000}"/>
    <cellStyle name="Normal 31 3 2 2 2" xfId="3219" xr:uid="{00000000-0005-0000-0000-0000A2080000}"/>
    <cellStyle name="Normal 31 3 2 3" xfId="2744" xr:uid="{00000000-0005-0000-0000-0000A3080000}"/>
    <cellStyle name="Normal 31 3 3" xfId="1077" xr:uid="{00000000-0005-0000-0000-0000A4080000}"/>
    <cellStyle name="Normal 31 3 3 2" xfId="2614" xr:uid="{00000000-0005-0000-0000-0000A5080000}"/>
    <cellStyle name="Normal 31 3 4" xfId="1616" xr:uid="{00000000-0005-0000-0000-0000A6080000}"/>
    <cellStyle name="Normal 31 3 4 2" xfId="3088" xr:uid="{00000000-0005-0000-0000-0000A7080000}"/>
    <cellStyle name="Normal 31 3 5" xfId="1831" xr:uid="{00000000-0005-0000-0000-0000A8080000}"/>
    <cellStyle name="Normal 31 3 5 2" xfId="3303" xr:uid="{00000000-0005-0000-0000-0000A9080000}"/>
    <cellStyle name="Normal 31 3 6" xfId="2487" xr:uid="{00000000-0005-0000-0000-0000AA080000}"/>
    <cellStyle name="Normal 31 4" xfId="1147" xr:uid="{00000000-0005-0000-0000-0000AB080000}"/>
    <cellStyle name="Normal 31 4 2" xfId="1367" xr:uid="{00000000-0005-0000-0000-0000AC080000}"/>
    <cellStyle name="Normal 31 4 2 2" xfId="2861" xr:uid="{00000000-0005-0000-0000-0000AD080000}"/>
    <cellStyle name="Normal 31 4 3" xfId="2681" xr:uid="{00000000-0005-0000-0000-0000AE080000}"/>
    <cellStyle name="Normal 31 5" xfId="1014" xr:uid="{00000000-0005-0000-0000-0000AF080000}"/>
    <cellStyle name="Normal 31 5 2" xfId="1686" xr:uid="{00000000-0005-0000-0000-0000B0080000}"/>
    <cellStyle name="Normal 31 5 2 2" xfId="3158" xr:uid="{00000000-0005-0000-0000-0000B1080000}"/>
    <cellStyle name="Normal 31 5 3" xfId="2551" xr:uid="{00000000-0005-0000-0000-0000B2080000}"/>
    <cellStyle name="Normal 31 6" xfId="877" xr:uid="{00000000-0005-0000-0000-0000B3080000}"/>
    <cellStyle name="Normal 31 6 2" xfId="2420" xr:uid="{00000000-0005-0000-0000-0000B4080000}"/>
    <cellStyle name="Normal 31 7" xfId="1485" xr:uid="{00000000-0005-0000-0000-0000B5080000}"/>
    <cellStyle name="Normal 31 7 2" xfId="2968" xr:uid="{00000000-0005-0000-0000-0000B6080000}"/>
    <cellStyle name="Normal 31 8" xfId="2357" xr:uid="{00000000-0005-0000-0000-0000B7080000}"/>
    <cellStyle name="Normal 32" xfId="611" xr:uid="{00000000-0005-0000-0000-0000B8080000}"/>
    <cellStyle name="Normal 32 2" xfId="768" xr:uid="{00000000-0005-0000-0000-0000B9080000}"/>
    <cellStyle name="Normal 32 2 2" xfId="968" xr:uid="{00000000-0005-0000-0000-0000BA080000}"/>
    <cellStyle name="Normal 32 2 2 2" xfId="1260" xr:uid="{00000000-0005-0000-0000-0000BB080000}"/>
    <cellStyle name="Normal 32 2 2 2 2" xfId="1769" xr:uid="{00000000-0005-0000-0000-0000BC080000}"/>
    <cellStyle name="Normal 32 2 2 2 2 2" xfId="3241" xr:uid="{00000000-0005-0000-0000-0000BD080000}"/>
    <cellStyle name="Normal 32 2 2 2 3" xfId="2766" xr:uid="{00000000-0005-0000-0000-0000BE080000}"/>
    <cellStyle name="Normal 32 2 2 3" xfId="1099" xr:uid="{00000000-0005-0000-0000-0000BF080000}"/>
    <cellStyle name="Normal 32 2 2 3 2" xfId="2636" xr:uid="{00000000-0005-0000-0000-0000C0080000}"/>
    <cellStyle name="Normal 32 2 2 4" xfId="1638" xr:uid="{00000000-0005-0000-0000-0000C1080000}"/>
    <cellStyle name="Normal 32 2 2 4 2" xfId="3110" xr:uid="{00000000-0005-0000-0000-0000C2080000}"/>
    <cellStyle name="Normal 32 2 2 5" xfId="1853" xr:uid="{00000000-0005-0000-0000-0000C3080000}"/>
    <cellStyle name="Normal 32 2 2 5 2" xfId="3325" xr:uid="{00000000-0005-0000-0000-0000C4080000}"/>
    <cellStyle name="Normal 32 2 2 6" xfId="2509" xr:uid="{00000000-0005-0000-0000-0000C5080000}"/>
    <cellStyle name="Normal 32 2 3" xfId="1169" xr:uid="{00000000-0005-0000-0000-0000C6080000}"/>
    <cellStyle name="Normal 32 2 3 2" xfId="1408" xr:uid="{00000000-0005-0000-0000-0000C7080000}"/>
    <cellStyle name="Normal 32 2 3 2 2" xfId="2902" xr:uid="{00000000-0005-0000-0000-0000C8080000}"/>
    <cellStyle name="Normal 32 2 3 3" xfId="2703" xr:uid="{00000000-0005-0000-0000-0000C9080000}"/>
    <cellStyle name="Normal 32 2 4" xfId="1036" xr:uid="{00000000-0005-0000-0000-0000CA080000}"/>
    <cellStyle name="Normal 32 2 4 2" xfId="1708" xr:uid="{00000000-0005-0000-0000-0000CB080000}"/>
    <cellStyle name="Normal 32 2 4 2 2" xfId="3180" xr:uid="{00000000-0005-0000-0000-0000CC080000}"/>
    <cellStyle name="Normal 32 2 4 3" xfId="2573" xr:uid="{00000000-0005-0000-0000-0000CD080000}"/>
    <cellStyle name="Normal 32 2 5" xfId="899" xr:uid="{00000000-0005-0000-0000-0000CE080000}"/>
    <cellStyle name="Normal 32 2 5 2" xfId="2442" xr:uid="{00000000-0005-0000-0000-0000CF080000}"/>
    <cellStyle name="Normal 32 2 6" xfId="1507" xr:uid="{00000000-0005-0000-0000-0000D0080000}"/>
    <cellStyle name="Normal 32 2 6 2" xfId="2990" xr:uid="{00000000-0005-0000-0000-0000D1080000}"/>
    <cellStyle name="Normal 32 2 7" xfId="2379" xr:uid="{00000000-0005-0000-0000-0000D2080000}"/>
    <cellStyle name="Normal 32 3" xfId="947" xr:uid="{00000000-0005-0000-0000-0000D3080000}"/>
    <cellStyle name="Normal 32 3 2" xfId="1239" xr:uid="{00000000-0005-0000-0000-0000D4080000}"/>
    <cellStyle name="Normal 32 3 2 2" xfId="1748" xr:uid="{00000000-0005-0000-0000-0000D5080000}"/>
    <cellStyle name="Normal 32 3 2 2 2" xfId="3220" xr:uid="{00000000-0005-0000-0000-0000D6080000}"/>
    <cellStyle name="Normal 32 3 2 3" xfId="2745" xr:uid="{00000000-0005-0000-0000-0000D7080000}"/>
    <cellStyle name="Normal 32 3 3" xfId="1078" xr:uid="{00000000-0005-0000-0000-0000D8080000}"/>
    <cellStyle name="Normal 32 3 3 2" xfId="2615" xr:uid="{00000000-0005-0000-0000-0000D9080000}"/>
    <cellStyle name="Normal 32 3 4" xfId="1617" xr:uid="{00000000-0005-0000-0000-0000DA080000}"/>
    <cellStyle name="Normal 32 3 4 2" xfId="3089" xr:uid="{00000000-0005-0000-0000-0000DB080000}"/>
    <cellStyle name="Normal 32 3 5" xfId="1832" xr:uid="{00000000-0005-0000-0000-0000DC080000}"/>
    <cellStyle name="Normal 32 3 5 2" xfId="3304" xr:uid="{00000000-0005-0000-0000-0000DD080000}"/>
    <cellStyle name="Normal 32 3 6" xfId="2488" xr:uid="{00000000-0005-0000-0000-0000DE080000}"/>
    <cellStyle name="Normal 32 4" xfId="1148" xr:uid="{00000000-0005-0000-0000-0000DF080000}"/>
    <cellStyle name="Normal 32 4 2" xfId="1433" xr:uid="{00000000-0005-0000-0000-0000E0080000}"/>
    <cellStyle name="Normal 32 4 2 2" xfId="2920" xr:uid="{00000000-0005-0000-0000-0000E1080000}"/>
    <cellStyle name="Normal 32 4 3" xfId="2682" xr:uid="{00000000-0005-0000-0000-0000E2080000}"/>
    <cellStyle name="Normal 32 5" xfId="1015" xr:uid="{00000000-0005-0000-0000-0000E3080000}"/>
    <cellStyle name="Normal 32 5 2" xfId="1687" xr:uid="{00000000-0005-0000-0000-0000E4080000}"/>
    <cellStyle name="Normal 32 5 2 2" xfId="3159" xr:uid="{00000000-0005-0000-0000-0000E5080000}"/>
    <cellStyle name="Normal 32 5 3" xfId="2552" xr:uid="{00000000-0005-0000-0000-0000E6080000}"/>
    <cellStyle name="Normal 32 6" xfId="878" xr:uid="{00000000-0005-0000-0000-0000E7080000}"/>
    <cellStyle name="Normal 32 6 2" xfId="2421" xr:uid="{00000000-0005-0000-0000-0000E8080000}"/>
    <cellStyle name="Normal 32 7" xfId="1486" xr:uid="{00000000-0005-0000-0000-0000E9080000}"/>
    <cellStyle name="Normal 32 7 2" xfId="2969" xr:uid="{00000000-0005-0000-0000-0000EA080000}"/>
    <cellStyle name="Normal 32 8" xfId="2358" xr:uid="{00000000-0005-0000-0000-0000EB080000}"/>
    <cellStyle name="Normal 33" xfId="612" xr:uid="{00000000-0005-0000-0000-0000EC080000}"/>
    <cellStyle name="Normal 33 2" xfId="769" xr:uid="{00000000-0005-0000-0000-0000ED080000}"/>
    <cellStyle name="Normal 33 2 2" xfId="969" xr:uid="{00000000-0005-0000-0000-0000EE080000}"/>
    <cellStyle name="Normal 33 2 2 2" xfId="1261" xr:uid="{00000000-0005-0000-0000-0000EF080000}"/>
    <cellStyle name="Normal 33 2 2 2 2" xfId="1770" xr:uid="{00000000-0005-0000-0000-0000F0080000}"/>
    <cellStyle name="Normal 33 2 2 2 2 2" xfId="3242" xr:uid="{00000000-0005-0000-0000-0000F1080000}"/>
    <cellStyle name="Normal 33 2 2 2 3" xfId="2767" xr:uid="{00000000-0005-0000-0000-0000F2080000}"/>
    <cellStyle name="Normal 33 2 2 3" xfId="1100" xr:uid="{00000000-0005-0000-0000-0000F3080000}"/>
    <cellStyle name="Normal 33 2 2 3 2" xfId="2637" xr:uid="{00000000-0005-0000-0000-0000F4080000}"/>
    <cellStyle name="Normal 33 2 2 4" xfId="1639" xr:uid="{00000000-0005-0000-0000-0000F5080000}"/>
    <cellStyle name="Normal 33 2 2 4 2" xfId="3111" xr:uid="{00000000-0005-0000-0000-0000F6080000}"/>
    <cellStyle name="Normal 33 2 2 5" xfId="1854" xr:uid="{00000000-0005-0000-0000-0000F7080000}"/>
    <cellStyle name="Normal 33 2 2 5 2" xfId="3326" xr:uid="{00000000-0005-0000-0000-0000F8080000}"/>
    <cellStyle name="Normal 33 2 2 6" xfId="2510" xr:uid="{00000000-0005-0000-0000-0000F9080000}"/>
    <cellStyle name="Normal 33 2 3" xfId="1170" xr:uid="{00000000-0005-0000-0000-0000FA080000}"/>
    <cellStyle name="Normal 33 2 3 2" xfId="1450" xr:uid="{00000000-0005-0000-0000-0000FB080000}"/>
    <cellStyle name="Normal 33 2 3 2 2" xfId="2935" xr:uid="{00000000-0005-0000-0000-0000FC080000}"/>
    <cellStyle name="Normal 33 2 3 3" xfId="2704" xr:uid="{00000000-0005-0000-0000-0000FD080000}"/>
    <cellStyle name="Normal 33 2 4" xfId="1037" xr:uid="{00000000-0005-0000-0000-0000FE080000}"/>
    <cellStyle name="Normal 33 2 4 2" xfId="1709" xr:uid="{00000000-0005-0000-0000-0000FF080000}"/>
    <cellStyle name="Normal 33 2 4 2 2" xfId="3181" xr:uid="{00000000-0005-0000-0000-000000090000}"/>
    <cellStyle name="Normal 33 2 4 3" xfId="2574" xr:uid="{00000000-0005-0000-0000-000001090000}"/>
    <cellStyle name="Normal 33 2 5" xfId="900" xr:uid="{00000000-0005-0000-0000-000002090000}"/>
    <cellStyle name="Normal 33 2 5 2" xfId="2443" xr:uid="{00000000-0005-0000-0000-000003090000}"/>
    <cellStyle name="Normal 33 2 6" xfId="1508" xr:uid="{00000000-0005-0000-0000-000004090000}"/>
    <cellStyle name="Normal 33 2 6 2" xfId="2991" xr:uid="{00000000-0005-0000-0000-000005090000}"/>
    <cellStyle name="Normal 33 2 7" xfId="2380" xr:uid="{00000000-0005-0000-0000-000006090000}"/>
    <cellStyle name="Normal 33 3" xfId="948" xr:uid="{00000000-0005-0000-0000-000007090000}"/>
    <cellStyle name="Normal 33 3 2" xfId="1240" xr:uid="{00000000-0005-0000-0000-000008090000}"/>
    <cellStyle name="Normal 33 3 2 2" xfId="1749" xr:uid="{00000000-0005-0000-0000-000009090000}"/>
    <cellStyle name="Normal 33 3 2 2 2" xfId="3221" xr:uid="{00000000-0005-0000-0000-00000A090000}"/>
    <cellStyle name="Normal 33 3 2 3" xfId="2746" xr:uid="{00000000-0005-0000-0000-00000B090000}"/>
    <cellStyle name="Normal 33 3 3" xfId="1079" xr:uid="{00000000-0005-0000-0000-00000C090000}"/>
    <cellStyle name="Normal 33 3 3 2" xfId="2616" xr:uid="{00000000-0005-0000-0000-00000D090000}"/>
    <cellStyle name="Normal 33 3 4" xfId="1618" xr:uid="{00000000-0005-0000-0000-00000E090000}"/>
    <cellStyle name="Normal 33 3 4 2" xfId="3090" xr:uid="{00000000-0005-0000-0000-00000F090000}"/>
    <cellStyle name="Normal 33 3 5" xfId="1833" xr:uid="{00000000-0005-0000-0000-000010090000}"/>
    <cellStyle name="Normal 33 3 5 2" xfId="3305" xr:uid="{00000000-0005-0000-0000-000011090000}"/>
    <cellStyle name="Normal 33 3 6" xfId="2489" xr:uid="{00000000-0005-0000-0000-000012090000}"/>
    <cellStyle name="Normal 33 4" xfId="1149" xr:uid="{00000000-0005-0000-0000-000013090000}"/>
    <cellStyle name="Normal 33 4 2" xfId="1440" xr:uid="{00000000-0005-0000-0000-000014090000}"/>
    <cellStyle name="Normal 33 4 2 2" xfId="2925" xr:uid="{00000000-0005-0000-0000-000015090000}"/>
    <cellStyle name="Normal 33 4 3" xfId="2683" xr:uid="{00000000-0005-0000-0000-000016090000}"/>
    <cellStyle name="Normal 33 5" xfId="1016" xr:uid="{00000000-0005-0000-0000-000017090000}"/>
    <cellStyle name="Normal 33 5 2" xfId="1688" xr:uid="{00000000-0005-0000-0000-000018090000}"/>
    <cellStyle name="Normal 33 5 2 2" xfId="3160" xr:uid="{00000000-0005-0000-0000-000019090000}"/>
    <cellStyle name="Normal 33 5 3" xfId="2553" xr:uid="{00000000-0005-0000-0000-00001A090000}"/>
    <cellStyle name="Normal 33 6" xfId="879" xr:uid="{00000000-0005-0000-0000-00001B090000}"/>
    <cellStyle name="Normal 33 6 2" xfId="2422" xr:uid="{00000000-0005-0000-0000-00001C090000}"/>
    <cellStyle name="Normal 33 7" xfId="1487" xr:uid="{00000000-0005-0000-0000-00001D090000}"/>
    <cellStyle name="Normal 33 7 2" xfId="2970" xr:uid="{00000000-0005-0000-0000-00001E090000}"/>
    <cellStyle name="Normal 33 8" xfId="2359" xr:uid="{00000000-0005-0000-0000-00001F090000}"/>
    <cellStyle name="Normal 34" xfId="614" xr:uid="{00000000-0005-0000-0000-000020090000}"/>
    <cellStyle name="Normal 34 2" xfId="776" xr:uid="{00000000-0005-0000-0000-000021090000}"/>
    <cellStyle name="Normal 35" xfId="613" xr:uid="{00000000-0005-0000-0000-000022090000}"/>
    <cellStyle name="Normal 35 2" xfId="949" xr:uid="{00000000-0005-0000-0000-000023090000}"/>
    <cellStyle name="Normal 35 2 2" xfId="1241" xr:uid="{00000000-0005-0000-0000-000024090000}"/>
    <cellStyle name="Normal 35 2 2 2" xfId="1750" xr:uid="{00000000-0005-0000-0000-000025090000}"/>
    <cellStyle name="Normal 35 2 2 2 2" xfId="3222" xr:uid="{00000000-0005-0000-0000-000026090000}"/>
    <cellStyle name="Normal 35 2 2 3" xfId="2747" xr:uid="{00000000-0005-0000-0000-000027090000}"/>
    <cellStyle name="Normal 35 2 3" xfId="1080" xr:uid="{00000000-0005-0000-0000-000028090000}"/>
    <cellStyle name="Normal 35 2 3 2" xfId="2617" xr:uid="{00000000-0005-0000-0000-000029090000}"/>
    <cellStyle name="Normal 35 2 4" xfId="1619" xr:uid="{00000000-0005-0000-0000-00002A090000}"/>
    <cellStyle name="Normal 35 2 4 2" xfId="3091" xr:uid="{00000000-0005-0000-0000-00002B090000}"/>
    <cellStyle name="Normal 35 2 5" xfId="1834" xr:uid="{00000000-0005-0000-0000-00002C090000}"/>
    <cellStyle name="Normal 35 2 5 2" xfId="3306" xr:uid="{00000000-0005-0000-0000-00002D090000}"/>
    <cellStyle name="Normal 35 2 6" xfId="2490" xr:uid="{00000000-0005-0000-0000-00002E090000}"/>
    <cellStyle name="Normal 35 3" xfId="1150" xr:uid="{00000000-0005-0000-0000-00002F090000}"/>
    <cellStyle name="Normal 35 3 2" xfId="1365" xr:uid="{00000000-0005-0000-0000-000030090000}"/>
    <cellStyle name="Normal 35 3 2 2" xfId="2859" xr:uid="{00000000-0005-0000-0000-000031090000}"/>
    <cellStyle name="Normal 35 3 3" xfId="2684" xr:uid="{00000000-0005-0000-0000-000032090000}"/>
    <cellStyle name="Normal 35 4" xfId="1017" xr:uid="{00000000-0005-0000-0000-000033090000}"/>
    <cellStyle name="Normal 35 4 2" xfId="1689" xr:uid="{00000000-0005-0000-0000-000034090000}"/>
    <cellStyle name="Normal 35 4 2 2" xfId="3161" xr:uid="{00000000-0005-0000-0000-000035090000}"/>
    <cellStyle name="Normal 35 4 3" xfId="2554" xr:uid="{00000000-0005-0000-0000-000036090000}"/>
    <cellStyle name="Normal 35 5" xfId="880" xr:uid="{00000000-0005-0000-0000-000037090000}"/>
    <cellStyle name="Normal 35 5 2" xfId="2423" xr:uid="{00000000-0005-0000-0000-000038090000}"/>
    <cellStyle name="Normal 35 6" xfId="1488" xr:uid="{00000000-0005-0000-0000-000039090000}"/>
    <cellStyle name="Normal 35 6 2" xfId="2971" xr:uid="{00000000-0005-0000-0000-00003A090000}"/>
    <cellStyle name="Normal 35 7" xfId="2360" xr:uid="{00000000-0005-0000-0000-00003B090000}"/>
    <cellStyle name="Normal 36" xfId="771" xr:uid="{00000000-0005-0000-0000-00003C090000}"/>
    <cellStyle name="Normal 36 2" xfId="756" xr:uid="{00000000-0005-0000-0000-00003D090000}"/>
    <cellStyle name="Normal 37" xfId="777" xr:uid="{00000000-0005-0000-0000-00003E090000}"/>
    <cellStyle name="Normal 37 2" xfId="770" xr:uid="{00000000-0005-0000-0000-00003F090000}"/>
    <cellStyle name="Normal 38" xfId="772" xr:uid="{00000000-0005-0000-0000-000040090000}"/>
    <cellStyle name="Normal 39" xfId="774" xr:uid="{00000000-0005-0000-0000-000041090000}"/>
    <cellStyle name="Normal 4" xfId="26" xr:uid="{00000000-0005-0000-0000-000042090000}"/>
    <cellStyle name="Normal 4 10" xfId="1789" xr:uid="{00000000-0005-0000-0000-000043090000}"/>
    <cellStyle name="Normal 4 10 2" xfId="3261" xr:uid="{00000000-0005-0000-0000-000044090000}"/>
    <cellStyle name="Normal 4 11" xfId="3566" xr:uid="{00000000-0005-0000-0000-000045090000}"/>
    <cellStyle name="Normal 4 2" xfId="55" xr:uid="{00000000-0005-0000-0000-000046090000}"/>
    <cellStyle name="Normal 4 2 2" xfId="507" xr:uid="{00000000-0005-0000-0000-000047090000}"/>
    <cellStyle name="Normal 4 2 2 2" xfId="1924" xr:uid="{00000000-0005-0000-0000-000048090000}"/>
    <cellStyle name="Normal 4 2 2 3" xfId="2074" xr:uid="{00000000-0005-0000-0000-000049090000}"/>
    <cellStyle name="Normal 4 2 3" xfId="506" xr:uid="{00000000-0005-0000-0000-00004A090000}"/>
    <cellStyle name="Normal 4 2 4" xfId="399" xr:uid="{00000000-0005-0000-0000-00004B090000}"/>
    <cellStyle name="Normal 4 2 5" xfId="1463" xr:uid="{00000000-0005-0000-0000-00004C090000}"/>
    <cellStyle name="Normal 4 2 5 2" xfId="1564" xr:uid="{00000000-0005-0000-0000-00004D090000}"/>
    <cellStyle name="Normal 4 2 6" xfId="1345" xr:uid="{00000000-0005-0000-0000-00004E090000}"/>
    <cellStyle name="Normal 4 2 7" xfId="3570" xr:uid="{00000000-0005-0000-0000-00004F090000}"/>
    <cellStyle name="Normal 4 3" xfId="508" xr:uid="{00000000-0005-0000-0000-000050090000}"/>
    <cellStyle name="Normal 4 3 2" xfId="2042" xr:uid="{00000000-0005-0000-0000-000051090000}"/>
    <cellStyle name="Normal 4 3 2 2" xfId="2146" xr:uid="{00000000-0005-0000-0000-000052090000}"/>
    <cellStyle name="Normal 4 3 2 2 2" xfId="3513" xr:uid="{00000000-0005-0000-0000-000053090000}"/>
    <cellStyle name="Normal 4 3 2 3" xfId="3453" xr:uid="{00000000-0005-0000-0000-000054090000}"/>
    <cellStyle name="Normal 4 3 3" xfId="1975" xr:uid="{00000000-0005-0000-0000-000055090000}"/>
    <cellStyle name="Normal 4 3 3 2" xfId="1937" xr:uid="{00000000-0005-0000-0000-000056090000}"/>
    <cellStyle name="Normal 4 3 3 2 2" xfId="3388" xr:uid="{00000000-0005-0000-0000-000057090000}"/>
    <cellStyle name="Normal 4 3 3 3" xfId="3411" xr:uid="{00000000-0005-0000-0000-000058090000}"/>
    <cellStyle name="Normal 4 3 4" xfId="2189" xr:uid="{00000000-0005-0000-0000-000059090000}"/>
    <cellStyle name="Normal 4 3 4 2" xfId="3532" xr:uid="{00000000-0005-0000-0000-00005A090000}"/>
    <cellStyle name="Normal 4 3 5" xfId="1897" xr:uid="{00000000-0005-0000-0000-00005B090000}"/>
    <cellStyle name="Normal 4 3 6" xfId="2077" xr:uid="{00000000-0005-0000-0000-00005C090000}"/>
    <cellStyle name="Normal 4 3 6 2" xfId="3473" xr:uid="{00000000-0005-0000-0000-00005D090000}"/>
    <cellStyle name="Normal 4 4" xfId="505" xr:uid="{00000000-0005-0000-0000-00005E090000}"/>
    <cellStyle name="Normal 4 4 2" xfId="2145" xr:uid="{00000000-0005-0000-0000-00005F090000}"/>
    <cellStyle name="Normal 4 4 2 2" xfId="3512" xr:uid="{00000000-0005-0000-0000-000060090000}"/>
    <cellStyle name="Normal 4 4 3" xfId="2142" xr:uid="{00000000-0005-0000-0000-000061090000}"/>
    <cellStyle name="Normal 4 4 4" xfId="1950" xr:uid="{00000000-0005-0000-0000-000062090000}"/>
    <cellStyle name="Normal 4 4 4 2" xfId="3397" xr:uid="{00000000-0005-0000-0000-000063090000}"/>
    <cellStyle name="Normal 4 5" xfId="243" xr:uid="{00000000-0005-0000-0000-000064090000}"/>
    <cellStyle name="Normal 4 5 2" xfId="2154" xr:uid="{00000000-0005-0000-0000-000065090000}"/>
    <cellStyle name="Normal 4 5 3" xfId="1935" xr:uid="{00000000-0005-0000-0000-000066090000}"/>
    <cellStyle name="Normal 4 6" xfId="845" xr:uid="{00000000-0005-0000-0000-000067090000}"/>
    <cellStyle name="Normal 4 6 2" xfId="978" xr:uid="{00000000-0005-0000-0000-000068090000}"/>
    <cellStyle name="Normal 4 6 2 2" xfId="1270" xr:uid="{00000000-0005-0000-0000-000069090000}"/>
    <cellStyle name="Normal 4 6 2 2 2" xfId="2776" xr:uid="{00000000-0005-0000-0000-00006A090000}"/>
    <cellStyle name="Normal 4 6 2 3" xfId="1109" xr:uid="{00000000-0005-0000-0000-00006B090000}"/>
    <cellStyle name="Normal 4 6 2 3 2" xfId="2646" xr:uid="{00000000-0005-0000-0000-00006C090000}"/>
    <cellStyle name="Normal 4 6 2 4" xfId="1981" xr:uid="{00000000-0005-0000-0000-00006D090000}"/>
    <cellStyle name="Normal 4 6 2 4 2" xfId="3414" xr:uid="{00000000-0005-0000-0000-00006E090000}"/>
    <cellStyle name="Normal 4 6 2 5" xfId="2519" xr:uid="{00000000-0005-0000-0000-00006F090000}"/>
    <cellStyle name="Normal 4 6 3" xfId="1179" xr:uid="{00000000-0005-0000-0000-000070090000}"/>
    <cellStyle name="Normal 4 6 3 2" xfId="2213" xr:uid="{00000000-0005-0000-0000-000071090000}"/>
    <cellStyle name="Normal 4 6 3 2 2" xfId="3544" xr:uid="{00000000-0005-0000-0000-000072090000}"/>
    <cellStyle name="Normal 4 6 3 3" xfId="2196" xr:uid="{00000000-0005-0000-0000-000073090000}"/>
    <cellStyle name="Normal 4 6 3 4" xfId="2713" xr:uid="{00000000-0005-0000-0000-000074090000}"/>
    <cellStyle name="Normal 4 6 4" xfId="1046" xr:uid="{00000000-0005-0000-0000-000075090000}"/>
    <cellStyle name="Normal 4 6 4 2" xfId="2583" xr:uid="{00000000-0005-0000-0000-000076090000}"/>
    <cellStyle name="Normal 4 6 5" xfId="909" xr:uid="{00000000-0005-0000-0000-000077090000}"/>
    <cellStyle name="Normal 4 6 5 2" xfId="2452" xr:uid="{00000000-0005-0000-0000-000078090000}"/>
    <cellStyle name="Normal 4 6 6" xfId="1516" xr:uid="{00000000-0005-0000-0000-000079090000}"/>
    <cellStyle name="Normal 4 6 6 2" xfId="2999" xr:uid="{00000000-0005-0000-0000-00007A090000}"/>
    <cellStyle name="Normal 4 6 7" xfId="1597" xr:uid="{00000000-0005-0000-0000-00007B090000}"/>
    <cellStyle name="Normal 4 6 7 2" xfId="1881" xr:uid="{00000000-0005-0000-0000-00007C090000}"/>
    <cellStyle name="Normal 4 6 7 2 2" xfId="3352" xr:uid="{00000000-0005-0000-0000-00007D090000}"/>
    <cellStyle name="Normal 4 6 8" xfId="2389" xr:uid="{00000000-0005-0000-0000-00007E090000}"/>
    <cellStyle name="Normal 4 7" xfId="995" xr:uid="{00000000-0005-0000-0000-00007F090000}"/>
    <cellStyle name="Normal 4 7 2" xfId="1553" xr:uid="{00000000-0005-0000-0000-000080090000}"/>
    <cellStyle name="Normal 4 7 2 2" xfId="1664" xr:uid="{00000000-0005-0000-0000-000081090000}"/>
    <cellStyle name="Normal 4 7 2 2 2" xfId="3136" xr:uid="{00000000-0005-0000-0000-000082090000}"/>
    <cellStyle name="Normal 4 7 2 3" xfId="3033" xr:uid="{00000000-0005-0000-0000-000083090000}"/>
    <cellStyle name="Normal 4 7 3" xfId="1595" xr:uid="{00000000-0005-0000-0000-000084090000}"/>
    <cellStyle name="Normal 4 7 3 2" xfId="1933" xr:uid="{00000000-0005-0000-0000-000085090000}"/>
    <cellStyle name="Normal 4 7 3 3" xfId="3069" xr:uid="{00000000-0005-0000-0000-000086090000}"/>
    <cellStyle name="Normal 4 7 4" xfId="1555" xr:uid="{00000000-0005-0000-0000-000087090000}"/>
    <cellStyle name="Normal 4 7 4 2" xfId="3035" xr:uid="{00000000-0005-0000-0000-000088090000}"/>
    <cellStyle name="Normal 4 7 5" xfId="1795" xr:uid="{00000000-0005-0000-0000-000089090000}"/>
    <cellStyle name="Normal 4 7 5 2" xfId="3267" xr:uid="{00000000-0005-0000-0000-00008A090000}"/>
    <cellStyle name="Normal 4 7 6" xfId="1346" xr:uid="{00000000-0005-0000-0000-00008B090000}"/>
    <cellStyle name="Normal 4 7 6 2" xfId="2841" xr:uid="{00000000-0005-0000-0000-00008C090000}"/>
    <cellStyle name="Normal 4 8" xfId="1421" xr:uid="{00000000-0005-0000-0000-00008D090000}"/>
    <cellStyle name="Normal 4 8 2" xfId="1445" xr:uid="{00000000-0005-0000-0000-00008E090000}"/>
    <cellStyle name="Normal 4 8 2 2" xfId="2930" xr:uid="{00000000-0005-0000-0000-00008F090000}"/>
    <cellStyle name="Normal 4 8 3" xfId="2915" xr:uid="{00000000-0005-0000-0000-000090090000}"/>
    <cellStyle name="Normal 4 9" xfId="1658" xr:uid="{00000000-0005-0000-0000-000091090000}"/>
    <cellStyle name="Normal 4 9 2" xfId="3130" xr:uid="{00000000-0005-0000-0000-000092090000}"/>
    <cellStyle name="Normal 40" xfId="779" xr:uid="{00000000-0005-0000-0000-000093090000}"/>
    <cellStyle name="Normal 41" xfId="773" xr:uid="{00000000-0005-0000-0000-000094090000}"/>
    <cellStyle name="Normal 42" xfId="778" xr:uid="{00000000-0005-0000-0000-000095090000}"/>
    <cellStyle name="Normal 43" xfId="780" xr:uid="{00000000-0005-0000-0000-000096090000}"/>
    <cellStyle name="Normal 44" xfId="782" xr:uid="{00000000-0005-0000-0000-000097090000}"/>
    <cellStyle name="Normal 45" xfId="783" xr:uid="{00000000-0005-0000-0000-000098090000}"/>
    <cellStyle name="Normal 46" xfId="784" xr:uid="{00000000-0005-0000-0000-000099090000}"/>
    <cellStyle name="Normal 47" xfId="785" xr:uid="{00000000-0005-0000-0000-00009A090000}"/>
    <cellStyle name="Normal 48" xfId="786" xr:uid="{00000000-0005-0000-0000-00009B090000}"/>
    <cellStyle name="Normal 49" xfId="787" xr:uid="{00000000-0005-0000-0000-00009C090000}"/>
    <cellStyle name="Normal 5" xfId="30" xr:uid="{00000000-0005-0000-0000-00009D090000}"/>
    <cellStyle name="Normal 5 10" xfId="1289" xr:uid="{00000000-0005-0000-0000-00009E090000}"/>
    <cellStyle name="Normal 5 10 2" xfId="2793" xr:uid="{00000000-0005-0000-0000-00009F090000}"/>
    <cellStyle name="Normal 5 11" xfId="95" xr:uid="{00000000-0005-0000-0000-0000A0090000}"/>
    <cellStyle name="Normal 5 11 2" xfId="2329" xr:uid="{00000000-0005-0000-0000-0000A1090000}"/>
    <cellStyle name="Normal 5 12" xfId="1910" xr:uid="{00000000-0005-0000-0000-0000A2090000}"/>
    <cellStyle name="Normal 5 12 2" xfId="3372" xr:uid="{00000000-0005-0000-0000-0000A3090000}"/>
    <cellStyle name="Normal 5 12 3" xfId="3564" xr:uid="{00000000-0005-0000-0000-0000A4090000}"/>
    <cellStyle name="Normal 5 13" xfId="2294" xr:uid="{00000000-0005-0000-0000-0000A5090000}"/>
    <cellStyle name="Normal 5 2" xfId="74" xr:uid="{00000000-0005-0000-0000-0000A6090000}"/>
    <cellStyle name="Normal 5 2 2" xfId="401" xr:uid="{00000000-0005-0000-0000-0000A7090000}"/>
    <cellStyle name="Normal 5 2 2 2" xfId="735" xr:uid="{00000000-0005-0000-0000-0000A8090000}"/>
    <cellStyle name="Normal 5 2 2 2 2" xfId="2150" xr:uid="{00000000-0005-0000-0000-0000A9090000}"/>
    <cellStyle name="Normal 5 2 2 2 3" xfId="2021" xr:uid="{00000000-0005-0000-0000-0000AA090000}"/>
    <cellStyle name="Normal 5 2 2 2 3 2" xfId="3442" xr:uid="{00000000-0005-0000-0000-0000AB090000}"/>
    <cellStyle name="Normal 5 2 2 3" xfId="1956" xr:uid="{00000000-0005-0000-0000-0000AC090000}"/>
    <cellStyle name="Normal 5 2 2 4" xfId="1922" xr:uid="{00000000-0005-0000-0000-0000AD090000}"/>
    <cellStyle name="Normal 5 2 2 4 2" xfId="3381" xr:uid="{00000000-0005-0000-0000-0000AE090000}"/>
    <cellStyle name="Normal 5 2 3" xfId="664" xr:uid="{00000000-0005-0000-0000-0000AF090000}"/>
    <cellStyle name="Normal 5 2 3 2" xfId="2008" xr:uid="{00000000-0005-0000-0000-0000B0090000}"/>
    <cellStyle name="Normal 5 2 3 2 2" xfId="3433" xr:uid="{00000000-0005-0000-0000-0000B1090000}"/>
    <cellStyle name="Normal 5 2 3 3" xfId="2202" xr:uid="{00000000-0005-0000-0000-0000B2090000}"/>
    <cellStyle name="Normal 5 2 3 4" xfId="1896" xr:uid="{00000000-0005-0000-0000-0000B3090000}"/>
    <cellStyle name="Normal 5 2 3 4 2" xfId="3364" xr:uid="{00000000-0005-0000-0000-0000B4090000}"/>
    <cellStyle name="Normal 5 2 4" xfId="1303" xr:uid="{00000000-0005-0000-0000-0000B5090000}"/>
    <cellStyle name="Normal 5 2 4 2" xfId="1899" xr:uid="{00000000-0005-0000-0000-0000B6090000}"/>
    <cellStyle name="Normal 5 2 4 2 2" xfId="3366" xr:uid="{00000000-0005-0000-0000-0000B7090000}"/>
    <cellStyle name="Normal 5 2 4 3" xfId="2805" xr:uid="{00000000-0005-0000-0000-0000B8090000}"/>
    <cellStyle name="Normal 5 2 5" xfId="245" xr:uid="{00000000-0005-0000-0000-0000B9090000}"/>
    <cellStyle name="Normal 5 2 5 2" xfId="1925" xr:uid="{00000000-0005-0000-0000-0000BA090000}"/>
    <cellStyle name="Normal 5 2 5 2 2" xfId="3383" xr:uid="{00000000-0005-0000-0000-0000BB090000}"/>
    <cellStyle name="Normal 5 2 6" xfId="2310" xr:uid="{00000000-0005-0000-0000-0000BC090000}"/>
    <cellStyle name="Normal 5 3" xfId="89" xr:uid="{00000000-0005-0000-0000-0000BD090000}"/>
    <cellStyle name="Normal 5 3 2" xfId="402" xr:uid="{00000000-0005-0000-0000-0000BE090000}"/>
    <cellStyle name="Normal 5 3 2 2" xfId="2081" xr:uid="{00000000-0005-0000-0000-0000BF090000}"/>
    <cellStyle name="Normal 5 3 2 3" xfId="2207" xr:uid="{00000000-0005-0000-0000-0000C0090000}"/>
    <cellStyle name="Normal 5 3 2 3 2" xfId="3541" xr:uid="{00000000-0005-0000-0000-0000C1090000}"/>
    <cellStyle name="Normal 5 3 3" xfId="1318" xr:uid="{00000000-0005-0000-0000-0000C2090000}"/>
    <cellStyle name="Normal 5 3 3 2" xfId="2228" xr:uid="{00000000-0005-0000-0000-0000C3090000}"/>
    <cellStyle name="Normal 5 3 3 2 2" xfId="3551" xr:uid="{00000000-0005-0000-0000-0000C4090000}"/>
    <cellStyle name="Normal 5 3 3 3" xfId="2153" xr:uid="{00000000-0005-0000-0000-0000C5090000}"/>
    <cellStyle name="Normal 5 3 3 4" xfId="2818" xr:uid="{00000000-0005-0000-0000-0000C6090000}"/>
    <cellStyle name="Normal 5 3 4" xfId="246" xr:uid="{00000000-0005-0000-0000-0000C7090000}"/>
    <cellStyle name="Normal 5 3 4 2" xfId="1886" xr:uid="{00000000-0005-0000-0000-0000C8090000}"/>
    <cellStyle name="Normal 5 3 4 2 2" xfId="3356" xr:uid="{00000000-0005-0000-0000-0000C9090000}"/>
    <cellStyle name="Normal 5 3 5" xfId="2323" xr:uid="{00000000-0005-0000-0000-0000CA090000}"/>
    <cellStyle name="Normal 5 4" xfId="400" xr:uid="{00000000-0005-0000-0000-0000CB090000}"/>
    <cellStyle name="Normal 5 4 2" xfId="2048" xr:uid="{00000000-0005-0000-0000-0000CC090000}"/>
    <cellStyle name="Normal 5 4 2 2" xfId="3457" xr:uid="{00000000-0005-0000-0000-0000CD090000}"/>
    <cellStyle name="Normal 5 4 3" xfId="1997" xr:uid="{00000000-0005-0000-0000-0000CE090000}"/>
    <cellStyle name="Normal 5 4 4" xfId="2159" xr:uid="{00000000-0005-0000-0000-0000CF090000}"/>
    <cellStyle name="Normal 5 4 4 2" xfId="3519" xr:uid="{00000000-0005-0000-0000-0000D0090000}"/>
    <cellStyle name="Normal 5 5" xfId="509" xr:uid="{00000000-0005-0000-0000-0000D1090000}"/>
    <cellStyle name="Normal 5 5 2" xfId="2182" xr:uid="{00000000-0005-0000-0000-0000D2090000}"/>
    <cellStyle name="Normal 5 5 3" xfId="2180" xr:uid="{00000000-0005-0000-0000-0000D3090000}"/>
    <cellStyle name="Normal 5 5 3 2" xfId="3528" xr:uid="{00000000-0005-0000-0000-0000D4090000}"/>
    <cellStyle name="Normal 5 6" xfId="244" xr:uid="{00000000-0005-0000-0000-0000D5090000}"/>
    <cellStyle name="Normal 5 6 2" xfId="2169" xr:uid="{00000000-0005-0000-0000-0000D6090000}"/>
    <cellStyle name="Normal 5 6 3" xfId="2116" xr:uid="{00000000-0005-0000-0000-0000D7090000}"/>
    <cellStyle name="Normal 5 6 3 2" xfId="3497" xr:uid="{00000000-0005-0000-0000-0000D8090000}"/>
    <cellStyle name="Normal 5 7" xfId="847" xr:uid="{00000000-0005-0000-0000-0000D9090000}"/>
    <cellStyle name="Normal 5 7 2" xfId="980" xr:uid="{00000000-0005-0000-0000-0000DA090000}"/>
    <cellStyle name="Normal 5 7 2 2" xfId="1272" xr:uid="{00000000-0005-0000-0000-0000DB090000}"/>
    <cellStyle name="Normal 5 7 2 2 2" xfId="2778" xr:uid="{00000000-0005-0000-0000-0000DC090000}"/>
    <cellStyle name="Normal 5 7 2 3" xfId="1111" xr:uid="{00000000-0005-0000-0000-0000DD090000}"/>
    <cellStyle name="Normal 5 7 2 3 2" xfId="2648" xr:uid="{00000000-0005-0000-0000-0000DE090000}"/>
    <cellStyle name="Normal 5 7 2 4" xfId="2521" xr:uid="{00000000-0005-0000-0000-0000DF090000}"/>
    <cellStyle name="Normal 5 7 3" xfId="1181" xr:uid="{00000000-0005-0000-0000-0000E0090000}"/>
    <cellStyle name="Normal 5 7 3 2" xfId="2715" xr:uid="{00000000-0005-0000-0000-0000E1090000}"/>
    <cellStyle name="Normal 5 7 4" xfId="1048" xr:uid="{00000000-0005-0000-0000-0000E2090000}"/>
    <cellStyle name="Normal 5 7 4 2" xfId="2585" xr:uid="{00000000-0005-0000-0000-0000E3090000}"/>
    <cellStyle name="Normal 5 7 5" xfId="911" xr:uid="{00000000-0005-0000-0000-0000E4090000}"/>
    <cellStyle name="Normal 5 7 5 2" xfId="2454" xr:uid="{00000000-0005-0000-0000-0000E5090000}"/>
    <cellStyle name="Normal 5 7 6" xfId="1518" xr:uid="{00000000-0005-0000-0000-0000E6090000}"/>
    <cellStyle name="Normal 5 7 6 2" xfId="3001" xr:uid="{00000000-0005-0000-0000-0000E7090000}"/>
    <cellStyle name="Normal 5 7 7" xfId="2391" xr:uid="{00000000-0005-0000-0000-0000E8090000}"/>
    <cellStyle name="Normal 5 8" xfId="122" xr:uid="{00000000-0005-0000-0000-0000E9090000}"/>
    <cellStyle name="Normal 5 9" xfId="100" xr:uid="{00000000-0005-0000-0000-0000EA090000}"/>
    <cellStyle name="Normal 5 9 2" xfId="2334" xr:uid="{00000000-0005-0000-0000-0000EB090000}"/>
    <cellStyle name="Normal 50" xfId="790" xr:uid="{00000000-0005-0000-0000-0000EC090000}"/>
    <cellStyle name="Normal 51" xfId="788" xr:uid="{00000000-0005-0000-0000-0000ED090000}"/>
    <cellStyle name="Normal 52" xfId="791" xr:uid="{00000000-0005-0000-0000-0000EE090000}"/>
    <cellStyle name="Normal 53" xfId="792" xr:uid="{00000000-0005-0000-0000-0000EF090000}"/>
    <cellStyle name="Normal 54" xfId="793" xr:uid="{00000000-0005-0000-0000-0000F0090000}"/>
    <cellStyle name="Normal 55" xfId="789" xr:uid="{00000000-0005-0000-0000-0000F1090000}"/>
    <cellStyle name="Normal 56" xfId="794" xr:uid="{00000000-0005-0000-0000-0000F2090000}"/>
    <cellStyle name="Normal 57" xfId="795" xr:uid="{00000000-0005-0000-0000-0000F3090000}"/>
    <cellStyle name="Normal 58" xfId="796" xr:uid="{00000000-0005-0000-0000-0000F4090000}"/>
    <cellStyle name="Normal 59" xfId="797" xr:uid="{00000000-0005-0000-0000-0000F5090000}"/>
    <cellStyle name="Normal 6" xfId="37" xr:uid="{00000000-0005-0000-0000-0000F6090000}"/>
    <cellStyle name="Normal 6 10" xfId="996" xr:uid="{00000000-0005-0000-0000-0000F7090000}"/>
    <cellStyle name="Normal 6 10 2" xfId="2533" xr:uid="{00000000-0005-0000-0000-0000F8090000}"/>
    <cellStyle name="Normal 6 11" xfId="859" xr:uid="{00000000-0005-0000-0000-0000F9090000}"/>
    <cellStyle name="Normal 6 11 2" xfId="2402" xr:uid="{00000000-0005-0000-0000-0000FA090000}"/>
    <cellStyle name="Normal 6 12" xfId="1294" xr:uid="{00000000-0005-0000-0000-0000FB090000}"/>
    <cellStyle name="Normal 6 12 2" xfId="2798" xr:uid="{00000000-0005-0000-0000-0000FC090000}"/>
    <cellStyle name="Normal 6 12 3" xfId="2261" xr:uid="{00000000-0005-0000-0000-0000FD090000}"/>
    <cellStyle name="Normal 6 12 3 2" xfId="3572" xr:uid="{00000000-0005-0000-0000-0000FE090000}"/>
    <cellStyle name="Normal 6 13" xfId="121" xr:uid="{00000000-0005-0000-0000-0000FF090000}"/>
    <cellStyle name="Normal 6 13 2" xfId="2339" xr:uid="{00000000-0005-0000-0000-0000000A0000}"/>
    <cellStyle name="Normal 6 14" xfId="1468" xr:uid="{00000000-0005-0000-0000-0000010A0000}"/>
    <cellStyle name="Normal 6 14 2" xfId="2951" xr:uid="{00000000-0005-0000-0000-0000020A0000}"/>
    <cellStyle name="Normal 6 14 3" xfId="2273" xr:uid="{00000000-0005-0000-0000-0000030A0000}"/>
    <cellStyle name="Normal 6 15" xfId="65" xr:uid="{00000000-0005-0000-0000-0000040A0000}"/>
    <cellStyle name="Normal 6 15 2" xfId="2005" xr:uid="{00000000-0005-0000-0000-0000050A0000}"/>
    <cellStyle name="Normal 6 15 2 2" xfId="3432" xr:uid="{00000000-0005-0000-0000-0000060A0000}"/>
    <cellStyle name="Normal 6 15 2 3" xfId="2287" xr:uid="{00000000-0005-0000-0000-0000070A0000}"/>
    <cellStyle name="Normal 6 16" xfId="2296" xr:uid="{00000000-0005-0000-0000-0000080A0000}"/>
    <cellStyle name="Normal 6 2" xfId="79" xr:uid="{00000000-0005-0000-0000-0000090A0000}"/>
    <cellStyle name="Normal 6 2 2" xfId="403" xr:uid="{00000000-0005-0000-0000-00000A0A0000}"/>
    <cellStyle name="Normal 6 2 2 2" xfId="512" xr:uid="{00000000-0005-0000-0000-00000B0A0000}"/>
    <cellStyle name="Normal 6 2 2 2 2" xfId="1926" xr:uid="{00000000-0005-0000-0000-00000C0A0000}"/>
    <cellStyle name="Normal 6 2 2 2 3" xfId="2093" xr:uid="{00000000-0005-0000-0000-00000D0A0000}"/>
    <cellStyle name="Normal 6 2 2 2 3 2" xfId="3480" xr:uid="{00000000-0005-0000-0000-00000E0A0000}"/>
    <cellStyle name="Normal 6 2 2 3" xfId="736" xr:uid="{00000000-0005-0000-0000-00000F0A0000}"/>
    <cellStyle name="Normal 6 2 2 4" xfId="1901" xr:uid="{00000000-0005-0000-0000-0000100A0000}"/>
    <cellStyle name="Normal 6 2 2 5" xfId="2083" xr:uid="{00000000-0005-0000-0000-0000110A0000}"/>
    <cellStyle name="Normal 6 2 2 5 2" xfId="3476" xr:uid="{00000000-0005-0000-0000-0000120A0000}"/>
    <cellStyle name="Normal 6 2 3" xfId="511" xr:uid="{00000000-0005-0000-0000-0000130A0000}"/>
    <cellStyle name="Normal 6 2 3 2" xfId="2099" xr:uid="{00000000-0005-0000-0000-0000140A0000}"/>
    <cellStyle name="Normal 6 2 3 2 2" xfId="3483" xr:uid="{00000000-0005-0000-0000-0000150A0000}"/>
    <cellStyle name="Normal 6 2 3 3" xfId="2221" xr:uid="{00000000-0005-0000-0000-0000160A0000}"/>
    <cellStyle name="Normal 6 2 3 4" xfId="2073" xr:uid="{00000000-0005-0000-0000-0000170A0000}"/>
    <cellStyle name="Normal 6 2 3 4 2" xfId="3470" xr:uid="{00000000-0005-0000-0000-0000180A0000}"/>
    <cellStyle name="Normal 6 2 4" xfId="665" xr:uid="{00000000-0005-0000-0000-0000190A0000}"/>
    <cellStyle name="Normal 6 2 4 2" xfId="2046" xr:uid="{00000000-0005-0000-0000-00001A0A0000}"/>
    <cellStyle name="Normal 6 2 4 3" xfId="2233" xr:uid="{00000000-0005-0000-0000-00001B0A0000}"/>
    <cellStyle name="Normal 6 2 4 3 2" xfId="3554" xr:uid="{00000000-0005-0000-0000-00001C0A0000}"/>
    <cellStyle name="Normal 6 2 5" xfId="1308" xr:uid="{00000000-0005-0000-0000-00001D0A0000}"/>
    <cellStyle name="Normal 6 2 5 2" xfId="1919" xr:uid="{00000000-0005-0000-0000-00001E0A0000}"/>
    <cellStyle name="Normal 6 2 5 2 2" xfId="3378" xr:uid="{00000000-0005-0000-0000-00001F0A0000}"/>
    <cellStyle name="Normal 6 2 5 2 3" xfId="2271" xr:uid="{00000000-0005-0000-0000-0000200A0000}"/>
    <cellStyle name="Normal 6 2 5 3" xfId="2191" xr:uid="{00000000-0005-0000-0000-0000210A0000}"/>
    <cellStyle name="Normal 6 2 5 4" xfId="2810" xr:uid="{00000000-0005-0000-0000-0000220A0000}"/>
    <cellStyle name="Normal 6 2 5 5" xfId="2266" xr:uid="{00000000-0005-0000-0000-0000230A0000}"/>
    <cellStyle name="Normal 6 2 6" xfId="248" xr:uid="{00000000-0005-0000-0000-0000240A0000}"/>
    <cellStyle name="Normal 6 2 7" xfId="2052" xr:uid="{00000000-0005-0000-0000-0000250A0000}"/>
    <cellStyle name="Normal 6 2 7 2" xfId="3458" xr:uid="{00000000-0005-0000-0000-0000260A0000}"/>
    <cellStyle name="Normal 6 2 8" xfId="2315" xr:uid="{00000000-0005-0000-0000-0000270A0000}"/>
    <cellStyle name="Normal 6 2 9" xfId="2253" xr:uid="{00000000-0005-0000-0000-0000280A0000}"/>
    <cellStyle name="Normal 6 3" xfId="513" xr:uid="{00000000-0005-0000-0000-0000290A0000}"/>
    <cellStyle name="Normal 6 3 2" xfId="2124" xr:uid="{00000000-0005-0000-0000-00002A0A0000}"/>
    <cellStyle name="Normal 6 3 2 2" xfId="3501" xr:uid="{00000000-0005-0000-0000-00002B0A0000}"/>
    <cellStyle name="Normal 6 3 3" xfId="2162" xr:uid="{00000000-0005-0000-0000-00002C0A0000}"/>
    <cellStyle name="Normal 6 3 4" xfId="1974" xr:uid="{00000000-0005-0000-0000-00002D0A0000}"/>
    <cellStyle name="Normal 6 3 4 2" xfId="3410" xr:uid="{00000000-0005-0000-0000-00002E0A0000}"/>
    <cellStyle name="Normal 6 4" xfId="510" xr:uid="{00000000-0005-0000-0000-00002F0A0000}"/>
    <cellStyle name="Normal 6 4 2" xfId="2092" xr:uid="{00000000-0005-0000-0000-0000300A0000}"/>
    <cellStyle name="Normal 6 4 2 2" xfId="3479" xr:uid="{00000000-0005-0000-0000-0000310A0000}"/>
    <cellStyle name="Normal 6 4 3" xfId="1979" xr:uid="{00000000-0005-0000-0000-0000320A0000}"/>
    <cellStyle name="Normal 6 4 4" xfId="2190" xr:uid="{00000000-0005-0000-0000-0000330A0000}"/>
    <cellStyle name="Normal 6 4 4 2" xfId="3533" xr:uid="{00000000-0005-0000-0000-0000340A0000}"/>
    <cellStyle name="Normal 6 5" xfId="247" xr:uid="{00000000-0005-0000-0000-0000350A0000}"/>
    <cellStyle name="Normal 6 5 2" xfId="2238" xr:uid="{00000000-0005-0000-0000-0000360A0000}"/>
    <cellStyle name="Normal 6 5 3" xfId="2248" xr:uid="{00000000-0005-0000-0000-0000370A0000}"/>
    <cellStyle name="Normal 6 5 3 2" xfId="3562" xr:uid="{00000000-0005-0000-0000-0000380A0000}"/>
    <cellStyle name="Normal 6 6" xfId="826" xr:uid="{00000000-0005-0000-0000-0000390A0000}"/>
    <cellStyle name="Normal 6 6 2" xfId="970" xr:uid="{00000000-0005-0000-0000-00003A0A0000}"/>
    <cellStyle name="Normal 6 6 2 2" xfId="1262" xr:uid="{00000000-0005-0000-0000-00003B0A0000}"/>
    <cellStyle name="Normal 6 6 2 2 2" xfId="1771" xr:uid="{00000000-0005-0000-0000-00003C0A0000}"/>
    <cellStyle name="Normal 6 6 2 2 2 2" xfId="3243" xr:uid="{00000000-0005-0000-0000-00003D0A0000}"/>
    <cellStyle name="Normal 6 6 2 2 3" xfId="2768" xr:uid="{00000000-0005-0000-0000-00003E0A0000}"/>
    <cellStyle name="Normal 6 6 2 3" xfId="1101" xr:uid="{00000000-0005-0000-0000-00003F0A0000}"/>
    <cellStyle name="Normal 6 6 2 3 2" xfId="2638" xr:uid="{00000000-0005-0000-0000-0000400A0000}"/>
    <cellStyle name="Normal 6 6 2 4" xfId="1640" xr:uid="{00000000-0005-0000-0000-0000410A0000}"/>
    <cellStyle name="Normal 6 6 2 4 2" xfId="3112" xr:uid="{00000000-0005-0000-0000-0000420A0000}"/>
    <cellStyle name="Normal 6 6 2 5" xfId="1855" xr:uid="{00000000-0005-0000-0000-0000430A0000}"/>
    <cellStyle name="Normal 6 6 2 5 2" xfId="3327" xr:uid="{00000000-0005-0000-0000-0000440A0000}"/>
    <cellStyle name="Normal 6 6 2 6" xfId="2511" xr:uid="{00000000-0005-0000-0000-0000450A0000}"/>
    <cellStyle name="Normal 6 6 3" xfId="1171" xr:uid="{00000000-0005-0000-0000-0000460A0000}"/>
    <cellStyle name="Normal 6 6 3 2" xfId="1451" xr:uid="{00000000-0005-0000-0000-0000470A0000}"/>
    <cellStyle name="Normal 6 6 3 2 2" xfId="2936" xr:uid="{00000000-0005-0000-0000-0000480A0000}"/>
    <cellStyle name="Normal 6 6 3 3" xfId="2705" xr:uid="{00000000-0005-0000-0000-0000490A0000}"/>
    <cellStyle name="Normal 6 6 4" xfId="1038" xr:uid="{00000000-0005-0000-0000-00004A0A0000}"/>
    <cellStyle name="Normal 6 6 4 2" xfId="1710" xr:uid="{00000000-0005-0000-0000-00004B0A0000}"/>
    <cellStyle name="Normal 6 6 4 2 2" xfId="3182" xr:uid="{00000000-0005-0000-0000-00004C0A0000}"/>
    <cellStyle name="Normal 6 6 4 3" xfId="2575" xr:uid="{00000000-0005-0000-0000-00004D0A0000}"/>
    <cellStyle name="Normal 6 6 5" xfId="901" xr:uid="{00000000-0005-0000-0000-00004E0A0000}"/>
    <cellStyle name="Normal 6 6 5 2" xfId="2444" xr:uid="{00000000-0005-0000-0000-00004F0A0000}"/>
    <cellStyle name="Normal 6 6 6" xfId="1509" xr:uid="{00000000-0005-0000-0000-0000500A0000}"/>
    <cellStyle name="Normal 6 6 6 2" xfId="2992" xr:uid="{00000000-0005-0000-0000-0000510A0000}"/>
    <cellStyle name="Normal 6 6 7" xfId="2381" xr:uid="{00000000-0005-0000-0000-0000520A0000}"/>
    <cellStyle name="Normal 6 7" xfId="850" xr:uid="{00000000-0005-0000-0000-0000530A0000}"/>
    <cellStyle name="Normal 6 7 2" xfId="983" xr:uid="{00000000-0005-0000-0000-0000540A0000}"/>
    <cellStyle name="Normal 6 7 2 2" xfId="1275" xr:uid="{00000000-0005-0000-0000-0000550A0000}"/>
    <cellStyle name="Normal 6 7 2 2 2" xfId="2781" xr:uid="{00000000-0005-0000-0000-0000560A0000}"/>
    <cellStyle name="Normal 6 7 2 3" xfId="1114" xr:uid="{00000000-0005-0000-0000-0000570A0000}"/>
    <cellStyle name="Normal 6 7 2 3 2" xfId="2651" xr:uid="{00000000-0005-0000-0000-0000580A0000}"/>
    <cellStyle name="Normal 6 7 2 4" xfId="2524" xr:uid="{00000000-0005-0000-0000-0000590A0000}"/>
    <cellStyle name="Normal 6 7 3" xfId="1184" xr:uid="{00000000-0005-0000-0000-00005A0A0000}"/>
    <cellStyle name="Normal 6 7 3 2" xfId="2718" xr:uid="{00000000-0005-0000-0000-00005B0A0000}"/>
    <cellStyle name="Normal 6 7 4" xfId="1051" xr:uid="{00000000-0005-0000-0000-00005C0A0000}"/>
    <cellStyle name="Normal 6 7 4 2" xfId="2588" xr:uid="{00000000-0005-0000-0000-00005D0A0000}"/>
    <cellStyle name="Normal 6 7 5" xfId="914" xr:uid="{00000000-0005-0000-0000-00005E0A0000}"/>
    <cellStyle name="Normal 6 7 5 2" xfId="2457" xr:uid="{00000000-0005-0000-0000-00005F0A0000}"/>
    <cellStyle name="Normal 6 7 6" xfId="1521" xr:uid="{00000000-0005-0000-0000-0000600A0000}"/>
    <cellStyle name="Normal 6 7 6 2" xfId="3004" xr:uid="{00000000-0005-0000-0000-0000610A0000}"/>
    <cellStyle name="Normal 6 7 7" xfId="2394" xr:uid="{00000000-0005-0000-0000-0000620A0000}"/>
    <cellStyle name="Normal 6 8" xfId="928" xr:uid="{00000000-0005-0000-0000-0000630A0000}"/>
    <cellStyle name="Normal 6 8 2" xfId="1220" xr:uid="{00000000-0005-0000-0000-0000640A0000}"/>
    <cellStyle name="Normal 6 8 2 2" xfId="2726" xr:uid="{00000000-0005-0000-0000-0000650A0000}"/>
    <cellStyle name="Normal 6 8 3" xfId="1059" xr:uid="{00000000-0005-0000-0000-0000660A0000}"/>
    <cellStyle name="Normal 6 8 3 2" xfId="2596" xr:uid="{00000000-0005-0000-0000-0000670A0000}"/>
    <cellStyle name="Normal 6 8 4" xfId="2469" xr:uid="{00000000-0005-0000-0000-0000680A0000}"/>
    <cellStyle name="Normal 6 9" xfId="1129" xr:uid="{00000000-0005-0000-0000-0000690A0000}"/>
    <cellStyle name="Normal 6 9 2" xfId="1668" xr:uid="{00000000-0005-0000-0000-00006A0A0000}"/>
    <cellStyle name="Normal 6 9 2 2" xfId="3140" xr:uid="{00000000-0005-0000-0000-00006B0A0000}"/>
    <cellStyle name="Normal 6 9 3" xfId="2663" xr:uid="{00000000-0005-0000-0000-00006C0A0000}"/>
    <cellStyle name="Normal 60" xfId="798" xr:uid="{00000000-0005-0000-0000-00006D0A0000}"/>
    <cellStyle name="Normal 61" xfId="808" xr:uid="{00000000-0005-0000-0000-00006E0A0000}"/>
    <cellStyle name="Normal 62" xfId="804" xr:uid="{00000000-0005-0000-0000-00006F0A0000}"/>
    <cellStyle name="Normal 63" xfId="807" xr:uid="{00000000-0005-0000-0000-0000700A0000}"/>
    <cellStyle name="Normal 64" xfId="802" xr:uid="{00000000-0005-0000-0000-0000710A0000}"/>
    <cellStyle name="Normal 65" xfId="806" xr:uid="{00000000-0005-0000-0000-0000720A0000}"/>
    <cellStyle name="Normal 66" xfId="809" xr:uid="{00000000-0005-0000-0000-0000730A0000}"/>
    <cellStyle name="Normal 67" xfId="805" xr:uid="{00000000-0005-0000-0000-0000740A0000}"/>
    <cellStyle name="Normal 68" xfId="803" xr:uid="{00000000-0005-0000-0000-0000750A0000}"/>
    <cellStyle name="Normal 69" xfId="812" xr:uid="{00000000-0005-0000-0000-0000760A0000}"/>
    <cellStyle name="Normal 7" xfId="54" xr:uid="{00000000-0005-0000-0000-0000770A0000}"/>
    <cellStyle name="Normal 7 10" xfId="1293" xr:uid="{00000000-0005-0000-0000-0000780A0000}"/>
    <cellStyle name="Normal 7 10 2" xfId="2797" xr:uid="{00000000-0005-0000-0000-0000790A0000}"/>
    <cellStyle name="Normal 7 11" xfId="99" xr:uid="{00000000-0005-0000-0000-00007A0A0000}"/>
    <cellStyle name="Normal 7 11 2" xfId="2333" xr:uid="{00000000-0005-0000-0000-00007B0A0000}"/>
    <cellStyle name="Normal 7 12" xfId="1962" xr:uid="{00000000-0005-0000-0000-00007C0A0000}"/>
    <cellStyle name="Normal 7 12 2" xfId="3402" xr:uid="{00000000-0005-0000-0000-00007D0A0000}"/>
    <cellStyle name="Normal 7 13" xfId="2300" xr:uid="{00000000-0005-0000-0000-00007E0A0000}"/>
    <cellStyle name="Normal 7 2" xfId="78" xr:uid="{00000000-0005-0000-0000-00007F0A0000}"/>
    <cellStyle name="Normal 7 2 2" xfId="405" xr:uid="{00000000-0005-0000-0000-0000800A0000}"/>
    <cellStyle name="Normal 7 2 2 2" xfId="1943" xr:uid="{00000000-0005-0000-0000-0000810A0000}"/>
    <cellStyle name="Normal 7 2 2 2 2" xfId="3393" xr:uid="{00000000-0005-0000-0000-0000820A0000}"/>
    <cellStyle name="Normal 7 2 2 3" xfId="2215" xr:uid="{00000000-0005-0000-0000-0000830A0000}"/>
    <cellStyle name="Normal 7 2 2 4" xfId="2056" xr:uid="{00000000-0005-0000-0000-0000840A0000}"/>
    <cellStyle name="Normal 7 2 2 4 2" xfId="3461" xr:uid="{00000000-0005-0000-0000-0000850A0000}"/>
    <cellStyle name="Normal 7 2 3" xfId="1307" xr:uid="{00000000-0005-0000-0000-0000860A0000}"/>
    <cellStyle name="Normal 7 2 3 2" xfId="2131" xr:uid="{00000000-0005-0000-0000-0000870A0000}"/>
    <cellStyle name="Normal 7 2 3 2 2" xfId="3504" xr:uid="{00000000-0005-0000-0000-0000880A0000}"/>
    <cellStyle name="Normal 7 2 3 3" xfId="1875" xr:uid="{00000000-0005-0000-0000-0000890A0000}"/>
    <cellStyle name="Normal 7 2 3 3 2" xfId="3347" xr:uid="{00000000-0005-0000-0000-00008A0A0000}"/>
    <cellStyle name="Normal 7 2 3 4" xfId="2809" xr:uid="{00000000-0005-0000-0000-00008B0A0000}"/>
    <cellStyle name="Normal 7 2 4" xfId="250" xr:uid="{00000000-0005-0000-0000-00008C0A0000}"/>
    <cellStyle name="Normal 7 2 4 2" xfId="1990" xr:uid="{00000000-0005-0000-0000-00008D0A0000}"/>
    <cellStyle name="Normal 7 2 4 2 2" xfId="3421" xr:uid="{00000000-0005-0000-0000-00008E0A0000}"/>
    <cellStyle name="Normal 7 2 5" xfId="2192" xr:uid="{00000000-0005-0000-0000-00008F0A0000}"/>
    <cellStyle name="Normal 7 2 6" xfId="2314" xr:uid="{00000000-0005-0000-0000-0000900A0000}"/>
    <cellStyle name="Normal 7 3" xfId="93" xr:uid="{00000000-0005-0000-0000-0000910A0000}"/>
    <cellStyle name="Normal 7 3 2" xfId="406" xr:uid="{00000000-0005-0000-0000-0000920A0000}"/>
    <cellStyle name="Normal 7 3 2 2" xfId="738" xr:uid="{00000000-0005-0000-0000-0000930A0000}"/>
    <cellStyle name="Normal 7 3 2 3" xfId="2175" xr:uid="{00000000-0005-0000-0000-0000940A0000}"/>
    <cellStyle name="Normal 7 3 2 4" xfId="1994" xr:uid="{00000000-0005-0000-0000-0000950A0000}"/>
    <cellStyle name="Normal 7 3 2 4 2" xfId="3424" xr:uid="{00000000-0005-0000-0000-0000960A0000}"/>
    <cellStyle name="Normal 7 3 3" xfId="667" xr:uid="{00000000-0005-0000-0000-0000970A0000}"/>
    <cellStyle name="Normal 7 3 4" xfId="1322" xr:uid="{00000000-0005-0000-0000-0000980A0000}"/>
    <cellStyle name="Normal 7 3 4 2" xfId="2247" xr:uid="{00000000-0005-0000-0000-0000990A0000}"/>
    <cellStyle name="Normal 7 3 4 2 2" xfId="3561" xr:uid="{00000000-0005-0000-0000-00009A0A0000}"/>
    <cellStyle name="Normal 7 3 4 3" xfId="2165" xr:uid="{00000000-0005-0000-0000-00009B0A0000}"/>
    <cellStyle name="Normal 7 3 4 4" xfId="2822" xr:uid="{00000000-0005-0000-0000-00009C0A0000}"/>
    <cellStyle name="Normal 7 3 5" xfId="251" xr:uid="{00000000-0005-0000-0000-00009D0A0000}"/>
    <cellStyle name="Normal 7 3 5 2" xfId="1923" xr:uid="{00000000-0005-0000-0000-00009E0A0000}"/>
    <cellStyle name="Normal 7 3 5 2 2" xfId="3382" xr:uid="{00000000-0005-0000-0000-00009F0A0000}"/>
    <cellStyle name="Normal 7 3 6" xfId="2327" xr:uid="{00000000-0005-0000-0000-0000A00A0000}"/>
    <cellStyle name="Normal 7 4" xfId="252" xr:uid="{00000000-0005-0000-0000-0000A10A0000}"/>
    <cellStyle name="Normal 7 4 2" xfId="407" xr:uid="{00000000-0005-0000-0000-0000A20A0000}"/>
    <cellStyle name="Normal 7 4 2 2" xfId="739" xr:uid="{00000000-0005-0000-0000-0000A30A0000}"/>
    <cellStyle name="Normal 7 4 2 3" xfId="2171" xr:uid="{00000000-0005-0000-0000-0000A40A0000}"/>
    <cellStyle name="Normal 7 4 2 4" xfId="2037" xr:uid="{00000000-0005-0000-0000-0000A50A0000}"/>
    <cellStyle name="Normal 7 4 2 4 2" xfId="3452" xr:uid="{00000000-0005-0000-0000-0000A60A0000}"/>
    <cellStyle name="Normal 7 4 3" xfId="668" xr:uid="{00000000-0005-0000-0000-0000A70A0000}"/>
    <cellStyle name="Normal 7 4 4" xfId="2195" xr:uid="{00000000-0005-0000-0000-0000A80A0000}"/>
    <cellStyle name="Normal 7 4 5" xfId="2204" xr:uid="{00000000-0005-0000-0000-0000A90A0000}"/>
    <cellStyle name="Normal 7 4 5 2" xfId="3539" xr:uid="{00000000-0005-0000-0000-0000AA0A0000}"/>
    <cellStyle name="Normal 7 5" xfId="404" xr:uid="{00000000-0005-0000-0000-0000AB0A0000}"/>
    <cellStyle name="Normal 7 5 2" xfId="737" xr:uid="{00000000-0005-0000-0000-0000AC0A0000}"/>
    <cellStyle name="Normal 7 5 3" xfId="1917" xr:uid="{00000000-0005-0000-0000-0000AD0A0000}"/>
    <cellStyle name="Normal 7 5 4" xfId="2234" xr:uid="{00000000-0005-0000-0000-0000AE0A0000}"/>
    <cellStyle name="Normal 7 5 4 2" xfId="3555" xr:uid="{00000000-0005-0000-0000-0000AF0A0000}"/>
    <cellStyle name="Normal 7 6" xfId="666" xr:uid="{00000000-0005-0000-0000-0000B00A0000}"/>
    <cellStyle name="Normal 7 6 2" xfId="2087" xr:uid="{00000000-0005-0000-0000-0000B10A0000}"/>
    <cellStyle name="Normal 7 6 3" xfId="1972" xr:uid="{00000000-0005-0000-0000-0000B20A0000}"/>
    <cellStyle name="Normal 7 6 3 2" xfId="3409" xr:uid="{00000000-0005-0000-0000-0000B30A0000}"/>
    <cellStyle name="Normal 7 7" xfId="853" xr:uid="{00000000-0005-0000-0000-0000B40A0000}"/>
    <cellStyle name="Normal 7 7 2" xfId="986" xr:uid="{00000000-0005-0000-0000-0000B50A0000}"/>
    <cellStyle name="Normal 7 7 2 2" xfId="1278" xr:uid="{00000000-0005-0000-0000-0000B60A0000}"/>
    <cellStyle name="Normal 7 7 2 2 2" xfId="2784" xr:uid="{00000000-0005-0000-0000-0000B70A0000}"/>
    <cellStyle name="Normal 7 7 2 3" xfId="1117" xr:uid="{00000000-0005-0000-0000-0000B80A0000}"/>
    <cellStyle name="Normal 7 7 2 3 2" xfId="2654" xr:uid="{00000000-0005-0000-0000-0000B90A0000}"/>
    <cellStyle name="Normal 7 7 2 4" xfId="2527" xr:uid="{00000000-0005-0000-0000-0000BA0A0000}"/>
    <cellStyle name="Normal 7 7 3" xfId="1187" xr:uid="{00000000-0005-0000-0000-0000BB0A0000}"/>
    <cellStyle name="Normal 7 7 3 2" xfId="2721" xr:uid="{00000000-0005-0000-0000-0000BC0A0000}"/>
    <cellStyle name="Normal 7 7 4" xfId="1054" xr:uid="{00000000-0005-0000-0000-0000BD0A0000}"/>
    <cellStyle name="Normal 7 7 4 2" xfId="2591" xr:uid="{00000000-0005-0000-0000-0000BE0A0000}"/>
    <cellStyle name="Normal 7 7 5" xfId="917" xr:uid="{00000000-0005-0000-0000-0000BF0A0000}"/>
    <cellStyle name="Normal 7 7 5 2" xfId="2460" xr:uid="{00000000-0005-0000-0000-0000C00A0000}"/>
    <cellStyle name="Normal 7 7 6" xfId="1524" xr:uid="{00000000-0005-0000-0000-0000C10A0000}"/>
    <cellStyle name="Normal 7 7 6 2" xfId="3007" xr:uid="{00000000-0005-0000-0000-0000C20A0000}"/>
    <cellStyle name="Normal 7 7 7" xfId="2119" xr:uid="{00000000-0005-0000-0000-0000C30A0000}"/>
    <cellStyle name="Normal 7 7 7 2" xfId="3499" xr:uid="{00000000-0005-0000-0000-0000C40A0000}"/>
    <cellStyle name="Normal 7 7 8" xfId="2227" xr:uid="{00000000-0005-0000-0000-0000C50A0000}"/>
    <cellStyle name="Normal 7 7 9" xfId="2397" xr:uid="{00000000-0005-0000-0000-0000C60A0000}"/>
    <cellStyle name="Normal 7 8" xfId="249" xr:uid="{00000000-0005-0000-0000-0000C70A0000}"/>
    <cellStyle name="Normal 7 9" xfId="104" xr:uid="{00000000-0005-0000-0000-0000C80A0000}"/>
    <cellStyle name="Normal 7 9 2" xfId="2338" xr:uid="{00000000-0005-0000-0000-0000C90A0000}"/>
    <cellStyle name="Normal 70" xfId="823" xr:uid="{00000000-0005-0000-0000-0000CA0A0000}"/>
    <cellStyle name="Normal 71" xfId="116" xr:uid="{00000000-0005-0000-0000-0000CB0A0000}"/>
    <cellStyle name="Normal 72" xfId="834" xr:uid="{00000000-0005-0000-0000-0000CC0A0000}"/>
    <cellStyle name="Normal 72 2" xfId="972" xr:uid="{00000000-0005-0000-0000-0000CD0A0000}"/>
    <cellStyle name="Normal 72 2 2" xfId="1264" xr:uid="{00000000-0005-0000-0000-0000CE0A0000}"/>
    <cellStyle name="Normal 72 2 2 2" xfId="1773" xr:uid="{00000000-0005-0000-0000-0000CF0A0000}"/>
    <cellStyle name="Normal 72 2 2 2 2" xfId="3245" xr:uid="{00000000-0005-0000-0000-0000D00A0000}"/>
    <cellStyle name="Normal 72 2 2 3" xfId="2770" xr:uid="{00000000-0005-0000-0000-0000D10A0000}"/>
    <cellStyle name="Normal 72 2 3" xfId="1103" xr:uid="{00000000-0005-0000-0000-0000D20A0000}"/>
    <cellStyle name="Normal 72 2 3 2" xfId="2640" xr:uid="{00000000-0005-0000-0000-0000D30A0000}"/>
    <cellStyle name="Normal 72 2 4" xfId="1642" xr:uid="{00000000-0005-0000-0000-0000D40A0000}"/>
    <cellStyle name="Normal 72 2 4 2" xfId="3114" xr:uid="{00000000-0005-0000-0000-0000D50A0000}"/>
    <cellStyle name="Normal 72 2 5" xfId="1857" xr:uid="{00000000-0005-0000-0000-0000D60A0000}"/>
    <cellStyle name="Normal 72 2 5 2" xfId="3329" xr:uid="{00000000-0005-0000-0000-0000D70A0000}"/>
    <cellStyle name="Normal 72 2 6" xfId="2513" xr:uid="{00000000-0005-0000-0000-0000D80A0000}"/>
    <cellStyle name="Normal 72 3" xfId="1173" xr:uid="{00000000-0005-0000-0000-0000D90A0000}"/>
    <cellStyle name="Normal 72 3 2" xfId="1449" xr:uid="{00000000-0005-0000-0000-0000DA0A0000}"/>
    <cellStyle name="Normal 72 3 2 2" xfId="2934" xr:uid="{00000000-0005-0000-0000-0000DB0A0000}"/>
    <cellStyle name="Normal 72 3 3" xfId="2707" xr:uid="{00000000-0005-0000-0000-0000DC0A0000}"/>
    <cellStyle name="Normal 72 4" xfId="1040" xr:uid="{00000000-0005-0000-0000-0000DD0A0000}"/>
    <cellStyle name="Normal 72 4 2" xfId="1712" xr:uid="{00000000-0005-0000-0000-0000DE0A0000}"/>
    <cellStyle name="Normal 72 4 2 2" xfId="3184" xr:uid="{00000000-0005-0000-0000-0000DF0A0000}"/>
    <cellStyle name="Normal 72 4 3" xfId="2577" xr:uid="{00000000-0005-0000-0000-0000E00A0000}"/>
    <cellStyle name="Normal 72 5" xfId="903" xr:uid="{00000000-0005-0000-0000-0000E10A0000}"/>
    <cellStyle name="Normal 72 5 2" xfId="2446" xr:uid="{00000000-0005-0000-0000-0000E20A0000}"/>
    <cellStyle name="Normal 72 6" xfId="1511" xr:uid="{00000000-0005-0000-0000-0000E30A0000}"/>
    <cellStyle name="Normal 72 6 2" xfId="2994" xr:uid="{00000000-0005-0000-0000-0000E40A0000}"/>
    <cellStyle name="Normal 72 7" xfId="2383" xr:uid="{00000000-0005-0000-0000-0000E50A0000}"/>
    <cellStyle name="Normal 73" xfId="836" xr:uid="{00000000-0005-0000-0000-0000E60A0000}"/>
    <cellStyle name="Normal 73 2" xfId="1404" xr:uid="{00000000-0005-0000-0000-0000E70A0000}"/>
    <cellStyle name="Normal 73 2 2" xfId="1358" xr:uid="{00000000-0005-0000-0000-0000E80A0000}"/>
    <cellStyle name="Normal 73 2 2 2" xfId="1777" xr:uid="{00000000-0005-0000-0000-0000E90A0000}"/>
    <cellStyle name="Normal 73 2 2 2 2" xfId="3249" xr:uid="{00000000-0005-0000-0000-0000EA0A0000}"/>
    <cellStyle name="Normal 73 2 2 3" xfId="2853" xr:uid="{00000000-0005-0000-0000-0000EB0A0000}"/>
    <cellStyle name="Normal 73 2 3" xfId="1563" xr:uid="{00000000-0005-0000-0000-0000EC0A0000}"/>
    <cellStyle name="Normal 73 2 3 2" xfId="3043" xr:uid="{00000000-0005-0000-0000-0000ED0A0000}"/>
    <cellStyle name="Normal 73 2 4" xfId="1646" xr:uid="{00000000-0005-0000-0000-0000EE0A0000}"/>
    <cellStyle name="Normal 73 2 4 2" xfId="3118" xr:uid="{00000000-0005-0000-0000-0000EF0A0000}"/>
    <cellStyle name="Normal 73 2 5" xfId="1861" xr:uid="{00000000-0005-0000-0000-0000F00A0000}"/>
    <cellStyle name="Normal 73 2 5 2" xfId="3333" xr:uid="{00000000-0005-0000-0000-0000F10A0000}"/>
    <cellStyle name="Normal 73 2 6" xfId="2898" xr:uid="{00000000-0005-0000-0000-0000F20A0000}"/>
    <cellStyle name="Normal 73 3" xfId="1558" xr:uid="{00000000-0005-0000-0000-0000F30A0000}"/>
    <cellStyle name="Normal 73 3 2" xfId="1385" xr:uid="{00000000-0005-0000-0000-0000F40A0000}"/>
    <cellStyle name="Normal 73 3 2 2" xfId="2879" xr:uid="{00000000-0005-0000-0000-0000F50A0000}"/>
    <cellStyle name="Normal 73 3 3" xfId="2179" xr:uid="{00000000-0005-0000-0000-0000F60A0000}"/>
    <cellStyle name="Normal 73 3 4" xfId="3038" xr:uid="{00000000-0005-0000-0000-0000F70A0000}"/>
    <cellStyle name="Normal 73 4" xfId="1548" xr:uid="{00000000-0005-0000-0000-0000F80A0000}"/>
    <cellStyle name="Normal 73 4 2" xfId="1716" xr:uid="{00000000-0005-0000-0000-0000F90A0000}"/>
    <cellStyle name="Normal 73 4 2 2" xfId="3188" xr:uid="{00000000-0005-0000-0000-0000FA0A0000}"/>
    <cellStyle name="Normal 73 4 3" xfId="3029" xr:uid="{00000000-0005-0000-0000-0000FB0A0000}"/>
    <cellStyle name="Normal 73 5" xfId="1545" xr:uid="{00000000-0005-0000-0000-0000FC0A0000}"/>
    <cellStyle name="Normal 73 5 2" xfId="3026" xr:uid="{00000000-0005-0000-0000-0000FD0A0000}"/>
    <cellStyle name="Normal 73 6" xfId="1799" xr:uid="{00000000-0005-0000-0000-0000FE0A0000}"/>
    <cellStyle name="Normal 73 6 2" xfId="3271" xr:uid="{00000000-0005-0000-0000-0000FF0A0000}"/>
    <cellStyle name="Normal 73 7" xfId="1331" xr:uid="{00000000-0005-0000-0000-0000000B0000}"/>
    <cellStyle name="Normal 73 7 2" xfId="2830" xr:uid="{00000000-0005-0000-0000-0000010B0000}"/>
    <cellStyle name="Normal 74" xfId="837" xr:uid="{00000000-0005-0000-0000-0000020B0000}"/>
    <cellStyle name="Normal 74 2" xfId="1403" xr:uid="{00000000-0005-0000-0000-0000030B0000}"/>
    <cellStyle name="Normal 74 2 2" xfId="1335" xr:uid="{00000000-0005-0000-0000-0000040B0000}"/>
    <cellStyle name="Normal 74 2 2 2" xfId="1778" xr:uid="{00000000-0005-0000-0000-0000050B0000}"/>
    <cellStyle name="Normal 74 2 2 2 2" xfId="3250" xr:uid="{00000000-0005-0000-0000-0000060B0000}"/>
    <cellStyle name="Normal 74 2 2 3" xfId="2834" xr:uid="{00000000-0005-0000-0000-0000070B0000}"/>
    <cellStyle name="Normal 74 2 3" xfId="1588" xr:uid="{00000000-0005-0000-0000-0000080B0000}"/>
    <cellStyle name="Normal 74 2 3 2" xfId="3064" xr:uid="{00000000-0005-0000-0000-0000090B0000}"/>
    <cellStyle name="Normal 74 2 4" xfId="1647" xr:uid="{00000000-0005-0000-0000-00000A0B0000}"/>
    <cellStyle name="Normal 74 2 4 2" xfId="3119" xr:uid="{00000000-0005-0000-0000-00000B0B0000}"/>
    <cellStyle name="Normal 74 2 5" xfId="1862" xr:uid="{00000000-0005-0000-0000-00000C0B0000}"/>
    <cellStyle name="Normal 74 2 5 2" xfId="3334" xr:uid="{00000000-0005-0000-0000-00000D0B0000}"/>
    <cellStyle name="Normal 74 2 6" xfId="2897" xr:uid="{00000000-0005-0000-0000-00000E0B0000}"/>
    <cellStyle name="Normal 74 3" xfId="1582" xr:uid="{00000000-0005-0000-0000-00000F0B0000}"/>
    <cellStyle name="Normal 74 3 2" xfId="1717" xr:uid="{00000000-0005-0000-0000-0000100B0000}"/>
    <cellStyle name="Normal 74 3 2 2" xfId="3189" xr:uid="{00000000-0005-0000-0000-0000110B0000}"/>
    <cellStyle name="Normal 74 3 3" xfId="1957" xr:uid="{00000000-0005-0000-0000-0000120B0000}"/>
    <cellStyle name="Normal 74 3 4" xfId="3058" xr:uid="{00000000-0005-0000-0000-0000130B0000}"/>
    <cellStyle name="Normal 74 4" xfId="1460" xr:uid="{00000000-0005-0000-0000-0000140B0000}"/>
    <cellStyle name="Normal 74 4 2" xfId="2945" xr:uid="{00000000-0005-0000-0000-0000150B0000}"/>
    <cellStyle name="Normal 74 5" xfId="1393" xr:uid="{00000000-0005-0000-0000-0000160B0000}"/>
    <cellStyle name="Normal 74 5 2" xfId="2887" xr:uid="{00000000-0005-0000-0000-0000170B0000}"/>
    <cellStyle name="Normal 74 6" xfId="1800" xr:uid="{00000000-0005-0000-0000-0000180B0000}"/>
    <cellStyle name="Normal 74 6 2" xfId="3272" xr:uid="{00000000-0005-0000-0000-0000190B0000}"/>
    <cellStyle name="Normal 74 7" xfId="1349" xr:uid="{00000000-0005-0000-0000-00001A0B0000}"/>
    <cellStyle name="Normal 74 7 2" xfId="2844" xr:uid="{00000000-0005-0000-0000-00001B0B0000}"/>
    <cellStyle name="Normal 75" xfId="922" xr:uid="{00000000-0005-0000-0000-00001C0B0000}"/>
    <cellStyle name="Normal 75 2" xfId="1192" xr:uid="{00000000-0005-0000-0000-00001D0B0000}"/>
    <cellStyle name="Normal 75 2 2" xfId="1602" xr:uid="{00000000-0005-0000-0000-00001E0B0000}"/>
    <cellStyle name="Normal 75 2 2 2" xfId="1779" xr:uid="{00000000-0005-0000-0000-00001F0B0000}"/>
    <cellStyle name="Normal 75 2 2 2 2" xfId="3251" xr:uid="{00000000-0005-0000-0000-0000200B0000}"/>
    <cellStyle name="Normal 75 2 2 3" xfId="2210" xr:uid="{00000000-0005-0000-0000-0000210B0000}"/>
    <cellStyle name="Normal 75 2 2 4" xfId="3074" xr:uid="{00000000-0005-0000-0000-0000220B0000}"/>
    <cellStyle name="Normal 75 2 3" xfId="1542" xr:uid="{00000000-0005-0000-0000-0000230B0000}"/>
    <cellStyle name="Normal 75 2 3 2" xfId="3023" xr:uid="{00000000-0005-0000-0000-0000240B0000}"/>
    <cellStyle name="Normal 75 2 4" xfId="1648" xr:uid="{00000000-0005-0000-0000-0000250B0000}"/>
    <cellStyle name="Normal 75 2 4 2" xfId="3120" xr:uid="{00000000-0005-0000-0000-0000260B0000}"/>
    <cellStyle name="Normal 75 2 5" xfId="1863" xr:uid="{00000000-0005-0000-0000-0000270B0000}"/>
    <cellStyle name="Normal 75 2 5 2" xfId="3335" xr:uid="{00000000-0005-0000-0000-0000280B0000}"/>
    <cellStyle name="Normal 75 2 6" xfId="1402" xr:uid="{00000000-0005-0000-0000-0000290B0000}"/>
    <cellStyle name="Normal 75 2 6 2" xfId="2896" xr:uid="{00000000-0005-0000-0000-00002A0B0000}"/>
    <cellStyle name="Normal 75 3" xfId="1568" xr:uid="{00000000-0005-0000-0000-00002B0B0000}"/>
    <cellStyle name="Normal 75 3 2" xfId="1718" xr:uid="{00000000-0005-0000-0000-00002C0B0000}"/>
    <cellStyle name="Normal 75 3 2 2" xfId="3190" xr:uid="{00000000-0005-0000-0000-00002D0B0000}"/>
    <cellStyle name="Normal 75 3 3" xfId="3047" xr:uid="{00000000-0005-0000-0000-00002E0B0000}"/>
    <cellStyle name="Normal 75 4" xfId="1326" xr:uid="{00000000-0005-0000-0000-00002F0B0000}"/>
    <cellStyle name="Normal 75 4 2" xfId="2826" xr:uid="{00000000-0005-0000-0000-0000300B0000}"/>
    <cellStyle name="Normal 75 5" xfId="1384" xr:uid="{00000000-0005-0000-0000-0000310B0000}"/>
    <cellStyle name="Normal 75 5 2" xfId="2878" xr:uid="{00000000-0005-0000-0000-0000320B0000}"/>
    <cellStyle name="Normal 75 6" xfId="1801" xr:uid="{00000000-0005-0000-0000-0000330B0000}"/>
    <cellStyle name="Normal 75 6 2" xfId="3273" xr:uid="{00000000-0005-0000-0000-0000340B0000}"/>
    <cellStyle name="Normal 75 7" xfId="2465" xr:uid="{00000000-0005-0000-0000-0000350B0000}"/>
    <cellStyle name="Normal 76" xfId="1205" xr:uid="{00000000-0005-0000-0000-0000360B0000}"/>
    <cellStyle name="Normal 76 2" xfId="1401" xr:uid="{00000000-0005-0000-0000-0000370B0000}"/>
    <cellStyle name="Normal 76 2 2" xfId="1395" xr:uid="{00000000-0005-0000-0000-0000380B0000}"/>
    <cellStyle name="Normal 76 2 2 2" xfId="1780" xr:uid="{00000000-0005-0000-0000-0000390B0000}"/>
    <cellStyle name="Normal 76 2 2 2 2" xfId="3252" xr:uid="{00000000-0005-0000-0000-00003A0B0000}"/>
    <cellStyle name="Normal 76 2 2 3" xfId="2889" xr:uid="{00000000-0005-0000-0000-00003B0B0000}"/>
    <cellStyle name="Normal 76 2 3" xfId="1434" xr:uid="{00000000-0005-0000-0000-00003C0B0000}"/>
    <cellStyle name="Normal 76 2 3 2" xfId="2921" xr:uid="{00000000-0005-0000-0000-00003D0B0000}"/>
    <cellStyle name="Normal 76 2 4" xfId="1649" xr:uid="{00000000-0005-0000-0000-00003E0B0000}"/>
    <cellStyle name="Normal 76 2 4 2" xfId="3121" xr:uid="{00000000-0005-0000-0000-00003F0B0000}"/>
    <cellStyle name="Normal 76 2 5" xfId="1864" xr:uid="{00000000-0005-0000-0000-0000400B0000}"/>
    <cellStyle name="Normal 76 2 5 2" xfId="3336" xr:uid="{00000000-0005-0000-0000-0000410B0000}"/>
    <cellStyle name="Normal 76 2 6" xfId="2895" xr:uid="{00000000-0005-0000-0000-0000420B0000}"/>
    <cellStyle name="Normal 76 3" xfId="1593" xr:uid="{00000000-0005-0000-0000-0000430B0000}"/>
    <cellStyle name="Normal 76 3 2" xfId="1719" xr:uid="{00000000-0005-0000-0000-0000440B0000}"/>
    <cellStyle name="Normal 76 3 2 2" xfId="3191" xr:uid="{00000000-0005-0000-0000-0000450B0000}"/>
    <cellStyle name="Normal 76 3 3" xfId="2041" xr:uid="{00000000-0005-0000-0000-0000460B0000}"/>
    <cellStyle name="Normal 76 3 4" xfId="3067" xr:uid="{00000000-0005-0000-0000-0000470B0000}"/>
    <cellStyle name="Normal 76 4" xfId="1456" xr:uid="{00000000-0005-0000-0000-0000480B0000}"/>
    <cellStyle name="Normal 76 4 2" xfId="2941" xr:uid="{00000000-0005-0000-0000-0000490B0000}"/>
    <cellStyle name="Normal 76 5" xfId="1383" xr:uid="{00000000-0005-0000-0000-00004A0B0000}"/>
    <cellStyle name="Normal 76 5 2" xfId="2877" xr:uid="{00000000-0005-0000-0000-00004B0B0000}"/>
    <cellStyle name="Normal 76 6" xfId="1802" xr:uid="{00000000-0005-0000-0000-00004C0B0000}"/>
    <cellStyle name="Normal 76 6 2" xfId="3274" xr:uid="{00000000-0005-0000-0000-00004D0B0000}"/>
    <cellStyle name="Normal 76 7" xfId="1552" xr:uid="{00000000-0005-0000-0000-00004E0B0000}"/>
    <cellStyle name="Normal 76 7 2" xfId="3032" xr:uid="{00000000-0005-0000-0000-00004F0B0000}"/>
    <cellStyle name="Normal 77" xfId="1206" xr:uid="{00000000-0005-0000-0000-0000500B0000}"/>
    <cellStyle name="Normal 77 2" xfId="1340" xr:uid="{00000000-0005-0000-0000-0000510B0000}"/>
    <cellStyle name="Normal 77 2 2" xfId="1354" xr:uid="{00000000-0005-0000-0000-0000520B0000}"/>
    <cellStyle name="Normal 77 2 2 2" xfId="1781" xr:uid="{00000000-0005-0000-0000-0000530B0000}"/>
    <cellStyle name="Normal 77 2 2 2 2" xfId="3253" xr:uid="{00000000-0005-0000-0000-0000540B0000}"/>
    <cellStyle name="Normal 77 2 2 3" xfId="2849" xr:uid="{00000000-0005-0000-0000-0000550B0000}"/>
    <cellStyle name="Normal 77 2 3" xfId="1351" xr:uid="{00000000-0005-0000-0000-0000560B0000}"/>
    <cellStyle name="Normal 77 2 3 2" xfId="2846" xr:uid="{00000000-0005-0000-0000-0000570B0000}"/>
    <cellStyle name="Normal 77 2 4" xfId="1650" xr:uid="{00000000-0005-0000-0000-0000580B0000}"/>
    <cellStyle name="Normal 77 2 4 2" xfId="3122" xr:uid="{00000000-0005-0000-0000-0000590B0000}"/>
    <cellStyle name="Normal 77 2 5" xfId="1865" xr:uid="{00000000-0005-0000-0000-00005A0B0000}"/>
    <cellStyle name="Normal 77 2 5 2" xfId="3337" xr:uid="{00000000-0005-0000-0000-00005B0B0000}"/>
    <cellStyle name="Normal 77 2 6" xfId="2839" xr:uid="{00000000-0005-0000-0000-00005C0B0000}"/>
    <cellStyle name="Normal 77 3" xfId="1546" xr:uid="{00000000-0005-0000-0000-00005D0B0000}"/>
    <cellStyle name="Normal 77 3 2" xfId="1720" xr:uid="{00000000-0005-0000-0000-00005E0B0000}"/>
    <cellStyle name="Normal 77 3 2 2" xfId="3192" xr:uid="{00000000-0005-0000-0000-00005F0B0000}"/>
    <cellStyle name="Normal 77 3 3" xfId="2200" xr:uid="{00000000-0005-0000-0000-0000600B0000}"/>
    <cellStyle name="Normal 77 3 4" xfId="3027" xr:uid="{00000000-0005-0000-0000-0000610B0000}"/>
    <cellStyle name="Normal 77 4" xfId="1394" xr:uid="{00000000-0005-0000-0000-0000620B0000}"/>
    <cellStyle name="Normal 77 4 2" xfId="2888" xr:uid="{00000000-0005-0000-0000-0000630B0000}"/>
    <cellStyle name="Normal 77 5" xfId="1382" xr:uid="{00000000-0005-0000-0000-0000640B0000}"/>
    <cellStyle name="Normal 77 5 2" xfId="2876" xr:uid="{00000000-0005-0000-0000-0000650B0000}"/>
    <cellStyle name="Normal 77 6" xfId="1803" xr:uid="{00000000-0005-0000-0000-0000660B0000}"/>
    <cellStyle name="Normal 77 6 2" xfId="3275" xr:uid="{00000000-0005-0000-0000-0000670B0000}"/>
    <cellStyle name="Normal 77 7" xfId="1574" xr:uid="{00000000-0005-0000-0000-0000680B0000}"/>
    <cellStyle name="Normal 77 7 2" xfId="3051" xr:uid="{00000000-0005-0000-0000-0000690B0000}"/>
    <cellStyle name="Normal 78" xfId="1197" xr:uid="{00000000-0005-0000-0000-00006A0B0000}"/>
    <cellStyle name="Normal 78 2" xfId="1338" xr:uid="{00000000-0005-0000-0000-00006B0B0000}"/>
    <cellStyle name="Normal 78 2 2" xfId="1356" xr:uid="{00000000-0005-0000-0000-00006C0B0000}"/>
    <cellStyle name="Normal 78 2 2 2" xfId="1786" xr:uid="{00000000-0005-0000-0000-00006D0B0000}"/>
    <cellStyle name="Normal 78 2 2 2 2" xfId="3258" xr:uid="{00000000-0005-0000-0000-00006E0B0000}"/>
    <cellStyle name="Normal 78 2 2 3" xfId="2851" xr:uid="{00000000-0005-0000-0000-00006F0B0000}"/>
    <cellStyle name="Normal 78 2 3" xfId="1430" xr:uid="{00000000-0005-0000-0000-0000700B0000}"/>
    <cellStyle name="Normal 78 2 3 2" xfId="2918" xr:uid="{00000000-0005-0000-0000-0000710B0000}"/>
    <cellStyle name="Normal 78 2 4" xfId="1655" xr:uid="{00000000-0005-0000-0000-0000720B0000}"/>
    <cellStyle name="Normal 78 2 4 2" xfId="3127" xr:uid="{00000000-0005-0000-0000-0000730B0000}"/>
    <cellStyle name="Normal 78 2 5" xfId="1870" xr:uid="{00000000-0005-0000-0000-0000740B0000}"/>
    <cellStyle name="Normal 78 2 5 2" xfId="3342" xr:uid="{00000000-0005-0000-0000-0000750B0000}"/>
    <cellStyle name="Normal 78 2 6" xfId="2837" xr:uid="{00000000-0005-0000-0000-0000760B0000}"/>
    <cellStyle name="Normal 78 3" xfId="1572" xr:uid="{00000000-0005-0000-0000-0000770B0000}"/>
    <cellStyle name="Normal 78 3 2" xfId="1725" xr:uid="{00000000-0005-0000-0000-0000780B0000}"/>
    <cellStyle name="Normal 78 3 2 2" xfId="3197" xr:uid="{00000000-0005-0000-0000-0000790B0000}"/>
    <cellStyle name="Normal 78 3 3" xfId="2040" xr:uid="{00000000-0005-0000-0000-00007A0B0000}"/>
    <cellStyle name="Normal 78 3 4" xfId="3050" xr:uid="{00000000-0005-0000-0000-00007B0B0000}"/>
    <cellStyle name="Normal 78 4" xfId="1559" xr:uid="{00000000-0005-0000-0000-00007C0B0000}"/>
    <cellStyle name="Normal 78 4 2" xfId="3039" xr:uid="{00000000-0005-0000-0000-00007D0B0000}"/>
    <cellStyle name="Normal 78 5" xfId="1377" xr:uid="{00000000-0005-0000-0000-00007E0B0000}"/>
    <cellStyle name="Normal 78 5 2" xfId="2871" xr:uid="{00000000-0005-0000-0000-00007F0B0000}"/>
    <cellStyle name="Normal 78 6" xfId="1808" xr:uid="{00000000-0005-0000-0000-0000800B0000}"/>
    <cellStyle name="Normal 78 6 2" xfId="3280" xr:uid="{00000000-0005-0000-0000-0000810B0000}"/>
    <cellStyle name="Normal 78 7" xfId="1556" xr:uid="{00000000-0005-0000-0000-0000820B0000}"/>
    <cellStyle name="Normal 78 7 2" xfId="3036" xr:uid="{00000000-0005-0000-0000-0000830B0000}"/>
    <cellStyle name="Normal 79" xfId="1198" xr:uid="{00000000-0005-0000-0000-0000840B0000}"/>
    <cellStyle name="Normal 79 2" xfId="1363" xr:uid="{00000000-0005-0000-0000-0000850B0000}"/>
    <cellStyle name="Normal 79 2 2" xfId="1355" xr:uid="{00000000-0005-0000-0000-0000860B0000}"/>
    <cellStyle name="Normal 79 2 2 2" xfId="1785" xr:uid="{00000000-0005-0000-0000-0000870B0000}"/>
    <cellStyle name="Normal 79 2 2 2 2" xfId="3257" xr:uid="{00000000-0005-0000-0000-0000880B0000}"/>
    <cellStyle name="Normal 79 2 2 3" xfId="2850" xr:uid="{00000000-0005-0000-0000-0000890B0000}"/>
    <cellStyle name="Normal 79 2 3" xfId="1328" xr:uid="{00000000-0005-0000-0000-00008A0B0000}"/>
    <cellStyle name="Normal 79 2 3 2" xfId="2828" xr:uid="{00000000-0005-0000-0000-00008B0B0000}"/>
    <cellStyle name="Normal 79 2 4" xfId="1654" xr:uid="{00000000-0005-0000-0000-00008C0B0000}"/>
    <cellStyle name="Normal 79 2 4 2" xfId="3126" xr:uid="{00000000-0005-0000-0000-00008D0B0000}"/>
    <cellStyle name="Normal 79 2 5" xfId="1869" xr:uid="{00000000-0005-0000-0000-00008E0B0000}"/>
    <cellStyle name="Normal 79 2 5 2" xfId="3341" xr:uid="{00000000-0005-0000-0000-00008F0B0000}"/>
    <cellStyle name="Normal 79 2 6" xfId="2858" xr:uid="{00000000-0005-0000-0000-0000900B0000}"/>
    <cellStyle name="Normal 79 3" xfId="1550" xr:uid="{00000000-0005-0000-0000-0000910B0000}"/>
    <cellStyle name="Normal 79 3 2" xfId="1724" xr:uid="{00000000-0005-0000-0000-0000920B0000}"/>
    <cellStyle name="Normal 79 3 2 2" xfId="3196" xr:uid="{00000000-0005-0000-0000-0000930B0000}"/>
    <cellStyle name="Normal 79 3 3" xfId="1971" xr:uid="{00000000-0005-0000-0000-0000940B0000}"/>
    <cellStyle name="Normal 79 3 4" xfId="3030" xr:uid="{00000000-0005-0000-0000-0000950B0000}"/>
    <cellStyle name="Normal 79 4" xfId="1538" xr:uid="{00000000-0005-0000-0000-0000960B0000}"/>
    <cellStyle name="Normal 79 4 2" xfId="3020" xr:uid="{00000000-0005-0000-0000-0000970B0000}"/>
    <cellStyle name="Normal 79 5" xfId="1378" xr:uid="{00000000-0005-0000-0000-0000980B0000}"/>
    <cellStyle name="Normal 79 5 2" xfId="2872" xr:uid="{00000000-0005-0000-0000-0000990B0000}"/>
    <cellStyle name="Normal 79 6" xfId="1807" xr:uid="{00000000-0005-0000-0000-00009A0B0000}"/>
    <cellStyle name="Normal 79 6 2" xfId="3279" xr:uid="{00000000-0005-0000-0000-00009B0B0000}"/>
    <cellStyle name="Normal 79 7" xfId="1535" xr:uid="{00000000-0005-0000-0000-00009C0B0000}"/>
    <cellStyle name="Normal 79 7 2" xfId="3017" xr:uid="{00000000-0005-0000-0000-00009D0B0000}"/>
    <cellStyle name="Normal 8" xfId="72" xr:uid="{00000000-0005-0000-0000-00009E0B0000}"/>
    <cellStyle name="Normal 8 2" xfId="254" xr:uid="{00000000-0005-0000-0000-00009F0B0000}"/>
    <cellStyle name="Normal 8 2 2" xfId="516" xr:uid="{00000000-0005-0000-0000-0000A00B0000}"/>
    <cellStyle name="Normal 8 2 3" xfId="515" xr:uid="{00000000-0005-0000-0000-0000A10B0000}"/>
    <cellStyle name="Normal 8 3" xfId="255" xr:uid="{00000000-0005-0000-0000-0000A20B0000}"/>
    <cellStyle name="Normal 8 3 2" xfId="517" xr:uid="{00000000-0005-0000-0000-0000A30B0000}"/>
    <cellStyle name="Normal 8 4" xfId="256" xr:uid="{00000000-0005-0000-0000-0000A40B0000}"/>
    <cellStyle name="Normal 8 4 2" xfId="669" xr:uid="{00000000-0005-0000-0000-0000A50B0000}"/>
    <cellStyle name="Normal 8 4 2 2" xfId="950" xr:uid="{00000000-0005-0000-0000-0000A60B0000}"/>
    <cellStyle name="Normal 8 4 2 2 2" xfId="1242" xr:uid="{00000000-0005-0000-0000-0000A70B0000}"/>
    <cellStyle name="Normal 8 4 2 2 2 2" xfId="1751" xr:uid="{00000000-0005-0000-0000-0000A80B0000}"/>
    <cellStyle name="Normal 8 4 2 2 2 2 2" xfId="3223" xr:uid="{00000000-0005-0000-0000-0000A90B0000}"/>
    <cellStyle name="Normal 8 4 2 2 2 3" xfId="2748" xr:uid="{00000000-0005-0000-0000-0000AA0B0000}"/>
    <cellStyle name="Normal 8 4 2 2 3" xfId="1081" xr:uid="{00000000-0005-0000-0000-0000AB0B0000}"/>
    <cellStyle name="Normal 8 4 2 2 3 2" xfId="2618" xr:uid="{00000000-0005-0000-0000-0000AC0B0000}"/>
    <cellStyle name="Normal 8 4 2 2 4" xfId="1620" xr:uid="{00000000-0005-0000-0000-0000AD0B0000}"/>
    <cellStyle name="Normal 8 4 2 2 4 2" xfId="3092" xr:uid="{00000000-0005-0000-0000-0000AE0B0000}"/>
    <cellStyle name="Normal 8 4 2 2 5" xfId="1835" xr:uid="{00000000-0005-0000-0000-0000AF0B0000}"/>
    <cellStyle name="Normal 8 4 2 2 5 2" xfId="3307" xr:uid="{00000000-0005-0000-0000-0000B00B0000}"/>
    <cellStyle name="Normal 8 4 2 2 6" xfId="2491" xr:uid="{00000000-0005-0000-0000-0000B10B0000}"/>
    <cellStyle name="Normal 8 4 2 3" xfId="1151" xr:uid="{00000000-0005-0000-0000-0000B20B0000}"/>
    <cellStyle name="Normal 8 4 2 3 2" xfId="1366" xr:uid="{00000000-0005-0000-0000-0000B30B0000}"/>
    <cellStyle name="Normal 8 4 2 3 2 2" xfId="2860" xr:uid="{00000000-0005-0000-0000-0000B40B0000}"/>
    <cellStyle name="Normal 8 4 2 3 3" xfId="2685" xr:uid="{00000000-0005-0000-0000-0000B50B0000}"/>
    <cellStyle name="Normal 8 4 2 4" xfId="1018" xr:uid="{00000000-0005-0000-0000-0000B60B0000}"/>
    <cellStyle name="Normal 8 4 2 4 2" xfId="1690" xr:uid="{00000000-0005-0000-0000-0000B70B0000}"/>
    <cellStyle name="Normal 8 4 2 4 2 2" xfId="3162" xr:uid="{00000000-0005-0000-0000-0000B80B0000}"/>
    <cellStyle name="Normal 8 4 2 4 3" xfId="2555" xr:uid="{00000000-0005-0000-0000-0000B90B0000}"/>
    <cellStyle name="Normal 8 4 2 5" xfId="881" xr:uid="{00000000-0005-0000-0000-0000BA0B0000}"/>
    <cellStyle name="Normal 8 4 2 5 2" xfId="2424" xr:uid="{00000000-0005-0000-0000-0000BB0B0000}"/>
    <cellStyle name="Normal 8 4 2 6" xfId="1489" xr:uid="{00000000-0005-0000-0000-0000BC0B0000}"/>
    <cellStyle name="Normal 8 4 2 6 2" xfId="2972" xr:uid="{00000000-0005-0000-0000-0000BD0B0000}"/>
    <cellStyle name="Normal 8 4 2 7" xfId="2361" xr:uid="{00000000-0005-0000-0000-0000BE0B0000}"/>
    <cellStyle name="Normal 8 4 3" xfId="930" xr:uid="{00000000-0005-0000-0000-0000BF0B0000}"/>
    <cellStyle name="Normal 8 4 3 2" xfId="1222" xr:uid="{00000000-0005-0000-0000-0000C00B0000}"/>
    <cellStyle name="Normal 8 4 3 2 2" xfId="1731" xr:uid="{00000000-0005-0000-0000-0000C10B0000}"/>
    <cellStyle name="Normal 8 4 3 2 2 2" xfId="3203" xr:uid="{00000000-0005-0000-0000-0000C20B0000}"/>
    <cellStyle name="Normal 8 4 3 2 3" xfId="2728" xr:uid="{00000000-0005-0000-0000-0000C30B0000}"/>
    <cellStyle name="Normal 8 4 3 3" xfId="1061" xr:uid="{00000000-0005-0000-0000-0000C40B0000}"/>
    <cellStyle name="Normal 8 4 3 3 2" xfId="2598" xr:uid="{00000000-0005-0000-0000-0000C50B0000}"/>
    <cellStyle name="Normal 8 4 3 4" xfId="1371" xr:uid="{00000000-0005-0000-0000-0000C60B0000}"/>
    <cellStyle name="Normal 8 4 3 4 2" xfId="2865" xr:uid="{00000000-0005-0000-0000-0000C70B0000}"/>
    <cellStyle name="Normal 8 4 3 5" xfId="1815" xr:uid="{00000000-0005-0000-0000-0000C80B0000}"/>
    <cellStyle name="Normal 8 4 3 5 2" xfId="3287" xr:uid="{00000000-0005-0000-0000-0000C90B0000}"/>
    <cellStyle name="Normal 8 4 3 6" xfId="2471" xr:uid="{00000000-0005-0000-0000-0000CA0B0000}"/>
    <cellStyle name="Normal 8 4 4" xfId="1131" xr:uid="{00000000-0005-0000-0000-0000CB0B0000}"/>
    <cellStyle name="Normal 8 4 4 2" xfId="1562" xr:uid="{00000000-0005-0000-0000-0000CC0B0000}"/>
    <cellStyle name="Normal 8 4 4 2 2" xfId="3042" xr:uid="{00000000-0005-0000-0000-0000CD0B0000}"/>
    <cellStyle name="Normal 8 4 4 3" xfId="2665" xr:uid="{00000000-0005-0000-0000-0000CE0B0000}"/>
    <cellStyle name="Normal 8 4 5" xfId="998" xr:uid="{00000000-0005-0000-0000-0000CF0B0000}"/>
    <cellStyle name="Normal 8 4 5 2" xfId="1670" xr:uid="{00000000-0005-0000-0000-0000D00B0000}"/>
    <cellStyle name="Normal 8 4 5 2 2" xfId="3142" xr:uid="{00000000-0005-0000-0000-0000D10B0000}"/>
    <cellStyle name="Normal 8 4 5 3" xfId="2535" xr:uid="{00000000-0005-0000-0000-0000D20B0000}"/>
    <cellStyle name="Normal 8 4 6" xfId="861" xr:uid="{00000000-0005-0000-0000-0000D30B0000}"/>
    <cellStyle name="Normal 8 4 6 2" xfId="2404" xr:uid="{00000000-0005-0000-0000-0000D40B0000}"/>
    <cellStyle name="Normal 8 4 7" xfId="1469" xr:uid="{00000000-0005-0000-0000-0000D50B0000}"/>
    <cellStyle name="Normal 8 4 7 2" xfId="2952" xr:uid="{00000000-0005-0000-0000-0000D60B0000}"/>
    <cellStyle name="Normal 8 4 8" xfId="2341" xr:uid="{00000000-0005-0000-0000-0000D70B0000}"/>
    <cellStyle name="Normal 8 5" xfId="257" xr:uid="{00000000-0005-0000-0000-0000D80B0000}"/>
    <cellStyle name="Normal 8 6" xfId="514" xr:uid="{00000000-0005-0000-0000-0000D90B0000}"/>
    <cellStyle name="Normal 8 7" xfId="1301" xr:uid="{00000000-0005-0000-0000-0000DA0B0000}"/>
    <cellStyle name="Normal 8 7 2" xfId="1903" xr:uid="{00000000-0005-0000-0000-0000DB0B0000}"/>
    <cellStyle name="Normal 8 7 3" xfId="2245" xr:uid="{00000000-0005-0000-0000-0000DC0B0000}"/>
    <cellStyle name="Normal 8 8" xfId="253" xr:uid="{00000000-0005-0000-0000-0000DD0B0000}"/>
    <cellStyle name="Normal 8 9" xfId="2007" xr:uid="{00000000-0005-0000-0000-0000DE0B0000}"/>
    <cellStyle name="Normal 80" xfId="1195" xr:uid="{00000000-0005-0000-0000-0000DF0B0000}"/>
    <cellStyle name="Normal 80 2" xfId="1362" xr:uid="{00000000-0005-0000-0000-0000E00B0000}"/>
    <cellStyle name="Normal 80 2 2" xfId="1332" xr:uid="{00000000-0005-0000-0000-0000E10B0000}"/>
    <cellStyle name="Normal 80 2 2 2" xfId="1788" xr:uid="{00000000-0005-0000-0000-0000E20B0000}"/>
    <cellStyle name="Normal 80 2 2 2 2" xfId="3260" xr:uid="{00000000-0005-0000-0000-0000E30B0000}"/>
    <cellStyle name="Normal 80 2 2 3" xfId="2831" xr:uid="{00000000-0005-0000-0000-0000E40B0000}"/>
    <cellStyle name="Normal 80 2 3" xfId="1352" xr:uid="{00000000-0005-0000-0000-0000E50B0000}"/>
    <cellStyle name="Normal 80 2 3 2" xfId="2847" xr:uid="{00000000-0005-0000-0000-0000E60B0000}"/>
    <cellStyle name="Normal 80 2 4" xfId="1657" xr:uid="{00000000-0005-0000-0000-0000E70B0000}"/>
    <cellStyle name="Normal 80 2 4 2" xfId="3129" xr:uid="{00000000-0005-0000-0000-0000E80B0000}"/>
    <cellStyle name="Normal 80 2 5" xfId="1872" xr:uid="{00000000-0005-0000-0000-0000E90B0000}"/>
    <cellStyle name="Normal 80 2 5 2" xfId="3344" xr:uid="{00000000-0005-0000-0000-0000EA0B0000}"/>
    <cellStyle name="Normal 80 2 6" xfId="2857" xr:uid="{00000000-0005-0000-0000-0000EB0B0000}"/>
    <cellStyle name="Normal 80 3" xfId="1585" xr:uid="{00000000-0005-0000-0000-0000EC0B0000}"/>
    <cellStyle name="Normal 80 3 2" xfId="1727" xr:uid="{00000000-0005-0000-0000-0000ED0B0000}"/>
    <cellStyle name="Normal 80 3 2 2" xfId="3199" xr:uid="{00000000-0005-0000-0000-0000EE0B0000}"/>
    <cellStyle name="Normal 80 3 3" xfId="2206" xr:uid="{00000000-0005-0000-0000-0000EF0B0000}"/>
    <cellStyle name="Normal 80 3 4" xfId="3061" xr:uid="{00000000-0005-0000-0000-0000F00B0000}"/>
    <cellStyle name="Normal 80 4" xfId="1569" xr:uid="{00000000-0005-0000-0000-0000F10B0000}"/>
    <cellStyle name="Normal 80 4 2" xfId="3048" xr:uid="{00000000-0005-0000-0000-0000F20B0000}"/>
    <cellStyle name="Normal 80 5" xfId="1375" xr:uid="{00000000-0005-0000-0000-0000F30B0000}"/>
    <cellStyle name="Normal 80 5 2" xfId="2869" xr:uid="{00000000-0005-0000-0000-0000F40B0000}"/>
    <cellStyle name="Normal 80 6" xfId="1810" xr:uid="{00000000-0005-0000-0000-0000F50B0000}"/>
    <cellStyle name="Normal 80 6 2" xfId="3282" xr:uid="{00000000-0005-0000-0000-0000F60B0000}"/>
    <cellStyle name="Normal 80 7" xfId="1565" xr:uid="{00000000-0005-0000-0000-0000F70B0000}"/>
    <cellStyle name="Normal 80 7 2" xfId="3044" xr:uid="{00000000-0005-0000-0000-0000F80B0000}"/>
    <cellStyle name="Normal 81" xfId="1201" xr:uid="{00000000-0005-0000-0000-0000F90B0000}"/>
    <cellStyle name="Normal 81 2" xfId="1398" xr:uid="{00000000-0005-0000-0000-0000FA0B0000}"/>
    <cellStyle name="Normal 81 2 2" xfId="1333" xr:uid="{00000000-0005-0000-0000-0000FB0B0000}"/>
    <cellStyle name="Normal 81 2 2 2" xfId="1787" xr:uid="{00000000-0005-0000-0000-0000FC0B0000}"/>
    <cellStyle name="Normal 81 2 2 2 2" xfId="3259" xr:uid="{00000000-0005-0000-0000-0000FD0B0000}"/>
    <cellStyle name="Normal 81 2 2 3" xfId="2832" xr:uid="{00000000-0005-0000-0000-0000FE0B0000}"/>
    <cellStyle name="Normal 81 2 3" xfId="1435" xr:uid="{00000000-0005-0000-0000-0000FF0B0000}"/>
    <cellStyle name="Normal 81 2 3 2" xfId="2922" xr:uid="{00000000-0005-0000-0000-0000000C0000}"/>
    <cellStyle name="Normal 81 2 4" xfId="1656" xr:uid="{00000000-0005-0000-0000-0000010C0000}"/>
    <cellStyle name="Normal 81 2 4 2" xfId="3128" xr:uid="{00000000-0005-0000-0000-0000020C0000}"/>
    <cellStyle name="Normal 81 2 5" xfId="1871" xr:uid="{00000000-0005-0000-0000-0000030C0000}"/>
    <cellStyle name="Normal 81 2 5 2" xfId="3343" xr:uid="{00000000-0005-0000-0000-0000040C0000}"/>
    <cellStyle name="Normal 81 2 6" xfId="2892" xr:uid="{00000000-0005-0000-0000-0000050C0000}"/>
    <cellStyle name="Normal 81 3" xfId="1560" xr:uid="{00000000-0005-0000-0000-0000060C0000}"/>
    <cellStyle name="Normal 81 3 2" xfId="1726" xr:uid="{00000000-0005-0000-0000-0000070C0000}"/>
    <cellStyle name="Normal 81 3 2 2" xfId="3198" xr:uid="{00000000-0005-0000-0000-0000080C0000}"/>
    <cellStyle name="Normal 81 3 3" xfId="2049" xr:uid="{00000000-0005-0000-0000-0000090C0000}"/>
    <cellStyle name="Normal 81 3 4" xfId="3040" xr:uid="{00000000-0005-0000-0000-00000A0C0000}"/>
    <cellStyle name="Normal 81 4" xfId="1583" xr:uid="{00000000-0005-0000-0000-00000B0C0000}"/>
    <cellStyle name="Normal 81 4 2" xfId="3059" xr:uid="{00000000-0005-0000-0000-00000C0C0000}"/>
    <cellStyle name="Normal 81 5" xfId="1376" xr:uid="{00000000-0005-0000-0000-00000D0C0000}"/>
    <cellStyle name="Normal 81 5 2" xfId="2870" xr:uid="{00000000-0005-0000-0000-00000E0C0000}"/>
    <cellStyle name="Normal 81 6" xfId="1809" xr:uid="{00000000-0005-0000-0000-00000F0C0000}"/>
    <cellStyle name="Normal 81 6 2" xfId="3281" xr:uid="{00000000-0005-0000-0000-0000100C0000}"/>
    <cellStyle name="Normal 81 7" xfId="1579" xr:uid="{00000000-0005-0000-0000-0000110C0000}"/>
    <cellStyle name="Normal 81 7 2" xfId="3055" xr:uid="{00000000-0005-0000-0000-0000120C0000}"/>
    <cellStyle name="Normal 82" xfId="1204" xr:uid="{00000000-0005-0000-0000-0000130C0000}"/>
    <cellStyle name="Normal 83" xfId="1203" xr:uid="{00000000-0005-0000-0000-0000140C0000}"/>
    <cellStyle name="Normal 84" xfId="1196" xr:uid="{00000000-0005-0000-0000-0000150C0000}"/>
    <cellStyle name="Normal 85" xfId="1194" xr:uid="{00000000-0005-0000-0000-0000160C0000}"/>
    <cellStyle name="Normal 86" xfId="1199" xr:uid="{00000000-0005-0000-0000-0000170C0000}"/>
    <cellStyle name="Normal 87" xfId="1193" xr:uid="{00000000-0005-0000-0000-0000180C0000}"/>
    <cellStyle name="Normal 88" xfId="1211" xr:uid="{00000000-0005-0000-0000-0000190C0000}"/>
    <cellStyle name="Normal 89" xfId="1215" xr:uid="{00000000-0005-0000-0000-00001A0C0000}"/>
    <cellStyle name="Normal 9" xfId="70" xr:uid="{00000000-0005-0000-0000-00001B0C0000}"/>
    <cellStyle name="Normal 9 10" xfId="259" xr:uid="{00000000-0005-0000-0000-00001C0C0000}"/>
    <cellStyle name="Normal 9 11" xfId="260" xr:uid="{00000000-0005-0000-0000-00001D0C0000}"/>
    <cellStyle name="Normal 9 12" xfId="261" xr:uid="{00000000-0005-0000-0000-00001E0C0000}"/>
    <cellStyle name="Normal 9 13" xfId="518" xr:uid="{00000000-0005-0000-0000-00001F0C0000}"/>
    <cellStyle name="Normal 9 14" xfId="258" xr:uid="{00000000-0005-0000-0000-0000200C0000}"/>
    <cellStyle name="Normal 9 15" xfId="1299" xr:uid="{00000000-0005-0000-0000-0000210C0000}"/>
    <cellStyle name="Normal 9 15 2" xfId="2803" xr:uid="{00000000-0005-0000-0000-0000220C0000}"/>
    <cellStyle name="Normal 9 15 3" xfId="2265" xr:uid="{00000000-0005-0000-0000-0000230C0000}"/>
    <cellStyle name="Normal 9 16" xfId="109" xr:uid="{00000000-0005-0000-0000-0000240C0000}"/>
    <cellStyle name="Normal 9 17" xfId="2308" xr:uid="{00000000-0005-0000-0000-0000250C0000}"/>
    <cellStyle name="Normal 9 18" xfId="2252" xr:uid="{00000000-0005-0000-0000-0000260C0000}"/>
    <cellStyle name="Normal 9 2" xfId="262" xr:uid="{00000000-0005-0000-0000-0000270C0000}"/>
    <cellStyle name="Normal 9 2 2" xfId="263" xr:uid="{00000000-0005-0000-0000-0000280C0000}"/>
    <cellStyle name="Normal 9 2 3" xfId="264" xr:uid="{00000000-0005-0000-0000-0000290C0000}"/>
    <cellStyle name="Normal 9 2 4" xfId="265" xr:uid="{00000000-0005-0000-0000-00002A0C0000}"/>
    <cellStyle name="Normal 9 3" xfId="266" xr:uid="{00000000-0005-0000-0000-00002B0C0000}"/>
    <cellStyle name="Normal 9 3 2" xfId="267" xr:uid="{00000000-0005-0000-0000-00002C0C0000}"/>
    <cellStyle name="Normal 9 3 3" xfId="268" xr:uid="{00000000-0005-0000-0000-00002D0C0000}"/>
    <cellStyle name="Normal 9 3 3 2" xfId="269" xr:uid="{00000000-0005-0000-0000-00002E0C0000}"/>
    <cellStyle name="Normal 9 4" xfId="270" xr:uid="{00000000-0005-0000-0000-00002F0C0000}"/>
    <cellStyle name="Normal 9 5" xfId="271" xr:uid="{00000000-0005-0000-0000-0000300C0000}"/>
    <cellStyle name="Normal 9 6" xfId="272" xr:uid="{00000000-0005-0000-0000-0000310C0000}"/>
    <cellStyle name="Normal 9 7" xfId="273" xr:uid="{00000000-0005-0000-0000-0000320C0000}"/>
    <cellStyle name="Normal 9 8" xfId="274" xr:uid="{00000000-0005-0000-0000-0000330C0000}"/>
    <cellStyle name="Normal 9 9" xfId="275" xr:uid="{00000000-0005-0000-0000-0000340C0000}"/>
    <cellStyle name="Normal 90" xfId="1212" xr:uid="{00000000-0005-0000-0000-0000350C0000}"/>
    <cellStyle name="Normal 91" xfId="1207" xr:uid="{00000000-0005-0000-0000-0000360C0000}"/>
    <cellStyle name="Normal 92" xfId="1214" xr:uid="{00000000-0005-0000-0000-0000370C0000}"/>
    <cellStyle name="Normal 93" xfId="1200" xr:uid="{00000000-0005-0000-0000-0000380C0000}"/>
    <cellStyle name="Normal 94" xfId="1202" xr:uid="{00000000-0005-0000-0000-0000390C0000}"/>
    <cellStyle name="Normal 95" xfId="1209" xr:uid="{00000000-0005-0000-0000-00003A0C0000}"/>
    <cellStyle name="Normal 96" xfId="1213" xr:uid="{00000000-0005-0000-0000-00003B0C0000}"/>
    <cellStyle name="Normal 97" xfId="1208" xr:uid="{00000000-0005-0000-0000-00003C0C0000}"/>
    <cellStyle name="Normal 98" xfId="1218" xr:uid="{00000000-0005-0000-0000-00003D0C0000}"/>
    <cellStyle name="Normal 99" xfId="1217" xr:uid="{00000000-0005-0000-0000-00003E0C0000}"/>
    <cellStyle name="Note 2" xfId="519" xr:uid="{00000000-0005-0000-0000-00003F0C0000}"/>
    <cellStyle name="Note 3" xfId="520" xr:uid="{00000000-0005-0000-0000-0000400C0000}"/>
    <cellStyle name="Notes - Amount" xfId="563" xr:uid="{00000000-0005-0000-0000-0000410C0000}"/>
    <cellStyle name="Notes - Amount - $ Double Underline" xfId="564" xr:uid="{00000000-0005-0000-0000-0000420C0000}"/>
    <cellStyle name="Notes - Amount - $ Single Underline" xfId="565" xr:uid="{00000000-0005-0000-0000-0000430C0000}"/>
    <cellStyle name="Notes - Amount - %" xfId="566" xr:uid="{00000000-0005-0000-0000-0000440C0000}"/>
    <cellStyle name="Notes - Amount - % Double Underline" xfId="567" xr:uid="{00000000-0005-0000-0000-0000450C0000}"/>
    <cellStyle name="Notes - Amount - % Single Underline" xfId="568" xr:uid="{00000000-0005-0000-0000-0000460C0000}"/>
    <cellStyle name="Notes - Amount - Single Underline" xfId="569" xr:uid="{00000000-0005-0000-0000-0000470C0000}"/>
    <cellStyle name="Notes - Amount $" xfId="570" xr:uid="{00000000-0005-0000-0000-0000480C0000}"/>
    <cellStyle name="Notes - Column Header" xfId="571" xr:uid="{00000000-0005-0000-0000-0000490C0000}"/>
    <cellStyle name="Notes - Column Header (10)" xfId="572" xr:uid="{00000000-0005-0000-0000-00004A0C0000}"/>
    <cellStyle name="Notes - Line Item 1" xfId="573" xr:uid="{00000000-0005-0000-0000-00004B0C0000}"/>
    <cellStyle name="Notes - Line Item 1 (10)" xfId="574" xr:uid="{00000000-0005-0000-0000-00004C0C0000}"/>
    <cellStyle name="Notes - Line Item 2" xfId="575" xr:uid="{00000000-0005-0000-0000-00004D0C0000}"/>
    <cellStyle name="Notes - Line Item 2 (10)" xfId="576" xr:uid="{00000000-0005-0000-0000-00004E0C0000}"/>
    <cellStyle name="Notes - Line Item 3" xfId="577" xr:uid="{00000000-0005-0000-0000-00004F0C0000}"/>
    <cellStyle name="Notes - Line Item 3 (10)" xfId="578" xr:uid="{00000000-0005-0000-0000-0000500C0000}"/>
    <cellStyle name="Notes - Line Item 3_Sheet1" xfId="579" xr:uid="{00000000-0005-0000-0000-0000510C0000}"/>
    <cellStyle name="Notes - Line Item 4" xfId="580" xr:uid="{00000000-0005-0000-0000-0000520C0000}"/>
    <cellStyle name="Notes - Line Item 4 (10)" xfId="581" xr:uid="{00000000-0005-0000-0000-0000530C0000}"/>
    <cellStyle name="Notes - Line Item 4_Sheet1" xfId="582" xr:uid="{00000000-0005-0000-0000-0000540C0000}"/>
    <cellStyle name="Output 2" xfId="521" xr:uid="{00000000-0005-0000-0000-0000550C0000}"/>
    <cellStyle name="Percent" xfId="3" builtinId="5"/>
    <cellStyle name="Percent 10" xfId="432" xr:uid="{00000000-0005-0000-0000-0000570C0000}"/>
    <cellStyle name="Percent 10 2" xfId="434" xr:uid="{00000000-0005-0000-0000-0000580C0000}"/>
    <cellStyle name="Percent 10 3" xfId="583" xr:uid="{00000000-0005-0000-0000-0000590C0000}"/>
    <cellStyle name="Percent 11" xfId="584" xr:uid="{00000000-0005-0000-0000-00005A0C0000}"/>
    <cellStyle name="Percent 12" xfId="585" xr:uid="{00000000-0005-0000-0000-00005B0C0000}"/>
    <cellStyle name="Percent 13" xfId="603" xr:uid="{00000000-0005-0000-0000-00005C0C0000}"/>
    <cellStyle name="Percent 13 2" xfId="760" xr:uid="{00000000-0005-0000-0000-00005D0C0000}"/>
    <cellStyle name="Percent 13 2 2" xfId="961" xr:uid="{00000000-0005-0000-0000-00005E0C0000}"/>
    <cellStyle name="Percent 13 2 2 2" xfId="1253" xr:uid="{00000000-0005-0000-0000-00005F0C0000}"/>
    <cellStyle name="Percent 13 2 2 2 2" xfId="1762" xr:uid="{00000000-0005-0000-0000-0000600C0000}"/>
    <cellStyle name="Percent 13 2 2 2 2 2" xfId="3234" xr:uid="{00000000-0005-0000-0000-0000610C0000}"/>
    <cellStyle name="Percent 13 2 2 2 3" xfId="2759" xr:uid="{00000000-0005-0000-0000-0000620C0000}"/>
    <cellStyle name="Percent 13 2 2 3" xfId="1092" xr:uid="{00000000-0005-0000-0000-0000630C0000}"/>
    <cellStyle name="Percent 13 2 2 3 2" xfId="2629" xr:uid="{00000000-0005-0000-0000-0000640C0000}"/>
    <cellStyle name="Percent 13 2 2 4" xfId="1631" xr:uid="{00000000-0005-0000-0000-0000650C0000}"/>
    <cellStyle name="Percent 13 2 2 4 2" xfId="3103" xr:uid="{00000000-0005-0000-0000-0000660C0000}"/>
    <cellStyle name="Percent 13 2 2 5" xfId="1846" xr:uid="{00000000-0005-0000-0000-0000670C0000}"/>
    <cellStyle name="Percent 13 2 2 5 2" xfId="3318" xr:uid="{00000000-0005-0000-0000-0000680C0000}"/>
    <cellStyle name="Percent 13 2 2 6" xfId="2502" xr:uid="{00000000-0005-0000-0000-0000690C0000}"/>
    <cellStyle name="Percent 13 2 3" xfId="1162" xr:uid="{00000000-0005-0000-0000-00006A0C0000}"/>
    <cellStyle name="Percent 13 2 3 2" xfId="1415" xr:uid="{00000000-0005-0000-0000-00006B0C0000}"/>
    <cellStyle name="Percent 13 2 3 2 2" xfId="2909" xr:uid="{00000000-0005-0000-0000-00006C0C0000}"/>
    <cellStyle name="Percent 13 2 3 3" xfId="2696" xr:uid="{00000000-0005-0000-0000-00006D0C0000}"/>
    <cellStyle name="Percent 13 2 4" xfId="1029" xr:uid="{00000000-0005-0000-0000-00006E0C0000}"/>
    <cellStyle name="Percent 13 2 4 2" xfId="1701" xr:uid="{00000000-0005-0000-0000-00006F0C0000}"/>
    <cellStyle name="Percent 13 2 4 2 2" xfId="3173" xr:uid="{00000000-0005-0000-0000-0000700C0000}"/>
    <cellStyle name="Percent 13 2 4 3" xfId="2566" xr:uid="{00000000-0005-0000-0000-0000710C0000}"/>
    <cellStyle name="Percent 13 2 5" xfId="892" xr:uid="{00000000-0005-0000-0000-0000720C0000}"/>
    <cellStyle name="Percent 13 2 5 2" xfId="2435" xr:uid="{00000000-0005-0000-0000-0000730C0000}"/>
    <cellStyle name="Percent 13 2 6" xfId="1500" xr:uid="{00000000-0005-0000-0000-0000740C0000}"/>
    <cellStyle name="Percent 13 2 6 2" xfId="2983" xr:uid="{00000000-0005-0000-0000-0000750C0000}"/>
    <cellStyle name="Percent 13 2 7" xfId="2372" xr:uid="{00000000-0005-0000-0000-0000760C0000}"/>
    <cellStyle name="Percent 13 3" xfId="940" xr:uid="{00000000-0005-0000-0000-0000770C0000}"/>
    <cellStyle name="Percent 13 3 2" xfId="1232" xr:uid="{00000000-0005-0000-0000-0000780C0000}"/>
    <cellStyle name="Percent 13 3 2 2" xfId="1741" xr:uid="{00000000-0005-0000-0000-0000790C0000}"/>
    <cellStyle name="Percent 13 3 2 2 2" xfId="3213" xr:uid="{00000000-0005-0000-0000-00007A0C0000}"/>
    <cellStyle name="Percent 13 3 2 3" xfId="2738" xr:uid="{00000000-0005-0000-0000-00007B0C0000}"/>
    <cellStyle name="Percent 13 3 3" xfId="1071" xr:uid="{00000000-0005-0000-0000-00007C0C0000}"/>
    <cellStyle name="Percent 13 3 3 2" xfId="2608" xr:uid="{00000000-0005-0000-0000-00007D0C0000}"/>
    <cellStyle name="Percent 13 3 4" xfId="1610" xr:uid="{00000000-0005-0000-0000-00007E0C0000}"/>
    <cellStyle name="Percent 13 3 4 2" xfId="3082" xr:uid="{00000000-0005-0000-0000-00007F0C0000}"/>
    <cellStyle name="Percent 13 3 5" xfId="1825" xr:uid="{00000000-0005-0000-0000-0000800C0000}"/>
    <cellStyle name="Percent 13 3 5 2" xfId="3297" xr:uid="{00000000-0005-0000-0000-0000810C0000}"/>
    <cellStyle name="Percent 13 3 6" xfId="2481" xr:uid="{00000000-0005-0000-0000-0000820C0000}"/>
    <cellStyle name="Percent 13 4" xfId="1141" xr:uid="{00000000-0005-0000-0000-0000830C0000}"/>
    <cellStyle name="Percent 13 4 2" xfId="1427" xr:uid="{00000000-0005-0000-0000-0000840C0000}"/>
    <cellStyle name="Percent 13 4 2 2" xfId="2916" xr:uid="{00000000-0005-0000-0000-0000850C0000}"/>
    <cellStyle name="Percent 13 4 3" xfId="2675" xr:uid="{00000000-0005-0000-0000-0000860C0000}"/>
    <cellStyle name="Percent 13 5" xfId="1008" xr:uid="{00000000-0005-0000-0000-0000870C0000}"/>
    <cellStyle name="Percent 13 5 2" xfId="1680" xr:uid="{00000000-0005-0000-0000-0000880C0000}"/>
    <cellStyle name="Percent 13 5 2 2" xfId="3152" xr:uid="{00000000-0005-0000-0000-0000890C0000}"/>
    <cellStyle name="Percent 13 5 3" xfId="2545" xr:uid="{00000000-0005-0000-0000-00008A0C0000}"/>
    <cellStyle name="Percent 13 6" xfId="871" xr:uid="{00000000-0005-0000-0000-00008B0C0000}"/>
    <cellStyle name="Percent 13 6 2" xfId="2414" xr:uid="{00000000-0005-0000-0000-00008C0C0000}"/>
    <cellStyle name="Percent 13 7" xfId="1479" xr:uid="{00000000-0005-0000-0000-00008D0C0000}"/>
    <cellStyle name="Percent 13 7 2" xfId="2962" xr:uid="{00000000-0005-0000-0000-00008E0C0000}"/>
    <cellStyle name="Percent 13 8" xfId="2351" xr:uid="{00000000-0005-0000-0000-00008F0C0000}"/>
    <cellStyle name="Percent 14" xfId="684" xr:uid="{00000000-0005-0000-0000-0000900C0000}"/>
    <cellStyle name="Percent 15" xfId="824" xr:uid="{00000000-0005-0000-0000-0000910C0000}"/>
    <cellStyle name="Percent 16" xfId="309" xr:uid="{00000000-0005-0000-0000-0000920C0000}"/>
    <cellStyle name="Percent 17" xfId="925" xr:uid="{00000000-0005-0000-0000-0000930C0000}"/>
    <cellStyle name="Percent 17 2" xfId="1210" xr:uid="{00000000-0005-0000-0000-0000940C0000}"/>
    <cellStyle name="Percent 17 2 2" xfId="1397" xr:uid="{00000000-0005-0000-0000-0000950C0000}"/>
    <cellStyle name="Percent 17 2 2 2" xfId="1776" xr:uid="{00000000-0005-0000-0000-0000960C0000}"/>
    <cellStyle name="Percent 17 2 2 2 2" xfId="3248" xr:uid="{00000000-0005-0000-0000-0000970C0000}"/>
    <cellStyle name="Percent 17 2 2 3" xfId="2051" xr:uid="{00000000-0005-0000-0000-0000980C0000}"/>
    <cellStyle name="Percent 17 2 2 4" xfId="2891" xr:uid="{00000000-0005-0000-0000-0000990C0000}"/>
    <cellStyle name="Percent 17 2 3" xfId="1577" xr:uid="{00000000-0005-0000-0000-00009A0C0000}"/>
    <cellStyle name="Percent 17 2 3 2" xfId="3054" xr:uid="{00000000-0005-0000-0000-00009B0C0000}"/>
    <cellStyle name="Percent 17 2 4" xfId="1645" xr:uid="{00000000-0005-0000-0000-00009C0C0000}"/>
    <cellStyle name="Percent 17 2 4 2" xfId="3117" xr:uid="{00000000-0005-0000-0000-00009D0C0000}"/>
    <cellStyle name="Percent 17 2 5" xfId="1860" xr:uid="{00000000-0005-0000-0000-00009E0C0000}"/>
    <cellStyle name="Percent 17 2 5 2" xfId="3332" xr:uid="{00000000-0005-0000-0000-00009F0C0000}"/>
    <cellStyle name="Percent 17 2 6" xfId="1405" xr:uid="{00000000-0005-0000-0000-0000A00C0000}"/>
    <cellStyle name="Percent 17 2 6 2" xfId="2899" xr:uid="{00000000-0005-0000-0000-0000A10C0000}"/>
    <cellStyle name="Percent 17 3" xfId="1537" xr:uid="{00000000-0005-0000-0000-0000A20C0000}"/>
    <cellStyle name="Percent 17 3 2" xfId="1386" xr:uid="{00000000-0005-0000-0000-0000A30C0000}"/>
    <cellStyle name="Percent 17 3 2 2" xfId="2880" xr:uid="{00000000-0005-0000-0000-0000A40C0000}"/>
    <cellStyle name="Percent 17 3 3" xfId="3019" xr:uid="{00000000-0005-0000-0000-0000A50C0000}"/>
    <cellStyle name="Percent 17 4" xfId="1596" xr:uid="{00000000-0005-0000-0000-0000A60C0000}"/>
    <cellStyle name="Percent 17 4 2" xfId="1715" xr:uid="{00000000-0005-0000-0000-0000A70C0000}"/>
    <cellStyle name="Percent 17 4 2 2" xfId="3187" xr:uid="{00000000-0005-0000-0000-0000A80C0000}"/>
    <cellStyle name="Percent 17 4 3" xfId="3070" xr:uid="{00000000-0005-0000-0000-0000A90C0000}"/>
    <cellStyle name="Percent 17 5" xfId="1592" xr:uid="{00000000-0005-0000-0000-0000AA0C0000}"/>
    <cellStyle name="Percent 17 5 2" xfId="3066" xr:uid="{00000000-0005-0000-0000-0000AB0C0000}"/>
    <cellStyle name="Percent 17 6" xfId="1798" xr:uid="{00000000-0005-0000-0000-0000AC0C0000}"/>
    <cellStyle name="Percent 17 6 2" xfId="3270" xr:uid="{00000000-0005-0000-0000-0000AD0C0000}"/>
    <cellStyle name="Percent 17 7" xfId="2468" xr:uid="{00000000-0005-0000-0000-0000AE0C0000}"/>
    <cellStyle name="Percent 18" xfId="1125" xr:uid="{00000000-0005-0000-0000-0000AF0C0000}"/>
    <cellStyle name="Percent 18 2" xfId="1339" xr:uid="{00000000-0005-0000-0000-0000B00C0000}"/>
    <cellStyle name="Percent 18 2 2" xfId="1396" xr:uid="{00000000-0005-0000-0000-0000B10C0000}"/>
    <cellStyle name="Percent 18 2 2 2" xfId="1784" xr:uid="{00000000-0005-0000-0000-0000B20C0000}"/>
    <cellStyle name="Percent 18 2 2 2 2" xfId="3256" xr:uid="{00000000-0005-0000-0000-0000B30C0000}"/>
    <cellStyle name="Percent 18 2 2 3" xfId="2890" xr:uid="{00000000-0005-0000-0000-0000B40C0000}"/>
    <cellStyle name="Percent 18 2 3" xfId="1353" xr:uid="{00000000-0005-0000-0000-0000B50C0000}"/>
    <cellStyle name="Percent 18 2 3 2" xfId="2848" xr:uid="{00000000-0005-0000-0000-0000B60C0000}"/>
    <cellStyle name="Percent 18 2 4" xfId="1653" xr:uid="{00000000-0005-0000-0000-0000B70C0000}"/>
    <cellStyle name="Percent 18 2 4 2" xfId="3125" xr:uid="{00000000-0005-0000-0000-0000B80C0000}"/>
    <cellStyle name="Percent 18 2 5" xfId="1868" xr:uid="{00000000-0005-0000-0000-0000B90C0000}"/>
    <cellStyle name="Percent 18 2 5 2" xfId="3340" xr:uid="{00000000-0005-0000-0000-0000BA0C0000}"/>
    <cellStyle name="Percent 18 2 6" xfId="2838" xr:uid="{00000000-0005-0000-0000-0000BB0C0000}"/>
    <cellStyle name="Percent 18 3" xfId="1529" xr:uid="{00000000-0005-0000-0000-0000BC0C0000}"/>
    <cellStyle name="Percent 18 3 2" xfId="1379" xr:uid="{00000000-0005-0000-0000-0000BD0C0000}"/>
    <cellStyle name="Percent 18 3 2 2" xfId="2873" xr:uid="{00000000-0005-0000-0000-0000BE0C0000}"/>
    <cellStyle name="Percent 18 3 3" xfId="3012" xr:uid="{00000000-0005-0000-0000-0000BF0C0000}"/>
    <cellStyle name="Percent 18 4" xfId="1466" xr:uid="{00000000-0005-0000-0000-0000C00C0000}"/>
    <cellStyle name="Percent 18 4 2" xfId="1723" xr:uid="{00000000-0005-0000-0000-0000C10C0000}"/>
    <cellStyle name="Percent 18 4 2 2" xfId="3195" xr:uid="{00000000-0005-0000-0000-0000C20C0000}"/>
    <cellStyle name="Percent 18 4 3" xfId="2949" xr:uid="{00000000-0005-0000-0000-0000C30C0000}"/>
    <cellStyle name="Percent 18 5" xfId="1429" xr:uid="{00000000-0005-0000-0000-0000C40C0000}"/>
    <cellStyle name="Percent 18 5 2" xfId="2917" xr:uid="{00000000-0005-0000-0000-0000C50C0000}"/>
    <cellStyle name="Percent 18 6" xfId="1806" xr:uid="{00000000-0005-0000-0000-0000C60C0000}"/>
    <cellStyle name="Percent 18 6 2" xfId="3278" xr:uid="{00000000-0005-0000-0000-0000C70C0000}"/>
    <cellStyle name="Percent 18 7" xfId="2662" xr:uid="{00000000-0005-0000-0000-0000C80C0000}"/>
    <cellStyle name="Percent 19" xfId="1446" xr:uid="{00000000-0005-0000-0000-0000C90C0000}"/>
    <cellStyle name="Percent 19 2" xfId="2931" xr:uid="{00000000-0005-0000-0000-0000CA0C0000}"/>
    <cellStyle name="Percent 2" xfId="6" xr:uid="{00000000-0005-0000-0000-0000CB0C0000}"/>
    <cellStyle name="Percent 2 2" xfId="17" xr:uid="{00000000-0005-0000-0000-0000CC0C0000}"/>
    <cellStyle name="Percent 2 2 2" xfId="276" xr:uid="{00000000-0005-0000-0000-0000CD0C0000}"/>
    <cellStyle name="Percent 2 2 2 2" xfId="410" xr:uid="{00000000-0005-0000-0000-0000CE0C0000}"/>
    <cellStyle name="Percent 2 2 3" xfId="409" xr:uid="{00000000-0005-0000-0000-0000CF0C0000}"/>
    <cellStyle name="Percent 2 2 4" xfId="2059" xr:uid="{00000000-0005-0000-0000-0000D00C0000}"/>
    <cellStyle name="Percent 2 3" xfId="85" xr:uid="{00000000-0005-0000-0000-0000D10C0000}"/>
    <cellStyle name="Percent 2 3 2" xfId="411" xr:uid="{00000000-0005-0000-0000-0000D20C0000}"/>
    <cellStyle name="Percent 2 3 3" xfId="1314" xr:uid="{00000000-0005-0000-0000-0000D30C0000}"/>
    <cellStyle name="Percent 2 3 3 2" xfId="2088" xr:uid="{00000000-0005-0000-0000-0000D40C0000}"/>
    <cellStyle name="Percent 2 3 3 2 2" xfId="3478" xr:uid="{00000000-0005-0000-0000-0000D50C0000}"/>
    <cellStyle name="Percent 2 3 3 2 3" xfId="2281" xr:uid="{00000000-0005-0000-0000-0000D60C0000}"/>
    <cellStyle name="Percent 2 3 3 3" xfId="2097" xr:uid="{00000000-0005-0000-0000-0000D70C0000}"/>
    <cellStyle name="Percent 2 3 3 4" xfId="2815" xr:uid="{00000000-0005-0000-0000-0000D80C0000}"/>
    <cellStyle name="Percent 2 3 3 5" xfId="2270" xr:uid="{00000000-0005-0000-0000-0000D90C0000}"/>
    <cellStyle name="Percent 2 3 4" xfId="277" xr:uid="{00000000-0005-0000-0000-0000DA0C0000}"/>
    <cellStyle name="Percent 2 3 5" xfId="1986" xr:uid="{00000000-0005-0000-0000-0000DB0C0000}"/>
    <cellStyle name="Percent 2 3 6" xfId="2320" xr:uid="{00000000-0005-0000-0000-0000DC0C0000}"/>
    <cellStyle name="Percent 2 3 7" xfId="2257" xr:uid="{00000000-0005-0000-0000-0000DD0C0000}"/>
    <cellStyle name="Percent 2 4" xfId="408" xr:uid="{00000000-0005-0000-0000-0000DE0C0000}"/>
    <cellStyle name="Percent 2 5" xfId="839" xr:uid="{00000000-0005-0000-0000-0000DF0C0000}"/>
    <cellStyle name="Percent 2 6" xfId="992" xr:uid="{00000000-0005-0000-0000-0000E00C0000}"/>
    <cellStyle name="Percent 2 7" xfId="1286" xr:uid="{00000000-0005-0000-0000-0000E10C0000}"/>
    <cellStyle name="Percent 2 7 2" xfId="2791" xr:uid="{00000000-0005-0000-0000-0000E20C0000}"/>
    <cellStyle name="Percent 2 7 3" xfId="2260" xr:uid="{00000000-0005-0000-0000-0000E30C0000}"/>
    <cellStyle name="Percent 20" xfId="2291" xr:uid="{00000000-0005-0000-0000-0000E40C0000}"/>
    <cellStyle name="Percent 3" xfId="12" xr:uid="{00000000-0005-0000-0000-0000E50C0000}"/>
    <cellStyle name="Percent 3 10" xfId="843" xr:uid="{00000000-0005-0000-0000-0000E60C0000}"/>
    <cellStyle name="Percent 3 10 2" xfId="976" xr:uid="{00000000-0005-0000-0000-0000E70C0000}"/>
    <cellStyle name="Percent 3 10 2 2" xfId="1268" xr:uid="{00000000-0005-0000-0000-0000E80C0000}"/>
    <cellStyle name="Percent 3 10 2 2 2" xfId="2774" xr:uid="{00000000-0005-0000-0000-0000E90C0000}"/>
    <cellStyle name="Percent 3 10 2 3" xfId="1107" xr:uid="{00000000-0005-0000-0000-0000EA0C0000}"/>
    <cellStyle name="Percent 3 10 2 3 2" xfId="2644" xr:uid="{00000000-0005-0000-0000-0000EB0C0000}"/>
    <cellStyle name="Percent 3 10 2 4" xfId="2517" xr:uid="{00000000-0005-0000-0000-0000EC0C0000}"/>
    <cellStyle name="Percent 3 10 3" xfId="1177" xr:uid="{00000000-0005-0000-0000-0000ED0C0000}"/>
    <cellStyle name="Percent 3 10 3 2" xfId="2711" xr:uid="{00000000-0005-0000-0000-0000EE0C0000}"/>
    <cellStyle name="Percent 3 10 4" xfId="1044" xr:uid="{00000000-0005-0000-0000-0000EF0C0000}"/>
    <cellStyle name="Percent 3 10 4 2" xfId="2581" xr:uid="{00000000-0005-0000-0000-0000F00C0000}"/>
    <cellStyle name="Percent 3 10 5" xfId="907" xr:uid="{00000000-0005-0000-0000-0000F10C0000}"/>
    <cellStyle name="Percent 3 10 5 2" xfId="2450" xr:uid="{00000000-0005-0000-0000-0000F20C0000}"/>
    <cellStyle name="Percent 3 10 6" xfId="1514" xr:uid="{00000000-0005-0000-0000-0000F30C0000}"/>
    <cellStyle name="Percent 3 10 6 2" xfId="2997" xr:uid="{00000000-0005-0000-0000-0000F40C0000}"/>
    <cellStyle name="Percent 3 10 7" xfId="1571" xr:uid="{00000000-0005-0000-0000-0000F50C0000}"/>
    <cellStyle name="Percent 3 10 7 2" xfId="2198" xr:uid="{00000000-0005-0000-0000-0000F60C0000}"/>
    <cellStyle name="Percent 3 10 7 2 2" xfId="3536" xr:uid="{00000000-0005-0000-0000-0000F70C0000}"/>
    <cellStyle name="Percent 3 10 8" xfId="2387" xr:uid="{00000000-0005-0000-0000-0000F80C0000}"/>
    <cellStyle name="Percent 3 11" xfId="106" xr:uid="{00000000-0005-0000-0000-0000F90C0000}"/>
    <cellStyle name="Percent 3 11 2" xfId="1594" xr:uid="{00000000-0005-0000-0000-0000FA0C0000}"/>
    <cellStyle name="Percent 3 11 2 2" xfId="1665" xr:uid="{00000000-0005-0000-0000-0000FB0C0000}"/>
    <cellStyle name="Percent 3 11 2 2 2" xfId="3137" xr:uid="{00000000-0005-0000-0000-0000FC0C0000}"/>
    <cellStyle name="Percent 3 11 2 3" xfId="2133" xr:uid="{00000000-0005-0000-0000-0000FD0C0000}"/>
    <cellStyle name="Percent 3 11 2 4" xfId="3068" xr:uid="{00000000-0005-0000-0000-0000FE0C0000}"/>
    <cellStyle name="Percent 3 11 3" xfId="1324" xr:uid="{00000000-0005-0000-0000-0000FF0C0000}"/>
    <cellStyle name="Percent 3 11 3 2" xfId="2824" xr:uid="{00000000-0005-0000-0000-0000000D0000}"/>
    <cellStyle name="Percent 3 11 4" xfId="1543" xr:uid="{00000000-0005-0000-0000-0000010D0000}"/>
    <cellStyle name="Percent 3 11 4 2" xfId="3024" xr:uid="{00000000-0005-0000-0000-0000020D0000}"/>
    <cellStyle name="Percent 3 11 5" xfId="1794" xr:uid="{00000000-0005-0000-0000-0000030D0000}"/>
    <cellStyle name="Percent 3 11 5 2" xfId="3266" xr:uid="{00000000-0005-0000-0000-0000040D0000}"/>
    <cellStyle name="Percent 3 11 6" xfId="1601" xr:uid="{00000000-0005-0000-0000-0000050D0000}"/>
    <cellStyle name="Percent 3 11 6 2" xfId="3073" xr:uid="{00000000-0005-0000-0000-0000060D0000}"/>
    <cellStyle name="Percent 3 12" xfId="1361" xr:uid="{00000000-0005-0000-0000-0000070D0000}"/>
    <cellStyle name="Percent 3 12 2" xfId="1551" xr:uid="{00000000-0005-0000-0000-0000080D0000}"/>
    <cellStyle name="Percent 3 12 2 2" xfId="3031" xr:uid="{00000000-0005-0000-0000-0000090D0000}"/>
    <cellStyle name="Percent 3 12 3" xfId="2856" xr:uid="{00000000-0005-0000-0000-00000A0D0000}"/>
    <cellStyle name="Percent 3 13" xfId="1661" xr:uid="{00000000-0005-0000-0000-00000B0D0000}"/>
    <cellStyle name="Percent 3 13 2" xfId="3133" xr:uid="{00000000-0005-0000-0000-00000C0D0000}"/>
    <cellStyle name="Percent 3 14" xfId="1791" xr:uid="{00000000-0005-0000-0000-00000D0D0000}"/>
    <cellStyle name="Percent 3 14 2" xfId="3263" xr:uid="{00000000-0005-0000-0000-00000E0D0000}"/>
    <cellStyle name="Percent 3 15" xfId="2006" xr:uid="{00000000-0005-0000-0000-00000F0D0000}"/>
    <cellStyle name="Percent 3 15 2" xfId="3565" xr:uid="{00000000-0005-0000-0000-0000100D0000}"/>
    <cellStyle name="Percent 3 16" xfId="47" xr:uid="{00000000-0005-0000-0000-0000110D0000}"/>
    <cellStyle name="Percent 3 2" xfId="25" xr:uid="{00000000-0005-0000-0000-0000120D0000}"/>
    <cellStyle name="Percent 3 2 2" xfId="280" xr:uid="{00000000-0005-0000-0000-0000130D0000}"/>
    <cellStyle name="Percent 3 2 2 2" xfId="281" xr:uid="{00000000-0005-0000-0000-0000140D0000}"/>
    <cellStyle name="Percent 3 2 2 2 2" xfId="415" xr:uid="{00000000-0005-0000-0000-0000150D0000}"/>
    <cellStyle name="Percent 3 2 2 2 2 2" xfId="743" xr:uid="{00000000-0005-0000-0000-0000160D0000}"/>
    <cellStyle name="Percent 3 2 2 2 3" xfId="673" xr:uid="{00000000-0005-0000-0000-0000170D0000}"/>
    <cellStyle name="Percent 3 2 2 3" xfId="414" xr:uid="{00000000-0005-0000-0000-0000180D0000}"/>
    <cellStyle name="Percent 3 2 2 3 2" xfId="742" xr:uid="{00000000-0005-0000-0000-0000190D0000}"/>
    <cellStyle name="Percent 3 2 2 4" xfId="524" xr:uid="{00000000-0005-0000-0000-00001A0D0000}"/>
    <cellStyle name="Percent 3 2 2 5" xfId="672" xr:uid="{00000000-0005-0000-0000-00001B0D0000}"/>
    <cellStyle name="Percent 3 2 3" xfId="413" xr:uid="{00000000-0005-0000-0000-00001C0D0000}"/>
    <cellStyle name="Percent 3 2 3 2" xfId="741" xr:uid="{00000000-0005-0000-0000-00001D0D0000}"/>
    <cellStyle name="Percent 3 2 4" xfId="523" xr:uid="{00000000-0005-0000-0000-00001E0D0000}"/>
    <cellStyle name="Percent 3 2 5" xfId="671" xr:uid="{00000000-0005-0000-0000-00001F0D0000}"/>
    <cellStyle name="Percent 3 2 6" xfId="832" xr:uid="{00000000-0005-0000-0000-0000200D0000}"/>
    <cellStyle name="Percent 3 2 7" xfId="279" xr:uid="{00000000-0005-0000-0000-0000210D0000}"/>
    <cellStyle name="Percent 3 3" xfId="15" xr:uid="{00000000-0005-0000-0000-0000220D0000}"/>
    <cellStyle name="Percent 3 3 2" xfId="416" xr:uid="{00000000-0005-0000-0000-0000230D0000}"/>
    <cellStyle name="Percent 3 3 2 2" xfId="744" xr:uid="{00000000-0005-0000-0000-0000240D0000}"/>
    <cellStyle name="Percent 3 3 2 2 2" xfId="2071" xr:uid="{00000000-0005-0000-0000-0000250D0000}"/>
    <cellStyle name="Percent 3 3 2 2 3" xfId="1892" xr:uid="{00000000-0005-0000-0000-0000260D0000}"/>
    <cellStyle name="Percent 3 3 2 2 3 2" xfId="3361" xr:uid="{00000000-0005-0000-0000-0000270D0000}"/>
    <cellStyle name="Percent 3 3 2 3" xfId="2187" xr:uid="{00000000-0005-0000-0000-0000280D0000}"/>
    <cellStyle name="Percent 3 3 2 4" xfId="2134" xr:uid="{00000000-0005-0000-0000-0000290D0000}"/>
    <cellStyle name="Percent 3 3 2 4 2" xfId="3505" xr:uid="{00000000-0005-0000-0000-00002A0D0000}"/>
    <cellStyle name="Percent 3 3 3" xfId="525" xr:uid="{00000000-0005-0000-0000-00002B0D0000}"/>
    <cellStyle name="Percent 3 3 3 2" xfId="1984" xr:uid="{00000000-0005-0000-0000-00002C0D0000}"/>
    <cellStyle name="Percent 3 3 3 2 2" xfId="3416" xr:uid="{00000000-0005-0000-0000-00002D0D0000}"/>
    <cellStyle name="Percent 3 3 3 3" xfId="2170" xr:uid="{00000000-0005-0000-0000-00002E0D0000}"/>
    <cellStyle name="Percent 3 3 3 4" xfId="2057" xr:uid="{00000000-0005-0000-0000-00002F0D0000}"/>
    <cellStyle name="Percent 3 3 3 4 2" xfId="3462" xr:uid="{00000000-0005-0000-0000-0000300D0000}"/>
    <cellStyle name="Percent 3 3 4" xfId="674" xr:uid="{00000000-0005-0000-0000-0000310D0000}"/>
    <cellStyle name="Percent 3 3 4 2" xfId="2151" xr:uid="{00000000-0005-0000-0000-0000320D0000}"/>
    <cellStyle name="Percent 3 3 4 3" xfId="2205" xr:uid="{00000000-0005-0000-0000-0000330D0000}"/>
    <cellStyle name="Percent 3 3 4 3 2" xfId="3540" xr:uid="{00000000-0005-0000-0000-0000340D0000}"/>
    <cellStyle name="Percent 3 3 5" xfId="282" xr:uid="{00000000-0005-0000-0000-0000350D0000}"/>
    <cellStyle name="Percent 3 3 6" xfId="2089" xr:uid="{00000000-0005-0000-0000-0000360D0000}"/>
    <cellStyle name="Percent 3 3 7" xfId="2143" xr:uid="{00000000-0005-0000-0000-0000370D0000}"/>
    <cellStyle name="Percent 3 3 7 2" xfId="3511" xr:uid="{00000000-0005-0000-0000-0000380D0000}"/>
    <cellStyle name="Percent 3 4" xfId="43" xr:uid="{00000000-0005-0000-0000-0000390D0000}"/>
    <cellStyle name="Percent 3 4 2" xfId="284" xr:uid="{00000000-0005-0000-0000-00003A0D0000}"/>
    <cellStyle name="Percent 3 4 2 2" xfId="418" xr:uid="{00000000-0005-0000-0000-00003B0D0000}"/>
    <cellStyle name="Percent 3 4 2 2 2" xfId="746" xr:uid="{00000000-0005-0000-0000-00003C0D0000}"/>
    <cellStyle name="Percent 3 4 2 3" xfId="676" xr:uid="{00000000-0005-0000-0000-00003D0D0000}"/>
    <cellStyle name="Percent 3 4 2 4" xfId="2026" xr:uid="{00000000-0005-0000-0000-00003E0D0000}"/>
    <cellStyle name="Percent 3 4 2 5" xfId="2139" xr:uid="{00000000-0005-0000-0000-00003F0D0000}"/>
    <cellStyle name="Percent 3 4 2 5 2" xfId="3509" xr:uid="{00000000-0005-0000-0000-0000400D0000}"/>
    <cellStyle name="Percent 3 4 3" xfId="417" xr:uid="{00000000-0005-0000-0000-0000410D0000}"/>
    <cellStyle name="Percent 3 4 3 2" xfId="745" xr:uid="{00000000-0005-0000-0000-0000420D0000}"/>
    <cellStyle name="Percent 3 4 4" xfId="675" xr:uid="{00000000-0005-0000-0000-0000430D0000}"/>
    <cellStyle name="Percent 3 4 5" xfId="283" xr:uid="{00000000-0005-0000-0000-0000440D0000}"/>
    <cellStyle name="Percent 3 4 6" xfId="2129" xr:uid="{00000000-0005-0000-0000-0000450D0000}"/>
    <cellStyle name="Percent 3 4 7" xfId="1874" xr:uid="{00000000-0005-0000-0000-0000460D0000}"/>
    <cellStyle name="Percent 3 4 7 2" xfId="3346" xr:uid="{00000000-0005-0000-0000-0000470D0000}"/>
    <cellStyle name="Percent 3 4 8" xfId="53" xr:uid="{00000000-0005-0000-0000-0000480D0000}"/>
    <cellStyle name="Percent 3 5" xfId="412" xr:uid="{00000000-0005-0000-0000-0000490D0000}"/>
    <cellStyle name="Percent 3 5 2" xfId="740" xr:uid="{00000000-0005-0000-0000-00004A0D0000}"/>
    <cellStyle name="Percent 3 5 2 2" xfId="2036" xr:uid="{00000000-0005-0000-0000-00004B0D0000}"/>
    <cellStyle name="Percent 3 5 2 3" xfId="2009" xr:uid="{00000000-0005-0000-0000-00004C0D0000}"/>
    <cellStyle name="Percent 3 5 2 3 2" xfId="3434" xr:uid="{00000000-0005-0000-0000-00004D0D0000}"/>
    <cellStyle name="Percent 3 5 3" xfId="2217" xr:uid="{00000000-0005-0000-0000-00004E0D0000}"/>
    <cellStyle name="Percent 3 5 4" xfId="2033" xr:uid="{00000000-0005-0000-0000-00004F0D0000}"/>
    <cellStyle name="Percent 3 5 4 2" xfId="3450" xr:uid="{00000000-0005-0000-0000-0000500D0000}"/>
    <cellStyle name="Percent 3 6" xfId="522" xr:uid="{00000000-0005-0000-0000-0000510D0000}"/>
    <cellStyle name="Percent 3 6 2" xfId="1963" xr:uid="{00000000-0005-0000-0000-0000520D0000}"/>
    <cellStyle name="Percent 3 6 3" xfId="2176" xr:uid="{00000000-0005-0000-0000-0000530D0000}"/>
    <cellStyle name="Percent 3 6 3 2" xfId="3526" xr:uid="{00000000-0005-0000-0000-0000540D0000}"/>
    <cellStyle name="Percent 3 7" xfId="670" xr:uid="{00000000-0005-0000-0000-0000550D0000}"/>
    <cellStyle name="Percent 3 8" xfId="278" xr:uid="{00000000-0005-0000-0000-0000560D0000}"/>
    <cellStyle name="Percent 3 9" xfId="828" xr:uid="{00000000-0005-0000-0000-0000570D0000}"/>
    <cellStyle name="Percent 4" xfId="19" xr:uid="{00000000-0005-0000-0000-0000580D0000}"/>
    <cellStyle name="Percent 4 10" xfId="61" xr:uid="{00000000-0005-0000-0000-0000590D0000}"/>
    <cellStyle name="Percent 4 10 2" xfId="2303" xr:uid="{00000000-0005-0000-0000-00005A0D0000}"/>
    <cellStyle name="Percent 4 10 3" xfId="3573" xr:uid="{00000000-0005-0000-0000-00005B0D0000}"/>
    <cellStyle name="Percent 4 11" xfId="2002" xr:uid="{00000000-0005-0000-0000-00005C0D0000}"/>
    <cellStyle name="Percent 4 2" xfId="77" xr:uid="{00000000-0005-0000-0000-00005D0D0000}"/>
    <cellStyle name="Percent 4 2 2" xfId="420" xr:uid="{00000000-0005-0000-0000-00005E0D0000}"/>
    <cellStyle name="Percent 4 2 2 2" xfId="2121" xr:uid="{00000000-0005-0000-0000-00005F0D0000}"/>
    <cellStyle name="Percent 4 2 2 2 2" xfId="3500" xr:uid="{00000000-0005-0000-0000-0000600D0000}"/>
    <cellStyle name="Percent 4 2 2 3" xfId="1915" xr:uid="{00000000-0005-0000-0000-0000610D0000}"/>
    <cellStyle name="Percent 4 2 2 4" xfId="1912" xr:uid="{00000000-0005-0000-0000-0000620D0000}"/>
    <cellStyle name="Percent 4 2 2 4 2" xfId="3374" xr:uid="{00000000-0005-0000-0000-0000630D0000}"/>
    <cellStyle name="Percent 4 2 3" xfId="1306" xr:uid="{00000000-0005-0000-0000-0000640D0000}"/>
    <cellStyle name="Percent 4 2 3 2" xfId="1920" xr:uid="{00000000-0005-0000-0000-0000650D0000}"/>
    <cellStyle name="Percent 4 2 3 2 2" xfId="3379" xr:uid="{00000000-0005-0000-0000-0000660D0000}"/>
    <cellStyle name="Percent 4 2 3 3" xfId="1880" xr:uid="{00000000-0005-0000-0000-0000670D0000}"/>
    <cellStyle name="Percent 4 2 3 3 2" xfId="3351" xr:uid="{00000000-0005-0000-0000-0000680D0000}"/>
    <cellStyle name="Percent 4 2 3 4" xfId="2808" xr:uid="{00000000-0005-0000-0000-0000690D0000}"/>
    <cellStyle name="Percent 4 2 4" xfId="286" xr:uid="{00000000-0005-0000-0000-00006A0D0000}"/>
    <cellStyle name="Percent 4 2 4 2" xfId="1996" xr:uid="{00000000-0005-0000-0000-00006B0D0000}"/>
    <cellStyle name="Percent 4 2 4 2 2" xfId="3426" xr:uid="{00000000-0005-0000-0000-00006C0D0000}"/>
    <cellStyle name="Percent 4 2 5" xfId="1908" xr:uid="{00000000-0005-0000-0000-00006D0D0000}"/>
    <cellStyle name="Percent 4 2 6" xfId="2313" xr:uid="{00000000-0005-0000-0000-00006E0D0000}"/>
    <cellStyle name="Percent 4 3" xfId="92" xr:uid="{00000000-0005-0000-0000-00006F0D0000}"/>
    <cellStyle name="Percent 4 3 2" xfId="1321" xr:uid="{00000000-0005-0000-0000-0000700D0000}"/>
    <cellStyle name="Percent 4 3 2 2" xfId="2178" xr:uid="{00000000-0005-0000-0000-0000710D0000}"/>
    <cellStyle name="Percent 4 3 2 2 2" xfId="3527" xr:uid="{00000000-0005-0000-0000-0000720D0000}"/>
    <cellStyle name="Percent 4 3 2 3" xfId="2821" xr:uid="{00000000-0005-0000-0000-0000730D0000}"/>
    <cellStyle name="Percent 4 3 3" xfId="419" xr:uid="{00000000-0005-0000-0000-0000740D0000}"/>
    <cellStyle name="Percent 4 3 3 2" xfId="1965" xr:uid="{00000000-0005-0000-0000-0000750D0000}"/>
    <cellStyle name="Percent 4 3 3 2 2" xfId="3404" xr:uid="{00000000-0005-0000-0000-0000760D0000}"/>
    <cellStyle name="Percent 4 3 4" xfId="2326" xr:uid="{00000000-0005-0000-0000-0000770D0000}"/>
    <cellStyle name="Percent 4 4" xfId="526" xr:uid="{00000000-0005-0000-0000-0000780D0000}"/>
    <cellStyle name="Percent 4 4 2" xfId="2044" xr:uid="{00000000-0005-0000-0000-0000790D0000}"/>
    <cellStyle name="Percent 4 4 2 2" xfId="3454" xr:uid="{00000000-0005-0000-0000-00007A0D0000}"/>
    <cellStyle name="Percent 4 4 3" xfId="2111" xr:uid="{00000000-0005-0000-0000-00007B0D0000}"/>
    <cellStyle name="Percent 4 4 4" xfId="2193" xr:uid="{00000000-0005-0000-0000-00007C0D0000}"/>
    <cellStyle name="Percent 4 4 4 2" xfId="3534" xr:uid="{00000000-0005-0000-0000-00007D0D0000}"/>
    <cellStyle name="Percent 4 5" xfId="846" xr:uid="{00000000-0005-0000-0000-00007E0D0000}"/>
    <cellStyle name="Percent 4 5 2" xfId="979" xr:uid="{00000000-0005-0000-0000-00007F0D0000}"/>
    <cellStyle name="Percent 4 5 2 2" xfId="1271" xr:uid="{00000000-0005-0000-0000-0000800D0000}"/>
    <cellStyle name="Percent 4 5 2 2 2" xfId="2777" xr:uid="{00000000-0005-0000-0000-0000810D0000}"/>
    <cellStyle name="Percent 4 5 2 3" xfId="1110" xr:uid="{00000000-0005-0000-0000-0000820D0000}"/>
    <cellStyle name="Percent 4 5 2 3 2" xfId="2647" xr:uid="{00000000-0005-0000-0000-0000830D0000}"/>
    <cellStyle name="Percent 4 5 2 4" xfId="2520" xr:uid="{00000000-0005-0000-0000-0000840D0000}"/>
    <cellStyle name="Percent 4 5 3" xfId="1180" xr:uid="{00000000-0005-0000-0000-0000850D0000}"/>
    <cellStyle name="Percent 4 5 3 2" xfId="2714" xr:uid="{00000000-0005-0000-0000-0000860D0000}"/>
    <cellStyle name="Percent 4 5 4" xfId="1047" xr:uid="{00000000-0005-0000-0000-0000870D0000}"/>
    <cellStyle name="Percent 4 5 4 2" xfId="2584" xr:uid="{00000000-0005-0000-0000-0000880D0000}"/>
    <cellStyle name="Percent 4 5 5" xfId="910" xr:uid="{00000000-0005-0000-0000-0000890D0000}"/>
    <cellStyle name="Percent 4 5 5 2" xfId="2453" xr:uid="{00000000-0005-0000-0000-00008A0D0000}"/>
    <cellStyle name="Percent 4 5 6" xfId="1517" xr:uid="{00000000-0005-0000-0000-00008B0D0000}"/>
    <cellStyle name="Percent 4 5 6 2" xfId="3000" xr:uid="{00000000-0005-0000-0000-00008C0D0000}"/>
    <cellStyle name="Percent 4 5 7" xfId="2390" xr:uid="{00000000-0005-0000-0000-00008D0D0000}"/>
    <cellStyle name="Percent 4 6" xfId="285" xr:uid="{00000000-0005-0000-0000-00008E0D0000}"/>
    <cellStyle name="Percent 4 6 2" xfId="2084" xr:uid="{00000000-0005-0000-0000-00008F0D0000}"/>
    <cellStyle name="Percent 4 6 3" xfId="1911" xr:uid="{00000000-0005-0000-0000-0000900D0000}"/>
    <cellStyle name="Percent 4 6 3 2" xfId="3373" xr:uid="{00000000-0005-0000-0000-0000910D0000}"/>
    <cellStyle name="Percent 4 7" xfId="103" xr:uid="{00000000-0005-0000-0000-0000920D0000}"/>
    <cellStyle name="Percent 4 7 2" xfId="2337" xr:uid="{00000000-0005-0000-0000-0000930D0000}"/>
    <cellStyle name="Percent 4 8" xfId="1292" xr:uid="{00000000-0005-0000-0000-0000940D0000}"/>
    <cellStyle name="Percent 4 8 2" xfId="2796" xr:uid="{00000000-0005-0000-0000-0000950D0000}"/>
    <cellStyle name="Percent 4 9" xfId="98" xr:uid="{00000000-0005-0000-0000-0000960D0000}"/>
    <cellStyle name="Percent 4 9 2" xfId="2332" xr:uid="{00000000-0005-0000-0000-0000970D0000}"/>
    <cellStyle name="Percent 5" xfId="20" xr:uid="{00000000-0005-0000-0000-0000980D0000}"/>
    <cellStyle name="Percent 5 2" xfId="421" xr:uid="{00000000-0005-0000-0000-0000990D0000}"/>
    <cellStyle name="Percent 5 2 2" xfId="1940" xr:uid="{00000000-0005-0000-0000-00009A0D0000}"/>
    <cellStyle name="Percent 5 2 2 2" xfId="1958" xr:uid="{00000000-0005-0000-0000-00009B0D0000}"/>
    <cellStyle name="Percent 5 2 2 2 2" xfId="3400" xr:uid="{00000000-0005-0000-0000-00009C0D0000}"/>
    <cellStyle name="Percent 5 2 2 3" xfId="3391" xr:uid="{00000000-0005-0000-0000-00009D0D0000}"/>
    <cellStyle name="Percent 5 2 3" xfId="2106" xr:uid="{00000000-0005-0000-0000-00009E0D0000}"/>
    <cellStyle name="Percent 5 2 3 2" xfId="1877" xr:uid="{00000000-0005-0000-0000-00009F0D0000}"/>
    <cellStyle name="Percent 5 2 3 2 2" xfId="3348" xr:uid="{00000000-0005-0000-0000-0000A00D0000}"/>
    <cellStyle name="Percent 5 2 3 3" xfId="3490" xr:uid="{00000000-0005-0000-0000-0000A10D0000}"/>
    <cellStyle name="Percent 5 2 4" xfId="1900" xr:uid="{00000000-0005-0000-0000-0000A20D0000}"/>
    <cellStyle name="Percent 5 2 4 2" xfId="3367" xr:uid="{00000000-0005-0000-0000-0000A30D0000}"/>
    <cellStyle name="Percent 5 2 5" xfId="2039" xr:uid="{00000000-0005-0000-0000-0000A40D0000}"/>
    <cellStyle name="Percent 5 2 6" xfId="1889" xr:uid="{00000000-0005-0000-0000-0000A50D0000}"/>
    <cellStyle name="Percent 5 2 6 2" xfId="3358" xr:uid="{00000000-0005-0000-0000-0000A60D0000}"/>
    <cellStyle name="Percent 5 3" xfId="855" xr:uid="{00000000-0005-0000-0000-0000A70D0000}"/>
    <cellStyle name="Percent 5 3 2" xfId="988" xr:uid="{00000000-0005-0000-0000-0000A80D0000}"/>
    <cellStyle name="Percent 5 3 2 2" xfId="1280" xr:uid="{00000000-0005-0000-0000-0000A90D0000}"/>
    <cellStyle name="Percent 5 3 2 2 2" xfId="2786" xr:uid="{00000000-0005-0000-0000-0000AA0D0000}"/>
    <cellStyle name="Percent 5 3 2 3" xfId="1119" xr:uid="{00000000-0005-0000-0000-0000AB0D0000}"/>
    <cellStyle name="Percent 5 3 2 3 2" xfId="2656" xr:uid="{00000000-0005-0000-0000-0000AC0D0000}"/>
    <cellStyle name="Percent 5 3 2 4" xfId="2022" xr:uid="{00000000-0005-0000-0000-0000AD0D0000}"/>
    <cellStyle name="Percent 5 3 2 4 2" xfId="3443" xr:uid="{00000000-0005-0000-0000-0000AE0D0000}"/>
    <cellStyle name="Percent 5 3 2 5" xfId="2529" xr:uid="{00000000-0005-0000-0000-0000AF0D0000}"/>
    <cellStyle name="Percent 5 3 3" xfId="1189" xr:uid="{00000000-0005-0000-0000-0000B00D0000}"/>
    <cellStyle name="Percent 5 3 3 2" xfId="2723" xr:uid="{00000000-0005-0000-0000-0000B10D0000}"/>
    <cellStyle name="Percent 5 3 4" xfId="1056" xr:uid="{00000000-0005-0000-0000-0000B20D0000}"/>
    <cellStyle name="Percent 5 3 4 2" xfId="2593" xr:uid="{00000000-0005-0000-0000-0000B30D0000}"/>
    <cellStyle name="Percent 5 3 5" xfId="919" xr:uid="{00000000-0005-0000-0000-0000B40D0000}"/>
    <cellStyle name="Percent 5 3 5 2" xfId="2462" xr:uid="{00000000-0005-0000-0000-0000B50D0000}"/>
    <cellStyle name="Percent 5 3 6" xfId="1526" xr:uid="{00000000-0005-0000-0000-0000B60D0000}"/>
    <cellStyle name="Percent 5 3 6 2" xfId="3009" xr:uid="{00000000-0005-0000-0000-0000B70D0000}"/>
    <cellStyle name="Percent 5 3 7" xfId="2082" xr:uid="{00000000-0005-0000-0000-0000B80D0000}"/>
    <cellStyle name="Percent 5 3 7 2" xfId="3475" xr:uid="{00000000-0005-0000-0000-0000B90D0000}"/>
    <cellStyle name="Percent 5 3 8" xfId="2399" xr:uid="{00000000-0005-0000-0000-0000BA0D0000}"/>
    <cellStyle name="Percent 5 4" xfId="1297" xr:uid="{00000000-0005-0000-0000-0000BB0D0000}"/>
    <cellStyle name="Percent 5 4 2" xfId="2113" xr:uid="{00000000-0005-0000-0000-0000BC0D0000}"/>
    <cellStyle name="Percent 5 4 2 2" xfId="3494" xr:uid="{00000000-0005-0000-0000-0000BD0D0000}"/>
    <cellStyle name="Percent 5 4 3" xfId="2188" xr:uid="{00000000-0005-0000-0000-0000BE0D0000}"/>
    <cellStyle name="Percent 5 4 3 2" xfId="3531" xr:uid="{00000000-0005-0000-0000-0000BF0D0000}"/>
    <cellStyle name="Percent 5 4 3 3" xfId="2285" xr:uid="{00000000-0005-0000-0000-0000C00D0000}"/>
    <cellStyle name="Percent 5 4 4" xfId="2197" xr:uid="{00000000-0005-0000-0000-0000C10D0000}"/>
    <cellStyle name="Percent 5 4 4 2" xfId="3535" xr:uid="{00000000-0005-0000-0000-0000C20D0000}"/>
    <cellStyle name="Percent 5 4 5" xfId="2801" xr:uid="{00000000-0005-0000-0000-0000C30D0000}"/>
    <cellStyle name="Percent 5 4 6" xfId="2264" xr:uid="{00000000-0005-0000-0000-0000C40D0000}"/>
    <cellStyle name="Percent 5 5" xfId="287" xr:uid="{00000000-0005-0000-0000-0000C50D0000}"/>
    <cellStyle name="Percent 5 5 2" xfId="2155" xr:uid="{00000000-0005-0000-0000-0000C60D0000}"/>
    <cellStyle name="Percent 5 5 2 2" xfId="3517" xr:uid="{00000000-0005-0000-0000-0000C70D0000}"/>
    <cellStyle name="Percent 5 6" xfId="68" xr:uid="{00000000-0005-0000-0000-0000C80D0000}"/>
    <cellStyle name="Percent 5 6 2" xfId="2148" xr:uid="{00000000-0005-0000-0000-0000C90D0000}"/>
    <cellStyle name="Percent 5 6 3" xfId="2306" xr:uid="{00000000-0005-0000-0000-0000CA0D0000}"/>
    <cellStyle name="Percent 5 6 4" xfId="2284" xr:uid="{00000000-0005-0000-0000-0000CB0D0000}"/>
    <cellStyle name="Percent 5 7" xfId="2292" xr:uid="{00000000-0005-0000-0000-0000CC0D0000}"/>
    <cellStyle name="Percent 5 8" xfId="2251" xr:uid="{00000000-0005-0000-0000-0000CD0D0000}"/>
    <cellStyle name="Percent 6" xfId="40" xr:uid="{00000000-0005-0000-0000-0000CE0D0000}"/>
    <cellStyle name="Percent 6 2" xfId="289" xr:uid="{00000000-0005-0000-0000-0000CF0D0000}"/>
    <cellStyle name="Percent 6 3" xfId="586" xr:uid="{00000000-0005-0000-0000-0000D00D0000}"/>
    <cellStyle name="Percent 6 4" xfId="1316" xr:uid="{00000000-0005-0000-0000-0000D10D0000}"/>
    <cellStyle name="Percent 6 4 2" xfId="2239" xr:uid="{00000000-0005-0000-0000-0000D20D0000}"/>
    <cellStyle name="Percent 6 4 3" xfId="2132" xr:uid="{00000000-0005-0000-0000-0000D30D0000}"/>
    <cellStyle name="Percent 6 5" xfId="288" xr:uid="{00000000-0005-0000-0000-0000D40D0000}"/>
    <cellStyle name="Percent 6 6" xfId="87" xr:uid="{00000000-0005-0000-0000-0000D50D0000}"/>
    <cellStyle name="Percent 6 7" xfId="2104" xr:uid="{00000000-0005-0000-0000-0000D60D0000}"/>
    <cellStyle name="Percent 6 7 2" xfId="3488" xr:uid="{00000000-0005-0000-0000-0000D70D0000}"/>
    <cellStyle name="Percent 6 8" xfId="2299" xr:uid="{00000000-0005-0000-0000-0000D80D0000}"/>
    <cellStyle name="Percent 7" xfId="290" xr:uid="{00000000-0005-0000-0000-0000D90D0000}"/>
    <cellStyle name="Percent 7 2" xfId="291" xr:uid="{00000000-0005-0000-0000-0000DA0D0000}"/>
    <cellStyle name="Percent 7 3" xfId="292" xr:uid="{00000000-0005-0000-0000-0000DB0D0000}"/>
    <cellStyle name="Percent 7 4" xfId="587" xr:uid="{00000000-0005-0000-0000-0000DC0D0000}"/>
    <cellStyle name="Percent 8" xfId="293" xr:uid="{00000000-0005-0000-0000-0000DD0D0000}"/>
    <cellStyle name="Percent 8 2" xfId="588" xr:uid="{00000000-0005-0000-0000-0000DE0D0000}"/>
    <cellStyle name="Percent 9" xfId="294" xr:uid="{00000000-0005-0000-0000-0000DF0D0000}"/>
    <cellStyle name="Percent 9 2" xfId="422" xr:uid="{00000000-0005-0000-0000-0000E00D0000}"/>
    <cellStyle name="Percent 9 2 2" xfId="747" xr:uid="{00000000-0005-0000-0000-0000E10D0000}"/>
    <cellStyle name="Percent 9 3" xfId="589" xr:uid="{00000000-0005-0000-0000-0000E20D0000}"/>
    <cellStyle name="Percent 9 4" xfId="677" xr:uid="{00000000-0005-0000-0000-0000E30D0000}"/>
    <cellStyle name="Statements - Column Header" xfId="590" xr:uid="{00000000-0005-0000-0000-0000E40D0000}"/>
    <cellStyle name="Statements - Line Item 1" xfId="591" xr:uid="{00000000-0005-0000-0000-0000E50D0000}"/>
    <cellStyle name="Statements - Line Item 2" xfId="592" xr:uid="{00000000-0005-0000-0000-0000E60D0000}"/>
    <cellStyle name="Statements - Line Item 3" xfId="593" xr:uid="{00000000-0005-0000-0000-0000E70D0000}"/>
    <cellStyle name="Statements - Major Caption" xfId="594" xr:uid="{00000000-0005-0000-0000-0000E80D0000}"/>
    <cellStyle name="Statements - Subhead One" xfId="595" xr:uid="{00000000-0005-0000-0000-0000E90D0000}"/>
    <cellStyle name="STYLE1" xfId="8" xr:uid="{00000000-0005-0000-0000-0000EA0D0000}"/>
    <cellStyle name="STYLE1 2" xfId="527" xr:uid="{00000000-0005-0000-0000-0000EB0D0000}"/>
    <cellStyle name="STYLE1_cbhc3rdQtr2011Composite" xfId="528" xr:uid="{00000000-0005-0000-0000-0000EC0D0000}"/>
    <cellStyle name="STYLE2" xfId="529" xr:uid="{00000000-0005-0000-0000-0000ED0D0000}"/>
    <cellStyle name="STYLE2 2" xfId="530" xr:uid="{00000000-0005-0000-0000-0000EE0D0000}"/>
    <cellStyle name="STYLE2_cbhc3rdQtr2011Composite" xfId="531" xr:uid="{00000000-0005-0000-0000-0000EF0D0000}"/>
    <cellStyle name="STYLE3" xfId="532" xr:uid="{00000000-0005-0000-0000-0000F00D0000}"/>
    <cellStyle name="STYLE3 2" xfId="533" xr:uid="{00000000-0005-0000-0000-0000F10D0000}"/>
    <cellStyle name="STYLE4" xfId="534" xr:uid="{00000000-0005-0000-0000-0000F20D0000}"/>
    <cellStyle name="STYLE5" xfId="535" xr:uid="{00000000-0005-0000-0000-0000F30D0000}"/>
    <cellStyle name="Title 2" xfId="536" xr:uid="{00000000-0005-0000-0000-0000F40D0000}"/>
    <cellStyle name="Total 2" xfId="537" xr:uid="{00000000-0005-0000-0000-0000F50D0000}"/>
    <cellStyle name="Warning Text 2" xfId="538" xr:uid="{00000000-0005-0000-0000-0000F60D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1796875" defaultRowHeight="14.5" x14ac:dyDescent="0.35"/>
  <cols>
    <col min="1" max="1" width="3.7265625" style="78" customWidth="1"/>
    <col min="2" max="3" width="3.7265625" customWidth="1"/>
  </cols>
  <sheetData>
    <row r="1" spans="1:14" ht="18.5" x14ac:dyDescent="0.45">
      <c r="A1" s="394" t="s">
        <v>721</v>
      </c>
    </row>
    <row r="3" spans="1:14" x14ac:dyDescent="0.35">
      <c r="A3" s="78">
        <v>0</v>
      </c>
      <c r="B3" t="s">
        <v>722</v>
      </c>
    </row>
    <row r="5" spans="1:14" x14ac:dyDescent="0.35">
      <c r="B5" s="78" t="s">
        <v>447</v>
      </c>
      <c r="C5" t="s">
        <v>723</v>
      </c>
    </row>
    <row r="6" spans="1:14" x14ac:dyDescent="0.35">
      <c r="B6" s="78" t="s">
        <v>448</v>
      </c>
      <c r="C6" t="s">
        <v>724</v>
      </c>
    </row>
    <row r="8" spans="1:14" x14ac:dyDescent="0.35">
      <c r="A8" s="78">
        <v>1</v>
      </c>
      <c r="B8" s="495" t="s">
        <v>725</v>
      </c>
      <c r="C8" s="495"/>
      <c r="D8" s="495"/>
      <c r="E8" s="495"/>
      <c r="F8" s="495"/>
      <c r="G8" s="495"/>
      <c r="H8" s="495"/>
      <c r="I8" s="495"/>
      <c r="J8" s="495"/>
      <c r="K8" s="495"/>
      <c r="L8" s="495"/>
      <c r="M8" s="495"/>
      <c r="N8" s="495"/>
    </row>
    <row r="9" spans="1:14" x14ac:dyDescent="0.35">
      <c r="B9" s="495"/>
      <c r="C9" s="495"/>
      <c r="D9" s="495"/>
      <c r="E9" s="495"/>
      <c r="F9" s="495"/>
      <c r="G9" s="495"/>
      <c r="H9" s="495"/>
      <c r="I9" s="495"/>
      <c r="J9" s="495"/>
      <c r="K9" s="495"/>
      <c r="L9" s="495"/>
      <c r="M9" s="495"/>
      <c r="N9" s="495"/>
    </row>
    <row r="10" spans="1:14" x14ac:dyDescent="0.35">
      <c r="B10" s="393"/>
      <c r="C10" s="393"/>
      <c r="D10" s="393"/>
      <c r="E10" s="393"/>
      <c r="F10" s="393"/>
      <c r="G10" s="393"/>
      <c r="H10" s="393"/>
      <c r="I10" s="393"/>
      <c r="J10" s="393"/>
      <c r="K10" s="393"/>
      <c r="L10" s="393"/>
      <c r="M10" s="393"/>
      <c r="N10" s="393"/>
    </row>
    <row r="11" spans="1:14" x14ac:dyDescent="0.35">
      <c r="A11" s="78">
        <v>2</v>
      </c>
      <c r="B11" t="s">
        <v>726</v>
      </c>
    </row>
    <row r="13" spans="1:14" x14ac:dyDescent="0.35">
      <c r="B13" s="78" t="s">
        <v>447</v>
      </c>
      <c r="C13" t="s">
        <v>727</v>
      </c>
    </row>
    <row r="14" spans="1:14" x14ac:dyDescent="0.35">
      <c r="B14" s="78" t="s">
        <v>448</v>
      </c>
      <c r="C14" t="s">
        <v>728</v>
      </c>
    </row>
    <row r="15" spans="1:14" x14ac:dyDescent="0.35">
      <c r="B15" s="78" t="s">
        <v>449</v>
      </c>
      <c r="C15" t="s">
        <v>729</v>
      </c>
    </row>
    <row r="16" spans="1:14" x14ac:dyDescent="0.35">
      <c r="B16" s="78" t="s">
        <v>730</v>
      </c>
      <c r="C16" s="495" t="s">
        <v>731</v>
      </c>
      <c r="D16" s="495"/>
      <c r="E16" s="495"/>
      <c r="F16" s="495"/>
      <c r="G16" s="495"/>
      <c r="H16" s="495"/>
      <c r="I16" s="495"/>
      <c r="J16" s="495"/>
      <c r="K16" s="495"/>
      <c r="L16" s="495"/>
      <c r="M16" s="495"/>
      <c r="N16" s="495"/>
    </row>
    <row r="17" spans="1:14" x14ac:dyDescent="0.35">
      <c r="B17" s="78"/>
      <c r="C17" s="495"/>
      <c r="D17" s="495"/>
      <c r="E17" s="495"/>
      <c r="F17" s="495"/>
      <c r="G17" s="495"/>
      <c r="H17" s="495"/>
      <c r="I17" s="495"/>
      <c r="J17" s="495"/>
      <c r="K17" s="495"/>
      <c r="L17" s="495"/>
      <c r="M17" s="495"/>
      <c r="N17" s="495"/>
    </row>
    <row r="18" spans="1:14" x14ac:dyDescent="0.35">
      <c r="B18" s="78"/>
      <c r="C18" s="393"/>
      <c r="D18" s="393"/>
      <c r="E18" s="393"/>
      <c r="F18" s="393"/>
      <c r="G18" s="393"/>
      <c r="H18" s="393"/>
      <c r="I18" s="393"/>
      <c r="J18" s="393"/>
      <c r="K18" s="393"/>
      <c r="L18" s="393"/>
      <c r="M18" s="393"/>
      <c r="N18" s="393"/>
    </row>
    <row r="19" spans="1:14" x14ac:dyDescent="0.35">
      <c r="A19" s="78">
        <v>3</v>
      </c>
      <c r="B19" t="s">
        <v>732</v>
      </c>
    </row>
    <row r="20" spans="1:14" x14ac:dyDescent="0.35">
      <c r="B20" s="78"/>
    </row>
    <row r="21" spans="1:14" ht="15" customHeight="1" x14ac:dyDescent="0.35">
      <c r="B21" s="78" t="s">
        <v>447</v>
      </c>
      <c r="C21" s="495" t="s">
        <v>931</v>
      </c>
      <c r="D21" s="495"/>
      <c r="E21" s="495"/>
      <c r="F21" s="495"/>
      <c r="G21" s="495"/>
      <c r="H21" s="495"/>
      <c r="I21" s="495"/>
      <c r="J21" s="495"/>
      <c r="K21" s="495"/>
      <c r="L21" s="495"/>
      <c r="M21" s="495"/>
      <c r="N21" s="495"/>
    </row>
    <row r="22" spans="1:14" ht="15" customHeight="1" x14ac:dyDescent="0.35">
      <c r="B22" s="78"/>
      <c r="C22" s="495"/>
      <c r="D22" s="495"/>
      <c r="E22" s="495"/>
      <c r="F22" s="495"/>
      <c r="G22" s="495"/>
      <c r="H22" s="495"/>
      <c r="I22" s="495"/>
      <c r="J22" s="495"/>
      <c r="K22" s="495"/>
      <c r="L22" s="495"/>
      <c r="M22" s="495"/>
      <c r="N22" s="495"/>
    </row>
    <row r="23" spans="1:14" x14ac:dyDescent="0.35">
      <c r="C23" s="495"/>
      <c r="D23" s="495"/>
      <c r="E23" s="495"/>
      <c r="F23" s="495"/>
      <c r="G23" s="495"/>
      <c r="H23" s="495"/>
      <c r="I23" s="495"/>
      <c r="J23" s="495"/>
      <c r="K23" s="495"/>
      <c r="L23" s="495"/>
      <c r="M23" s="495"/>
      <c r="N23" s="495"/>
    </row>
    <row r="24" spans="1:14" ht="15" customHeight="1" x14ac:dyDescent="0.35">
      <c r="B24" s="78" t="s">
        <v>448</v>
      </c>
      <c r="C24" s="495" t="s">
        <v>903</v>
      </c>
      <c r="D24" s="495"/>
      <c r="E24" s="495"/>
      <c r="F24" s="495"/>
      <c r="G24" s="495"/>
      <c r="H24" s="495"/>
      <c r="I24" s="495"/>
      <c r="J24" s="495"/>
      <c r="K24" s="495"/>
      <c r="L24" s="495"/>
      <c r="M24" s="495"/>
      <c r="N24" s="495"/>
    </row>
    <row r="25" spans="1:14" x14ac:dyDescent="0.35">
      <c r="C25" s="495"/>
      <c r="D25" s="495"/>
      <c r="E25" s="495"/>
      <c r="F25" s="495"/>
      <c r="G25" s="495"/>
      <c r="H25" s="495"/>
      <c r="I25" s="495"/>
      <c r="J25" s="495"/>
      <c r="K25" s="495"/>
      <c r="L25" s="495"/>
      <c r="M25" s="495"/>
      <c r="N25" s="495"/>
    </row>
    <row r="26" spans="1:14" x14ac:dyDescent="0.35">
      <c r="D26" s="393"/>
      <c r="E26" s="393"/>
      <c r="F26" s="393"/>
      <c r="G26" s="393"/>
      <c r="H26" s="393"/>
      <c r="I26" s="393"/>
      <c r="J26" s="393"/>
      <c r="K26" s="393"/>
      <c r="L26" s="393"/>
      <c r="M26" s="393"/>
      <c r="N26" s="393"/>
    </row>
    <row r="27" spans="1:14" x14ac:dyDescent="0.35">
      <c r="A27" s="78">
        <v>4</v>
      </c>
      <c r="B27" t="s">
        <v>733</v>
      </c>
    </row>
    <row r="28" spans="1:14" x14ac:dyDescent="0.35">
      <c r="B28" s="78"/>
    </row>
    <row r="29" spans="1:14" x14ac:dyDescent="0.35">
      <c r="B29" s="78" t="s">
        <v>447</v>
      </c>
      <c r="C29" t="s">
        <v>734</v>
      </c>
    </row>
    <row r="30" spans="1:14" ht="15" customHeight="1" x14ac:dyDescent="0.35">
      <c r="B30" s="78" t="s">
        <v>448</v>
      </c>
      <c r="C30" s="495" t="s">
        <v>735</v>
      </c>
      <c r="D30" s="495"/>
      <c r="E30" s="495"/>
      <c r="F30" s="495"/>
      <c r="G30" s="495"/>
      <c r="H30" s="495"/>
      <c r="I30" s="495"/>
      <c r="J30" s="495"/>
      <c r="K30" s="495"/>
      <c r="L30" s="495"/>
      <c r="M30" s="495"/>
      <c r="N30" s="495"/>
    </row>
    <row r="31" spans="1:14" x14ac:dyDescent="0.35">
      <c r="C31" s="495"/>
      <c r="D31" s="495"/>
      <c r="E31" s="495"/>
      <c r="F31" s="495"/>
      <c r="G31" s="495"/>
      <c r="H31" s="495"/>
      <c r="I31" s="495"/>
      <c r="J31" s="495"/>
      <c r="K31" s="495"/>
      <c r="L31" s="495"/>
      <c r="M31" s="495"/>
      <c r="N31" s="495"/>
    </row>
    <row r="32" spans="1:14" x14ac:dyDescent="0.35">
      <c r="C32" s="495"/>
      <c r="D32" s="495"/>
      <c r="E32" s="495"/>
      <c r="F32" s="495"/>
      <c r="G32" s="495"/>
      <c r="H32" s="495"/>
      <c r="I32" s="495"/>
      <c r="J32" s="495"/>
      <c r="K32" s="495"/>
      <c r="L32" s="495"/>
      <c r="M32" s="495"/>
      <c r="N32" s="495"/>
    </row>
    <row r="33" spans="1:14" x14ac:dyDescent="0.35">
      <c r="D33" s="241"/>
      <c r="E33" s="241"/>
      <c r="F33" s="241"/>
      <c r="G33" s="241"/>
      <c r="H33" s="241"/>
      <c r="I33" s="241"/>
      <c r="J33" s="241"/>
      <c r="K33" s="241"/>
      <c r="L33" s="241"/>
      <c r="M33" s="241"/>
      <c r="N33" s="241"/>
    </row>
    <row r="34" spans="1:14" x14ac:dyDescent="0.35">
      <c r="A34" s="78">
        <v>5</v>
      </c>
      <c r="B34" t="s">
        <v>736</v>
      </c>
    </row>
    <row r="35" spans="1:14" x14ac:dyDescent="0.35">
      <c r="B35" s="78"/>
    </row>
    <row r="36" spans="1:14" x14ac:dyDescent="0.35">
      <c r="B36" s="78" t="s">
        <v>447</v>
      </c>
      <c r="C36" s="495" t="s">
        <v>737</v>
      </c>
      <c r="D36" s="495"/>
      <c r="E36" s="495"/>
      <c r="F36" s="495"/>
      <c r="G36" s="495"/>
      <c r="H36" s="495"/>
      <c r="I36" s="495"/>
      <c r="J36" s="495"/>
      <c r="K36" s="495"/>
      <c r="L36" s="495"/>
      <c r="M36" s="495"/>
      <c r="N36" s="495"/>
    </row>
    <row r="37" spans="1:14" x14ac:dyDescent="0.35">
      <c r="B37" s="78"/>
      <c r="C37" s="495"/>
      <c r="D37" s="495"/>
      <c r="E37" s="495"/>
      <c r="F37" s="495"/>
      <c r="G37" s="495"/>
      <c r="H37" s="495"/>
      <c r="I37" s="495"/>
      <c r="J37" s="495"/>
      <c r="K37" s="495"/>
      <c r="L37" s="495"/>
      <c r="M37" s="495"/>
      <c r="N37" s="495"/>
    </row>
    <row r="38" spans="1:14" x14ac:dyDescent="0.35">
      <c r="B38" s="78"/>
      <c r="C38" s="495"/>
      <c r="D38" s="495"/>
      <c r="E38" s="495"/>
      <c r="F38" s="495"/>
      <c r="G38" s="495"/>
      <c r="H38" s="495"/>
      <c r="I38" s="495"/>
      <c r="J38" s="495"/>
      <c r="K38" s="495"/>
      <c r="L38" s="495"/>
      <c r="M38" s="495"/>
      <c r="N38" s="495"/>
    </row>
    <row r="39" spans="1:14" x14ac:dyDescent="0.35">
      <c r="D39" s="241"/>
      <c r="E39" s="241"/>
      <c r="F39" s="241"/>
      <c r="G39" s="241"/>
      <c r="H39" s="241"/>
      <c r="I39" s="241"/>
      <c r="J39" s="241"/>
      <c r="K39" s="241"/>
      <c r="L39" s="241"/>
      <c r="M39" s="241"/>
      <c r="N39" s="241"/>
    </row>
    <row r="40" spans="1:14" x14ac:dyDescent="0.35">
      <c r="A40" s="78">
        <v>6</v>
      </c>
      <c r="B40" t="s">
        <v>738</v>
      </c>
    </row>
    <row r="41" spans="1:14" x14ac:dyDescent="0.35">
      <c r="B41" s="78"/>
    </row>
    <row r="42" spans="1:14" x14ac:dyDescent="0.35">
      <c r="B42" s="78" t="s">
        <v>447</v>
      </c>
      <c r="C42" t="s">
        <v>739</v>
      </c>
    </row>
    <row r="43" spans="1:14" x14ac:dyDescent="0.35">
      <c r="C43" s="78"/>
      <c r="D43" s="241"/>
      <c r="E43" s="241"/>
      <c r="F43" s="241"/>
      <c r="G43" s="241"/>
      <c r="H43" s="241"/>
      <c r="I43" s="241"/>
      <c r="J43" s="241"/>
      <c r="K43" s="241"/>
      <c r="L43" s="241"/>
      <c r="M43" s="241"/>
      <c r="N43" s="241"/>
    </row>
    <row r="44" spans="1:14" x14ac:dyDescent="0.35">
      <c r="A44" s="78">
        <v>7</v>
      </c>
      <c r="B44" t="s">
        <v>740</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95" t="s">
        <v>913</v>
      </c>
      <c r="D46" s="495"/>
      <c r="E46" s="495"/>
      <c r="F46" s="495"/>
      <c r="G46" s="495"/>
      <c r="H46" s="495"/>
      <c r="I46" s="495"/>
      <c r="J46" s="495"/>
      <c r="K46" s="495"/>
      <c r="L46" s="495"/>
      <c r="M46" s="495"/>
      <c r="N46" s="495"/>
    </row>
    <row r="47" spans="1:14" x14ac:dyDescent="0.35">
      <c r="C47" s="495"/>
      <c r="D47" s="495"/>
      <c r="E47" s="495"/>
      <c r="F47" s="495"/>
      <c r="G47" s="495"/>
      <c r="H47" s="495"/>
      <c r="I47" s="495"/>
      <c r="J47" s="495"/>
      <c r="K47" s="495"/>
      <c r="L47" s="495"/>
      <c r="M47" s="495"/>
      <c r="N47" s="495"/>
    </row>
    <row r="48" spans="1:14" x14ac:dyDescent="0.35">
      <c r="C48" s="495"/>
      <c r="D48" s="495"/>
      <c r="E48" s="495"/>
      <c r="F48" s="495"/>
      <c r="G48" s="495"/>
      <c r="H48" s="495"/>
      <c r="I48" s="495"/>
      <c r="J48" s="495"/>
      <c r="K48" s="495"/>
      <c r="L48" s="495"/>
      <c r="M48" s="495"/>
      <c r="N48" s="495"/>
    </row>
    <row r="49" spans="1:14" x14ac:dyDescent="0.35">
      <c r="B49" s="78" t="s">
        <v>448</v>
      </c>
      <c r="C49" s="495" t="s">
        <v>914</v>
      </c>
      <c r="D49" s="495"/>
      <c r="E49" s="495"/>
      <c r="F49" s="495"/>
      <c r="G49" s="495"/>
      <c r="H49" s="495"/>
      <c r="I49" s="495"/>
      <c r="J49" s="495"/>
      <c r="K49" s="495"/>
      <c r="L49" s="495"/>
      <c r="M49" s="495"/>
      <c r="N49" s="495"/>
    </row>
    <row r="50" spans="1:14" x14ac:dyDescent="0.35">
      <c r="B50" s="78"/>
      <c r="C50" s="495"/>
      <c r="D50" s="495"/>
      <c r="E50" s="495"/>
      <c r="F50" s="495"/>
      <c r="G50" s="495"/>
      <c r="H50" s="495"/>
      <c r="I50" s="495"/>
      <c r="J50" s="495"/>
      <c r="K50" s="495"/>
      <c r="L50" s="495"/>
      <c r="M50" s="495"/>
      <c r="N50" s="495"/>
    </row>
    <row r="51" spans="1:14" x14ac:dyDescent="0.35">
      <c r="C51" s="495"/>
      <c r="D51" s="495"/>
      <c r="E51" s="495"/>
      <c r="F51" s="495"/>
      <c r="G51" s="495"/>
      <c r="H51" s="495"/>
      <c r="I51" s="495"/>
      <c r="J51" s="495"/>
      <c r="K51" s="495"/>
      <c r="L51" s="495"/>
      <c r="M51" s="495"/>
      <c r="N51" s="495"/>
    </row>
    <row r="52" spans="1:14" x14ac:dyDescent="0.35">
      <c r="B52" s="78" t="s">
        <v>449</v>
      </c>
      <c r="C52" s="495" t="s">
        <v>741</v>
      </c>
      <c r="D52" s="495"/>
      <c r="E52" s="495"/>
      <c r="F52" s="495"/>
      <c r="G52" s="495"/>
      <c r="H52" s="495"/>
      <c r="I52" s="495"/>
      <c r="J52" s="495"/>
      <c r="K52" s="495"/>
      <c r="L52" s="495"/>
      <c r="M52" s="495"/>
      <c r="N52" s="495"/>
    </row>
    <row r="53" spans="1:14" x14ac:dyDescent="0.35">
      <c r="C53" s="495"/>
      <c r="D53" s="495"/>
      <c r="E53" s="495"/>
      <c r="F53" s="495"/>
      <c r="G53" s="495"/>
      <c r="H53" s="495"/>
      <c r="I53" s="495"/>
      <c r="J53" s="495"/>
      <c r="K53" s="495"/>
      <c r="L53" s="495"/>
      <c r="M53" s="495"/>
      <c r="N53" s="495"/>
    </row>
    <row r="54" spans="1:14" x14ac:dyDescent="0.35">
      <c r="C54" s="78"/>
      <c r="D54" s="241"/>
      <c r="E54" s="241"/>
      <c r="F54" s="241"/>
      <c r="G54" s="241"/>
      <c r="H54" s="241"/>
      <c r="I54" s="241"/>
      <c r="J54" s="241"/>
      <c r="K54" s="241"/>
      <c r="L54" s="241"/>
      <c r="M54" s="241"/>
      <c r="N54" s="241"/>
    </row>
    <row r="55" spans="1:14" x14ac:dyDescent="0.35">
      <c r="A55" s="78">
        <v>8</v>
      </c>
      <c r="B55" t="s">
        <v>742</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95" t="s">
        <v>748</v>
      </c>
      <c r="D57" s="495"/>
      <c r="E57" s="495"/>
      <c r="F57" s="495"/>
      <c r="G57" s="495"/>
      <c r="H57" s="495"/>
      <c r="I57" s="495"/>
      <c r="J57" s="495"/>
      <c r="K57" s="495"/>
      <c r="L57" s="495"/>
      <c r="M57" s="495"/>
      <c r="N57" s="495"/>
    </row>
    <row r="58" spans="1:14" x14ac:dyDescent="0.35">
      <c r="B58" s="78"/>
      <c r="C58" s="495"/>
      <c r="D58" s="495"/>
      <c r="E58" s="495"/>
      <c r="F58" s="495"/>
      <c r="G58" s="495"/>
      <c r="H58" s="495"/>
      <c r="I58" s="495"/>
      <c r="J58" s="495"/>
      <c r="K58" s="495"/>
      <c r="L58" s="495"/>
      <c r="M58" s="495"/>
      <c r="N58" s="495"/>
    </row>
    <row r="59" spans="1:14" x14ac:dyDescent="0.35">
      <c r="C59" s="495"/>
      <c r="D59" s="495"/>
      <c r="E59" s="495"/>
      <c r="F59" s="495"/>
      <c r="G59" s="495"/>
      <c r="H59" s="495"/>
      <c r="I59" s="495"/>
      <c r="J59" s="495"/>
      <c r="K59" s="495"/>
      <c r="L59" s="495"/>
      <c r="M59" s="495"/>
      <c r="N59" s="495"/>
    </row>
    <row r="60" spans="1:14" x14ac:dyDescent="0.35">
      <c r="B60" s="78" t="s">
        <v>448</v>
      </c>
      <c r="C60" s="495" t="s">
        <v>743</v>
      </c>
      <c r="D60" s="495"/>
      <c r="E60" s="495"/>
      <c r="F60" s="495"/>
      <c r="G60" s="495"/>
      <c r="H60" s="495"/>
      <c r="I60" s="495"/>
      <c r="J60" s="495"/>
      <c r="K60" s="495"/>
      <c r="L60" s="495"/>
      <c r="M60" s="495"/>
      <c r="N60" s="495"/>
    </row>
    <row r="61" spans="1:14" x14ac:dyDescent="0.35">
      <c r="B61" s="78"/>
      <c r="C61" s="495"/>
      <c r="D61" s="495"/>
      <c r="E61" s="495"/>
      <c r="F61" s="495"/>
      <c r="G61" s="495"/>
      <c r="H61" s="495"/>
      <c r="I61" s="495"/>
      <c r="J61" s="495"/>
      <c r="K61" s="495"/>
      <c r="L61" s="495"/>
      <c r="M61" s="495"/>
      <c r="N61" s="495"/>
    </row>
    <row r="62" spans="1:14" x14ac:dyDescent="0.35">
      <c r="B62" s="78"/>
      <c r="C62" s="495"/>
      <c r="D62" s="495"/>
      <c r="E62" s="495"/>
      <c r="F62" s="495"/>
      <c r="G62" s="495"/>
      <c r="H62" s="495"/>
      <c r="I62" s="495"/>
      <c r="J62" s="495"/>
      <c r="K62" s="495"/>
      <c r="L62" s="495"/>
      <c r="M62" s="495"/>
      <c r="N62" s="495"/>
    </row>
    <row r="63" spans="1:14" x14ac:dyDescent="0.35">
      <c r="C63" s="495"/>
      <c r="D63" s="495"/>
      <c r="E63" s="495"/>
      <c r="F63" s="495"/>
      <c r="G63" s="495"/>
      <c r="H63" s="495"/>
      <c r="I63" s="495"/>
      <c r="J63" s="495"/>
      <c r="K63" s="495"/>
      <c r="L63" s="495"/>
      <c r="M63" s="495"/>
      <c r="N63" s="495"/>
    </row>
    <row r="64" spans="1:14" x14ac:dyDescent="0.35">
      <c r="C64" s="78"/>
      <c r="D64" s="241"/>
      <c r="E64" s="241"/>
      <c r="F64" s="241"/>
      <c r="G64" s="241"/>
      <c r="H64" s="241"/>
      <c r="I64" s="241"/>
      <c r="J64" s="241"/>
      <c r="K64" s="241"/>
      <c r="L64" s="241"/>
      <c r="M64" s="241"/>
      <c r="N64" s="241"/>
    </row>
    <row r="65" spans="1:14" x14ac:dyDescent="0.35">
      <c r="A65" s="78">
        <v>9</v>
      </c>
      <c r="B65" t="s">
        <v>744</v>
      </c>
    </row>
    <row r="67" spans="1:14" x14ac:dyDescent="0.35">
      <c r="A67" s="78">
        <v>10</v>
      </c>
      <c r="B67" s="496" t="s">
        <v>745</v>
      </c>
      <c r="C67" s="496"/>
      <c r="D67" s="496"/>
      <c r="E67" s="496"/>
      <c r="F67" s="496"/>
      <c r="G67" s="496"/>
      <c r="H67" s="496"/>
      <c r="I67" s="496"/>
      <c r="J67" s="496"/>
      <c r="K67" s="496"/>
      <c r="L67" s="496"/>
      <c r="M67" s="496"/>
      <c r="N67" s="496"/>
    </row>
    <row r="68" spans="1:14" x14ac:dyDescent="0.35">
      <c r="B68" s="496"/>
      <c r="C68" s="496"/>
      <c r="D68" s="496"/>
      <c r="E68" s="496"/>
      <c r="F68" s="496"/>
      <c r="G68" s="496"/>
      <c r="H68" s="496"/>
      <c r="I68" s="496"/>
      <c r="J68" s="496"/>
      <c r="K68" s="496"/>
      <c r="L68" s="496"/>
      <c r="M68" s="496"/>
      <c r="N68" s="496"/>
    </row>
    <row r="69" spans="1:14" x14ac:dyDescent="0.35">
      <c r="B69" s="496"/>
      <c r="C69" s="496"/>
      <c r="D69" s="496"/>
      <c r="E69" s="496"/>
      <c r="F69" s="496"/>
      <c r="G69" s="496"/>
      <c r="H69" s="496"/>
      <c r="I69" s="496"/>
      <c r="J69" s="496"/>
      <c r="K69" s="496"/>
      <c r="L69" s="496"/>
      <c r="M69" s="496"/>
      <c r="N69" s="496"/>
    </row>
    <row r="70" spans="1:14" x14ac:dyDescent="0.35">
      <c r="B70" s="496"/>
      <c r="C70" s="496"/>
      <c r="D70" s="496"/>
      <c r="E70" s="496"/>
      <c r="F70" s="496"/>
      <c r="G70" s="496"/>
      <c r="H70" s="496"/>
      <c r="I70" s="496"/>
      <c r="J70" s="496"/>
      <c r="K70" s="496"/>
      <c r="L70" s="496"/>
      <c r="M70" s="496"/>
      <c r="N70" s="496"/>
    </row>
    <row r="71" spans="1:14" x14ac:dyDescent="0.35">
      <c r="B71" s="411"/>
      <c r="C71" s="411"/>
      <c r="D71" s="411"/>
      <c r="E71" s="411"/>
      <c r="F71" s="411"/>
      <c r="G71" s="411"/>
      <c r="H71" s="411"/>
      <c r="I71" s="411"/>
      <c r="J71" s="411"/>
      <c r="K71" s="411"/>
      <c r="L71" s="411"/>
      <c r="M71" s="411"/>
      <c r="N71" s="411"/>
    </row>
    <row r="72" spans="1:14" x14ac:dyDescent="0.35">
      <c r="A72" s="78">
        <v>11</v>
      </c>
      <c r="B72" t="s">
        <v>746</v>
      </c>
    </row>
    <row r="74" spans="1:14" x14ac:dyDescent="0.35">
      <c r="A74" s="78">
        <v>12</v>
      </c>
      <c r="B74" s="495" t="s">
        <v>747</v>
      </c>
      <c r="C74" s="495"/>
      <c r="D74" s="495"/>
      <c r="E74" s="495"/>
      <c r="F74" s="495"/>
      <c r="G74" s="495"/>
      <c r="H74" s="495"/>
      <c r="I74" s="495"/>
      <c r="J74" s="495"/>
      <c r="K74" s="495"/>
      <c r="L74" s="495"/>
      <c r="M74" s="495"/>
      <c r="N74" s="495"/>
    </row>
    <row r="75" spans="1:14" x14ac:dyDescent="0.35">
      <c r="B75" s="495"/>
      <c r="C75" s="495"/>
      <c r="D75" s="495"/>
      <c r="E75" s="495"/>
      <c r="F75" s="495"/>
      <c r="G75" s="495"/>
      <c r="H75" s="495"/>
      <c r="I75" s="495"/>
      <c r="J75" s="495"/>
      <c r="K75" s="495"/>
      <c r="L75" s="495"/>
      <c r="M75" s="495"/>
      <c r="N75" s="495"/>
    </row>
    <row r="76" spans="1:14" x14ac:dyDescent="0.35">
      <c r="B76" s="495"/>
      <c r="C76" s="495"/>
      <c r="D76" s="495"/>
      <c r="E76" s="495"/>
      <c r="F76" s="495"/>
      <c r="G76" s="495"/>
      <c r="H76" s="495"/>
      <c r="I76" s="495"/>
      <c r="J76" s="495"/>
      <c r="K76" s="495"/>
      <c r="L76" s="495"/>
      <c r="M76" s="495"/>
      <c r="N76" s="495"/>
    </row>
    <row r="78" spans="1:14" x14ac:dyDescent="0.35">
      <c r="B78" s="78" t="s">
        <v>447</v>
      </c>
      <c r="D78" s="496" t="s">
        <v>915</v>
      </c>
      <c r="E78" s="496"/>
      <c r="F78" s="496"/>
      <c r="G78" s="496"/>
      <c r="H78" s="496"/>
      <c r="I78" s="496"/>
      <c r="J78" s="496"/>
      <c r="K78" s="496"/>
      <c r="L78" s="496"/>
      <c r="M78" s="496"/>
      <c r="N78" s="496"/>
    </row>
    <row r="79" spans="1:14" x14ac:dyDescent="0.35">
      <c r="D79" s="496"/>
      <c r="E79" s="496"/>
      <c r="F79" s="496"/>
      <c r="G79" s="496"/>
      <c r="H79" s="496"/>
      <c r="I79" s="496"/>
      <c r="J79" s="496"/>
      <c r="K79" s="496"/>
      <c r="L79" s="496"/>
      <c r="M79" s="496"/>
      <c r="N79" s="496"/>
    </row>
    <row r="81" spans="2:14" x14ac:dyDescent="0.35">
      <c r="B81" s="78" t="s">
        <v>448</v>
      </c>
      <c r="D81" s="496" t="s">
        <v>916</v>
      </c>
      <c r="E81" s="496"/>
      <c r="F81" s="496"/>
      <c r="G81" s="496"/>
      <c r="H81" s="496"/>
      <c r="I81" s="496"/>
      <c r="J81" s="496"/>
      <c r="K81" s="496"/>
      <c r="L81" s="496"/>
      <c r="M81" s="496"/>
      <c r="N81" s="496"/>
    </row>
    <row r="82" spans="2:14" x14ac:dyDescent="0.35">
      <c r="B82" s="78"/>
      <c r="D82" s="496"/>
      <c r="E82" s="496"/>
      <c r="F82" s="496"/>
      <c r="G82" s="496"/>
      <c r="H82" s="496"/>
      <c r="I82" s="496"/>
      <c r="J82" s="496"/>
      <c r="K82" s="496"/>
      <c r="L82" s="496"/>
      <c r="M82" s="496"/>
      <c r="N82" s="496"/>
    </row>
    <row r="83" spans="2:14" x14ac:dyDescent="0.35">
      <c r="D83" s="496"/>
      <c r="E83" s="496"/>
      <c r="F83" s="496"/>
      <c r="G83" s="496"/>
      <c r="H83" s="496"/>
      <c r="I83" s="496"/>
      <c r="J83" s="496"/>
      <c r="K83" s="496"/>
      <c r="L83" s="496"/>
      <c r="M83" s="496"/>
      <c r="N83" s="496"/>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H28" sqref="H28"/>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770</v>
      </c>
      <c r="B1" s="3"/>
    </row>
    <row r="2" spans="1:27" ht="21" x14ac:dyDescent="0.5">
      <c r="A2" s="2" t="s">
        <v>771</v>
      </c>
      <c r="B2" s="2"/>
    </row>
    <row r="3" spans="1:27" ht="21" x14ac:dyDescent="0.5">
      <c r="A3" s="242" t="s">
        <v>495</v>
      </c>
      <c r="B3" s="2"/>
    </row>
    <row r="4" spans="1:27" ht="21" x14ac:dyDescent="0.5">
      <c r="A4" s="243" t="s">
        <v>497</v>
      </c>
    </row>
    <row r="5" spans="1:27" x14ac:dyDescent="0.35">
      <c r="AA5" s="244" t="s">
        <v>496</v>
      </c>
    </row>
    <row r="6" spans="1:27" x14ac:dyDescent="0.35">
      <c r="A6" s="1" t="s">
        <v>772</v>
      </c>
      <c r="B6" s="1"/>
      <c r="C6" s="245" t="s">
        <v>1022</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88618767.886388451</v>
      </c>
      <c r="E12" s="248">
        <f>'As-Filed Schedule 1'!J95</f>
        <v>88620414.06468001</v>
      </c>
      <c r="F12" s="248">
        <f t="shared" ref="F12:F32" si="0">D12-E12</f>
        <v>-1646.1782915592194</v>
      </c>
    </row>
    <row r="13" spans="1:27" x14ac:dyDescent="0.35">
      <c r="A13" t="s">
        <v>504</v>
      </c>
      <c r="D13" s="248">
        <f>'Adjusted Schedule 1A'!H26</f>
        <v>562.47999999998137</v>
      </c>
      <c r="E13" s="248">
        <f>'As-Filed Schedule 1A'!H25</f>
        <v>562.47999999998137</v>
      </c>
      <c r="F13" s="248">
        <f t="shared" si="0"/>
        <v>0</v>
      </c>
    </row>
    <row r="14" spans="1:27" x14ac:dyDescent="0.35">
      <c r="A14" t="s">
        <v>505</v>
      </c>
      <c r="D14" s="248">
        <f>'Adjusted Schedule 1C'!F26</f>
        <v>0</v>
      </c>
      <c r="E14" s="248">
        <f>'As-Filed Schedule 1C'!F25</f>
        <v>0</v>
      </c>
      <c r="F14" s="248">
        <f t="shared" si="0"/>
        <v>0</v>
      </c>
    </row>
    <row r="15" spans="1:27" x14ac:dyDescent="0.35">
      <c r="A15" t="s">
        <v>506</v>
      </c>
      <c r="D15" s="248">
        <f>'Adjusted Schedule 2A'!F76</f>
        <v>6827592.9695408009</v>
      </c>
      <c r="E15" s="248">
        <f>'As-Filed Schedule 2A'!F75</f>
        <v>6828902.828967575</v>
      </c>
      <c r="F15" s="248">
        <f t="shared" si="0"/>
        <v>-1309.8594267740846</v>
      </c>
    </row>
    <row r="16" spans="1:27" x14ac:dyDescent="0.35">
      <c r="A16" t="s">
        <v>507</v>
      </c>
      <c r="D16" s="248">
        <f>'Adjusted Schedule 2B'!F76</f>
        <v>614583.8354112003</v>
      </c>
      <c r="E16" s="248">
        <f>'As-Filed Schedule 2B'!F75</f>
        <v>657341.04322543892</v>
      </c>
      <c r="F16" s="248">
        <f t="shared" si="0"/>
        <v>-42757.207814238616</v>
      </c>
    </row>
    <row r="17" spans="1:6" x14ac:dyDescent="0.35">
      <c r="A17" t="s">
        <v>508</v>
      </c>
      <c r="D17" s="248">
        <f>'Adjusted Schedule 2C'!F76</f>
        <v>36265616.245667927</v>
      </c>
      <c r="E17" s="248">
        <f>'As-Filed Schedule 2C'!F75</f>
        <v>36333189.414391235</v>
      </c>
      <c r="F17" s="248">
        <f t="shared" si="0"/>
        <v>-67573.16872330755</v>
      </c>
    </row>
    <row r="18" spans="1:6" x14ac:dyDescent="0.35">
      <c r="A18" t="s">
        <v>509</v>
      </c>
      <c r="D18" s="248">
        <f>'Adjusted Schedule 2D'!$F$76</f>
        <v>10344299.667590592</v>
      </c>
      <c r="E18" s="248">
        <f>'As-Filed Schedule 2D'!$F$75</f>
        <v>10346284.199839864</v>
      </c>
      <c r="F18" s="248">
        <f>D18-E18</f>
        <v>-1984.5322492718697</v>
      </c>
    </row>
    <row r="19" spans="1:6" hidden="1" x14ac:dyDescent="0.35">
      <c r="A19" t="s">
        <v>912</v>
      </c>
      <c r="D19" s="248">
        <f>'Adjusted Schedule 2E'!$F$76</f>
        <v>0</v>
      </c>
      <c r="E19" s="248">
        <f>'As-Filed Schedule 2E'!$F$75</f>
        <v>0</v>
      </c>
      <c r="F19" s="248">
        <f t="shared" ref="F19:F27" si="1">D19-E19</f>
        <v>0</v>
      </c>
    </row>
    <row r="20" spans="1:6" hidden="1" x14ac:dyDescent="0.35">
      <c r="A20" t="s">
        <v>911</v>
      </c>
      <c r="D20" s="248">
        <f>'Adjusted Schedule 2F'!$F$76</f>
        <v>0</v>
      </c>
      <c r="E20" s="248">
        <f>'As-Filed Schedule 2F'!$F$75</f>
        <v>0</v>
      </c>
      <c r="F20" s="248">
        <f t="shared" si="1"/>
        <v>0</v>
      </c>
    </row>
    <row r="21" spans="1:6" hidden="1" x14ac:dyDescent="0.35">
      <c r="A21" t="s">
        <v>910</v>
      </c>
      <c r="D21" s="248">
        <f>'Adjusted Schedule 2G'!$F$76</f>
        <v>0</v>
      </c>
      <c r="E21" s="248">
        <f>'As-Filed Schedule 2G'!$F$75</f>
        <v>0</v>
      </c>
      <c r="F21" s="248">
        <f t="shared" si="1"/>
        <v>0</v>
      </c>
    </row>
    <row r="22" spans="1:6" hidden="1" x14ac:dyDescent="0.35">
      <c r="A22" t="s">
        <v>909</v>
      </c>
      <c r="D22" s="248">
        <f>'Adjusted Schedule 2H'!$F$76</f>
        <v>0</v>
      </c>
      <c r="E22" s="248">
        <f>'As-Filed Schedule 2H'!$F$75</f>
        <v>0</v>
      </c>
      <c r="F22" s="248">
        <f t="shared" si="1"/>
        <v>0</v>
      </c>
    </row>
    <row r="23" spans="1:6" hidden="1" x14ac:dyDescent="0.35">
      <c r="A23" t="s">
        <v>908</v>
      </c>
      <c r="D23" s="248">
        <f>'Adjusted Schedule 2I'!$F$76</f>
        <v>0</v>
      </c>
      <c r="E23" s="248">
        <f>'As-Filed Schedule 2I'!$F$75</f>
        <v>0</v>
      </c>
      <c r="F23" s="248">
        <f t="shared" si="1"/>
        <v>0</v>
      </c>
    </row>
    <row r="24" spans="1:6" hidden="1" x14ac:dyDescent="0.35">
      <c r="A24" t="s">
        <v>907</v>
      </c>
      <c r="D24" s="248">
        <f>'Adjusted Schedule 2J'!$F$76</f>
        <v>0</v>
      </c>
      <c r="E24" s="248">
        <f>'As-Filed Schedule 2J'!$F$75</f>
        <v>0</v>
      </c>
      <c r="F24" s="248">
        <f t="shared" si="1"/>
        <v>0</v>
      </c>
    </row>
    <row r="25" spans="1:6" hidden="1" x14ac:dyDescent="0.35">
      <c r="A25" t="s">
        <v>906</v>
      </c>
      <c r="D25" s="248">
        <f>'Adjusted Schedule 2K'!$F$76</f>
        <v>0</v>
      </c>
      <c r="E25" s="248">
        <f>'As-Filed Schedule 2K'!$F$75</f>
        <v>0</v>
      </c>
      <c r="F25" s="248">
        <f t="shared" si="1"/>
        <v>0</v>
      </c>
    </row>
    <row r="26" spans="1:6" hidden="1" x14ac:dyDescent="0.35">
      <c r="A26" t="s">
        <v>905</v>
      </c>
      <c r="D26" s="248">
        <f>'Adjusted Schedule 2L'!$F$76</f>
        <v>0</v>
      </c>
      <c r="E26" s="248">
        <f>'As-Filed Schedule 2L'!$F$75</f>
        <v>0</v>
      </c>
      <c r="F26" s="248">
        <f t="shared" si="1"/>
        <v>0</v>
      </c>
    </row>
    <row r="27" spans="1:6" ht="27.75" hidden="1" customHeight="1" x14ac:dyDescent="0.35">
      <c r="A27" s="498" t="s">
        <v>904</v>
      </c>
      <c r="B27" s="498"/>
      <c r="C27" s="498"/>
      <c r="D27" s="248">
        <f>'Adjusted Schedule 2M'!$F$76</f>
        <v>0</v>
      </c>
      <c r="E27" s="248">
        <f>'As-Filed Schedule 2M'!$F$75</f>
        <v>0</v>
      </c>
      <c r="F27" s="248">
        <f t="shared" si="1"/>
        <v>0</v>
      </c>
    </row>
    <row r="28" spans="1:6" x14ac:dyDescent="0.35">
      <c r="A28" s="100" t="s">
        <v>510</v>
      </c>
      <c r="D28" s="13">
        <f>'Adjusted Schedule 3'!K168</f>
        <v>6302</v>
      </c>
      <c r="E28" s="13">
        <f>'As-Filed Schedule 3'!K167</f>
        <v>9563</v>
      </c>
      <c r="F28" s="13">
        <f t="shared" si="0"/>
        <v>-3261</v>
      </c>
    </row>
    <row r="29" spans="1:6" x14ac:dyDescent="0.35">
      <c r="A29" s="100" t="s">
        <v>511</v>
      </c>
      <c r="D29" s="248">
        <f>'Adjusted Schedule 3'!M168</f>
        <v>27734871.75441527</v>
      </c>
      <c r="E29" s="248">
        <f>'As-Filed Schedule 3'!M167</f>
        <v>27799804.426184483</v>
      </c>
      <c r="F29" s="248">
        <f t="shared" si="0"/>
        <v>-64932.671769212931</v>
      </c>
    </row>
    <row r="30" spans="1:6" x14ac:dyDescent="0.35">
      <c r="A30" t="s">
        <v>512</v>
      </c>
      <c r="D30" s="13">
        <f>'Adjusted Schedule 4'!D198</f>
        <v>96661</v>
      </c>
      <c r="E30" s="13">
        <f>'As-Filed Schedule 4'!D197</f>
        <v>208457</v>
      </c>
      <c r="F30" s="13">
        <f t="shared" si="0"/>
        <v>-111796</v>
      </c>
    </row>
    <row r="31" spans="1:6" x14ac:dyDescent="0.35">
      <c r="A31" t="s">
        <v>513</v>
      </c>
      <c r="D31" s="13">
        <f>'Adjusted Schedule 4'!H198</f>
        <v>246589</v>
      </c>
      <c r="E31" s="13">
        <f>'As-Filed Schedule 4'!H197</f>
        <v>113921</v>
      </c>
      <c r="F31" s="13">
        <f t="shared" si="0"/>
        <v>132668</v>
      </c>
    </row>
    <row r="32" spans="1:6" x14ac:dyDescent="0.35">
      <c r="A32" t="s">
        <v>926</v>
      </c>
      <c r="D32" s="460">
        <f>'Adjusted Schedule 4'!K9</f>
        <v>140441</v>
      </c>
      <c r="E32" s="460">
        <f>'As-Filed Schedule 4'!K8</f>
        <v>162332</v>
      </c>
      <c r="F32" s="13">
        <f t="shared" si="0"/>
        <v>-21891</v>
      </c>
    </row>
    <row r="33" spans="1:6" x14ac:dyDescent="0.35">
      <c r="D33" s="249"/>
      <c r="E33" s="249"/>
      <c r="F33" s="249"/>
    </row>
    <row r="34" spans="1:6" x14ac:dyDescent="0.35">
      <c r="A34" s="247" t="s">
        <v>514</v>
      </c>
      <c r="D34" s="249"/>
      <c r="E34" s="249"/>
      <c r="F34" s="249"/>
    </row>
    <row r="35" spans="1:6" x14ac:dyDescent="0.35">
      <c r="A35" t="s">
        <v>515</v>
      </c>
      <c r="D35" s="248">
        <f>'Adjusted Schedule 1'!F96</f>
        <v>51121502.335679173</v>
      </c>
      <c r="E35" s="248">
        <f>'As-Filed Schedule 1'!F95</f>
        <v>53601334.637558341</v>
      </c>
      <c r="F35" s="248">
        <f>D35-E35</f>
        <v>-2479832.3018791676</v>
      </c>
    </row>
    <row r="36" spans="1:6" x14ac:dyDescent="0.35">
      <c r="A36" s="100" t="s">
        <v>516</v>
      </c>
      <c r="D36" s="248">
        <f>'Adjusted Schedule 4'!D10</f>
        <v>0</v>
      </c>
      <c r="E36" s="248">
        <f>'As-Filed Schedule 4'!D9</f>
        <v>0</v>
      </c>
      <c r="F36" s="248">
        <f>D36-E36</f>
        <v>0</v>
      </c>
    </row>
    <row r="37" spans="1:6" x14ac:dyDescent="0.35">
      <c r="A37" t="s">
        <v>517</v>
      </c>
      <c r="D37" s="13">
        <f>'Adjusted Schedule 4'!F198</f>
        <v>170839.34999999998</v>
      </c>
      <c r="E37" s="13">
        <f>'As-Filed Schedule 4'!F8</f>
        <v>320727.75</v>
      </c>
      <c r="F37" s="13">
        <f>D37-E37</f>
        <v>-149888.40000000002</v>
      </c>
    </row>
    <row r="38" spans="1:6" x14ac:dyDescent="0.35">
      <c r="A38" t="s">
        <v>518</v>
      </c>
      <c r="D38" s="250">
        <f>'Adjusted Schedule 4'!J198</f>
        <v>246846.42000000007</v>
      </c>
      <c r="E38" s="250">
        <f>'As-Filed Schedule 4'!F9</f>
        <v>112135.2</v>
      </c>
      <c r="F38" s="250">
        <f>D38-E38</f>
        <v>134711.22000000009</v>
      </c>
    </row>
    <row r="39" spans="1:6" s="1" customFormat="1" x14ac:dyDescent="0.35">
      <c r="A39" s="1" t="s">
        <v>519</v>
      </c>
      <c r="D39" s="251">
        <f>'Adjusted Schedule 4'!F13</f>
        <v>122.39225275900391</v>
      </c>
      <c r="E39" s="251">
        <f>'As-Filed Schedule 4'!F12</f>
        <v>123.82980487833005</v>
      </c>
      <c r="F39" s="252">
        <f>D39-E39</f>
        <v>-1.437552119326142</v>
      </c>
    </row>
    <row r="40" spans="1:6" s="1" customFormat="1" x14ac:dyDescent="0.35">
      <c r="D40" s="251"/>
      <c r="E40" s="251"/>
      <c r="F40" s="252"/>
    </row>
    <row r="41" spans="1:6" s="1" customFormat="1" x14ac:dyDescent="0.35">
      <c r="A41" s="247" t="s">
        <v>917</v>
      </c>
      <c r="D41" s="251"/>
      <c r="E41" s="251"/>
      <c r="F41" s="252"/>
    </row>
    <row r="42" spans="1:6" x14ac:dyDescent="0.35">
      <c r="A42" t="s">
        <v>515</v>
      </c>
      <c r="D42" s="248">
        <f>'Adjusted Schedule 1'!F96</f>
        <v>51121502.335679173</v>
      </c>
      <c r="E42" s="248">
        <f>'As-Filed Schedule 1'!F95</f>
        <v>53601334.637558341</v>
      </c>
      <c r="F42" s="248">
        <f>D42-E42</f>
        <v>-2479832.3018791676</v>
      </c>
    </row>
    <row r="43" spans="1:6" x14ac:dyDescent="0.35">
      <c r="A43" s="100" t="s">
        <v>918</v>
      </c>
      <c r="D43" s="248">
        <f>'Adjusted Schedule 4'!I10</f>
        <v>0</v>
      </c>
      <c r="E43" s="248">
        <f>'As-Filed Schedule 4'!I9</f>
        <v>0</v>
      </c>
      <c r="F43" s="248">
        <f>D43-E43</f>
        <v>0</v>
      </c>
    </row>
    <row r="44" spans="1:6" x14ac:dyDescent="0.35">
      <c r="A44" t="s">
        <v>919</v>
      </c>
      <c r="D44" s="250">
        <f>'Adjusted Schedule 4'!K9</f>
        <v>140441</v>
      </c>
      <c r="E44" s="250">
        <f>'As-Filed Schedule 4'!K8</f>
        <v>162332</v>
      </c>
      <c r="F44" s="250">
        <f>D44-E44</f>
        <v>-21891</v>
      </c>
    </row>
    <row r="45" spans="1:6" s="1" customFormat="1" x14ac:dyDescent="0.35">
      <c r="A45" s="1" t="s">
        <v>920</v>
      </c>
      <c r="D45" s="251">
        <f>'Adjusted Schedule 4'!K13</f>
        <v>364.00696616856311</v>
      </c>
      <c r="E45" s="251">
        <f>'As-Filed Schedule 4'!K12</f>
        <v>330.19573859472155</v>
      </c>
      <c r="F45" s="252">
        <f>D45-E45</f>
        <v>33.811227573841563</v>
      </c>
    </row>
    <row r="46" spans="1:6" s="1" customFormat="1" x14ac:dyDescent="0.35">
      <c r="D46" s="251"/>
      <c r="E46" s="251"/>
      <c r="F46" s="252"/>
    </row>
    <row r="47" spans="1:6" x14ac:dyDescent="0.35">
      <c r="A47" s="247" t="s">
        <v>520</v>
      </c>
    </row>
    <row r="48" spans="1:6" x14ac:dyDescent="0.35">
      <c r="A48" s="247"/>
    </row>
    <row r="49" spans="1:6" x14ac:dyDescent="0.35">
      <c r="A49" s="254" t="s">
        <v>521</v>
      </c>
      <c r="B49" s="497" t="str">
        <f>'Adjusted Schedule 3'!B18:C18</f>
        <v>Crisis Stabilization Unit (CSU)</v>
      </c>
      <c r="C49" s="497"/>
    </row>
    <row r="50" spans="1:6" x14ac:dyDescent="0.35">
      <c r="A50" s="254"/>
      <c r="B50" t="str">
        <f>IF($B$49="N/A","","Census Days")</f>
        <v>Census Days</v>
      </c>
      <c r="D50" s="13">
        <f>'Adjusted Schedule 3'!K18</f>
        <v>1372</v>
      </c>
      <c r="E50" s="13">
        <f>'As-Filed Schedule 3'!K17</f>
        <v>1372</v>
      </c>
      <c r="F50" s="13">
        <f>D50-E50</f>
        <v>0</v>
      </c>
    </row>
    <row r="51" spans="1:6" x14ac:dyDescent="0.35">
      <c r="A51" s="254"/>
      <c r="B51" t="str">
        <f>IF($B$49="N/A","","Total Expense")</f>
        <v>Total Expense</v>
      </c>
      <c r="D51" s="248">
        <f>'Adjusted Schedule 3'!M18</f>
        <v>1973739.8503449254</v>
      </c>
      <c r="E51" s="248">
        <f>'As-Filed Schedule 3'!M17</f>
        <v>1974755.394729668</v>
      </c>
      <c r="F51" s="248">
        <f t="shared" ref="F51:F52" si="2">D51-E51</f>
        <v>-1015.5443847426213</v>
      </c>
    </row>
    <row r="52" spans="1:6" x14ac:dyDescent="0.35">
      <c r="A52" s="254"/>
      <c r="B52" t="str">
        <f>IF($B$49="N/A","","Room and Board Expense")</f>
        <v>Room and Board Expense</v>
      </c>
      <c r="D52" s="248">
        <f>'Adjusted Schedule 3'!O18</f>
        <v>84060.891032265819</v>
      </c>
      <c r="E52" s="248">
        <f>'As-Filed Schedule 3'!O17</f>
        <v>84060.891032265819</v>
      </c>
      <c r="F52" s="248">
        <f t="shared" si="2"/>
        <v>0</v>
      </c>
    </row>
    <row r="53" spans="1:6" x14ac:dyDescent="0.35">
      <c r="A53" s="254"/>
      <c r="B53" t="str">
        <f>IF($B$49="N/A","","Services Expense")</f>
        <v>Services Expense</v>
      </c>
      <c r="D53" s="255">
        <f>'Adjusted Schedule 3'!Q18</f>
        <v>1889678.9593126597</v>
      </c>
      <c r="E53" s="255">
        <f>'As-Filed Schedule 3'!Q17</f>
        <v>1890694.5036974023</v>
      </c>
      <c r="F53" s="255">
        <f>IF(E53="","",D53-E53)</f>
        <v>-1015.5443847426213</v>
      </c>
    </row>
    <row r="54" spans="1:6" s="1" customFormat="1" x14ac:dyDescent="0.35">
      <c r="A54" s="254"/>
      <c r="B54" s="1" t="str">
        <f>IF($B$49="N/A","","Facility Total Cost Per Day")</f>
        <v>Facility Total Cost Per Day</v>
      </c>
      <c r="D54" s="251">
        <f>'Adjusted Schedule 3'!N18</f>
        <v>1438.5858967528611</v>
      </c>
      <c r="E54" s="251">
        <f>'As-Filed Schedule 3'!N17</f>
        <v>1439.3260894531109</v>
      </c>
      <c r="F54" s="251">
        <f>IF(E54="","",D54-E54)</f>
        <v>-0.74019270024973594</v>
      </c>
    </row>
    <row r="55" spans="1:6" x14ac:dyDescent="0.35">
      <c r="A55" s="254"/>
      <c r="B55" t="str">
        <f>IF($B$49="N/A","","Room and Board Cost Per Day")</f>
        <v>Room and Board Cost Per Day</v>
      </c>
      <c r="D55" s="253">
        <f>'Adjusted Schedule 3'!P18</f>
        <v>61.268871014771008</v>
      </c>
      <c r="E55" s="253">
        <f>'As-Filed Schedule 3'!P17</f>
        <v>61.268871014771008</v>
      </c>
      <c r="F55" s="253">
        <f>IF(E55="","",D55-E55)</f>
        <v>0</v>
      </c>
    </row>
    <row r="56" spans="1:6" x14ac:dyDescent="0.35">
      <c r="A56" s="254"/>
      <c r="B56" t="str">
        <f>IF($B$49="N/A","","Services Cost Per Day")</f>
        <v>Services Cost Per Day</v>
      </c>
      <c r="D56" s="253">
        <f>'Adjusted Schedule 3'!R18</f>
        <v>1377.3170257380903</v>
      </c>
      <c r="E56" s="253">
        <f>'As-Filed Schedule 3'!R17</f>
        <v>1378.05721843834</v>
      </c>
      <c r="F56" s="253">
        <f>IF(E56="","",D56-E56)</f>
        <v>-0.74019270024973594</v>
      </c>
    </row>
    <row r="57" spans="1:6" x14ac:dyDescent="0.35">
      <c r="A57" s="254"/>
    </row>
    <row r="58" spans="1:6" x14ac:dyDescent="0.35">
      <c r="A58" s="254" t="s">
        <v>522</v>
      </c>
      <c r="B58" s="497" t="str">
        <f>'Adjusted Schedule 3'!B23:C23</f>
        <v>Garcia House</v>
      </c>
      <c r="C58" s="497"/>
    </row>
    <row r="59" spans="1:6" x14ac:dyDescent="0.35">
      <c r="A59" s="254"/>
      <c r="B59" t="str">
        <f>IF($B$49="N/A","","Census Days")</f>
        <v>Census Days</v>
      </c>
      <c r="D59" s="13">
        <f>'Adjusted Schedule 3'!K23</f>
        <v>2343</v>
      </c>
      <c r="E59" s="13">
        <f>'As-Filed Schedule 3'!K22</f>
        <v>4190</v>
      </c>
      <c r="F59" s="13">
        <f>D59-E59</f>
        <v>-1847</v>
      </c>
    </row>
    <row r="60" spans="1:6" x14ac:dyDescent="0.35">
      <c r="A60" s="254"/>
      <c r="B60" t="str">
        <f>IF($B$49="N/A","","Total Expense")</f>
        <v>Total Expense</v>
      </c>
      <c r="D60" s="248">
        <f>'Adjusted Schedule 3'!M23</f>
        <v>4798321.4031435037</v>
      </c>
      <c r="E60" s="248">
        <f>'As-Filed Schedule 3'!M22</f>
        <v>4851452.5779167879</v>
      </c>
      <c r="F60" s="248">
        <f t="shared" ref="F60:F61" si="3">D60-E60</f>
        <v>-53131.174773284234</v>
      </c>
    </row>
    <row r="61" spans="1:6" x14ac:dyDescent="0.35">
      <c r="A61" s="254"/>
      <c r="B61" t="str">
        <f>IF($B$49="N/A","","Room and Board Expense")</f>
        <v>Room and Board Expense</v>
      </c>
      <c r="D61" s="248">
        <f>'Adjusted Schedule 3'!O23</f>
        <v>381082.47527094866</v>
      </c>
      <c r="E61" s="248">
        <f>'As-Filed Schedule 3'!O22</f>
        <v>381082.47527094866</v>
      </c>
      <c r="F61" s="248">
        <f t="shared" si="3"/>
        <v>0</v>
      </c>
    </row>
    <row r="62" spans="1:6" x14ac:dyDescent="0.35">
      <c r="A62" s="254"/>
      <c r="B62" t="str">
        <f>IF($B$49="N/A","","Services Expense")</f>
        <v>Services Expense</v>
      </c>
      <c r="D62" s="255">
        <f>'Adjusted Schedule 3'!Q23</f>
        <v>4417238.9278725553</v>
      </c>
      <c r="E62" s="255">
        <f>'As-Filed Schedule 3'!Q22</f>
        <v>4470370.1026458396</v>
      </c>
      <c r="F62" s="255">
        <f>IF(E62="","",D62-E62)</f>
        <v>-53131.174773284234</v>
      </c>
    </row>
    <row r="63" spans="1:6" s="1" customFormat="1" x14ac:dyDescent="0.35">
      <c r="A63" s="254"/>
      <c r="B63" s="1" t="str">
        <f>IF($B$49="N/A","","Facility Total Cost Per Day")</f>
        <v>Facility Total Cost Per Day</v>
      </c>
      <c r="D63" s="251">
        <f>'Adjusted Schedule 3'!N23</f>
        <v>2047.9391391991053</v>
      </c>
      <c r="E63" s="251">
        <f>'As-Filed Schedule 3'!N22</f>
        <v>1157.8645770684459</v>
      </c>
      <c r="F63" s="251">
        <f t="shared" ref="F63:F65" si="4">IF(E63="","",D63-E63)</f>
        <v>890.07456213065939</v>
      </c>
    </row>
    <row r="64" spans="1:6" x14ac:dyDescent="0.35">
      <c r="A64" s="254"/>
      <c r="B64" t="str">
        <f>IF($B$49="N/A","","Room and Board Cost Per Day")</f>
        <v>Room and Board Cost Per Day</v>
      </c>
      <c r="D64" s="253">
        <f>'Adjusted Schedule 3'!P23</f>
        <v>162.64723656463877</v>
      </c>
      <c r="E64" s="253">
        <f>'As-Filed Schedule 3'!P22</f>
        <v>90.950471425047411</v>
      </c>
      <c r="F64" s="253">
        <f t="shared" si="4"/>
        <v>71.696765139591363</v>
      </c>
    </row>
    <row r="65" spans="1:6" x14ac:dyDescent="0.35">
      <c r="A65" s="254"/>
      <c r="B65" t="str">
        <f>IF($B$49="N/A","","Services Cost Per Day")</f>
        <v>Services Cost Per Day</v>
      </c>
      <c r="D65" s="253">
        <f>'Adjusted Schedule 3'!R23</f>
        <v>1885.2919026344666</v>
      </c>
      <c r="E65" s="253">
        <f>'As-Filed Schedule 3'!R22</f>
        <v>1066.9141056433984</v>
      </c>
      <c r="F65" s="253">
        <f t="shared" si="4"/>
        <v>818.37779699106818</v>
      </c>
    </row>
    <row r="66" spans="1:6" x14ac:dyDescent="0.35">
      <c r="A66" s="254"/>
    </row>
    <row r="67" spans="1:6" x14ac:dyDescent="0.35">
      <c r="A67" s="254" t="s">
        <v>523</v>
      </c>
      <c r="B67" s="497" t="str">
        <f>'Adjusted Schedule 3'!B28:C28</f>
        <v>Longview</v>
      </c>
      <c r="C67" s="497"/>
    </row>
    <row r="68" spans="1:6" x14ac:dyDescent="0.35">
      <c r="A68" s="254"/>
      <c r="B68" t="str">
        <f>IF($B$49="N/A","","Census Days")</f>
        <v>Census Days</v>
      </c>
      <c r="D68" s="13">
        <f>'Adjusted Schedule 3'!K28</f>
        <v>2587</v>
      </c>
      <c r="E68" s="13">
        <f>'As-Filed Schedule 3'!K27</f>
        <v>4001</v>
      </c>
      <c r="F68" s="13">
        <f>D68-E68</f>
        <v>-1414</v>
      </c>
    </row>
    <row r="69" spans="1:6" x14ac:dyDescent="0.35">
      <c r="A69" s="254"/>
      <c r="B69" t="str">
        <f>IF($B$49="N/A","","Total Expense")</f>
        <v>Total Expense</v>
      </c>
      <c r="D69" s="248">
        <f>'Adjusted Schedule 3'!M28</f>
        <v>20962810.500926841</v>
      </c>
      <c r="E69" s="248">
        <f>'As-Filed Schedule 3'!M27</f>
        <v>20973596.45353803</v>
      </c>
      <c r="F69" s="248">
        <f t="shared" ref="F69:F70" si="5">D69-E69</f>
        <v>-10785.952611189336</v>
      </c>
    </row>
    <row r="70" spans="1:6" x14ac:dyDescent="0.35">
      <c r="A70" s="254"/>
      <c r="B70" t="str">
        <f>IF($B$49="N/A","","Room and Board Expense")</f>
        <v>Room and Board Expense</v>
      </c>
      <c r="D70" s="248">
        <f>'Adjusted Schedule 3'!O28</f>
        <v>572488.26237738819</v>
      </c>
      <c r="E70" s="248">
        <f>'As-Filed Schedule 3'!O27</f>
        <v>572488.26237738819</v>
      </c>
      <c r="F70" s="248">
        <f t="shared" si="5"/>
        <v>0</v>
      </c>
    </row>
    <row r="71" spans="1:6" x14ac:dyDescent="0.35">
      <c r="A71" s="254"/>
      <c r="B71" t="str">
        <f>IF($B$49="N/A","","Services Expense")</f>
        <v>Services Expense</v>
      </c>
      <c r="D71" s="255">
        <f>'Adjusted Schedule 3'!Q28</f>
        <v>20390322.238549452</v>
      </c>
      <c r="E71" s="255">
        <f>'As-Filed Schedule 3'!Q27</f>
        <v>20401108.191160642</v>
      </c>
      <c r="F71" s="255">
        <f>IF(E71="","",D71-E71)</f>
        <v>-10785.952611189336</v>
      </c>
    </row>
    <row r="72" spans="1:6" s="1" customFormat="1" x14ac:dyDescent="0.35">
      <c r="A72" s="254"/>
      <c r="B72" s="1" t="str">
        <f>IF($B$49="N/A","","Facility Total Cost Per Day")</f>
        <v>Facility Total Cost Per Day</v>
      </c>
      <c r="D72" s="251">
        <f>'Adjusted Schedule 3'!N28</f>
        <v>8103.1350989280409</v>
      </c>
      <c r="E72" s="251">
        <f>'As-Filed Schedule 3'!N27</f>
        <v>5242.0885912366984</v>
      </c>
      <c r="F72" s="251">
        <f t="shared" ref="F72:F74" si="6">IF(E72="","",D72-E72)</f>
        <v>2861.0465076913424</v>
      </c>
    </row>
    <row r="73" spans="1:6" x14ac:dyDescent="0.35">
      <c r="A73" s="254"/>
      <c r="B73" t="str">
        <f>IF($B$49="N/A","","Room and Board Cost Per Day")</f>
        <v>Room and Board Cost Per Day</v>
      </c>
      <c r="D73" s="253">
        <f>'Adjusted Schedule 3'!P28</f>
        <v>221.29426454479636</v>
      </c>
      <c r="E73" s="253">
        <f>'As-Filed Schedule 3'!P27</f>
        <v>143.08629402084185</v>
      </c>
      <c r="F73" s="253">
        <f t="shared" si="6"/>
        <v>78.207970523954515</v>
      </c>
    </row>
    <row r="74" spans="1:6" x14ac:dyDescent="0.35">
      <c r="A74" s="254"/>
      <c r="B74" t="str">
        <f>IF($B$49="N/A","","Services Cost Per Day")</f>
        <v>Services Cost Per Day</v>
      </c>
      <c r="D74" s="253">
        <f>'Adjusted Schedule 3'!R28</f>
        <v>7881.8408343832443</v>
      </c>
      <c r="E74" s="253">
        <f>'As-Filed Schedule 3'!R27</f>
        <v>5099.0022972158567</v>
      </c>
      <c r="F74" s="253">
        <f t="shared" si="6"/>
        <v>2782.8385371673876</v>
      </c>
    </row>
    <row r="75" spans="1:6" x14ac:dyDescent="0.35">
      <c r="A75" s="254"/>
    </row>
    <row r="76" spans="1:6" hidden="1" x14ac:dyDescent="0.35">
      <c r="A76" s="254" t="s">
        <v>524</v>
      </c>
      <c r="B76" s="497">
        <f>'Adjusted Schedule 3'!B33:C33</f>
        <v>0</v>
      </c>
      <c r="C76" s="497"/>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2"/>
    </row>
    <row r="85" spans="1:6" hidden="1" x14ac:dyDescent="0.35">
      <c r="A85" s="254" t="s">
        <v>525</v>
      </c>
      <c r="B85" s="497">
        <f>'Adjusted Schedule 3'!B38:C38</f>
        <v>0</v>
      </c>
      <c r="C85" s="497"/>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526</v>
      </c>
      <c r="B94" s="497">
        <f>'Adjusted Schedule 3'!B43:C43</f>
        <v>0</v>
      </c>
      <c r="C94" s="497"/>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527</v>
      </c>
      <c r="B103" s="497">
        <f>'Adjusted Schedule 3'!B48:C48</f>
        <v>0</v>
      </c>
      <c r="C103" s="497"/>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528</v>
      </c>
      <c r="B112" s="497">
        <f>'Adjusted Schedule 3'!B53:C53</f>
        <v>0</v>
      </c>
      <c r="C112" s="497"/>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529</v>
      </c>
      <c r="B121" s="497">
        <f>'Adjusted Schedule 3'!B58:C58</f>
        <v>0</v>
      </c>
      <c r="C121" s="497"/>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530</v>
      </c>
      <c r="B130" s="497">
        <f>'Adjusted Schedule 3'!B63:C63</f>
        <v>0</v>
      </c>
      <c r="C130" s="497"/>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531</v>
      </c>
      <c r="B139" s="497">
        <f>'Adjusted Schedule 3'!B68:C68</f>
        <v>0</v>
      </c>
      <c r="C139" s="497"/>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532</v>
      </c>
      <c r="B148" s="497">
        <f>'Adjusted Schedule 3'!B73:C73</f>
        <v>0</v>
      </c>
      <c r="C148" s="497"/>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533</v>
      </c>
      <c r="B157" s="497">
        <f>'Adjusted Schedule 3'!B78:C78</f>
        <v>0</v>
      </c>
      <c r="C157" s="497"/>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534</v>
      </c>
      <c r="B166" s="497">
        <f>'Adjusted Schedule 3'!B83:C83</f>
        <v>0</v>
      </c>
      <c r="C166" s="497"/>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535</v>
      </c>
      <c r="B175" s="497">
        <f>'Adjusted Schedule 3'!B88:C88</f>
        <v>0</v>
      </c>
      <c r="C175" s="497"/>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497">
        <f>'Adjusted Schedule 3'!B93:C93</f>
        <v>0</v>
      </c>
      <c r="C184" s="497"/>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497">
        <f>'Adjusted Schedule 3'!B98:C98</f>
        <v>0</v>
      </c>
      <c r="C193" s="497"/>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497">
        <f>'Adjusted Schedule 3'!B103:C103</f>
        <v>0</v>
      </c>
      <c r="C202" s="497"/>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497">
        <f>'Adjusted Schedule 3'!B108:C108</f>
        <v>0</v>
      </c>
      <c r="C211" s="497"/>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497">
        <f>'Adjusted Schedule 3'!B113:C113</f>
        <v>0</v>
      </c>
      <c r="C220" s="497"/>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497">
        <f>'Adjusted Schedule 3'!B118:C118</f>
        <v>0</v>
      </c>
      <c r="C229" s="497"/>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497">
        <f>'Adjusted Schedule 3'!B123:C123</f>
        <v>0</v>
      </c>
      <c r="C238" s="497"/>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497">
        <f>'Adjusted Schedule 3'!B128:C128</f>
        <v>0</v>
      </c>
      <c r="C247" s="497"/>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497">
        <f>'Adjusted Schedule 3'!B133:C133</f>
        <v>0</v>
      </c>
      <c r="C256" s="497"/>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497">
        <f>'Adjusted Schedule 3'!B138:C138</f>
        <v>0</v>
      </c>
      <c r="C265" s="497"/>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497">
        <f>'Adjusted Schedule 3'!B143:C143</f>
        <v>0</v>
      </c>
      <c r="C274" s="497"/>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497">
        <f>'Adjusted Schedule 3'!B148:C148</f>
        <v>0</v>
      </c>
      <c r="C283" s="497"/>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497">
        <f>'Adjusted Schedule 3'!B153:C153</f>
        <v>0</v>
      </c>
      <c r="C292" s="497"/>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497">
        <f>'Adjusted Schedule 3'!B158:C158</f>
        <v>0</v>
      </c>
      <c r="C301" s="497"/>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497">
        <f>'Adjusted Schedule 3'!B163:C163</f>
        <v>0</v>
      </c>
      <c r="C310" s="497"/>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924"/>
  <sheetViews>
    <sheetView workbookViewId="0"/>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5" width="10.7265625" style="281" customWidth="1"/>
    <col min="6" max="6" width="13.72656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773</v>
      </c>
      <c r="G1" s="397"/>
      <c r="H1" s="69"/>
      <c r="I1" s="69"/>
      <c r="J1" s="69"/>
    </row>
    <row r="2" spans="1:27" customFormat="1" ht="21" x14ac:dyDescent="0.5">
      <c r="A2" s="2" t="s">
        <v>771</v>
      </c>
      <c r="G2" s="397"/>
      <c r="H2" s="69"/>
      <c r="I2" s="69"/>
      <c r="J2" s="69"/>
      <c r="AA2" s="40" t="s">
        <v>496</v>
      </c>
    </row>
    <row r="3" spans="1:27" customFormat="1" ht="25" customHeight="1" x14ac:dyDescent="0.5">
      <c r="A3" s="243" t="str">
        <f>Results!A4</f>
        <v>Final Adjustments</v>
      </c>
      <c r="G3" s="397"/>
      <c r="H3" s="69"/>
      <c r="I3" s="69"/>
      <c r="J3" s="69"/>
      <c r="AA3" s="40" t="s">
        <v>497</v>
      </c>
    </row>
    <row r="4" spans="1:27" customFormat="1" ht="14.5" x14ac:dyDescent="0.35">
      <c r="F4" s="36"/>
      <c r="G4" s="397"/>
      <c r="H4" s="69"/>
      <c r="I4" s="69"/>
      <c r="J4" s="69"/>
    </row>
    <row r="5" spans="1:27" customFormat="1" ht="14.5" x14ac:dyDescent="0.35">
      <c r="A5" s="1" t="s">
        <v>772</v>
      </c>
      <c r="D5" s="421" t="str">
        <f>Results!$C$6</f>
        <v>SummitStone Health Partners</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578</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579</v>
      </c>
      <c r="C10" s="289"/>
      <c r="D10" s="289"/>
      <c r="E10" s="289"/>
      <c r="F10" s="289"/>
      <c r="G10" s="401"/>
      <c r="H10" s="289"/>
      <c r="I10" s="289"/>
      <c r="J10" s="289"/>
      <c r="K10" s="289"/>
    </row>
    <row r="11" spans="1:27" ht="13" x14ac:dyDescent="0.25">
      <c r="A11" s="287"/>
      <c r="B11" s="290" t="s">
        <v>580</v>
      </c>
      <c r="C11" s="291" t="s">
        <v>11</v>
      </c>
      <c r="D11" s="292"/>
      <c r="E11" s="290"/>
      <c r="F11" s="290"/>
      <c r="G11" s="402"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6"/>
      <c r="K12" s="301"/>
    </row>
    <row r="13" spans="1:27" ht="13" x14ac:dyDescent="0.25">
      <c r="A13" s="295"/>
      <c r="B13" s="464">
        <v>1</v>
      </c>
      <c r="C13" s="480" t="s">
        <v>1023</v>
      </c>
      <c r="D13" s="478"/>
      <c r="E13" s="478"/>
      <c r="F13" s="479"/>
      <c r="G13" s="481">
        <v>2330.7757994726899</v>
      </c>
      <c r="H13" s="481">
        <v>1</v>
      </c>
      <c r="I13" s="481">
        <v>6</v>
      </c>
      <c r="J13" s="482">
        <v>4</v>
      </c>
      <c r="K13" s="462">
        <v>100.1</v>
      </c>
    </row>
    <row r="14" spans="1:27" ht="13" x14ac:dyDescent="0.25">
      <c r="A14" s="295"/>
      <c r="B14" s="464">
        <v>1</v>
      </c>
      <c r="C14" s="480" t="s">
        <v>1023</v>
      </c>
      <c r="D14" s="477"/>
      <c r="E14" s="477"/>
      <c r="F14" s="477"/>
      <c r="G14" s="481">
        <v>779.2242005273099</v>
      </c>
      <c r="H14" s="481">
        <v>1</v>
      </c>
      <c r="I14" s="481">
        <v>6</v>
      </c>
      <c r="J14" s="482">
        <v>7</v>
      </c>
      <c r="K14" s="462">
        <v>100.1</v>
      </c>
    </row>
    <row r="15" spans="1:27" ht="13" x14ac:dyDescent="0.25">
      <c r="A15" s="295"/>
      <c r="B15" s="464">
        <v>1</v>
      </c>
      <c r="C15" s="480" t="s">
        <v>1023</v>
      </c>
      <c r="D15" s="477"/>
      <c r="E15" s="477"/>
      <c r="F15" s="477"/>
      <c r="G15" s="481">
        <v>4521.679999999702</v>
      </c>
      <c r="H15" s="481">
        <v>1</v>
      </c>
      <c r="I15" s="481">
        <v>6</v>
      </c>
      <c r="J15" s="482">
        <v>11</v>
      </c>
      <c r="K15" s="462">
        <v>100.1</v>
      </c>
    </row>
    <row r="16" spans="1:27" ht="13" x14ac:dyDescent="0.25">
      <c r="A16" s="295"/>
      <c r="B16" s="464">
        <v>1</v>
      </c>
      <c r="C16" s="480" t="s">
        <v>1023</v>
      </c>
      <c r="D16" s="477"/>
      <c r="E16" s="477"/>
      <c r="F16" s="477"/>
      <c r="G16" s="481">
        <v>-1603</v>
      </c>
      <c r="H16" s="481">
        <v>1</v>
      </c>
      <c r="I16" s="481">
        <v>6</v>
      </c>
      <c r="J16" s="482">
        <v>34</v>
      </c>
      <c r="K16" s="462">
        <v>100.1</v>
      </c>
    </row>
    <row r="17" spans="1:11" ht="13" x14ac:dyDescent="0.25">
      <c r="A17" s="295"/>
      <c r="B17" s="464">
        <v>1</v>
      </c>
      <c r="C17" s="480" t="s">
        <v>1023</v>
      </c>
      <c r="D17" s="477"/>
      <c r="E17" s="477"/>
      <c r="F17" s="477"/>
      <c r="G17" s="481">
        <v>2080.5500000000466</v>
      </c>
      <c r="H17" s="481">
        <v>1</v>
      </c>
      <c r="I17" s="481">
        <v>6</v>
      </c>
      <c r="J17" s="482">
        <v>41</v>
      </c>
      <c r="K17" s="462">
        <v>100.1</v>
      </c>
    </row>
    <row r="18" spans="1:11" ht="13" x14ac:dyDescent="0.25">
      <c r="A18" s="295"/>
      <c r="B18" s="464">
        <v>1</v>
      </c>
      <c r="C18" s="480" t="s">
        <v>1023</v>
      </c>
      <c r="D18" s="477"/>
      <c r="E18" s="477"/>
      <c r="F18" s="477"/>
      <c r="G18" s="481">
        <v>-6647</v>
      </c>
      <c r="H18" s="481">
        <v>1</v>
      </c>
      <c r="I18" s="481">
        <v>6</v>
      </c>
      <c r="J18" s="482">
        <v>52</v>
      </c>
      <c r="K18" s="462">
        <v>100.1</v>
      </c>
    </row>
    <row r="19" spans="1:11" ht="13" x14ac:dyDescent="0.25">
      <c r="A19" s="295"/>
      <c r="B19" s="473"/>
      <c r="C19" s="463"/>
      <c r="D19" s="465"/>
      <c r="E19" s="465"/>
      <c r="F19" s="465"/>
      <c r="G19" s="302"/>
      <c r="H19" s="300"/>
      <c r="I19" s="300"/>
      <c r="J19" s="300"/>
      <c r="K19" s="462"/>
    </row>
    <row r="20" spans="1:11" ht="13" x14ac:dyDescent="0.25">
      <c r="A20" s="295"/>
      <c r="B20" s="473">
        <v>2</v>
      </c>
      <c r="C20" s="480" t="s">
        <v>1024</v>
      </c>
      <c r="D20" s="478"/>
      <c r="E20" s="478"/>
      <c r="F20" s="479"/>
      <c r="G20" s="481">
        <v>-14726.591708440899</v>
      </c>
      <c r="H20" s="481">
        <v>1</v>
      </c>
      <c r="I20" s="481">
        <v>2</v>
      </c>
      <c r="J20" s="494">
        <v>34</v>
      </c>
      <c r="K20" s="462" t="s">
        <v>1026</v>
      </c>
    </row>
    <row r="21" spans="1:11" ht="13" x14ac:dyDescent="0.25">
      <c r="A21" s="295"/>
      <c r="B21" s="473">
        <v>2</v>
      </c>
      <c r="C21" s="480" t="s">
        <v>1024</v>
      </c>
      <c r="D21" s="478"/>
      <c r="E21" s="478"/>
      <c r="F21" s="479"/>
      <c r="G21" s="481">
        <v>-50636.250370749505</v>
      </c>
      <c r="H21" s="481">
        <v>1</v>
      </c>
      <c r="I21" s="481">
        <v>4</v>
      </c>
      <c r="J21" s="494">
        <v>34</v>
      </c>
      <c r="K21" s="462" t="s">
        <v>1026</v>
      </c>
    </row>
    <row r="22" spans="1:11" ht="13" x14ac:dyDescent="0.25">
      <c r="A22" s="295"/>
      <c r="B22" s="473">
        <v>2</v>
      </c>
      <c r="C22" s="480" t="s">
        <v>1024</v>
      </c>
      <c r="D22" s="478"/>
      <c r="E22" s="478"/>
      <c r="F22" s="479"/>
      <c r="G22" s="481">
        <v>65362.842079190406</v>
      </c>
      <c r="H22" s="481">
        <v>1</v>
      </c>
      <c r="I22" s="481">
        <v>6</v>
      </c>
      <c r="J22" s="494">
        <v>34</v>
      </c>
      <c r="K22" s="462" t="s">
        <v>1026</v>
      </c>
    </row>
    <row r="23" spans="1:11" ht="13" x14ac:dyDescent="0.25">
      <c r="A23" s="295"/>
      <c r="B23" s="464"/>
      <c r="C23" s="474"/>
      <c r="D23" s="475"/>
      <c r="E23" s="475"/>
      <c r="F23" s="475"/>
      <c r="G23" s="476"/>
      <c r="H23" s="303"/>
      <c r="I23" s="303"/>
      <c r="J23" s="303"/>
      <c r="K23" s="462"/>
    </row>
    <row r="24" spans="1:11" ht="13" x14ac:dyDescent="0.25">
      <c r="A24" s="295"/>
      <c r="B24" s="464">
        <v>3</v>
      </c>
      <c r="C24" s="480" t="s">
        <v>1027</v>
      </c>
      <c r="D24" s="478"/>
      <c r="E24" s="478"/>
      <c r="F24" s="479"/>
      <c r="G24" s="481">
        <v>-2301.0779809579226</v>
      </c>
      <c r="H24" s="481">
        <v>1</v>
      </c>
      <c r="I24" s="481">
        <v>3</v>
      </c>
      <c r="J24" s="482">
        <v>3</v>
      </c>
      <c r="K24" s="462" t="s">
        <v>1028</v>
      </c>
    </row>
    <row r="25" spans="1:11" ht="13" x14ac:dyDescent="0.25">
      <c r="A25" s="295"/>
      <c r="B25" s="464">
        <v>3</v>
      </c>
      <c r="C25" s="480" t="s">
        <v>1027</v>
      </c>
      <c r="D25" s="478"/>
      <c r="E25" s="478"/>
      <c r="F25" s="479"/>
      <c r="G25" s="481">
        <v>-24697.881356061291</v>
      </c>
      <c r="H25" s="481">
        <v>1</v>
      </c>
      <c r="I25" s="481">
        <v>3</v>
      </c>
      <c r="J25" s="482">
        <v>6</v>
      </c>
      <c r="K25" s="462" t="s">
        <v>1028</v>
      </c>
    </row>
    <row r="26" spans="1:11" ht="13" x14ac:dyDescent="0.25">
      <c r="A26" s="295"/>
      <c r="B26" s="464">
        <v>3</v>
      </c>
      <c r="C26" s="480" t="s">
        <v>1027</v>
      </c>
      <c r="D26" s="478"/>
      <c r="E26" s="478"/>
      <c r="F26" s="479"/>
      <c r="G26" s="481">
        <v>-17.912701389976345</v>
      </c>
      <c r="H26" s="481">
        <v>1</v>
      </c>
      <c r="I26" s="481">
        <v>3</v>
      </c>
      <c r="J26" s="482">
        <v>10</v>
      </c>
      <c r="K26" s="462" t="s">
        <v>1028</v>
      </c>
    </row>
    <row r="27" spans="1:11" ht="13" x14ac:dyDescent="0.25">
      <c r="A27" s="295"/>
      <c r="B27" s="464">
        <v>3</v>
      </c>
      <c r="C27" s="480" t="s">
        <v>1027</v>
      </c>
      <c r="D27" s="478"/>
      <c r="E27" s="478"/>
      <c r="F27" s="479"/>
      <c r="G27" s="481">
        <v>-27308.613747302275</v>
      </c>
      <c r="H27" s="481">
        <v>1</v>
      </c>
      <c r="I27" s="481">
        <v>3</v>
      </c>
      <c r="J27" s="482">
        <v>11</v>
      </c>
      <c r="K27" s="462" t="s">
        <v>1028</v>
      </c>
    </row>
    <row r="28" spans="1:11" ht="13" x14ac:dyDescent="0.25">
      <c r="A28" s="295"/>
      <c r="B28" s="464">
        <v>3</v>
      </c>
      <c r="C28" s="480" t="s">
        <v>1027</v>
      </c>
      <c r="D28" s="478"/>
      <c r="E28" s="478"/>
      <c r="F28" s="479"/>
      <c r="G28" s="481">
        <v>-53.05212764424563</v>
      </c>
      <c r="H28" s="481">
        <v>1</v>
      </c>
      <c r="I28" s="481">
        <v>3</v>
      </c>
      <c r="J28" s="482">
        <v>12</v>
      </c>
      <c r="K28" s="462" t="s">
        <v>1028</v>
      </c>
    </row>
    <row r="29" spans="1:11" ht="13" x14ac:dyDescent="0.25">
      <c r="A29" s="295"/>
      <c r="B29" s="464">
        <v>3</v>
      </c>
      <c r="C29" s="480" t="s">
        <v>1027</v>
      </c>
      <c r="D29" s="478"/>
      <c r="E29" s="478"/>
      <c r="F29" s="479"/>
      <c r="G29" s="481">
        <v>-540.16895253499297</v>
      </c>
      <c r="H29" s="481">
        <v>1</v>
      </c>
      <c r="I29" s="481">
        <v>3</v>
      </c>
      <c r="J29" s="482">
        <v>21</v>
      </c>
      <c r="K29" s="462" t="s">
        <v>1028</v>
      </c>
    </row>
    <row r="30" spans="1:11" ht="13" x14ac:dyDescent="0.25">
      <c r="A30" s="295"/>
      <c r="B30" s="464">
        <v>3</v>
      </c>
      <c r="C30" s="480" t="s">
        <v>1027</v>
      </c>
      <c r="D30" s="478"/>
      <c r="E30" s="478"/>
      <c r="F30" s="479"/>
      <c r="G30" s="481">
        <v>-170.39654613632766</v>
      </c>
      <c r="H30" s="481">
        <v>1</v>
      </c>
      <c r="I30" s="481">
        <v>3</v>
      </c>
      <c r="J30" s="482">
        <v>23</v>
      </c>
      <c r="K30" s="462" t="s">
        <v>1028</v>
      </c>
    </row>
    <row r="31" spans="1:11" ht="13" x14ac:dyDescent="0.25">
      <c r="A31" s="295"/>
      <c r="B31" s="464">
        <v>3</v>
      </c>
      <c r="C31" s="480" t="s">
        <v>1027</v>
      </c>
      <c r="D31" s="478"/>
      <c r="E31" s="478"/>
      <c r="F31" s="479"/>
      <c r="G31" s="481">
        <v>-322.43567066748233</v>
      </c>
      <c r="H31" s="481">
        <v>1</v>
      </c>
      <c r="I31" s="481">
        <v>3</v>
      </c>
      <c r="J31" s="482">
        <v>24</v>
      </c>
      <c r="K31" s="462" t="s">
        <v>1028</v>
      </c>
    </row>
    <row r="32" spans="1:11" ht="13" x14ac:dyDescent="0.25">
      <c r="A32" s="295"/>
      <c r="B32" s="464">
        <v>3</v>
      </c>
      <c r="C32" s="480" t="s">
        <v>1027</v>
      </c>
      <c r="D32" s="478"/>
      <c r="E32" s="478"/>
      <c r="F32" s="479"/>
      <c r="G32" s="481">
        <v>-10952.073239063615</v>
      </c>
      <c r="H32" s="481">
        <v>1</v>
      </c>
      <c r="I32" s="481">
        <v>3</v>
      </c>
      <c r="J32" s="482">
        <v>26</v>
      </c>
      <c r="K32" s="462" t="s">
        <v>1028</v>
      </c>
    </row>
    <row r="33" spans="1:11" ht="13" x14ac:dyDescent="0.25">
      <c r="A33" s="295"/>
      <c r="B33" s="464">
        <v>3</v>
      </c>
      <c r="C33" s="480" t="s">
        <v>1027</v>
      </c>
      <c r="D33" s="478"/>
      <c r="E33" s="478"/>
      <c r="F33" s="479"/>
      <c r="G33" s="481">
        <v>-8585.6999044674994</v>
      </c>
      <c r="H33" s="481">
        <v>1</v>
      </c>
      <c r="I33" s="481">
        <v>3</v>
      </c>
      <c r="J33" s="482">
        <v>28</v>
      </c>
      <c r="K33" s="462" t="s">
        <v>1028</v>
      </c>
    </row>
    <row r="34" spans="1:11" ht="13" x14ac:dyDescent="0.25">
      <c r="A34" s="295"/>
      <c r="B34" s="464">
        <v>3</v>
      </c>
      <c r="C34" s="480" t="s">
        <v>1027</v>
      </c>
      <c r="D34" s="478"/>
      <c r="E34" s="478"/>
      <c r="F34" s="479"/>
      <c r="G34" s="481">
        <v>-1825.2178945522778</v>
      </c>
      <c r="H34" s="481">
        <v>1</v>
      </c>
      <c r="I34" s="481">
        <v>3</v>
      </c>
      <c r="J34" s="482">
        <v>29</v>
      </c>
      <c r="K34" s="462" t="s">
        <v>1028</v>
      </c>
    </row>
    <row r="35" spans="1:11" ht="13" x14ac:dyDescent="0.25">
      <c r="A35" s="295"/>
      <c r="B35" s="464">
        <v>3</v>
      </c>
      <c r="C35" s="480" t="s">
        <v>1027</v>
      </c>
      <c r="D35" s="478"/>
      <c r="E35" s="478"/>
      <c r="F35" s="479"/>
      <c r="G35" s="481">
        <v>-1258.3102863552829</v>
      </c>
      <c r="H35" s="481">
        <v>1</v>
      </c>
      <c r="I35" s="481">
        <v>3</v>
      </c>
      <c r="J35" s="482">
        <v>30</v>
      </c>
      <c r="K35" s="462" t="s">
        <v>1028</v>
      </c>
    </row>
    <row r="36" spans="1:11" ht="13" x14ac:dyDescent="0.25">
      <c r="A36" s="295"/>
      <c r="B36" s="464">
        <v>3</v>
      </c>
      <c r="C36" s="480" t="s">
        <v>1027</v>
      </c>
      <c r="D36" s="478"/>
      <c r="E36" s="478"/>
      <c r="F36" s="479"/>
      <c r="G36" s="481">
        <v>286.89894518320295</v>
      </c>
      <c r="H36" s="481">
        <v>1</v>
      </c>
      <c r="I36" s="481">
        <v>3</v>
      </c>
      <c r="J36" s="482">
        <v>33</v>
      </c>
      <c r="K36" s="462" t="s">
        <v>1028</v>
      </c>
    </row>
    <row r="37" spans="1:11" ht="13" x14ac:dyDescent="0.25">
      <c r="A37" s="295"/>
      <c r="B37" s="464">
        <v>3</v>
      </c>
      <c r="C37" s="480" t="s">
        <v>1027</v>
      </c>
      <c r="D37" s="478"/>
      <c r="E37" s="478"/>
      <c r="F37" s="479"/>
      <c r="G37" s="481">
        <v>-8710.7108550966987</v>
      </c>
      <c r="H37" s="481">
        <v>1</v>
      </c>
      <c r="I37" s="481">
        <v>3</v>
      </c>
      <c r="J37" s="482">
        <v>34</v>
      </c>
      <c r="K37" s="462" t="s">
        <v>1028</v>
      </c>
    </row>
    <row r="38" spans="1:11" ht="13" x14ac:dyDescent="0.25">
      <c r="A38" s="295"/>
      <c r="B38" s="464">
        <v>3</v>
      </c>
      <c r="C38" s="480" t="s">
        <v>1027</v>
      </c>
      <c r="D38" s="478"/>
      <c r="E38" s="478"/>
      <c r="F38" s="479"/>
      <c r="G38" s="481">
        <v>-328.14888165803404</v>
      </c>
      <c r="H38" s="481">
        <v>1</v>
      </c>
      <c r="I38" s="481">
        <v>3</v>
      </c>
      <c r="J38" s="482">
        <v>36</v>
      </c>
      <c r="K38" s="462" t="s">
        <v>1028</v>
      </c>
    </row>
    <row r="39" spans="1:11" ht="13" x14ac:dyDescent="0.25">
      <c r="A39" s="295"/>
      <c r="B39" s="464">
        <v>3</v>
      </c>
      <c r="C39" s="480" t="s">
        <v>1027</v>
      </c>
      <c r="D39" s="478"/>
      <c r="E39" s="478"/>
      <c r="F39" s="479"/>
      <c r="G39" s="481">
        <v>-664.74531575311835</v>
      </c>
      <c r="H39" s="481">
        <v>1</v>
      </c>
      <c r="I39" s="481">
        <v>3</v>
      </c>
      <c r="J39" s="482">
        <v>37</v>
      </c>
      <c r="K39" s="462" t="s">
        <v>1028</v>
      </c>
    </row>
    <row r="40" spans="1:11" ht="13" x14ac:dyDescent="0.25">
      <c r="A40" s="295"/>
      <c r="B40" s="464">
        <v>3</v>
      </c>
      <c r="C40" s="480" t="s">
        <v>1027</v>
      </c>
      <c r="D40" s="478"/>
      <c r="E40" s="478"/>
      <c r="F40" s="479"/>
      <c r="G40" s="481">
        <v>-993.79794995239524</v>
      </c>
      <c r="H40" s="481">
        <v>1</v>
      </c>
      <c r="I40" s="481">
        <v>3</v>
      </c>
      <c r="J40" s="482">
        <v>38</v>
      </c>
      <c r="K40" s="462" t="s">
        <v>1028</v>
      </c>
    </row>
    <row r="41" spans="1:11" ht="13" x14ac:dyDescent="0.25">
      <c r="A41" s="295"/>
      <c r="B41" s="464">
        <v>3</v>
      </c>
      <c r="C41" s="480" t="s">
        <v>1027</v>
      </c>
      <c r="D41" s="478"/>
      <c r="E41" s="478"/>
      <c r="F41" s="479"/>
      <c r="G41" s="481">
        <v>15319.640163749951</v>
      </c>
      <c r="H41" s="481">
        <v>1</v>
      </c>
      <c r="I41" s="481">
        <v>3</v>
      </c>
      <c r="J41" s="482">
        <v>39</v>
      </c>
      <c r="K41" s="462" t="s">
        <v>1028</v>
      </c>
    </row>
    <row r="42" spans="1:11" ht="13" x14ac:dyDescent="0.25">
      <c r="A42" s="295"/>
      <c r="B42" s="464">
        <v>3</v>
      </c>
      <c r="C42" s="480" t="s">
        <v>1027</v>
      </c>
      <c r="D42" s="478"/>
      <c r="E42" s="478"/>
      <c r="F42" s="479"/>
      <c r="G42" s="481">
        <v>-1773.807323091019</v>
      </c>
      <c r="H42" s="481">
        <v>1</v>
      </c>
      <c r="I42" s="481">
        <v>3</v>
      </c>
      <c r="J42" s="482">
        <v>41</v>
      </c>
      <c r="K42" s="462" t="s">
        <v>1028</v>
      </c>
    </row>
    <row r="43" spans="1:11" ht="13" x14ac:dyDescent="0.25">
      <c r="A43" s="295"/>
      <c r="B43" s="464">
        <v>3</v>
      </c>
      <c r="C43" s="480" t="s">
        <v>1027</v>
      </c>
      <c r="D43" s="478"/>
      <c r="E43" s="478"/>
      <c r="F43" s="479"/>
      <c r="G43" s="481">
        <v>-760.71166677681367</v>
      </c>
      <c r="H43" s="481">
        <v>1</v>
      </c>
      <c r="I43" s="481">
        <v>3</v>
      </c>
      <c r="J43" s="482">
        <v>42</v>
      </c>
      <c r="K43" s="462" t="s">
        <v>1028</v>
      </c>
    </row>
    <row r="44" spans="1:11" ht="13" x14ac:dyDescent="0.25">
      <c r="A44" s="295"/>
      <c r="B44" s="464">
        <v>3</v>
      </c>
      <c r="C44" s="480" t="s">
        <v>1027</v>
      </c>
      <c r="D44" s="478"/>
      <c r="E44" s="478"/>
      <c r="F44" s="479"/>
      <c r="G44" s="481">
        <v>-1468.6217683261289</v>
      </c>
      <c r="H44" s="481">
        <v>1</v>
      </c>
      <c r="I44" s="481">
        <v>3</v>
      </c>
      <c r="J44" s="482">
        <v>43</v>
      </c>
      <c r="K44" s="462" t="s">
        <v>1028</v>
      </c>
    </row>
    <row r="45" spans="1:11" ht="13" x14ac:dyDescent="0.25">
      <c r="A45" s="295"/>
      <c r="B45" s="464">
        <v>3</v>
      </c>
      <c r="C45" s="480" t="s">
        <v>1027</v>
      </c>
      <c r="D45" s="478"/>
      <c r="E45" s="478"/>
      <c r="F45" s="479"/>
      <c r="G45" s="481">
        <v>-3.0011494996142734</v>
      </c>
      <c r="H45" s="481">
        <v>1</v>
      </c>
      <c r="I45" s="481">
        <v>3</v>
      </c>
      <c r="J45" s="482">
        <v>44</v>
      </c>
      <c r="K45" s="462" t="s">
        <v>1028</v>
      </c>
    </row>
    <row r="46" spans="1:11" ht="13" x14ac:dyDescent="0.25">
      <c r="A46" s="295"/>
      <c r="B46" s="464">
        <v>3</v>
      </c>
      <c r="C46" s="480" t="s">
        <v>1027</v>
      </c>
      <c r="D46" s="478"/>
      <c r="E46" s="478"/>
      <c r="F46" s="479"/>
      <c r="G46" s="481">
        <v>-4.2266474609996205</v>
      </c>
      <c r="H46" s="481">
        <v>1</v>
      </c>
      <c r="I46" s="481">
        <v>3</v>
      </c>
      <c r="J46" s="482">
        <v>45</v>
      </c>
      <c r="K46" s="462" t="s">
        <v>1028</v>
      </c>
    </row>
    <row r="47" spans="1:11" ht="13" x14ac:dyDescent="0.25">
      <c r="A47" s="295"/>
      <c r="B47" s="464">
        <v>3</v>
      </c>
      <c r="C47" s="480" t="s">
        <v>1027</v>
      </c>
      <c r="D47" s="478"/>
      <c r="E47" s="478"/>
      <c r="F47" s="479"/>
      <c r="G47" s="481">
        <v>-2844.9835849935134</v>
      </c>
      <c r="H47" s="481">
        <v>1</v>
      </c>
      <c r="I47" s="481">
        <v>3</v>
      </c>
      <c r="J47" s="482">
        <v>46</v>
      </c>
      <c r="K47" s="462" t="s">
        <v>1028</v>
      </c>
    </row>
    <row r="48" spans="1:11" ht="13" x14ac:dyDescent="0.25">
      <c r="A48" s="295"/>
      <c r="B48" s="464">
        <v>3</v>
      </c>
      <c r="C48" s="480" t="s">
        <v>1027</v>
      </c>
      <c r="D48" s="478"/>
      <c r="E48" s="478"/>
      <c r="F48" s="479"/>
      <c r="G48" s="481">
        <v>-1959.783461937586</v>
      </c>
      <c r="H48" s="481">
        <v>1</v>
      </c>
      <c r="I48" s="481">
        <v>3</v>
      </c>
      <c r="J48" s="482">
        <v>47</v>
      </c>
      <c r="K48" s="462" t="s">
        <v>1028</v>
      </c>
    </row>
    <row r="49" spans="1:11" ht="13" x14ac:dyDescent="0.25">
      <c r="A49" s="295"/>
      <c r="B49" s="464">
        <v>3</v>
      </c>
      <c r="C49" s="480" t="s">
        <v>1027</v>
      </c>
      <c r="D49" s="478"/>
      <c r="E49" s="478"/>
      <c r="F49" s="479"/>
      <c r="G49" s="481">
        <v>-4086.4031706850856</v>
      </c>
      <c r="H49" s="481">
        <v>1</v>
      </c>
      <c r="I49" s="481">
        <v>3</v>
      </c>
      <c r="J49" s="482">
        <v>48</v>
      </c>
      <c r="K49" s="462" t="s">
        <v>1028</v>
      </c>
    </row>
    <row r="50" spans="1:11" ht="13" x14ac:dyDescent="0.25">
      <c r="A50" s="295"/>
      <c r="B50" s="464">
        <v>3</v>
      </c>
      <c r="C50" s="480" t="s">
        <v>1027</v>
      </c>
      <c r="D50" s="478"/>
      <c r="E50" s="478"/>
      <c r="F50" s="479"/>
      <c r="G50" s="481">
        <v>919.91657369178893</v>
      </c>
      <c r="H50" s="481">
        <v>1</v>
      </c>
      <c r="I50" s="481">
        <v>5</v>
      </c>
      <c r="J50" s="482">
        <v>3</v>
      </c>
      <c r="K50" s="462" t="s">
        <v>1028</v>
      </c>
    </row>
    <row r="51" spans="1:11" ht="13" x14ac:dyDescent="0.25">
      <c r="A51" s="295"/>
      <c r="B51" s="464">
        <v>3</v>
      </c>
      <c r="C51" s="480" t="s">
        <v>1027</v>
      </c>
      <c r="D51" s="478"/>
      <c r="E51" s="478"/>
      <c r="F51" s="479"/>
      <c r="G51" s="481">
        <v>9873.629048006469</v>
      </c>
      <c r="H51" s="481">
        <v>1</v>
      </c>
      <c r="I51" s="481">
        <v>5</v>
      </c>
      <c r="J51" s="482">
        <v>6</v>
      </c>
      <c r="K51" s="462" t="s">
        <v>1028</v>
      </c>
    </row>
    <row r="52" spans="1:11" ht="13" x14ac:dyDescent="0.25">
      <c r="A52" s="295"/>
      <c r="B52" s="464">
        <v>3</v>
      </c>
      <c r="C52" s="480" t="s">
        <v>1027</v>
      </c>
      <c r="D52" s="478"/>
      <c r="E52" s="478"/>
      <c r="F52" s="479"/>
      <c r="G52" s="481">
        <v>7.1610745157673579</v>
      </c>
      <c r="H52" s="481">
        <v>1</v>
      </c>
      <c r="I52" s="481">
        <v>5</v>
      </c>
      <c r="J52" s="482">
        <v>10</v>
      </c>
      <c r="K52" s="462" t="s">
        <v>1028</v>
      </c>
    </row>
    <row r="53" spans="1:11" ht="13" x14ac:dyDescent="0.25">
      <c r="A53" s="295"/>
      <c r="B53" s="464">
        <v>3</v>
      </c>
      <c r="C53" s="480" t="s">
        <v>1027</v>
      </c>
      <c r="D53" s="478"/>
      <c r="E53" s="478"/>
      <c r="F53" s="479"/>
      <c r="G53" s="481">
        <v>10917.338133944</v>
      </c>
      <c r="H53" s="481">
        <v>1</v>
      </c>
      <c r="I53" s="481">
        <v>5</v>
      </c>
      <c r="J53" s="482">
        <v>11</v>
      </c>
      <c r="K53" s="462" t="s">
        <v>1028</v>
      </c>
    </row>
    <row r="54" spans="1:11" ht="13" x14ac:dyDescent="0.25">
      <c r="A54" s="295"/>
      <c r="B54" s="464">
        <v>3</v>
      </c>
      <c r="C54" s="480" t="s">
        <v>1027</v>
      </c>
      <c r="D54" s="478"/>
      <c r="E54" s="478"/>
      <c r="F54" s="479"/>
      <c r="G54" s="481">
        <v>21.208986350491831</v>
      </c>
      <c r="H54" s="481">
        <v>1</v>
      </c>
      <c r="I54" s="481">
        <v>5</v>
      </c>
      <c r="J54" s="482">
        <v>12</v>
      </c>
      <c r="K54" s="462" t="s">
        <v>1028</v>
      </c>
    </row>
    <row r="55" spans="1:11" ht="13" x14ac:dyDescent="0.25">
      <c r="A55" s="295"/>
      <c r="B55" s="464">
        <v>3</v>
      </c>
      <c r="C55" s="480" t="s">
        <v>1027</v>
      </c>
      <c r="D55" s="478"/>
      <c r="E55" s="478"/>
      <c r="F55" s="479"/>
      <c r="G55" s="481">
        <v>215.94677631212352</v>
      </c>
      <c r="H55" s="481">
        <v>1</v>
      </c>
      <c r="I55" s="481">
        <v>5</v>
      </c>
      <c r="J55" s="482">
        <v>21</v>
      </c>
      <c r="K55" s="462" t="s">
        <v>1028</v>
      </c>
    </row>
    <row r="56" spans="1:11" ht="13" x14ac:dyDescent="0.25">
      <c r="A56" s="295"/>
      <c r="B56" s="464">
        <v>3</v>
      </c>
      <c r="C56" s="480" t="s">
        <v>1027</v>
      </c>
      <c r="D56" s="478"/>
      <c r="E56" s="478"/>
      <c r="F56" s="479"/>
      <c r="G56" s="481">
        <v>68.120510555401168</v>
      </c>
      <c r="H56" s="481">
        <v>1</v>
      </c>
      <c r="I56" s="481">
        <v>5</v>
      </c>
      <c r="J56" s="482">
        <v>23</v>
      </c>
      <c r="K56" s="462" t="s">
        <v>1028</v>
      </c>
    </row>
    <row r="57" spans="1:11" ht="13" x14ac:dyDescent="0.25">
      <c r="A57" s="295"/>
      <c r="B57" s="464">
        <v>3</v>
      </c>
      <c r="C57" s="480" t="s">
        <v>1027</v>
      </c>
      <c r="D57" s="478"/>
      <c r="E57" s="478"/>
      <c r="F57" s="479"/>
      <c r="G57" s="481">
        <v>128.9021579672698</v>
      </c>
      <c r="H57" s="481">
        <v>1</v>
      </c>
      <c r="I57" s="481">
        <v>5</v>
      </c>
      <c r="J57" s="482">
        <v>24</v>
      </c>
      <c r="K57" s="462" t="s">
        <v>1028</v>
      </c>
    </row>
    <row r="58" spans="1:11" ht="13" x14ac:dyDescent="0.25">
      <c r="A58" s="295"/>
      <c r="B58" s="464">
        <v>3</v>
      </c>
      <c r="C58" s="480" t="s">
        <v>1027</v>
      </c>
      <c r="D58" s="478"/>
      <c r="E58" s="478"/>
      <c r="F58" s="479"/>
      <c r="G58" s="481">
        <v>4378.3799472570608</v>
      </c>
      <c r="H58" s="481">
        <v>1</v>
      </c>
      <c r="I58" s="481">
        <v>5</v>
      </c>
      <c r="J58" s="482">
        <v>26</v>
      </c>
      <c r="K58" s="462" t="s">
        <v>1028</v>
      </c>
    </row>
    <row r="59" spans="1:11" ht="13" x14ac:dyDescent="0.25">
      <c r="A59" s="295"/>
      <c r="B59" s="464">
        <v>3</v>
      </c>
      <c r="C59" s="480" t="s">
        <v>1027</v>
      </c>
      <c r="D59" s="478"/>
      <c r="E59" s="478"/>
      <c r="F59" s="479"/>
      <c r="G59" s="481">
        <v>3432.3598349221211</v>
      </c>
      <c r="H59" s="481">
        <v>1</v>
      </c>
      <c r="I59" s="481">
        <v>5</v>
      </c>
      <c r="J59" s="482">
        <v>28</v>
      </c>
      <c r="K59" s="462" t="s">
        <v>1028</v>
      </c>
    </row>
    <row r="60" spans="1:11" ht="13" x14ac:dyDescent="0.25">
      <c r="A60" s="295"/>
      <c r="B60" s="464">
        <v>3</v>
      </c>
      <c r="C60" s="480" t="s">
        <v>1027</v>
      </c>
      <c r="D60" s="478"/>
      <c r="E60" s="478"/>
      <c r="F60" s="479"/>
      <c r="G60" s="481">
        <v>729.67896163975126</v>
      </c>
      <c r="H60" s="481">
        <v>1</v>
      </c>
      <c r="I60" s="481">
        <v>5</v>
      </c>
      <c r="J60" s="482">
        <v>29</v>
      </c>
      <c r="K60" s="462" t="s">
        <v>1028</v>
      </c>
    </row>
    <row r="61" spans="1:11" ht="13" x14ac:dyDescent="0.25">
      <c r="A61" s="295"/>
      <c r="B61" s="464">
        <v>3</v>
      </c>
      <c r="C61" s="480" t="s">
        <v>1027</v>
      </c>
      <c r="D61" s="478"/>
      <c r="E61" s="478"/>
      <c r="F61" s="479"/>
      <c r="G61" s="481">
        <v>503.04270296098775</v>
      </c>
      <c r="H61" s="481">
        <v>1</v>
      </c>
      <c r="I61" s="481">
        <v>5</v>
      </c>
      <c r="J61" s="482">
        <v>30</v>
      </c>
      <c r="K61" s="462" t="s">
        <v>1028</v>
      </c>
    </row>
    <row r="62" spans="1:11" ht="13" x14ac:dyDescent="0.25">
      <c r="A62" s="295"/>
      <c r="B62" s="464">
        <v>3</v>
      </c>
      <c r="C62" s="480" t="s">
        <v>1027</v>
      </c>
      <c r="D62" s="478"/>
      <c r="E62" s="478"/>
      <c r="F62" s="479"/>
      <c r="G62" s="481">
        <v>-114.69541529351002</v>
      </c>
      <c r="H62" s="481">
        <v>1</v>
      </c>
      <c r="I62" s="481">
        <v>5</v>
      </c>
      <c r="J62" s="482">
        <v>33</v>
      </c>
      <c r="K62" s="462" t="s">
        <v>1028</v>
      </c>
    </row>
    <row r="63" spans="1:11" ht="13" x14ac:dyDescent="0.25">
      <c r="A63" s="295"/>
      <c r="B63" s="464">
        <v>3</v>
      </c>
      <c r="C63" s="480" t="s">
        <v>1027</v>
      </c>
      <c r="D63" s="478"/>
      <c r="E63" s="478"/>
      <c r="F63" s="479"/>
      <c r="G63" s="481">
        <v>3482.3362574199336</v>
      </c>
      <c r="H63" s="481">
        <v>1</v>
      </c>
      <c r="I63" s="481">
        <v>5</v>
      </c>
      <c r="J63" s="482">
        <v>34</v>
      </c>
      <c r="K63" s="462" t="s">
        <v>1028</v>
      </c>
    </row>
    <row r="64" spans="1:11" ht="13" x14ac:dyDescent="0.25">
      <c r="A64" s="295"/>
      <c r="B64" s="464">
        <v>3</v>
      </c>
      <c r="C64" s="480" t="s">
        <v>1027</v>
      </c>
      <c r="D64" s="478"/>
      <c r="E64" s="478"/>
      <c r="F64" s="479"/>
      <c r="G64" s="481">
        <v>131.18616464705156</v>
      </c>
      <c r="H64" s="481">
        <v>1</v>
      </c>
      <c r="I64" s="481">
        <v>5</v>
      </c>
      <c r="J64" s="482">
        <v>36</v>
      </c>
      <c r="K64" s="462" t="s">
        <v>1028</v>
      </c>
    </row>
    <row r="65" spans="1:11" ht="13" x14ac:dyDescent="0.25">
      <c r="A65" s="295"/>
      <c r="B65" s="464">
        <v>3</v>
      </c>
      <c r="C65" s="480" t="s">
        <v>1027</v>
      </c>
      <c r="D65" s="478"/>
      <c r="E65" s="478"/>
      <c r="F65" s="479"/>
      <c r="G65" s="481">
        <v>265.74946103769486</v>
      </c>
      <c r="H65" s="481">
        <v>1</v>
      </c>
      <c r="I65" s="481">
        <v>5</v>
      </c>
      <c r="J65" s="482">
        <v>37</v>
      </c>
      <c r="K65" s="462" t="s">
        <v>1028</v>
      </c>
    </row>
    <row r="66" spans="1:11" ht="13" x14ac:dyDescent="0.25">
      <c r="A66" s="295"/>
      <c r="B66" s="464">
        <v>3</v>
      </c>
      <c r="C66" s="480" t="s">
        <v>1027</v>
      </c>
      <c r="D66" s="478"/>
      <c r="E66" s="478"/>
      <c r="F66" s="479"/>
      <c r="G66" s="481">
        <v>397.29692458382124</v>
      </c>
      <c r="H66" s="481">
        <v>1</v>
      </c>
      <c r="I66" s="481">
        <v>5</v>
      </c>
      <c r="J66" s="482">
        <v>38</v>
      </c>
      <c r="K66" s="462" t="s">
        <v>1028</v>
      </c>
    </row>
    <row r="67" spans="1:11" ht="13" x14ac:dyDescent="0.25">
      <c r="A67" s="295"/>
      <c r="B67" s="464">
        <v>3</v>
      </c>
      <c r="C67" s="480" t="s">
        <v>1027</v>
      </c>
      <c r="D67" s="478"/>
      <c r="E67" s="478"/>
      <c r="F67" s="479"/>
      <c r="G67" s="481">
        <v>-6124.4299438132221</v>
      </c>
      <c r="H67" s="481">
        <v>1</v>
      </c>
      <c r="I67" s="481">
        <v>5</v>
      </c>
      <c r="J67" s="482">
        <v>39</v>
      </c>
      <c r="K67" s="462" t="s">
        <v>1028</v>
      </c>
    </row>
    <row r="68" spans="1:11" ht="13" x14ac:dyDescent="0.25">
      <c r="A68" s="295"/>
      <c r="B68" s="464">
        <v>3</v>
      </c>
      <c r="C68" s="480" t="s">
        <v>1027</v>
      </c>
      <c r="D68" s="478"/>
      <c r="E68" s="478"/>
      <c r="F68" s="479"/>
      <c r="G68" s="481">
        <v>709.12623064082607</v>
      </c>
      <c r="H68" s="481">
        <v>1</v>
      </c>
      <c r="I68" s="481">
        <v>5</v>
      </c>
      <c r="J68" s="482">
        <v>41</v>
      </c>
      <c r="K68" s="462" t="s">
        <v>1028</v>
      </c>
    </row>
    <row r="69" spans="1:11" ht="13" x14ac:dyDescent="0.25">
      <c r="A69" s="295"/>
      <c r="B69" s="464">
        <v>3</v>
      </c>
      <c r="C69" s="480" t="s">
        <v>1027</v>
      </c>
      <c r="D69" s="478"/>
      <c r="E69" s="478"/>
      <c r="F69" s="479"/>
      <c r="G69" s="481">
        <v>304.11453929839359</v>
      </c>
      <c r="H69" s="481">
        <v>1</v>
      </c>
      <c r="I69" s="481">
        <v>5</v>
      </c>
      <c r="J69" s="482">
        <v>42</v>
      </c>
      <c r="K69" s="462" t="s">
        <v>1028</v>
      </c>
    </row>
    <row r="70" spans="1:11" ht="13" x14ac:dyDescent="0.25">
      <c r="A70" s="295"/>
      <c r="B70" s="464">
        <v>3</v>
      </c>
      <c r="C70" s="480" t="s">
        <v>1027</v>
      </c>
      <c r="D70" s="478"/>
      <c r="E70" s="478"/>
      <c r="F70" s="479"/>
      <c r="G70" s="481">
        <v>587.12026117660434</v>
      </c>
      <c r="H70" s="481">
        <v>1</v>
      </c>
      <c r="I70" s="481">
        <v>5</v>
      </c>
      <c r="J70" s="482">
        <v>43</v>
      </c>
      <c r="K70" s="462" t="s">
        <v>1028</v>
      </c>
    </row>
    <row r="71" spans="1:11" ht="13" x14ac:dyDescent="0.25">
      <c r="A71" s="295"/>
      <c r="B71" s="464">
        <v>3</v>
      </c>
      <c r="C71" s="480" t="s">
        <v>1027</v>
      </c>
      <c r="D71" s="478"/>
      <c r="E71" s="478"/>
      <c r="F71" s="479"/>
      <c r="G71" s="481">
        <v>1.1997886154526083</v>
      </c>
      <c r="H71" s="481">
        <v>1</v>
      </c>
      <c r="I71" s="481">
        <v>5</v>
      </c>
      <c r="J71" s="482">
        <v>44</v>
      </c>
      <c r="K71" s="462" t="s">
        <v>1028</v>
      </c>
    </row>
    <row r="72" spans="1:11" ht="13" x14ac:dyDescent="0.25">
      <c r="A72" s="295"/>
      <c r="B72" s="464">
        <v>3</v>
      </c>
      <c r="C72" s="480" t="s">
        <v>1027</v>
      </c>
      <c r="D72" s="478"/>
      <c r="E72" s="478"/>
      <c r="F72" s="479"/>
      <c r="G72" s="481">
        <v>1.6897137266539988</v>
      </c>
      <c r="H72" s="481">
        <v>1</v>
      </c>
      <c r="I72" s="481">
        <v>5</v>
      </c>
      <c r="J72" s="482">
        <v>45</v>
      </c>
      <c r="K72" s="462" t="s">
        <v>1028</v>
      </c>
    </row>
    <row r="73" spans="1:11" ht="13" x14ac:dyDescent="0.25">
      <c r="A73" s="295"/>
      <c r="B73" s="464">
        <v>3</v>
      </c>
      <c r="C73" s="480" t="s">
        <v>1027</v>
      </c>
      <c r="D73" s="478"/>
      <c r="E73" s="478"/>
      <c r="F73" s="479"/>
      <c r="G73" s="481">
        <v>1137.3571749302973</v>
      </c>
      <c r="H73" s="481">
        <v>1</v>
      </c>
      <c r="I73" s="481">
        <v>5</v>
      </c>
      <c r="J73" s="482">
        <v>46</v>
      </c>
      <c r="K73" s="462" t="s">
        <v>1028</v>
      </c>
    </row>
    <row r="74" spans="1:11" ht="13" x14ac:dyDescent="0.25">
      <c r="A74" s="295"/>
      <c r="B74" s="464">
        <v>3</v>
      </c>
      <c r="C74" s="480" t="s">
        <v>1027</v>
      </c>
      <c r="D74" s="478"/>
      <c r="E74" s="478"/>
      <c r="F74" s="479"/>
      <c r="G74" s="481">
        <v>783.47509402221476</v>
      </c>
      <c r="H74" s="481">
        <v>1</v>
      </c>
      <c r="I74" s="481">
        <v>5</v>
      </c>
      <c r="J74" s="482">
        <v>47</v>
      </c>
      <c r="K74" s="462" t="s">
        <v>1028</v>
      </c>
    </row>
    <row r="75" spans="1:11" ht="13" x14ac:dyDescent="0.25">
      <c r="A75" s="295"/>
      <c r="B75" s="464">
        <v>3</v>
      </c>
      <c r="C75" s="480" t="s">
        <v>1027</v>
      </c>
      <c r="D75" s="478"/>
      <c r="E75" s="478"/>
      <c r="F75" s="479"/>
      <c r="G75" s="481">
        <v>1633.6473751032893</v>
      </c>
      <c r="H75" s="481">
        <v>1</v>
      </c>
      <c r="I75" s="481">
        <v>5</v>
      </c>
      <c r="J75" s="482">
        <v>48</v>
      </c>
      <c r="K75" s="462" t="s">
        <v>1028</v>
      </c>
    </row>
    <row r="76" spans="1:11" ht="13" x14ac:dyDescent="0.25">
      <c r="A76" s="295"/>
      <c r="B76" s="464">
        <v>3</v>
      </c>
      <c r="C76" s="480" t="s">
        <v>1027</v>
      </c>
      <c r="D76" s="478"/>
      <c r="E76" s="478"/>
      <c r="F76" s="479"/>
      <c r="G76" s="481">
        <v>1381.1614072661337</v>
      </c>
      <c r="H76" s="481">
        <v>1</v>
      </c>
      <c r="I76" s="481">
        <v>6</v>
      </c>
      <c r="J76" s="482">
        <v>3</v>
      </c>
      <c r="K76" s="462" t="s">
        <v>1028</v>
      </c>
    </row>
    <row r="77" spans="1:11" ht="13" x14ac:dyDescent="0.25">
      <c r="A77" s="295"/>
      <c r="B77" s="464">
        <v>3</v>
      </c>
      <c r="C77" s="480" t="s">
        <v>1027</v>
      </c>
      <c r="D77" s="478"/>
      <c r="E77" s="478"/>
      <c r="F77" s="479"/>
      <c r="G77" s="481">
        <v>14824.252308054824</v>
      </c>
      <c r="H77" s="481">
        <v>1</v>
      </c>
      <c r="I77" s="481">
        <v>6</v>
      </c>
      <c r="J77" s="482">
        <v>6</v>
      </c>
      <c r="K77" s="462" t="s">
        <v>1028</v>
      </c>
    </row>
    <row r="78" spans="1:11" ht="13" x14ac:dyDescent="0.25">
      <c r="A78" s="295"/>
      <c r="B78" s="464">
        <v>3</v>
      </c>
      <c r="C78" s="480" t="s">
        <v>1027</v>
      </c>
      <c r="D78" s="478"/>
      <c r="E78" s="478"/>
      <c r="F78" s="479"/>
      <c r="G78" s="481">
        <v>10.751626874208988</v>
      </c>
      <c r="H78" s="481">
        <v>1</v>
      </c>
      <c r="I78" s="481">
        <v>6</v>
      </c>
      <c r="J78" s="482">
        <v>10</v>
      </c>
      <c r="K78" s="462" t="s">
        <v>1028</v>
      </c>
    </row>
    <row r="79" spans="1:11" ht="13" x14ac:dyDescent="0.25">
      <c r="A79" s="295"/>
      <c r="B79" s="464">
        <v>3</v>
      </c>
      <c r="C79" s="480" t="s">
        <v>1027</v>
      </c>
      <c r="D79" s="478"/>
      <c r="E79" s="478"/>
      <c r="F79" s="479"/>
      <c r="G79" s="481">
        <v>16391.275613358273</v>
      </c>
      <c r="H79" s="481">
        <v>1</v>
      </c>
      <c r="I79" s="481">
        <v>6</v>
      </c>
      <c r="J79" s="482">
        <v>11</v>
      </c>
      <c r="K79" s="462" t="s">
        <v>1028</v>
      </c>
    </row>
    <row r="80" spans="1:11" ht="13" x14ac:dyDescent="0.25">
      <c r="A80" s="295"/>
      <c r="B80" s="464">
        <v>3</v>
      </c>
      <c r="C80" s="480" t="s">
        <v>1027</v>
      </c>
      <c r="D80" s="478"/>
      <c r="E80" s="478"/>
      <c r="F80" s="479"/>
      <c r="G80" s="481">
        <v>31.843141293753799</v>
      </c>
      <c r="H80" s="481">
        <v>1</v>
      </c>
      <c r="I80" s="481">
        <v>6</v>
      </c>
      <c r="J80" s="482">
        <v>12</v>
      </c>
      <c r="K80" s="462" t="s">
        <v>1028</v>
      </c>
    </row>
    <row r="81" spans="1:11" ht="13" x14ac:dyDescent="0.25">
      <c r="A81" s="295"/>
      <c r="B81" s="464">
        <v>3</v>
      </c>
      <c r="C81" s="480" t="s">
        <v>1027</v>
      </c>
      <c r="D81" s="478"/>
      <c r="E81" s="478"/>
      <c r="F81" s="479"/>
      <c r="G81" s="481">
        <v>324.22217622286945</v>
      </c>
      <c r="H81" s="481">
        <v>1</v>
      </c>
      <c r="I81" s="481">
        <v>6</v>
      </c>
      <c r="J81" s="482">
        <v>21</v>
      </c>
      <c r="K81" s="462" t="s">
        <v>1028</v>
      </c>
    </row>
    <row r="82" spans="1:11" ht="13" x14ac:dyDescent="0.25">
      <c r="A82" s="295"/>
      <c r="B82" s="464">
        <v>3</v>
      </c>
      <c r="C82" s="480" t="s">
        <v>1027</v>
      </c>
      <c r="D82" s="478"/>
      <c r="E82" s="478"/>
      <c r="F82" s="479"/>
      <c r="G82" s="481">
        <v>102.27603558092649</v>
      </c>
      <c r="H82" s="481">
        <v>1</v>
      </c>
      <c r="I82" s="481">
        <v>6</v>
      </c>
      <c r="J82" s="482">
        <v>23</v>
      </c>
      <c r="K82" s="462" t="s">
        <v>1028</v>
      </c>
    </row>
    <row r="83" spans="1:11" ht="13" x14ac:dyDescent="0.25">
      <c r="A83" s="295"/>
      <c r="B83" s="464">
        <v>3</v>
      </c>
      <c r="C83" s="480" t="s">
        <v>1027</v>
      </c>
      <c r="D83" s="478"/>
      <c r="E83" s="478"/>
      <c r="F83" s="479"/>
      <c r="G83" s="481">
        <v>193.5335127002125</v>
      </c>
      <c r="H83" s="481">
        <v>1</v>
      </c>
      <c r="I83" s="481">
        <v>6</v>
      </c>
      <c r="J83" s="482">
        <v>24</v>
      </c>
      <c r="K83" s="462" t="s">
        <v>1028</v>
      </c>
    </row>
    <row r="84" spans="1:11" ht="13" x14ac:dyDescent="0.25">
      <c r="A84" s="295"/>
      <c r="B84" s="464">
        <v>3</v>
      </c>
      <c r="C84" s="480" t="s">
        <v>1027</v>
      </c>
      <c r="D84" s="478"/>
      <c r="E84" s="478"/>
      <c r="F84" s="479"/>
      <c r="G84" s="481">
        <v>6573.693291806554</v>
      </c>
      <c r="H84" s="481">
        <v>1</v>
      </c>
      <c r="I84" s="481">
        <v>6</v>
      </c>
      <c r="J84" s="482">
        <v>26</v>
      </c>
      <c r="K84" s="462" t="s">
        <v>1028</v>
      </c>
    </row>
    <row r="85" spans="1:11" ht="13" x14ac:dyDescent="0.25">
      <c r="A85" s="295"/>
      <c r="B85" s="464">
        <v>3</v>
      </c>
      <c r="C85" s="480" t="s">
        <v>1027</v>
      </c>
      <c r="D85" s="478"/>
      <c r="E85" s="478"/>
      <c r="F85" s="479"/>
      <c r="G85" s="481">
        <v>5153.3400695453793</v>
      </c>
      <c r="H85" s="481">
        <v>1</v>
      </c>
      <c r="I85" s="481">
        <v>6</v>
      </c>
      <c r="J85" s="482">
        <v>28</v>
      </c>
      <c r="K85" s="462" t="s">
        <v>1028</v>
      </c>
    </row>
    <row r="86" spans="1:11" ht="13" x14ac:dyDescent="0.25">
      <c r="A86" s="295"/>
      <c r="B86" s="464">
        <v>3</v>
      </c>
      <c r="C86" s="480" t="s">
        <v>1027</v>
      </c>
      <c r="D86" s="478"/>
      <c r="E86" s="478"/>
      <c r="F86" s="479"/>
      <c r="G86" s="481">
        <v>1095.5389329125264</v>
      </c>
      <c r="H86" s="481">
        <v>1</v>
      </c>
      <c r="I86" s="481">
        <v>6</v>
      </c>
      <c r="J86" s="482">
        <v>29</v>
      </c>
      <c r="K86" s="462" t="s">
        <v>1028</v>
      </c>
    </row>
    <row r="87" spans="1:11" ht="13" x14ac:dyDescent="0.25">
      <c r="A87" s="295"/>
      <c r="B87" s="464">
        <v>3</v>
      </c>
      <c r="C87" s="480" t="s">
        <v>1027</v>
      </c>
      <c r="D87" s="478"/>
      <c r="E87" s="478"/>
      <c r="F87" s="479"/>
      <c r="G87" s="481">
        <v>755.26758339429512</v>
      </c>
      <c r="H87" s="481">
        <v>1</v>
      </c>
      <c r="I87" s="481">
        <v>6</v>
      </c>
      <c r="J87" s="482">
        <v>30</v>
      </c>
      <c r="K87" s="462" t="s">
        <v>1028</v>
      </c>
    </row>
    <row r="88" spans="1:11" ht="13" x14ac:dyDescent="0.25">
      <c r="A88" s="295"/>
      <c r="B88" s="464">
        <v>3</v>
      </c>
      <c r="C88" s="480" t="s">
        <v>1027</v>
      </c>
      <c r="D88" s="478"/>
      <c r="E88" s="478"/>
      <c r="F88" s="479"/>
      <c r="G88" s="481">
        <v>-172.20352988969296</v>
      </c>
      <c r="H88" s="481">
        <v>1</v>
      </c>
      <c r="I88" s="481">
        <v>6</v>
      </c>
      <c r="J88" s="482">
        <v>33</v>
      </c>
      <c r="K88" s="462" t="s">
        <v>1028</v>
      </c>
    </row>
    <row r="89" spans="1:11" ht="13" x14ac:dyDescent="0.25">
      <c r="A89" s="295"/>
      <c r="B89" s="464">
        <v>3</v>
      </c>
      <c r="C89" s="480" t="s">
        <v>1027</v>
      </c>
      <c r="D89" s="478"/>
      <c r="E89" s="478"/>
      <c r="F89" s="479"/>
      <c r="G89" s="481">
        <v>5228.3745976767659</v>
      </c>
      <c r="H89" s="481">
        <v>1</v>
      </c>
      <c r="I89" s="481">
        <v>6</v>
      </c>
      <c r="J89" s="482">
        <v>34</v>
      </c>
      <c r="K89" s="462" t="s">
        <v>1028</v>
      </c>
    </row>
    <row r="90" spans="1:11" ht="13" x14ac:dyDescent="0.25">
      <c r="A90" s="295"/>
      <c r="B90" s="464">
        <v>3</v>
      </c>
      <c r="C90" s="480" t="s">
        <v>1027</v>
      </c>
      <c r="D90" s="478"/>
      <c r="E90" s="478"/>
      <c r="F90" s="479"/>
      <c r="G90" s="481">
        <v>196.96271701098246</v>
      </c>
      <c r="H90" s="481">
        <v>1</v>
      </c>
      <c r="I90" s="481">
        <v>6</v>
      </c>
      <c r="J90" s="482">
        <v>36</v>
      </c>
      <c r="K90" s="462" t="s">
        <v>1028</v>
      </c>
    </row>
    <row r="91" spans="1:11" ht="13" x14ac:dyDescent="0.25">
      <c r="A91" s="295"/>
      <c r="B91" s="464">
        <v>3</v>
      </c>
      <c r="C91" s="480" t="s">
        <v>1027</v>
      </c>
      <c r="D91" s="478"/>
      <c r="E91" s="478"/>
      <c r="F91" s="479"/>
      <c r="G91" s="481">
        <v>398.99585471542343</v>
      </c>
      <c r="H91" s="481">
        <v>1</v>
      </c>
      <c r="I91" s="481">
        <v>6</v>
      </c>
      <c r="J91" s="482">
        <v>37</v>
      </c>
      <c r="K91" s="462" t="s">
        <v>1028</v>
      </c>
    </row>
    <row r="92" spans="1:11" ht="13" x14ac:dyDescent="0.25">
      <c r="A92" s="295"/>
      <c r="B92" s="464">
        <v>3</v>
      </c>
      <c r="C92" s="480" t="s">
        <v>1027</v>
      </c>
      <c r="D92" s="478"/>
      <c r="E92" s="478"/>
      <c r="F92" s="479"/>
      <c r="G92" s="481">
        <v>596.50102536857401</v>
      </c>
      <c r="H92" s="481">
        <v>1</v>
      </c>
      <c r="I92" s="481">
        <v>6</v>
      </c>
      <c r="J92" s="482">
        <v>38</v>
      </c>
      <c r="K92" s="462" t="s">
        <v>1028</v>
      </c>
    </row>
    <row r="93" spans="1:11" ht="13" x14ac:dyDescent="0.25">
      <c r="A93" s="295"/>
      <c r="B93" s="464">
        <v>3</v>
      </c>
      <c r="C93" s="480" t="s">
        <v>1027</v>
      </c>
      <c r="D93" s="478"/>
      <c r="E93" s="478"/>
      <c r="F93" s="479"/>
      <c r="G93" s="481">
        <v>-9195.2102199367291</v>
      </c>
      <c r="H93" s="481">
        <v>1</v>
      </c>
      <c r="I93" s="481">
        <v>6</v>
      </c>
      <c r="J93" s="482">
        <v>39</v>
      </c>
      <c r="K93" s="462" t="s">
        <v>1028</v>
      </c>
    </row>
    <row r="94" spans="1:11" ht="13" x14ac:dyDescent="0.25">
      <c r="A94" s="295"/>
      <c r="B94" s="464">
        <v>3</v>
      </c>
      <c r="C94" s="480" t="s">
        <v>1027</v>
      </c>
      <c r="D94" s="478"/>
      <c r="E94" s="478"/>
      <c r="F94" s="479"/>
      <c r="G94" s="481">
        <v>1064.6810924501929</v>
      </c>
      <c r="H94" s="481">
        <v>1</v>
      </c>
      <c r="I94" s="481">
        <v>6</v>
      </c>
      <c r="J94" s="482">
        <v>41</v>
      </c>
      <c r="K94" s="462" t="s">
        <v>1028</v>
      </c>
    </row>
    <row r="95" spans="1:11" ht="13" x14ac:dyDescent="0.25">
      <c r="A95" s="295"/>
      <c r="B95" s="464">
        <v>3</v>
      </c>
      <c r="C95" s="480" t="s">
        <v>1027</v>
      </c>
      <c r="D95" s="478"/>
      <c r="E95" s="478"/>
      <c r="F95" s="479"/>
      <c r="G95" s="481">
        <v>456.59712747842002</v>
      </c>
      <c r="H95" s="481">
        <v>1</v>
      </c>
      <c r="I95" s="481">
        <v>6</v>
      </c>
      <c r="J95" s="482">
        <v>42</v>
      </c>
      <c r="K95" s="462" t="s">
        <v>1028</v>
      </c>
    </row>
    <row r="96" spans="1:11" ht="13" x14ac:dyDescent="0.25">
      <c r="A96" s="295"/>
      <c r="B96" s="464">
        <v>3</v>
      </c>
      <c r="C96" s="480" t="s">
        <v>1027</v>
      </c>
      <c r="D96" s="478"/>
      <c r="E96" s="478"/>
      <c r="F96" s="479"/>
      <c r="G96" s="481">
        <v>881.50150714952463</v>
      </c>
      <c r="H96" s="481">
        <v>1</v>
      </c>
      <c r="I96" s="481">
        <v>6</v>
      </c>
      <c r="J96" s="482">
        <v>43</v>
      </c>
      <c r="K96" s="462" t="s">
        <v>1028</v>
      </c>
    </row>
    <row r="97" spans="1:11" ht="13" x14ac:dyDescent="0.25">
      <c r="A97" s="295"/>
      <c r="B97" s="464">
        <v>3</v>
      </c>
      <c r="C97" s="480" t="s">
        <v>1027</v>
      </c>
      <c r="D97" s="478"/>
      <c r="E97" s="478"/>
      <c r="F97" s="479"/>
      <c r="G97" s="481">
        <v>1.8013608841616648</v>
      </c>
      <c r="H97" s="481">
        <v>1</v>
      </c>
      <c r="I97" s="481">
        <v>6</v>
      </c>
      <c r="J97" s="482">
        <v>44</v>
      </c>
      <c r="K97" s="462" t="s">
        <v>1028</v>
      </c>
    </row>
    <row r="98" spans="1:11" ht="13" x14ac:dyDescent="0.25">
      <c r="A98" s="295"/>
      <c r="B98" s="464">
        <v>3</v>
      </c>
      <c r="C98" s="480" t="s">
        <v>1027</v>
      </c>
      <c r="D98" s="478"/>
      <c r="E98" s="478"/>
      <c r="F98" s="479"/>
      <c r="G98" s="481">
        <v>2.536933734345622</v>
      </c>
      <c r="H98" s="481">
        <v>1</v>
      </c>
      <c r="I98" s="481">
        <v>6</v>
      </c>
      <c r="J98" s="482">
        <v>45</v>
      </c>
      <c r="K98" s="462" t="s">
        <v>1028</v>
      </c>
    </row>
    <row r="99" spans="1:11" ht="13" x14ac:dyDescent="0.25">
      <c r="A99" s="295"/>
      <c r="B99" s="464">
        <v>3</v>
      </c>
      <c r="C99" s="480" t="s">
        <v>1027</v>
      </c>
      <c r="D99" s="478"/>
      <c r="E99" s="478"/>
      <c r="F99" s="479"/>
      <c r="G99" s="481">
        <v>1707.6264100632163</v>
      </c>
      <c r="H99" s="481">
        <v>1</v>
      </c>
      <c r="I99" s="481">
        <v>6</v>
      </c>
      <c r="J99" s="482">
        <v>46</v>
      </c>
      <c r="K99" s="462" t="s">
        <v>1028</v>
      </c>
    </row>
    <row r="100" spans="1:11" ht="13" x14ac:dyDescent="0.25">
      <c r="A100" s="295"/>
      <c r="B100" s="464">
        <v>3</v>
      </c>
      <c r="C100" s="480" t="s">
        <v>1027</v>
      </c>
      <c r="D100" s="478"/>
      <c r="E100" s="478"/>
      <c r="F100" s="479"/>
      <c r="G100" s="481">
        <v>1176.3083679153713</v>
      </c>
      <c r="H100" s="481">
        <v>1</v>
      </c>
      <c r="I100" s="481">
        <v>6</v>
      </c>
      <c r="J100" s="482">
        <v>47</v>
      </c>
      <c r="K100" s="462" t="s">
        <v>1028</v>
      </c>
    </row>
    <row r="101" spans="1:11" ht="13" x14ac:dyDescent="0.25">
      <c r="A101" s="295"/>
      <c r="B101" s="464">
        <v>3</v>
      </c>
      <c r="C101" s="480" t="s">
        <v>1027</v>
      </c>
      <c r="D101" s="478"/>
      <c r="E101" s="478"/>
      <c r="F101" s="479"/>
      <c r="G101" s="481">
        <v>2452.7557955817965</v>
      </c>
      <c r="H101" s="481">
        <v>1</v>
      </c>
      <c r="I101" s="481">
        <v>6</v>
      </c>
      <c r="J101" s="482">
        <v>48</v>
      </c>
      <c r="K101" s="462" t="s">
        <v>1028</v>
      </c>
    </row>
    <row r="102" spans="1:11" ht="13" x14ac:dyDescent="0.25">
      <c r="A102" s="295"/>
      <c r="B102" s="464"/>
      <c r="C102" s="474"/>
      <c r="D102" s="475"/>
      <c r="E102" s="475"/>
      <c r="F102" s="475"/>
      <c r="G102" s="476"/>
      <c r="H102" s="303"/>
      <c r="I102" s="303"/>
      <c r="J102" s="303"/>
      <c r="K102" s="462"/>
    </row>
    <row r="103" spans="1:11" ht="13" x14ac:dyDescent="0.25">
      <c r="A103" s="295"/>
      <c r="B103" s="464">
        <v>4</v>
      </c>
      <c r="C103" s="480" t="s">
        <v>1027</v>
      </c>
      <c r="D103" s="478"/>
      <c r="E103" s="478"/>
      <c r="F103" s="479"/>
      <c r="G103" s="481">
        <v>-33819.288921475556</v>
      </c>
      <c r="H103" s="481">
        <v>1</v>
      </c>
      <c r="I103" s="481">
        <v>3</v>
      </c>
      <c r="J103" s="482">
        <v>26</v>
      </c>
      <c r="K103" s="462" t="s">
        <v>1028</v>
      </c>
    </row>
    <row r="104" spans="1:11" ht="13" x14ac:dyDescent="0.25">
      <c r="A104" s="295"/>
      <c r="B104" s="464">
        <v>4</v>
      </c>
      <c r="C104" s="480" t="s">
        <v>1027</v>
      </c>
      <c r="D104" s="478"/>
      <c r="E104" s="478"/>
      <c r="F104" s="479"/>
      <c r="G104" s="481">
        <v>33819.288921475556</v>
      </c>
      <c r="H104" s="481">
        <v>1</v>
      </c>
      <c r="I104" s="481">
        <v>6</v>
      </c>
      <c r="J104" s="482">
        <v>48</v>
      </c>
      <c r="K104" s="462" t="s">
        <v>1028</v>
      </c>
    </row>
    <row r="105" spans="1:11" ht="13" x14ac:dyDescent="0.25">
      <c r="A105" s="295"/>
      <c r="B105" s="464">
        <v>4</v>
      </c>
      <c r="C105" s="480" t="s">
        <v>1027</v>
      </c>
      <c r="D105" s="478"/>
      <c r="E105" s="478"/>
      <c r="F105" s="479"/>
      <c r="G105" s="481">
        <v>-2502.7110785244467</v>
      </c>
      <c r="H105" s="481">
        <v>1</v>
      </c>
      <c r="I105" s="481">
        <v>3</v>
      </c>
      <c r="J105" s="482">
        <v>26</v>
      </c>
      <c r="K105" s="462" t="s">
        <v>1028</v>
      </c>
    </row>
    <row r="106" spans="1:11" ht="13" x14ac:dyDescent="0.25">
      <c r="A106" s="295"/>
      <c r="B106" s="464">
        <v>4</v>
      </c>
      <c r="C106" s="480" t="s">
        <v>1027</v>
      </c>
      <c r="D106" s="478"/>
      <c r="E106" s="478"/>
      <c r="F106" s="479"/>
      <c r="G106" s="481">
        <v>2502.7110785244467</v>
      </c>
      <c r="H106" s="481">
        <v>1</v>
      </c>
      <c r="I106" s="481">
        <v>6</v>
      </c>
      <c r="J106" s="482">
        <v>48</v>
      </c>
      <c r="K106" s="462" t="s">
        <v>1028</v>
      </c>
    </row>
    <row r="107" spans="1:11" ht="13" x14ac:dyDescent="0.25">
      <c r="A107" s="295"/>
      <c r="B107" s="464"/>
      <c r="C107" s="474"/>
      <c r="D107" s="475"/>
      <c r="E107" s="475"/>
      <c r="F107" s="475"/>
      <c r="G107" s="476"/>
      <c r="H107" s="303"/>
      <c r="I107" s="303"/>
      <c r="J107" s="303"/>
      <c r="K107" s="462"/>
    </row>
    <row r="108" spans="1:11" ht="13" x14ac:dyDescent="0.25">
      <c r="A108" s="295"/>
      <c r="B108" s="464">
        <v>5</v>
      </c>
      <c r="C108" s="480" t="s">
        <v>1027</v>
      </c>
      <c r="D108" s="478"/>
      <c r="E108" s="478"/>
      <c r="F108" s="479"/>
      <c r="G108" s="481">
        <v>-268082.58</v>
      </c>
      <c r="H108" s="481">
        <v>1</v>
      </c>
      <c r="I108" s="481">
        <v>3</v>
      </c>
      <c r="J108" s="481">
        <v>2</v>
      </c>
      <c r="K108" s="462" t="s">
        <v>1028</v>
      </c>
    </row>
    <row r="109" spans="1:11" ht="13" x14ac:dyDescent="0.25">
      <c r="A109" s="295"/>
      <c r="B109" s="464">
        <v>5</v>
      </c>
      <c r="C109" s="480" t="s">
        <v>1027</v>
      </c>
      <c r="D109" s="478"/>
      <c r="E109" s="478"/>
      <c r="F109" s="479"/>
      <c r="G109" s="481">
        <v>-219544.53764236439</v>
      </c>
      <c r="H109" s="481">
        <v>1</v>
      </c>
      <c r="I109" s="481">
        <v>3</v>
      </c>
      <c r="J109" s="481">
        <v>3</v>
      </c>
      <c r="K109" s="462" t="s">
        <v>1028</v>
      </c>
    </row>
    <row r="110" spans="1:11" ht="13" x14ac:dyDescent="0.25">
      <c r="A110" s="295"/>
      <c r="B110" s="464">
        <v>5</v>
      </c>
      <c r="C110" s="480" t="s">
        <v>1027</v>
      </c>
      <c r="D110" s="478"/>
      <c r="E110" s="478"/>
      <c r="F110" s="479"/>
      <c r="G110" s="481">
        <v>-31107.665478150237</v>
      </c>
      <c r="H110" s="481">
        <v>1</v>
      </c>
      <c r="I110" s="481">
        <v>3</v>
      </c>
      <c r="J110" s="481">
        <v>6</v>
      </c>
      <c r="K110" s="462" t="s">
        <v>1028</v>
      </c>
    </row>
    <row r="111" spans="1:11" ht="13" x14ac:dyDescent="0.25">
      <c r="A111" s="295"/>
      <c r="B111" s="464">
        <v>5</v>
      </c>
      <c r="C111" s="480" t="s">
        <v>1027</v>
      </c>
      <c r="D111" s="478"/>
      <c r="E111" s="478"/>
      <c r="F111" s="479"/>
      <c r="G111" s="481">
        <v>-34.655424889221123</v>
      </c>
      <c r="H111" s="481">
        <v>1</v>
      </c>
      <c r="I111" s="481">
        <v>3</v>
      </c>
      <c r="J111" s="481">
        <v>10</v>
      </c>
      <c r="K111" s="462" t="s">
        <v>1028</v>
      </c>
    </row>
    <row r="112" spans="1:11" ht="13" x14ac:dyDescent="0.25">
      <c r="A112" s="295"/>
      <c r="B112" s="464">
        <v>5</v>
      </c>
      <c r="C112" s="480" t="s">
        <v>1027</v>
      </c>
      <c r="D112" s="478"/>
      <c r="E112" s="478"/>
      <c r="F112" s="479"/>
      <c r="G112" s="481">
        <v>-126267.76285372549</v>
      </c>
      <c r="H112" s="481">
        <v>1</v>
      </c>
      <c r="I112" s="481">
        <v>3</v>
      </c>
      <c r="J112" s="481">
        <v>11</v>
      </c>
      <c r="K112" s="462" t="s">
        <v>1028</v>
      </c>
    </row>
    <row r="113" spans="1:11" ht="13" x14ac:dyDescent="0.25">
      <c r="A113" s="295"/>
      <c r="B113" s="464">
        <v>5</v>
      </c>
      <c r="C113" s="480" t="s">
        <v>1027</v>
      </c>
      <c r="D113" s="478"/>
      <c r="E113" s="478"/>
      <c r="F113" s="479"/>
      <c r="G113" s="481">
        <v>-69.915741201722014</v>
      </c>
      <c r="H113" s="481">
        <v>1</v>
      </c>
      <c r="I113" s="481">
        <v>3</v>
      </c>
      <c r="J113" s="481">
        <v>12</v>
      </c>
      <c r="K113" s="462" t="s">
        <v>1028</v>
      </c>
    </row>
    <row r="114" spans="1:11" ht="13" x14ac:dyDescent="0.25">
      <c r="A114" s="295"/>
      <c r="B114" s="464">
        <v>5</v>
      </c>
      <c r="C114" s="480" t="s">
        <v>1027</v>
      </c>
      <c r="D114" s="478"/>
      <c r="E114" s="478"/>
      <c r="F114" s="479"/>
      <c r="G114" s="481">
        <v>-260.88388302698593</v>
      </c>
      <c r="H114" s="481">
        <v>1</v>
      </c>
      <c r="I114" s="481">
        <v>3</v>
      </c>
      <c r="J114" s="481">
        <v>23</v>
      </c>
      <c r="K114" s="462" t="s">
        <v>1028</v>
      </c>
    </row>
    <row r="115" spans="1:11" ht="13" x14ac:dyDescent="0.25">
      <c r="A115" s="295"/>
      <c r="B115" s="464">
        <v>5</v>
      </c>
      <c r="C115" s="480" t="s">
        <v>1027</v>
      </c>
      <c r="D115" s="478"/>
      <c r="E115" s="478"/>
      <c r="F115" s="479"/>
      <c r="G115" s="481">
        <v>-221244.27368515206</v>
      </c>
      <c r="H115" s="481">
        <v>1</v>
      </c>
      <c r="I115" s="481">
        <v>3</v>
      </c>
      <c r="J115" s="481">
        <v>24</v>
      </c>
      <c r="K115" s="462" t="s">
        <v>1028</v>
      </c>
    </row>
    <row r="116" spans="1:11" ht="13" x14ac:dyDescent="0.25">
      <c r="A116" s="295"/>
      <c r="B116" s="464">
        <v>5</v>
      </c>
      <c r="C116" s="480" t="s">
        <v>1027</v>
      </c>
      <c r="D116" s="478"/>
      <c r="E116" s="478"/>
      <c r="F116" s="479"/>
      <c r="G116" s="481">
        <v>-150164.89482584535</v>
      </c>
      <c r="H116" s="481">
        <v>1</v>
      </c>
      <c r="I116" s="481">
        <v>3</v>
      </c>
      <c r="J116" s="481">
        <v>26</v>
      </c>
      <c r="K116" s="462" t="s">
        <v>1028</v>
      </c>
    </row>
    <row r="117" spans="1:11" ht="13" x14ac:dyDescent="0.25">
      <c r="A117" s="295"/>
      <c r="B117" s="464">
        <v>5</v>
      </c>
      <c r="C117" s="480" t="s">
        <v>1027</v>
      </c>
      <c r="D117" s="478"/>
      <c r="E117" s="478"/>
      <c r="F117" s="479"/>
      <c r="G117" s="481">
        <v>-12530.669814796936</v>
      </c>
      <c r="H117" s="481">
        <v>1</v>
      </c>
      <c r="I117" s="481">
        <v>3</v>
      </c>
      <c r="J117" s="481">
        <v>28</v>
      </c>
      <c r="K117" s="462" t="s">
        <v>1028</v>
      </c>
    </row>
    <row r="118" spans="1:11" ht="13" x14ac:dyDescent="0.25">
      <c r="A118" s="295"/>
      <c r="B118" s="464">
        <v>5</v>
      </c>
      <c r="C118" s="480" t="s">
        <v>1027</v>
      </c>
      <c r="D118" s="478"/>
      <c r="E118" s="478"/>
      <c r="F118" s="479"/>
      <c r="G118" s="481">
        <v>-2855.9104651162797</v>
      </c>
      <c r="H118" s="481">
        <v>1</v>
      </c>
      <c r="I118" s="481">
        <v>3</v>
      </c>
      <c r="J118" s="481">
        <v>29</v>
      </c>
      <c r="K118" s="462" t="s">
        <v>1028</v>
      </c>
    </row>
    <row r="119" spans="1:11" ht="13" x14ac:dyDescent="0.25">
      <c r="A119" s="295"/>
      <c r="B119" s="464">
        <v>5</v>
      </c>
      <c r="C119" s="480" t="s">
        <v>1027</v>
      </c>
      <c r="D119" s="478"/>
      <c r="E119" s="478"/>
      <c r="F119" s="479"/>
      <c r="G119" s="481">
        <v>-1624.1183934320195</v>
      </c>
      <c r="H119" s="481">
        <v>1</v>
      </c>
      <c r="I119" s="481">
        <v>3</v>
      </c>
      <c r="J119" s="481">
        <v>30</v>
      </c>
      <c r="K119" s="462" t="s">
        <v>1028</v>
      </c>
    </row>
    <row r="120" spans="1:11" ht="13" x14ac:dyDescent="0.25">
      <c r="A120" s="295"/>
      <c r="B120" s="464">
        <v>5</v>
      </c>
      <c r="C120" s="480" t="s">
        <v>1027</v>
      </c>
      <c r="D120" s="478"/>
      <c r="E120" s="478"/>
      <c r="F120" s="479"/>
      <c r="G120" s="481">
        <v>-2140.1335673896547</v>
      </c>
      <c r="H120" s="481">
        <v>1</v>
      </c>
      <c r="I120" s="481">
        <v>3</v>
      </c>
      <c r="J120" s="481">
        <v>33</v>
      </c>
      <c r="K120" s="462" t="s">
        <v>1028</v>
      </c>
    </row>
    <row r="121" spans="1:11" ht="13" x14ac:dyDescent="0.25">
      <c r="A121" s="295"/>
      <c r="B121" s="464">
        <v>5</v>
      </c>
      <c r="C121" s="480" t="s">
        <v>1027</v>
      </c>
      <c r="D121" s="478"/>
      <c r="E121" s="478"/>
      <c r="F121" s="479"/>
      <c r="G121" s="481">
        <v>-2862.394049629816</v>
      </c>
      <c r="H121" s="481">
        <v>1</v>
      </c>
      <c r="I121" s="481">
        <v>3</v>
      </c>
      <c r="J121" s="481">
        <v>34</v>
      </c>
      <c r="K121" s="462" t="s">
        <v>1028</v>
      </c>
    </row>
    <row r="122" spans="1:11" ht="13" x14ac:dyDescent="0.25">
      <c r="A122" s="295"/>
      <c r="B122" s="464">
        <v>5</v>
      </c>
      <c r="C122" s="480" t="s">
        <v>1027</v>
      </c>
      <c r="D122" s="478"/>
      <c r="E122" s="478"/>
      <c r="F122" s="479"/>
      <c r="G122" s="481">
        <v>-177.5882381811727</v>
      </c>
      <c r="H122" s="481">
        <v>1</v>
      </c>
      <c r="I122" s="481">
        <v>3</v>
      </c>
      <c r="J122" s="481">
        <v>36</v>
      </c>
      <c r="K122" s="462" t="s">
        <v>1028</v>
      </c>
    </row>
    <row r="123" spans="1:11" ht="13" x14ac:dyDescent="0.25">
      <c r="A123" s="295"/>
      <c r="B123" s="464">
        <v>5</v>
      </c>
      <c r="C123" s="480" t="s">
        <v>1027</v>
      </c>
      <c r="D123" s="478"/>
      <c r="E123" s="478"/>
      <c r="F123" s="479"/>
      <c r="G123" s="481">
        <v>-127.66421908418752</v>
      </c>
      <c r="H123" s="481">
        <v>1</v>
      </c>
      <c r="I123" s="481">
        <v>3</v>
      </c>
      <c r="J123" s="481">
        <v>37</v>
      </c>
      <c r="K123" s="462" t="s">
        <v>1028</v>
      </c>
    </row>
    <row r="124" spans="1:11" ht="13" x14ac:dyDescent="0.25">
      <c r="A124" s="295"/>
      <c r="B124" s="464">
        <v>5</v>
      </c>
      <c r="C124" s="480" t="s">
        <v>1027</v>
      </c>
      <c r="D124" s="478"/>
      <c r="E124" s="478"/>
      <c r="F124" s="479"/>
      <c r="G124" s="481">
        <v>-86.597844546946504</v>
      </c>
      <c r="H124" s="481">
        <v>1</v>
      </c>
      <c r="I124" s="481">
        <v>3</v>
      </c>
      <c r="J124" s="481">
        <v>38</v>
      </c>
      <c r="K124" s="462" t="s">
        <v>1028</v>
      </c>
    </row>
    <row r="125" spans="1:11" ht="13" x14ac:dyDescent="0.25">
      <c r="A125" s="295"/>
      <c r="B125" s="464">
        <v>5</v>
      </c>
      <c r="C125" s="480" t="s">
        <v>1027</v>
      </c>
      <c r="D125" s="478"/>
      <c r="E125" s="478"/>
      <c r="F125" s="479"/>
      <c r="G125" s="481">
        <v>-162672.0765412997</v>
      </c>
      <c r="H125" s="481">
        <v>1</v>
      </c>
      <c r="I125" s="481">
        <v>3</v>
      </c>
      <c r="J125" s="481">
        <v>39</v>
      </c>
      <c r="K125" s="462" t="s">
        <v>1028</v>
      </c>
    </row>
    <row r="126" spans="1:11" ht="13" x14ac:dyDescent="0.25">
      <c r="A126" s="295"/>
      <c r="B126" s="464">
        <v>5</v>
      </c>
      <c r="C126" s="480" t="s">
        <v>1027</v>
      </c>
      <c r="D126" s="478"/>
      <c r="E126" s="478"/>
      <c r="F126" s="479"/>
      <c r="G126" s="481">
        <v>-101.47329559222064</v>
      </c>
      <c r="H126" s="481">
        <v>1</v>
      </c>
      <c r="I126" s="481">
        <v>3</v>
      </c>
      <c r="J126" s="481">
        <v>41</v>
      </c>
      <c r="K126" s="462" t="s">
        <v>1028</v>
      </c>
    </row>
    <row r="127" spans="1:11" ht="13" x14ac:dyDescent="0.25">
      <c r="A127" s="295"/>
      <c r="B127" s="464">
        <v>5</v>
      </c>
      <c r="C127" s="480" t="s">
        <v>1027</v>
      </c>
      <c r="D127" s="478"/>
      <c r="E127" s="478"/>
      <c r="F127" s="479"/>
      <c r="G127" s="481">
        <v>-211.73082089655668</v>
      </c>
      <c r="H127" s="481">
        <v>1</v>
      </c>
      <c r="I127" s="481">
        <v>3</v>
      </c>
      <c r="J127" s="481">
        <v>42</v>
      </c>
      <c r="K127" s="462" t="s">
        <v>1028</v>
      </c>
    </row>
    <row r="128" spans="1:11" ht="13" x14ac:dyDescent="0.25">
      <c r="A128" s="295"/>
      <c r="B128" s="464">
        <v>5</v>
      </c>
      <c r="C128" s="480" t="s">
        <v>1027</v>
      </c>
      <c r="D128" s="478"/>
      <c r="E128" s="478"/>
      <c r="F128" s="479"/>
      <c r="G128" s="481">
        <v>-2297.9460644007163</v>
      </c>
      <c r="H128" s="481">
        <v>1</v>
      </c>
      <c r="I128" s="481">
        <v>3</v>
      </c>
      <c r="J128" s="481">
        <v>43</v>
      </c>
      <c r="K128" s="462" t="s">
        <v>1028</v>
      </c>
    </row>
    <row r="129" spans="1:11" ht="13" x14ac:dyDescent="0.25">
      <c r="A129" s="295"/>
      <c r="B129" s="464">
        <v>5</v>
      </c>
      <c r="C129" s="480" t="s">
        <v>1027</v>
      </c>
      <c r="D129" s="478"/>
      <c r="E129" s="478"/>
      <c r="F129" s="479"/>
      <c r="G129" s="481">
        <v>-4.695885509839</v>
      </c>
      <c r="H129" s="481">
        <v>1</v>
      </c>
      <c r="I129" s="481">
        <v>3</v>
      </c>
      <c r="J129" s="481">
        <v>44</v>
      </c>
      <c r="K129" s="462" t="s">
        <v>1028</v>
      </c>
    </row>
    <row r="130" spans="1:11" ht="13" x14ac:dyDescent="0.25">
      <c r="A130" s="295"/>
      <c r="B130" s="464">
        <v>5</v>
      </c>
      <c r="C130" s="480" t="s">
        <v>1027</v>
      </c>
      <c r="D130" s="478"/>
      <c r="E130" s="478"/>
      <c r="F130" s="479"/>
      <c r="G130" s="481">
        <v>-396.60341681574238</v>
      </c>
      <c r="H130" s="481">
        <v>1</v>
      </c>
      <c r="I130" s="481">
        <v>3</v>
      </c>
      <c r="J130" s="481">
        <v>45</v>
      </c>
      <c r="K130" s="462" t="s">
        <v>1028</v>
      </c>
    </row>
    <row r="131" spans="1:11" ht="13" x14ac:dyDescent="0.25">
      <c r="A131" s="295"/>
      <c r="B131" s="464">
        <v>5</v>
      </c>
      <c r="C131" s="480" t="s">
        <v>1027</v>
      </c>
      <c r="D131" s="478"/>
      <c r="E131" s="478"/>
      <c r="F131" s="479"/>
      <c r="G131" s="481">
        <v>-2977.9300088776008</v>
      </c>
      <c r="H131" s="481">
        <v>1</v>
      </c>
      <c r="I131" s="481">
        <v>3</v>
      </c>
      <c r="J131" s="481">
        <v>46</v>
      </c>
      <c r="K131" s="462" t="s">
        <v>1028</v>
      </c>
    </row>
    <row r="132" spans="1:11" ht="13" x14ac:dyDescent="0.25">
      <c r="A132" s="295"/>
      <c r="B132" s="464">
        <v>5</v>
      </c>
      <c r="C132" s="480" t="s">
        <v>1027</v>
      </c>
      <c r="D132" s="478"/>
      <c r="E132" s="478"/>
      <c r="F132" s="479"/>
      <c r="G132" s="481">
        <v>-3055.4289362028917</v>
      </c>
      <c r="H132" s="481">
        <v>1</v>
      </c>
      <c r="I132" s="481">
        <v>3</v>
      </c>
      <c r="J132" s="481">
        <v>47</v>
      </c>
      <c r="K132" s="462" t="s">
        <v>1028</v>
      </c>
    </row>
    <row r="133" spans="1:11" ht="13" x14ac:dyDescent="0.25">
      <c r="A133" s="295"/>
      <c r="B133" s="464">
        <v>5</v>
      </c>
      <c r="C133" s="480" t="s">
        <v>1027</v>
      </c>
      <c r="D133" s="478"/>
      <c r="E133" s="478"/>
      <c r="F133" s="479"/>
      <c r="G133" s="481">
        <v>-18826.652012815452</v>
      </c>
      <c r="H133" s="481">
        <v>1</v>
      </c>
      <c r="I133" s="481">
        <v>3</v>
      </c>
      <c r="J133" s="481">
        <v>48</v>
      </c>
      <c r="K133" s="462" t="s">
        <v>1028</v>
      </c>
    </row>
    <row r="134" spans="1:11" ht="13" x14ac:dyDescent="0.25">
      <c r="A134" s="295"/>
      <c r="B134" s="464">
        <v>5</v>
      </c>
      <c r="C134" s="480" t="s">
        <v>1027</v>
      </c>
      <c r="D134" s="478"/>
      <c r="E134" s="478"/>
      <c r="F134" s="479"/>
      <c r="G134" s="481">
        <v>268082.58</v>
      </c>
      <c r="H134" s="481">
        <v>1</v>
      </c>
      <c r="I134" s="481">
        <v>5</v>
      </c>
      <c r="J134" s="482">
        <v>2</v>
      </c>
      <c r="K134" s="462" t="s">
        <v>1028</v>
      </c>
    </row>
    <row r="135" spans="1:11" ht="13" x14ac:dyDescent="0.25">
      <c r="A135" s="295"/>
      <c r="B135" s="464">
        <v>5</v>
      </c>
      <c r="C135" s="480" t="s">
        <v>1027</v>
      </c>
      <c r="D135" s="478"/>
      <c r="E135" s="478"/>
      <c r="F135" s="479"/>
      <c r="G135" s="481">
        <v>219544.53764236439</v>
      </c>
      <c r="H135" s="481">
        <v>1</v>
      </c>
      <c r="I135" s="481">
        <v>5</v>
      </c>
      <c r="J135" s="482">
        <v>3</v>
      </c>
      <c r="K135" s="462" t="s">
        <v>1028</v>
      </c>
    </row>
    <row r="136" spans="1:11" ht="13" x14ac:dyDescent="0.25">
      <c r="A136" s="295"/>
      <c r="B136" s="464">
        <v>5</v>
      </c>
      <c r="C136" s="480" t="s">
        <v>1027</v>
      </c>
      <c r="D136" s="478"/>
      <c r="E136" s="478"/>
      <c r="F136" s="479"/>
      <c r="G136" s="481">
        <v>31107.665478150237</v>
      </c>
      <c r="H136" s="481">
        <v>1</v>
      </c>
      <c r="I136" s="481">
        <v>5</v>
      </c>
      <c r="J136" s="482">
        <v>6</v>
      </c>
      <c r="K136" s="462" t="s">
        <v>1028</v>
      </c>
    </row>
    <row r="137" spans="1:11" ht="13" x14ac:dyDescent="0.25">
      <c r="A137" s="295"/>
      <c r="B137" s="464">
        <v>5</v>
      </c>
      <c r="C137" s="480" t="s">
        <v>1027</v>
      </c>
      <c r="D137" s="478"/>
      <c r="E137" s="478"/>
      <c r="F137" s="479"/>
      <c r="G137" s="481">
        <v>34.655424889221123</v>
      </c>
      <c r="H137" s="481">
        <v>1</v>
      </c>
      <c r="I137" s="481">
        <v>5</v>
      </c>
      <c r="J137" s="482">
        <v>10</v>
      </c>
      <c r="K137" s="462" t="s">
        <v>1028</v>
      </c>
    </row>
    <row r="138" spans="1:11" ht="13" x14ac:dyDescent="0.25">
      <c r="A138" s="295"/>
      <c r="B138" s="464">
        <v>5</v>
      </c>
      <c r="C138" s="480" t="s">
        <v>1027</v>
      </c>
      <c r="D138" s="478"/>
      <c r="E138" s="478"/>
      <c r="F138" s="479"/>
      <c r="G138" s="481">
        <v>126267.76285372549</v>
      </c>
      <c r="H138" s="481">
        <v>1</v>
      </c>
      <c r="I138" s="481">
        <v>5</v>
      </c>
      <c r="J138" s="482">
        <v>11</v>
      </c>
      <c r="K138" s="462" t="s">
        <v>1028</v>
      </c>
    </row>
    <row r="139" spans="1:11" ht="13" x14ac:dyDescent="0.25">
      <c r="A139" s="295"/>
      <c r="B139" s="464">
        <v>5</v>
      </c>
      <c r="C139" s="480" t="s">
        <v>1027</v>
      </c>
      <c r="D139" s="478"/>
      <c r="E139" s="478"/>
      <c r="F139" s="479"/>
      <c r="G139" s="481">
        <v>69.915741201722014</v>
      </c>
      <c r="H139" s="481">
        <v>1</v>
      </c>
      <c r="I139" s="481">
        <v>5</v>
      </c>
      <c r="J139" s="482">
        <v>12</v>
      </c>
      <c r="K139" s="462" t="s">
        <v>1028</v>
      </c>
    </row>
    <row r="140" spans="1:11" ht="13" x14ac:dyDescent="0.25">
      <c r="A140" s="295"/>
      <c r="B140" s="464">
        <v>5</v>
      </c>
      <c r="C140" s="480" t="s">
        <v>1027</v>
      </c>
      <c r="D140" s="478"/>
      <c r="E140" s="478"/>
      <c r="F140" s="479"/>
      <c r="G140" s="481">
        <v>260.88388302698593</v>
      </c>
      <c r="H140" s="481">
        <v>1</v>
      </c>
      <c r="I140" s="481">
        <v>5</v>
      </c>
      <c r="J140" s="482">
        <v>23</v>
      </c>
      <c r="K140" s="462" t="s">
        <v>1028</v>
      </c>
    </row>
    <row r="141" spans="1:11" ht="13" x14ac:dyDescent="0.25">
      <c r="A141" s="295"/>
      <c r="B141" s="464">
        <v>5</v>
      </c>
      <c r="C141" s="480" t="s">
        <v>1027</v>
      </c>
      <c r="D141" s="478"/>
      <c r="E141" s="478"/>
      <c r="F141" s="479"/>
      <c r="G141" s="481">
        <v>221244.27368515206</v>
      </c>
      <c r="H141" s="481">
        <v>1</v>
      </c>
      <c r="I141" s="481">
        <v>5</v>
      </c>
      <c r="J141" s="482">
        <v>24</v>
      </c>
      <c r="K141" s="462" t="s">
        <v>1028</v>
      </c>
    </row>
    <row r="142" spans="1:11" ht="13" x14ac:dyDescent="0.25">
      <c r="A142" s="295"/>
      <c r="B142" s="464">
        <v>5</v>
      </c>
      <c r="C142" s="480" t="s">
        <v>1027</v>
      </c>
      <c r="D142" s="478"/>
      <c r="E142" s="478"/>
      <c r="F142" s="479"/>
      <c r="G142" s="481">
        <v>150164.89482584535</v>
      </c>
      <c r="H142" s="481">
        <v>1</v>
      </c>
      <c r="I142" s="481">
        <v>5</v>
      </c>
      <c r="J142" s="482">
        <v>26</v>
      </c>
      <c r="K142" s="462" t="s">
        <v>1028</v>
      </c>
    </row>
    <row r="143" spans="1:11" ht="13" x14ac:dyDescent="0.25">
      <c r="A143" s="295"/>
      <c r="B143" s="464">
        <v>5</v>
      </c>
      <c r="C143" s="480" t="s">
        <v>1027</v>
      </c>
      <c r="D143" s="478"/>
      <c r="E143" s="478"/>
      <c r="F143" s="479"/>
      <c r="G143" s="481">
        <v>12530.669814796936</v>
      </c>
      <c r="H143" s="481">
        <v>1</v>
      </c>
      <c r="I143" s="481">
        <v>5</v>
      </c>
      <c r="J143" s="482">
        <v>28</v>
      </c>
      <c r="K143" s="462" t="s">
        <v>1028</v>
      </c>
    </row>
    <row r="144" spans="1:11" ht="13" x14ac:dyDescent="0.25">
      <c r="A144" s="295"/>
      <c r="B144" s="464">
        <v>5</v>
      </c>
      <c r="C144" s="480" t="s">
        <v>1027</v>
      </c>
      <c r="D144" s="478"/>
      <c r="E144" s="478"/>
      <c r="F144" s="479"/>
      <c r="G144" s="481">
        <v>2855.9104651162797</v>
      </c>
      <c r="H144" s="481">
        <v>1</v>
      </c>
      <c r="I144" s="481">
        <v>5</v>
      </c>
      <c r="J144" s="482">
        <v>29</v>
      </c>
      <c r="K144" s="462" t="s">
        <v>1028</v>
      </c>
    </row>
    <row r="145" spans="1:11" ht="13" x14ac:dyDescent="0.25">
      <c r="A145" s="295"/>
      <c r="B145" s="464">
        <v>5</v>
      </c>
      <c r="C145" s="480" t="s">
        <v>1027</v>
      </c>
      <c r="D145" s="478"/>
      <c r="E145" s="478"/>
      <c r="F145" s="479"/>
      <c r="G145" s="481">
        <v>1624.1183934320195</v>
      </c>
      <c r="H145" s="481">
        <v>1</v>
      </c>
      <c r="I145" s="481">
        <v>5</v>
      </c>
      <c r="J145" s="482">
        <v>30</v>
      </c>
      <c r="K145" s="462" t="s">
        <v>1028</v>
      </c>
    </row>
    <row r="146" spans="1:11" ht="13" x14ac:dyDescent="0.25">
      <c r="A146" s="295"/>
      <c r="B146" s="464">
        <v>5</v>
      </c>
      <c r="C146" s="480" t="s">
        <v>1027</v>
      </c>
      <c r="D146" s="478"/>
      <c r="E146" s="478"/>
      <c r="F146" s="479"/>
      <c r="G146" s="481">
        <v>2140.1335673896547</v>
      </c>
      <c r="H146" s="481">
        <v>1</v>
      </c>
      <c r="I146" s="481">
        <v>5</v>
      </c>
      <c r="J146" s="482">
        <v>33</v>
      </c>
      <c r="K146" s="462" t="s">
        <v>1028</v>
      </c>
    </row>
    <row r="147" spans="1:11" ht="13" x14ac:dyDescent="0.25">
      <c r="A147" s="295"/>
      <c r="B147" s="464">
        <v>5</v>
      </c>
      <c r="C147" s="480" t="s">
        <v>1027</v>
      </c>
      <c r="D147" s="478"/>
      <c r="E147" s="478"/>
      <c r="F147" s="479"/>
      <c r="G147" s="481">
        <v>2862.394049629816</v>
      </c>
      <c r="H147" s="481">
        <v>1</v>
      </c>
      <c r="I147" s="481">
        <v>5</v>
      </c>
      <c r="J147" s="482">
        <v>34</v>
      </c>
      <c r="K147" s="462" t="s">
        <v>1028</v>
      </c>
    </row>
    <row r="148" spans="1:11" ht="13" x14ac:dyDescent="0.25">
      <c r="A148" s="295"/>
      <c r="B148" s="464">
        <v>5</v>
      </c>
      <c r="C148" s="480" t="s">
        <v>1027</v>
      </c>
      <c r="D148" s="478"/>
      <c r="E148" s="478"/>
      <c r="F148" s="479"/>
      <c r="G148" s="481">
        <v>177.5882381811727</v>
      </c>
      <c r="H148" s="481">
        <v>1</v>
      </c>
      <c r="I148" s="481">
        <v>5</v>
      </c>
      <c r="J148" s="482">
        <v>36</v>
      </c>
      <c r="K148" s="462" t="s">
        <v>1028</v>
      </c>
    </row>
    <row r="149" spans="1:11" ht="13" x14ac:dyDescent="0.25">
      <c r="A149" s="295"/>
      <c r="B149" s="464">
        <v>5</v>
      </c>
      <c r="C149" s="480" t="s">
        <v>1027</v>
      </c>
      <c r="D149" s="478"/>
      <c r="E149" s="478"/>
      <c r="F149" s="479"/>
      <c r="G149" s="481">
        <v>127.66421908418752</v>
      </c>
      <c r="H149" s="481">
        <v>1</v>
      </c>
      <c r="I149" s="481">
        <v>5</v>
      </c>
      <c r="J149" s="482">
        <v>37</v>
      </c>
      <c r="K149" s="462" t="s">
        <v>1028</v>
      </c>
    </row>
    <row r="150" spans="1:11" ht="13" x14ac:dyDescent="0.25">
      <c r="A150" s="295"/>
      <c r="B150" s="464">
        <v>5</v>
      </c>
      <c r="C150" s="480" t="s">
        <v>1027</v>
      </c>
      <c r="D150" s="478"/>
      <c r="E150" s="478"/>
      <c r="F150" s="479"/>
      <c r="G150" s="481">
        <v>86.597844546946504</v>
      </c>
      <c r="H150" s="481">
        <v>1</v>
      </c>
      <c r="I150" s="481">
        <v>5</v>
      </c>
      <c r="J150" s="482">
        <v>38</v>
      </c>
      <c r="K150" s="462" t="s">
        <v>1028</v>
      </c>
    </row>
    <row r="151" spans="1:11" ht="13" x14ac:dyDescent="0.25">
      <c r="A151" s="295"/>
      <c r="B151" s="464">
        <v>5</v>
      </c>
      <c r="C151" s="480" t="s">
        <v>1027</v>
      </c>
      <c r="D151" s="478"/>
      <c r="E151" s="478"/>
      <c r="F151" s="479"/>
      <c r="G151" s="481">
        <v>162672.0765412997</v>
      </c>
      <c r="H151" s="481">
        <v>1</v>
      </c>
      <c r="I151" s="481">
        <v>5</v>
      </c>
      <c r="J151" s="482">
        <v>39</v>
      </c>
      <c r="K151" s="462" t="s">
        <v>1028</v>
      </c>
    </row>
    <row r="152" spans="1:11" ht="13" x14ac:dyDescent="0.25">
      <c r="A152" s="295"/>
      <c r="B152" s="464">
        <v>5</v>
      </c>
      <c r="C152" s="480" t="s">
        <v>1027</v>
      </c>
      <c r="D152" s="478"/>
      <c r="E152" s="478"/>
      <c r="F152" s="479"/>
      <c r="G152" s="481">
        <v>101.47329559222064</v>
      </c>
      <c r="H152" s="481">
        <v>1</v>
      </c>
      <c r="I152" s="481">
        <v>5</v>
      </c>
      <c r="J152" s="482">
        <v>41</v>
      </c>
      <c r="K152" s="462" t="s">
        <v>1028</v>
      </c>
    </row>
    <row r="153" spans="1:11" ht="13" x14ac:dyDescent="0.25">
      <c r="A153" s="295"/>
      <c r="B153" s="464">
        <v>5</v>
      </c>
      <c r="C153" s="480" t="s">
        <v>1027</v>
      </c>
      <c r="D153" s="478"/>
      <c r="E153" s="478"/>
      <c r="F153" s="479"/>
      <c r="G153" s="481">
        <v>211.73082089655668</v>
      </c>
      <c r="H153" s="481">
        <v>1</v>
      </c>
      <c r="I153" s="481">
        <v>5</v>
      </c>
      <c r="J153" s="482">
        <v>42</v>
      </c>
      <c r="K153" s="462" t="s">
        <v>1028</v>
      </c>
    </row>
    <row r="154" spans="1:11" ht="13" x14ac:dyDescent="0.25">
      <c r="A154" s="295"/>
      <c r="B154" s="464">
        <v>5</v>
      </c>
      <c r="C154" s="480" t="s">
        <v>1027</v>
      </c>
      <c r="D154" s="478"/>
      <c r="E154" s="478"/>
      <c r="F154" s="479"/>
      <c r="G154" s="481">
        <v>2297.9460644007163</v>
      </c>
      <c r="H154" s="481">
        <v>1</v>
      </c>
      <c r="I154" s="481">
        <v>5</v>
      </c>
      <c r="J154" s="482">
        <v>43</v>
      </c>
      <c r="K154" s="462" t="s">
        <v>1028</v>
      </c>
    </row>
    <row r="155" spans="1:11" ht="13" x14ac:dyDescent="0.25">
      <c r="A155" s="295"/>
      <c r="B155" s="464">
        <v>5</v>
      </c>
      <c r="C155" s="480" t="s">
        <v>1027</v>
      </c>
      <c r="D155" s="478"/>
      <c r="E155" s="478"/>
      <c r="F155" s="479"/>
      <c r="G155" s="481">
        <v>4.695885509839</v>
      </c>
      <c r="H155" s="481">
        <v>1</v>
      </c>
      <c r="I155" s="481">
        <v>5</v>
      </c>
      <c r="J155" s="482">
        <v>44</v>
      </c>
      <c r="K155" s="462" t="s">
        <v>1028</v>
      </c>
    </row>
    <row r="156" spans="1:11" ht="13" x14ac:dyDescent="0.25">
      <c r="A156" s="295"/>
      <c r="B156" s="464">
        <v>5</v>
      </c>
      <c r="C156" s="480" t="s">
        <v>1027</v>
      </c>
      <c r="D156" s="478"/>
      <c r="E156" s="478"/>
      <c r="F156" s="479"/>
      <c r="G156" s="481">
        <v>396.60341681574238</v>
      </c>
      <c r="H156" s="481">
        <v>1</v>
      </c>
      <c r="I156" s="481">
        <v>5</v>
      </c>
      <c r="J156" s="482">
        <v>45</v>
      </c>
      <c r="K156" s="462" t="s">
        <v>1028</v>
      </c>
    </row>
    <row r="157" spans="1:11" ht="13" x14ac:dyDescent="0.25">
      <c r="A157" s="295"/>
      <c r="B157" s="464">
        <v>5</v>
      </c>
      <c r="C157" s="480" t="s">
        <v>1027</v>
      </c>
      <c r="D157" s="478"/>
      <c r="E157" s="478"/>
      <c r="F157" s="479"/>
      <c r="G157" s="481">
        <v>2977.9300088776008</v>
      </c>
      <c r="H157" s="481">
        <v>1</v>
      </c>
      <c r="I157" s="481">
        <v>5</v>
      </c>
      <c r="J157" s="482">
        <v>46</v>
      </c>
      <c r="K157" s="462" t="s">
        <v>1028</v>
      </c>
    </row>
    <row r="158" spans="1:11" ht="13" x14ac:dyDescent="0.25">
      <c r="A158" s="295"/>
      <c r="B158" s="464">
        <v>5</v>
      </c>
      <c r="C158" s="480" t="s">
        <v>1027</v>
      </c>
      <c r="D158" s="478"/>
      <c r="E158" s="478"/>
      <c r="F158" s="479"/>
      <c r="G158" s="481">
        <v>3055.4289362028917</v>
      </c>
      <c r="H158" s="481">
        <v>1</v>
      </c>
      <c r="I158" s="481">
        <v>5</v>
      </c>
      <c r="J158" s="482">
        <v>47</v>
      </c>
      <c r="K158" s="462" t="s">
        <v>1028</v>
      </c>
    </row>
    <row r="159" spans="1:11" ht="13" x14ac:dyDescent="0.25">
      <c r="A159" s="295"/>
      <c r="B159" s="464">
        <v>5</v>
      </c>
      <c r="C159" s="480" t="s">
        <v>1027</v>
      </c>
      <c r="D159" s="478"/>
      <c r="E159" s="478"/>
      <c r="F159" s="479"/>
      <c r="G159" s="481">
        <v>18826.652012815452</v>
      </c>
      <c r="H159" s="481">
        <v>1</v>
      </c>
      <c r="I159" s="481">
        <v>5</v>
      </c>
      <c r="J159" s="482">
        <v>48</v>
      </c>
      <c r="K159" s="462" t="s">
        <v>1028</v>
      </c>
    </row>
    <row r="160" spans="1:11" ht="13" x14ac:dyDescent="0.25">
      <c r="A160" s="295"/>
      <c r="B160" s="464"/>
      <c r="C160" s="474"/>
      <c r="D160" s="475"/>
      <c r="E160" s="475"/>
      <c r="F160" s="475"/>
      <c r="G160" s="476"/>
      <c r="H160" s="303"/>
      <c r="I160" s="303"/>
      <c r="J160" s="303"/>
      <c r="K160" s="462"/>
    </row>
    <row r="161" spans="1:11" ht="13" x14ac:dyDescent="0.25">
      <c r="A161" s="295"/>
      <c r="B161" s="464">
        <v>6</v>
      </c>
      <c r="C161" s="480" t="s">
        <v>1027</v>
      </c>
      <c r="D161" s="478"/>
      <c r="E161" s="478"/>
      <c r="F161" s="479"/>
      <c r="G161" s="481">
        <v>-175614.67860735196</v>
      </c>
      <c r="H161" s="481">
        <v>1</v>
      </c>
      <c r="I161" s="481">
        <v>3</v>
      </c>
      <c r="J161" s="481">
        <v>3</v>
      </c>
      <c r="K161" s="462" t="s">
        <v>1028</v>
      </c>
    </row>
    <row r="162" spans="1:11" ht="13" x14ac:dyDescent="0.25">
      <c r="A162" s="295"/>
      <c r="B162" s="464">
        <v>6</v>
      </c>
      <c r="C162" s="480" t="s">
        <v>1027</v>
      </c>
      <c r="D162" s="478"/>
      <c r="E162" s="478"/>
      <c r="F162" s="478"/>
      <c r="G162" s="481">
        <v>-41882.703714282805</v>
      </c>
      <c r="H162" s="481">
        <v>1</v>
      </c>
      <c r="I162" s="481">
        <v>3</v>
      </c>
      <c r="J162" s="481">
        <v>6</v>
      </c>
      <c r="K162" s="462" t="s">
        <v>1028</v>
      </c>
    </row>
    <row r="163" spans="1:11" ht="13" x14ac:dyDescent="0.25">
      <c r="A163" s="295"/>
      <c r="B163" s="464">
        <v>6</v>
      </c>
      <c r="C163" s="480" t="s">
        <v>1027</v>
      </c>
      <c r="D163" s="478"/>
      <c r="E163" s="478"/>
      <c r="F163" s="478"/>
      <c r="G163" s="481">
        <v>-33.286520845550257</v>
      </c>
      <c r="H163" s="481">
        <v>1</v>
      </c>
      <c r="I163" s="481">
        <v>3</v>
      </c>
      <c r="J163" s="481">
        <v>10</v>
      </c>
      <c r="K163" s="462" t="s">
        <v>1028</v>
      </c>
    </row>
    <row r="164" spans="1:11" ht="13" x14ac:dyDescent="0.25">
      <c r="A164" s="295"/>
      <c r="B164" s="464">
        <v>6</v>
      </c>
      <c r="C164" s="480" t="s">
        <v>1027</v>
      </c>
      <c r="D164" s="478"/>
      <c r="E164" s="478"/>
      <c r="F164" s="478"/>
      <c r="G164" s="481">
        <v>-55164.3069118067</v>
      </c>
      <c r="H164" s="481">
        <v>1</v>
      </c>
      <c r="I164" s="481">
        <v>3</v>
      </c>
      <c r="J164" s="481">
        <v>11</v>
      </c>
      <c r="K164" s="462" t="s">
        <v>1028</v>
      </c>
    </row>
    <row r="165" spans="1:11" ht="13" x14ac:dyDescent="0.25">
      <c r="A165" s="295"/>
      <c r="B165" s="464">
        <v>6</v>
      </c>
      <c r="C165" s="480" t="s">
        <v>1027</v>
      </c>
      <c r="D165" s="478"/>
      <c r="E165" s="478"/>
      <c r="F165" s="478"/>
      <c r="G165" s="481">
        <v>-248.23839486881806</v>
      </c>
      <c r="H165" s="481">
        <v>1</v>
      </c>
      <c r="I165" s="481">
        <v>3</v>
      </c>
      <c r="J165" s="481">
        <v>12</v>
      </c>
      <c r="K165" s="462" t="s">
        <v>1028</v>
      </c>
    </row>
    <row r="166" spans="1:11" ht="13" x14ac:dyDescent="0.25">
      <c r="A166" s="295"/>
      <c r="B166" s="464">
        <v>6</v>
      </c>
      <c r="C166" s="480" t="s">
        <v>1027</v>
      </c>
      <c r="D166" s="478"/>
      <c r="E166" s="478"/>
      <c r="F166" s="478"/>
      <c r="G166" s="481">
        <v>-103573.435</v>
      </c>
      <c r="H166" s="481">
        <v>1</v>
      </c>
      <c r="I166" s="481">
        <v>3</v>
      </c>
      <c r="J166" s="481">
        <v>15</v>
      </c>
      <c r="K166" s="462" t="s">
        <v>1028</v>
      </c>
    </row>
    <row r="167" spans="1:11" ht="13" x14ac:dyDescent="0.25">
      <c r="A167" s="295"/>
      <c r="B167" s="464">
        <v>6</v>
      </c>
      <c r="C167" s="480" t="s">
        <v>1027</v>
      </c>
      <c r="D167" s="478"/>
      <c r="E167" s="478"/>
      <c r="F167" s="478"/>
      <c r="G167" s="481">
        <v>-12829.067000000001</v>
      </c>
      <c r="H167" s="481">
        <v>1</v>
      </c>
      <c r="I167" s="481">
        <v>3</v>
      </c>
      <c r="J167" s="481">
        <v>21</v>
      </c>
      <c r="K167" s="462" t="s">
        <v>1028</v>
      </c>
    </row>
    <row r="168" spans="1:11" ht="13" x14ac:dyDescent="0.25">
      <c r="A168" s="295"/>
      <c r="B168" s="464">
        <v>6</v>
      </c>
      <c r="C168" s="480" t="s">
        <v>1027</v>
      </c>
      <c r="D168" s="478"/>
      <c r="E168" s="478"/>
      <c r="F168" s="478"/>
      <c r="G168" s="481">
        <v>-314.1532447800646</v>
      </c>
      <c r="H168" s="481">
        <v>1</v>
      </c>
      <c r="I168" s="481">
        <v>3</v>
      </c>
      <c r="J168" s="481">
        <v>23</v>
      </c>
      <c r="K168" s="462" t="s">
        <v>1028</v>
      </c>
    </row>
    <row r="169" spans="1:11" ht="13" x14ac:dyDescent="0.25">
      <c r="A169" s="295"/>
      <c r="B169" s="464">
        <v>6</v>
      </c>
      <c r="C169" s="480" t="s">
        <v>1027</v>
      </c>
      <c r="D169" s="478"/>
      <c r="E169" s="478"/>
      <c r="F169" s="478"/>
      <c r="G169" s="481">
        <v>-600.37128533094824</v>
      </c>
      <c r="H169" s="481">
        <v>1</v>
      </c>
      <c r="I169" s="481">
        <v>3</v>
      </c>
      <c r="J169" s="481">
        <v>24</v>
      </c>
      <c r="K169" s="462" t="s">
        <v>1028</v>
      </c>
    </row>
    <row r="170" spans="1:11" ht="13" x14ac:dyDescent="0.25">
      <c r="A170" s="295"/>
      <c r="B170" s="464">
        <v>6</v>
      </c>
      <c r="C170" s="480" t="s">
        <v>1027</v>
      </c>
      <c r="D170" s="478"/>
      <c r="E170" s="478"/>
      <c r="F170" s="478"/>
      <c r="G170" s="481">
        <v>-11498.349551378311</v>
      </c>
      <c r="H170" s="481">
        <v>1</v>
      </c>
      <c r="I170" s="481">
        <v>3</v>
      </c>
      <c r="J170" s="481">
        <v>26</v>
      </c>
      <c r="K170" s="462" t="s">
        <v>1028</v>
      </c>
    </row>
    <row r="171" spans="1:11" ht="13" x14ac:dyDescent="0.25">
      <c r="A171" s="295"/>
      <c r="B171" s="464">
        <v>6</v>
      </c>
      <c r="C171" s="480" t="s">
        <v>1027</v>
      </c>
      <c r="D171" s="478"/>
      <c r="E171" s="478"/>
      <c r="F171" s="478"/>
      <c r="G171" s="481">
        <v>-15060.288685488005</v>
      </c>
      <c r="H171" s="481">
        <v>1</v>
      </c>
      <c r="I171" s="481">
        <v>3</v>
      </c>
      <c r="J171" s="481">
        <v>28</v>
      </c>
      <c r="K171" s="462" t="s">
        <v>1028</v>
      </c>
    </row>
    <row r="172" spans="1:11" ht="13" x14ac:dyDescent="0.25">
      <c r="A172" s="295"/>
      <c r="B172" s="464">
        <v>6</v>
      </c>
      <c r="C172" s="480" t="s">
        <v>1027</v>
      </c>
      <c r="D172" s="478"/>
      <c r="E172" s="478"/>
      <c r="F172" s="478"/>
      <c r="G172" s="481">
        <v>-104888.81395348835</v>
      </c>
      <c r="H172" s="481">
        <v>1</v>
      </c>
      <c r="I172" s="481">
        <v>3</v>
      </c>
      <c r="J172" s="481">
        <v>29</v>
      </c>
      <c r="K172" s="462" t="s">
        <v>1028</v>
      </c>
    </row>
    <row r="173" spans="1:11" ht="13" x14ac:dyDescent="0.25">
      <c r="A173" s="295"/>
      <c r="B173" s="464">
        <v>6</v>
      </c>
      <c r="C173" s="480" t="s">
        <v>1027</v>
      </c>
      <c r="D173" s="478"/>
      <c r="E173" s="478"/>
      <c r="F173" s="478"/>
      <c r="G173" s="481">
        <v>-2366.0534106462064</v>
      </c>
      <c r="H173" s="481">
        <v>1</v>
      </c>
      <c r="I173" s="481">
        <v>3</v>
      </c>
      <c r="J173" s="481">
        <v>30</v>
      </c>
      <c r="K173" s="462" t="s">
        <v>1028</v>
      </c>
    </row>
    <row r="174" spans="1:11" ht="13" x14ac:dyDescent="0.25">
      <c r="A174" s="295"/>
      <c r="B174" s="464">
        <v>6</v>
      </c>
      <c r="C174" s="480" t="s">
        <v>1027</v>
      </c>
      <c r="D174" s="478"/>
      <c r="E174" s="478"/>
      <c r="F174" s="478"/>
      <c r="G174" s="481">
        <v>-12453.830309784538</v>
      </c>
      <c r="H174" s="481">
        <v>1</v>
      </c>
      <c r="I174" s="481">
        <v>3</v>
      </c>
      <c r="J174" s="481">
        <v>33</v>
      </c>
      <c r="K174" s="462" t="s">
        <v>1028</v>
      </c>
    </row>
    <row r="175" spans="1:11" ht="13" x14ac:dyDescent="0.25">
      <c r="A175" s="295"/>
      <c r="B175" s="464">
        <v>6</v>
      </c>
      <c r="C175" s="480" t="s">
        <v>1027</v>
      </c>
      <c r="D175" s="478"/>
      <c r="E175" s="478"/>
      <c r="F175" s="478"/>
      <c r="G175" s="481">
        <v>-14221.825836974042</v>
      </c>
      <c r="H175" s="481">
        <v>1</v>
      </c>
      <c r="I175" s="481">
        <v>3</v>
      </c>
      <c r="J175" s="481">
        <v>34</v>
      </c>
      <c r="K175" s="462" t="s">
        <v>1028</v>
      </c>
    </row>
    <row r="176" spans="1:11" ht="13" x14ac:dyDescent="0.25">
      <c r="A176" s="295"/>
      <c r="B176" s="464">
        <v>6</v>
      </c>
      <c r="C176" s="480" t="s">
        <v>1027</v>
      </c>
      <c r="D176" s="478"/>
      <c r="E176" s="478"/>
      <c r="F176" s="478"/>
      <c r="G176" s="481">
        <v>-1171.9223828568174</v>
      </c>
      <c r="H176" s="481">
        <v>1</v>
      </c>
      <c r="I176" s="481">
        <v>3</v>
      </c>
      <c r="J176" s="481">
        <v>36</v>
      </c>
      <c r="K176" s="462" t="s">
        <v>1028</v>
      </c>
    </row>
    <row r="177" spans="1:11" ht="13" x14ac:dyDescent="0.25">
      <c r="A177" s="295"/>
      <c r="B177" s="464">
        <v>6</v>
      </c>
      <c r="C177" s="480" t="s">
        <v>1027</v>
      </c>
      <c r="D177" s="478"/>
      <c r="E177" s="478"/>
      <c r="F177" s="478"/>
      <c r="G177" s="481">
        <v>-1475.1493894745374</v>
      </c>
      <c r="H177" s="481">
        <v>1</v>
      </c>
      <c r="I177" s="481">
        <v>3</v>
      </c>
      <c r="J177" s="481">
        <v>37</v>
      </c>
      <c r="K177" s="462" t="s">
        <v>1028</v>
      </c>
    </row>
    <row r="178" spans="1:11" ht="13" x14ac:dyDescent="0.25">
      <c r="A178" s="295"/>
      <c r="B178" s="464">
        <v>6</v>
      </c>
      <c r="C178" s="480" t="s">
        <v>1027</v>
      </c>
      <c r="D178" s="478"/>
      <c r="E178" s="478"/>
      <c r="F178" s="478"/>
      <c r="G178" s="481">
        <v>-1091.9699319594849</v>
      </c>
      <c r="H178" s="481">
        <v>1</v>
      </c>
      <c r="I178" s="481">
        <v>3</v>
      </c>
      <c r="J178" s="481">
        <v>38</v>
      </c>
      <c r="K178" s="462" t="s">
        <v>1028</v>
      </c>
    </row>
    <row r="179" spans="1:11" ht="13" x14ac:dyDescent="0.25">
      <c r="A179" s="295"/>
      <c r="B179" s="464">
        <v>6</v>
      </c>
      <c r="C179" s="480" t="s">
        <v>1027</v>
      </c>
      <c r="D179" s="478"/>
      <c r="E179" s="478"/>
      <c r="F179" s="478"/>
      <c r="G179" s="481">
        <v>-31122.446556080511</v>
      </c>
      <c r="H179" s="481">
        <v>1</v>
      </c>
      <c r="I179" s="481">
        <v>3</v>
      </c>
      <c r="J179" s="481">
        <v>39</v>
      </c>
      <c r="K179" s="462" t="s">
        <v>1028</v>
      </c>
    </row>
    <row r="180" spans="1:11" ht="13" x14ac:dyDescent="0.25">
      <c r="A180" s="295"/>
      <c r="B180" s="464">
        <v>6</v>
      </c>
      <c r="C180" s="480" t="s">
        <v>1027</v>
      </c>
      <c r="D180" s="478"/>
      <c r="E180" s="478"/>
      <c r="F180" s="478"/>
      <c r="G180" s="481">
        <v>-10308.846716931588</v>
      </c>
      <c r="H180" s="481">
        <v>1</v>
      </c>
      <c r="I180" s="481">
        <v>3</v>
      </c>
      <c r="J180" s="481">
        <v>41</v>
      </c>
      <c r="K180" s="462" t="s">
        <v>1028</v>
      </c>
    </row>
    <row r="181" spans="1:11" ht="13" x14ac:dyDescent="0.25">
      <c r="A181" s="295"/>
      <c r="B181" s="464">
        <v>6</v>
      </c>
      <c r="C181" s="480" t="s">
        <v>1027</v>
      </c>
      <c r="D181" s="478"/>
      <c r="E181" s="478"/>
      <c r="F181" s="478"/>
      <c r="G181" s="481">
        <v>-1211.6321571608846</v>
      </c>
      <c r="H181" s="481">
        <v>1</v>
      </c>
      <c r="I181" s="481">
        <v>3</v>
      </c>
      <c r="J181" s="481">
        <v>42</v>
      </c>
      <c r="K181" s="462" t="s">
        <v>1028</v>
      </c>
    </row>
    <row r="182" spans="1:11" ht="13" x14ac:dyDescent="0.25">
      <c r="A182" s="295"/>
      <c r="B182" s="464">
        <v>6</v>
      </c>
      <c r="C182" s="480" t="s">
        <v>1027</v>
      </c>
      <c r="D182" s="478"/>
      <c r="E182" s="478"/>
      <c r="F182" s="478"/>
      <c r="G182" s="481">
        <v>-2734.5558166368523</v>
      </c>
      <c r="H182" s="481">
        <v>1</v>
      </c>
      <c r="I182" s="481">
        <v>3</v>
      </c>
      <c r="J182" s="481">
        <v>43</v>
      </c>
      <c r="K182" s="462" t="s">
        <v>1028</v>
      </c>
    </row>
    <row r="183" spans="1:11" ht="13" x14ac:dyDescent="0.25">
      <c r="A183" s="295"/>
      <c r="B183" s="464">
        <v>6</v>
      </c>
      <c r="C183" s="480" t="s">
        <v>1027</v>
      </c>
      <c r="D183" s="478"/>
      <c r="E183" s="478"/>
      <c r="F183" s="478"/>
      <c r="G183" s="481">
        <v>-464.58810375670839</v>
      </c>
      <c r="H183" s="481">
        <v>1</v>
      </c>
      <c r="I183" s="481">
        <v>3</v>
      </c>
      <c r="J183" s="481">
        <v>44</v>
      </c>
      <c r="K183" s="462" t="s">
        <v>1028</v>
      </c>
    </row>
    <row r="184" spans="1:11" ht="13" x14ac:dyDescent="0.25">
      <c r="A184" s="295"/>
      <c r="B184" s="464">
        <v>6</v>
      </c>
      <c r="C184" s="480" t="s">
        <v>1027</v>
      </c>
      <c r="D184" s="478"/>
      <c r="E184" s="478"/>
      <c r="F184" s="478"/>
      <c r="G184" s="481">
        <v>-225.58896601073346</v>
      </c>
      <c r="H184" s="481">
        <v>1</v>
      </c>
      <c r="I184" s="481">
        <v>3</v>
      </c>
      <c r="J184" s="481">
        <v>45</v>
      </c>
      <c r="K184" s="462" t="s">
        <v>1028</v>
      </c>
    </row>
    <row r="185" spans="1:11" ht="13" x14ac:dyDescent="0.25">
      <c r="A185" s="295"/>
      <c r="B185" s="464">
        <v>6</v>
      </c>
      <c r="C185" s="480" t="s">
        <v>1027</v>
      </c>
      <c r="D185" s="478"/>
      <c r="E185" s="478"/>
      <c r="F185" s="478"/>
      <c r="G185" s="481">
        <v>-30419.365729673209</v>
      </c>
      <c r="H185" s="481">
        <v>1</v>
      </c>
      <c r="I185" s="481">
        <v>3</v>
      </c>
      <c r="J185" s="481">
        <v>46</v>
      </c>
      <c r="K185" s="462" t="s">
        <v>1028</v>
      </c>
    </row>
    <row r="186" spans="1:11" ht="13" x14ac:dyDescent="0.25">
      <c r="A186" s="295"/>
      <c r="B186" s="464">
        <v>6</v>
      </c>
      <c r="C186" s="480" t="s">
        <v>1027</v>
      </c>
      <c r="D186" s="478"/>
      <c r="E186" s="478"/>
      <c r="F186" s="478"/>
      <c r="G186" s="481">
        <v>-3643.0831589882005</v>
      </c>
      <c r="H186" s="481">
        <v>1</v>
      </c>
      <c r="I186" s="481">
        <v>3</v>
      </c>
      <c r="J186" s="481">
        <v>47</v>
      </c>
      <c r="K186" s="462" t="s">
        <v>1028</v>
      </c>
    </row>
    <row r="187" spans="1:11" ht="13" x14ac:dyDescent="0.25">
      <c r="A187" s="295"/>
      <c r="B187" s="464">
        <v>6</v>
      </c>
      <c r="C187" s="480" t="s">
        <v>1027</v>
      </c>
      <c r="D187" s="478"/>
      <c r="E187" s="478"/>
      <c r="F187" s="478"/>
      <c r="G187" s="481">
        <v>-10138.922511924713</v>
      </c>
      <c r="H187" s="481">
        <v>1</v>
      </c>
      <c r="I187" s="481">
        <v>3</v>
      </c>
      <c r="J187" s="481">
        <v>48</v>
      </c>
      <c r="K187" s="462" t="s">
        <v>1028</v>
      </c>
    </row>
    <row r="188" spans="1:11" ht="13" x14ac:dyDescent="0.25">
      <c r="A188" s="295"/>
      <c r="B188" s="464">
        <v>6</v>
      </c>
      <c r="C188" s="480" t="s">
        <v>1027</v>
      </c>
      <c r="D188" s="478"/>
      <c r="E188" s="478"/>
      <c r="F188" s="478"/>
      <c r="G188" s="481">
        <v>175614.67860735196</v>
      </c>
      <c r="H188" s="481">
        <v>1</v>
      </c>
      <c r="I188" s="481">
        <v>5</v>
      </c>
      <c r="J188" s="481">
        <v>3</v>
      </c>
      <c r="K188" s="462" t="s">
        <v>1028</v>
      </c>
    </row>
    <row r="189" spans="1:11" ht="13" x14ac:dyDescent="0.25">
      <c r="A189" s="295"/>
      <c r="B189" s="464">
        <v>6</v>
      </c>
      <c r="C189" s="480" t="s">
        <v>1027</v>
      </c>
      <c r="D189" s="478"/>
      <c r="E189" s="478"/>
      <c r="F189" s="478"/>
      <c r="G189" s="481">
        <v>41882.703714282805</v>
      </c>
      <c r="H189" s="481">
        <v>1</v>
      </c>
      <c r="I189" s="481">
        <v>5</v>
      </c>
      <c r="J189" s="481">
        <v>6</v>
      </c>
      <c r="K189" s="462" t="s">
        <v>1028</v>
      </c>
    </row>
    <row r="190" spans="1:11" ht="13" x14ac:dyDescent="0.25">
      <c r="A190" s="295"/>
      <c r="B190" s="464">
        <v>6</v>
      </c>
      <c r="C190" s="480" t="s">
        <v>1027</v>
      </c>
      <c r="D190" s="478"/>
      <c r="E190" s="478"/>
      <c r="F190" s="478"/>
      <c r="G190" s="481">
        <v>33.286520845550257</v>
      </c>
      <c r="H190" s="481">
        <v>1</v>
      </c>
      <c r="I190" s="481">
        <v>5</v>
      </c>
      <c r="J190" s="481">
        <v>10</v>
      </c>
      <c r="K190" s="462" t="s">
        <v>1028</v>
      </c>
    </row>
    <row r="191" spans="1:11" ht="13" x14ac:dyDescent="0.25">
      <c r="A191" s="295"/>
      <c r="B191" s="464">
        <v>6</v>
      </c>
      <c r="C191" s="480" t="s">
        <v>1027</v>
      </c>
      <c r="D191" s="478"/>
      <c r="E191" s="478"/>
      <c r="F191" s="478"/>
      <c r="G191" s="481">
        <v>55164.3069118067</v>
      </c>
      <c r="H191" s="481">
        <v>1</v>
      </c>
      <c r="I191" s="481">
        <v>5</v>
      </c>
      <c r="J191" s="481">
        <v>11</v>
      </c>
      <c r="K191" s="462" t="s">
        <v>1028</v>
      </c>
    </row>
    <row r="192" spans="1:11" ht="13" x14ac:dyDescent="0.25">
      <c r="A192" s="295"/>
      <c r="B192" s="464">
        <v>6</v>
      </c>
      <c r="C192" s="480" t="s">
        <v>1027</v>
      </c>
      <c r="D192" s="478"/>
      <c r="E192" s="478"/>
      <c r="F192" s="478"/>
      <c r="G192" s="481">
        <v>248.23839486881806</v>
      </c>
      <c r="H192" s="481">
        <v>1</v>
      </c>
      <c r="I192" s="481">
        <v>5</v>
      </c>
      <c r="J192" s="481">
        <v>12</v>
      </c>
      <c r="K192" s="462" t="s">
        <v>1028</v>
      </c>
    </row>
    <row r="193" spans="1:11" ht="13" x14ac:dyDescent="0.25">
      <c r="A193" s="295"/>
      <c r="B193" s="464">
        <v>6</v>
      </c>
      <c r="C193" s="480" t="s">
        <v>1027</v>
      </c>
      <c r="D193" s="478"/>
      <c r="E193" s="478"/>
      <c r="F193" s="478"/>
      <c r="G193" s="481">
        <v>103573.435</v>
      </c>
      <c r="H193" s="481">
        <v>1</v>
      </c>
      <c r="I193" s="481">
        <v>5</v>
      </c>
      <c r="J193" s="481">
        <v>15</v>
      </c>
      <c r="K193" s="462" t="s">
        <v>1028</v>
      </c>
    </row>
    <row r="194" spans="1:11" ht="13" x14ac:dyDescent="0.25">
      <c r="A194" s="295"/>
      <c r="B194" s="464">
        <v>6</v>
      </c>
      <c r="C194" s="480" t="s">
        <v>1027</v>
      </c>
      <c r="D194" s="478"/>
      <c r="E194" s="478"/>
      <c r="F194" s="478"/>
      <c r="G194" s="481">
        <v>12829.067000000001</v>
      </c>
      <c r="H194" s="481">
        <v>1</v>
      </c>
      <c r="I194" s="481">
        <v>5</v>
      </c>
      <c r="J194" s="481">
        <v>21</v>
      </c>
      <c r="K194" s="462" t="s">
        <v>1028</v>
      </c>
    </row>
    <row r="195" spans="1:11" ht="13" x14ac:dyDescent="0.25">
      <c r="A195" s="295"/>
      <c r="B195" s="464">
        <v>6</v>
      </c>
      <c r="C195" s="480" t="s">
        <v>1027</v>
      </c>
      <c r="D195" s="478"/>
      <c r="E195" s="478"/>
      <c r="F195" s="478"/>
      <c r="G195" s="481">
        <v>314.1532447800646</v>
      </c>
      <c r="H195" s="481">
        <v>1</v>
      </c>
      <c r="I195" s="481">
        <v>5</v>
      </c>
      <c r="J195" s="481">
        <v>23</v>
      </c>
      <c r="K195" s="462" t="s">
        <v>1028</v>
      </c>
    </row>
    <row r="196" spans="1:11" ht="13" x14ac:dyDescent="0.25">
      <c r="A196" s="295"/>
      <c r="B196" s="464">
        <v>6</v>
      </c>
      <c r="C196" s="480" t="s">
        <v>1027</v>
      </c>
      <c r="D196" s="478"/>
      <c r="E196" s="478"/>
      <c r="F196" s="478"/>
      <c r="G196" s="481">
        <v>600.37128533094824</v>
      </c>
      <c r="H196" s="481">
        <v>1</v>
      </c>
      <c r="I196" s="481">
        <v>5</v>
      </c>
      <c r="J196" s="481">
        <v>24</v>
      </c>
      <c r="K196" s="462" t="s">
        <v>1028</v>
      </c>
    </row>
    <row r="197" spans="1:11" ht="13" x14ac:dyDescent="0.25">
      <c r="A197" s="295"/>
      <c r="B197" s="464">
        <v>6</v>
      </c>
      <c r="C197" s="480" t="s">
        <v>1027</v>
      </c>
      <c r="D197" s="478"/>
      <c r="E197" s="478"/>
      <c r="F197" s="478"/>
      <c r="G197" s="481">
        <v>11498.349551378311</v>
      </c>
      <c r="H197" s="481">
        <v>1</v>
      </c>
      <c r="I197" s="481">
        <v>5</v>
      </c>
      <c r="J197" s="481">
        <v>26</v>
      </c>
      <c r="K197" s="462" t="s">
        <v>1028</v>
      </c>
    </row>
    <row r="198" spans="1:11" ht="13" x14ac:dyDescent="0.25">
      <c r="A198" s="295"/>
      <c r="B198" s="464">
        <v>6</v>
      </c>
      <c r="C198" s="480" t="s">
        <v>1027</v>
      </c>
      <c r="D198" s="478"/>
      <c r="E198" s="478"/>
      <c r="F198" s="478"/>
      <c r="G198" s="481">
        <v>15060.288685488005</v>
      </c>
      <c r="H198" s="481">
        <v>1</v>
      </c>
      <c r="I198" s="481">
        <v>5</v>
      </c>
      <c r="J198" s="481">
        <v>28</v>
      </c>
      <c r="K198" s="462" t="s">
        <v>1028</v>
      </c>
    </row>
    <row r="199" spans="1:11" ht="13" x14ac:dyDescent="0.25">
      <c r="A199" s="295"/>
      <c r="B199" s="464">
        <v>6</v>
      </c>
      <c r="C199" s="480" t="s">
        <v>1027</v>
      </c>
      <c r="D199" s="478"/>
      <c r="E199" s="478"/>
      <c r="F199" s="478"/>
      <c r="G199" s="481">
        <v>104888.81395348835</v>
      </c>
      <c r="H199" s="481">
        <v>1</v>
      </c>
      <c r="I199" s="481">
        <v>5</v>
      </c>
      <c r="J199" s="481">
        <v>29</v>
      </c>
      <c r="K199" s="462" t="s">
        <v>1028</v>
      </c>
    </row>
    <row r="200" spans="1:11" ht="13" x14ac:dyDescent="0.25">
      <c r="A200" s="295"/>
      <c r="B200" s="464">
        <v>6</v>
      </c>
      <c r="C200" s="480" t="s">
        <v>1027</v>
      </c>
      <c r="D200" s="478"/>
      <c r="E200" s="478"/>
      <c r="F200" s="478"/>
      <c r="G200" s="481">
        <v>2366.0534106462064</v>
      </c>
      <c r="H200" s="481">
        <v>1</v>
      </c>
      <c r="I200" s="481">
        <v>5</v>
      </c>
      <c r="J200" s="481">
        <v>30</v>
      </c>
      <c r="K200" s="462" t="s">
        <v>1028</v>
      </c>
    </row>
    <row r="201" spans="1:11" ht="13" x14ac:dyDescent="0.25">
      <c r="A201" s="295"/>
      <c r="B201" s="464">
        <v>6</v>
      </c>
      <c r="C201" s="480" t="s">
        <v>1027</v>
      </c>
      <c r="D201" s="478"/>
      <c r="E201" s="478"/>
      <c r="F201" s="478"/>
      <c r="G201" s="481">
        <v>12453.830309784538</v>
      </c>
      <c r="H201" s="481">
        <v>1</v>
      </c>
      <c r="I201" s="481">
        <v>5</v>
      </c>
      <c r="J201" s="481">
        <v>33</v>
      </c>
      <c r="K201" s="462" t="s">
        <v>1028</v>
      </c>
    </row>
    <row r="202" spans="1:11" ht="13" x14ac:dyDescent="0.25">
      <c r="A202" s="295"/>
      <c r="B202" s="464">
        <v>6</v>
      </c>
      <c r="C202" s="480" t="s">
        <v>1027</v>
      </c>
      <c r="D202" s="478"/>
      <c r="E202" s="478"/>
      <c r="F202" s="478"/>
      <c r="G202" s="481">
        <v>14221.825836974042</v>
      </c>
      <c r="H202" s="481">
        <v>1</v>
      </c>
      <c r="I202" s="481">
        <v>5</v>
      </c>
      <c r="J202" s="481">
        <v>34</v>
      </c>
      <c r="K202" s="462" t="s">
        <v>1028</v>
      </c>
    </row>
    <row r="203" spans="1:11" ht="13" x14ac:dyDescent="0.25">
      <c r="A203" s="295"/>
      <c r="B203" s="464">
        <v>6</v>
      </c>
      <c r="C203" s="480" t="s">
        <v>1027</v>
      </c>
      <c r="D203" s="478"/>
      <c r="E203" s="478"/>
      <c r="F203" s="478"/>
      <c r="G203" s="481">
        <v>1171.9223828568174</v>
      </c>
      <c r="H203" s="481">
        <v>1</v>
      </c>
      <c r="I203" s="481">
        <v>5</v>
      </c>
      <c r="J203" s="481">
        <v>36</v>
      </c>
      <c r="K203" s="462" t="s">
        <v>1028</v>
      </c>
    </row>
    <row r="204" spans="1:11" ht="13" x14ac:dyDescent="0.25">
      <c r="A204" s="295"/>
      <c r="B204" s="464">
        <v>6</v>
      </c>
      <c r="C204" s="480" t="s">
        <v>1027</v>
      </c>
      <c r="D204" s="478"/>
      <c r="E204" s="478"/>
      <c r="F204" s="478"/>
      <c r="G204" s="481">
        <v>1475.1493894745374</v>
      </c>
      <c r="H204" s="481">
        <v>1</v>
      </c>
      <c r="I204" s="481">
        <v>5</v>
      </c>
      <c r="J204" s="481">
        <v>37</v>
      </c>
      <c r="K204" s="462" t="s">
        <v>1028</v>
      </c>
    </row>
    <row r="205" spans="1:11" ht="13" x14ac:dyDescent="0.25">
      <c r="A205" s="295"/>
      <c r="B205" s="464">
        <v>6</v>
      </c>
      <c r="C205" s="480" t="s">
        <v>1027</v>
      </c>
      <c r="D205" s="478"/>
      <c r="E205" s="478"/>
      <c r="F205" s="478"/>
      <c r="G205" s="481">
        <v>1091.9699319594849</v>
      </c>
      <c r="H205" s="481">
        <v>1</v>
      </c>
      <c r="I205" s="481">
        <v>5</v>
      </c>
      <c r="J205" s="481">
        <v>38</v>
      </c>
      <c r="K205" s="462" t="s">
        <v>1028</v>
      </c>
    </row>
    <row r="206" spans="1:11" ht="13" x14ac:dyDescent="0.25">
      <c r="A206" s="295"/>
      <c r="B206" s="464">
        <v>6</v>
      </c>
      <c r="C206" s="480" t="s">
        <v>1027</v>
      </c>
      <c r="D206" s="478"/>
      <c r="E206" s="478"/>
      <c r="F206" s="478"/>
      <c r="G206" s="481">
        <v>31122.446556080511</v>
      </c>
      <c r="H206" s="481">
        <v>1</v>
      </c>
      <c r="I206" s="481">
        <v>5</v>
      </c>
      <c r="J206" s="481">
        <v>39</v>
      </c>
      <c r="K206" s="462" t="s">
        <v>1028</v>
      </c>
    </row>
    <row r="207" spans="1:11" ht="13" x14ac:dyDescent="0.25">
      <c r="A207" s="295"/>
      <c r="B207" s="464">
        <v>6</v>
      </c>
      <c r="C207" s="480" t="s">
        <v>1027</v>
      </c>
      <c r="D207" s="478"/>
      <c r="E207" s="478"/>
      <c r="F207" s="478"/>
      <c r="G207" s="481">
        <v>10308.846716931588</v>
      </c>
      <c r="H207" s="481">
        <v>1</v>
      </c>
      <c r="I207" s="481">
        <v>5</v>
      </c>
      <c r="J207" s="481">
        <v>41</v>
      </c>
      <c r="K207" s="462" t="s">
        <v>1028</v>
      </c>
    </row>
    <row r="208" spans="1:11" ht="13" x14ac:dyDescent="0.25">
      <c r="A208" s="295"/>
      <c r="B208" s="464">
        <v>6</v>
      </c>
      <c r="C208" s="480" t="s">
        <v>1027</v>
      </c>
      <c r="D208" s="478"/>
      <c r="E208" s="478"/>
      <c r="F208" s="478"/>
      <c r="G208" s="481">
        <v>1211.6321571608846</v>
      </c>
      <c r="H208" s="481">
        <v>1</v>
      </c>
      <c r="I208" s="481">
        <v>5</v>
      </c>
      <c r="J208" s="481">
        <v>42</v>
      </c>
      <c r="K208" s="462" t="s">
        <v>1028</v>
      </c>
    </row>
    <row r="209" spans="1:11" ht="13" x14ac:dyDescent="0.25">
      <c r="A209" s="295"/>
      <c r="B209" s="464">
        <v>6</v>
      </c>
      <c r="C209" s="480" t="s">
        <v>1027</v>
      </c>
      <c r="D209" s="478"/>
      <c r="E209" s="478"/>
      <c r="F209" s="478"/>
      <c r="G209" s="481">
        <v>2734.5558166368523</v>
      </c>
      <c r="H209" s="481">
        <v>1</v>
      </c>
      <c r="I209" s="481">
        <v>5</v>
      </c>
      <c r="J209" s="481">
        <v>43</v>
      </c>
      <c r="K209" s="462" t="s">
        <v>1028</v>
      </c>
    </row>
    <row r="210" spans="1:11" ht="13" x14ac:dyDescent="0.25">
      <c r="A210" s="295"/>
      <c r="B210" s="464">
        <v>6</v>
      </c>
      <c r="C210" s="480" t="s">
        <v>1027</v>
      </c>
      <c r="D210" s="478"/>
      <c r="E210" s="478"/>
      <c r="F210" s="478"/>
      <c r="G210" s="481">
        <v>464.58810375670839</v>
      </c>
      <c r="H210" s="481">
        <v>1</v>
      </c>
      <c r="I210" s="481">
        <v>5</v>
      </c>
      <c r="J210" s="481">
        <v>44</v>
      </c>
      <c r="K210" s="462" t="s">
        <v>1028</v>
      </c>
    </row>
    <row r="211" spans="1:11" ht="13" x14ac:dyDescent="0.25">
      <c r="A211" s="295"/>
      <c r="B211" s="464">
        <v>6</v>
      </c>
      <c r="C211" s="480" t="s">
        <v>1027</v>
      </c>
      <c r="D211" s="478"/>
      <c r="E211" s="478"/>
      <c r="F211" s="478"/>
      <c r="G211" s="481">
        <v>225.58896601073346</v>
      </c>
      <c r="H211" s="481">
        <v>1</v>
      </c>
      <c r="I211" s="481">
        <v>5</v>
      </c>
      <c r="J211" s="481">
        <v>45</v>
      </c>
      <c r="K211" s="462" t="s">
        <v>1028</v>
      </c>
    </row>
    <row r="212" spans="1:11" ht="13" x14ac:dyDescent="0.25">
      <c r="A212" s="295"/>
      <c r="B212" s="464">
        <v>6</v>
      </c>
      <c r="C212" s="480" t="s">
        <v>1027</v>
      </c>
      <c r="D212" s="478"/>
      <c r="E212" s="478"/>
      <c r="F212" s="478"/>
      <c r="G212" s="481">
        <v>30419.365729673209</v>
      </c>
      <c r="H212" s="481">
        <v>1</v>
      </c>
      <c r="I212" s="481">
        <v>5</v>
      </c>
      <c r="J212" s="481">
        <v>46</v>
      </c>
      <c r="K212" s="462" t="s">
        <v>1028</v>
      </c>
    </row>
    <row r="213" spans="1:11" ht="13" x14ac:dyDescent="0.25">
      <c r="A213" s="295"/>
      <c r="B213" s="464">
        <v>6</v>
      </c>
      <c r="C213" s="480" t="s">
        <v>1027</v>
      </c>
      <c r="D213" s="478"/>
      <c r="E213" s="478"/>
      <c r="F213" s="478"/>
      <c r="G213" s="481">
        <v>3643.0831589882005</v>
      </c>
      <c r="H213" s="481">
        <v>1</v>
      </c>
      <c r="I213" s="481">
        <v>5</v>
      </c>
      <c r="J213" s="481">
        <v>47</v>
      </c>
      <c r="K213" s="462" t="s">
        <v>1028</v>
      </c>
    </row>
    <row r="214" spans="1:11" ht="13" x14ac:dyDescent="0.25">
      <c r="A214" s="295"/>
      <c r="B214" s="464">
        <v>6</v>
      </c>
      <c r="C214" s="480" t="s">
        <v>1027</v>
      </c>
      <c r="D214" s="478"/>
      <c r="E214" s="478"/>
      <c r="F214" s="478"/>
      <c r="G214" s="481">
        <v>10138.922511924713</v>
      </c>
      <c r="H214" s="481">
        <v>1</v>
      </c>
      <c r="I214" s="481">
        <v>5</v>
      </c>
      <c r="J214" s="481">
        <v>48</v>
      </c>
      <c r="K214" s="462" t="s">
        <v>1028</v>
      </c>
    </row>
    <row r="215" spans="1:11" ht="13" x14ac:dyDescent="0.25">
      <c r="A215" s="295"/>
      <c r="B215" s="464"/>
      <c r="C215" s="474"/>
      <c r="D215" s="475"/>
      <c r="E215" s="475"/>
      <c r="F215" s="475"/>
      <c r="G215" s="476"/>
      <c r="H215" s="303"/>
      <c r="I215" s="303"/>
      <c r="J215" s="303"/>
      <c r="K215" s="462"/>
    </row>
    <row r="216" spans="1:11" ht="13" x14ac:dyDescent="0.25">
      <c r="A216" s="295"/>
      <c r="B216" s="464">
        <v>7</v>
      </c>
      <c r="C216" s="480" t="s">
        <v>1027</v>
      </c>
      <c r="D216" s="478"/>
      <c r="E216" s="478"/>
      <c r="F216" s="479"/>
      <c r="G216" s="481">
        <v>-117024.63909951434</v>
      </c>
      <c r="H216" s="481">
        <v>1</v>
      </c>
      <c r="I216" s="481">
        <v>3</v>
      </c>
      <c r="J216" s="481">
        <v>3</v>
      </c>
      <c r="K216" s="462" t="s">
        <v>1028</v>
      </c>
    </row>
    <row r="217" spans="1:11" ht="13" x14ac:dyDescent="0.25">
      <c r="A217" s="295"/>
      <c r="B217" s="464">
        <v>7</v>
      </c>
      <c r="C217" s="480" t="s">
        <v>1027</v>
      </c>
      <c r="D217" s="478"/>
      <c r="E217" s="478"/>
      <c r="F217" s="479"/>
      <c r="G217" s="481">
        <v>-13117.257340249991</v>
      </c>
      <c r="H217" s="481">
        <v>1</v>
      </c>
      <c r="I217" s="481">
        <v>3</v>
      </c>
      <c r="J217" s="481">
        <v>6</v>
      </c>
      <c r="K217" s="462" t="s">
        <v>1028</v>
      </c>
    </row>
    <row r="218" spans="1:11" ht="13" x14ac:dyDescent="0.25">
      <c r="A218" s="295"/>
      <c r="B218" s="464">
        <v>7</v>
      </c>
      <c r="C218" s="480" t="s">
        <v>1027</v>
      </c>
      <c r="D218" s="478"/>
      <c r="E218" s="478"/>
      <c r="F218" s="479"/>
      <c r="G218" s="481">
        <v>-17.923127747896242</v>
      </c>
      <c r="H218" s="481">
        <v>1</v>
      </c>
      <c r="I218" s="481">
        <v>3</v>
      </c>
      <c r="J218" s="481">
        <v>10</v>
      </c>
      <c r="K218" s="462" t="s">
        <v>1028</v>
      </c>
    </row>
    <row r="219" spans="1:11" ht="13" x14ac:dyDescent="0.25">
      <c r="A219" s="295"/>
      <c r="B219" s="464">
        <v>7</v>
      </c>
      <c r="C219" s="480" t="s">
        <v>1027</v>
      </c>
      <c r="D219" s="478"/>
      <c r="E219" s="478"/>
      <c r="F219" s="479"/>
      <c r="G219" s="481">
        <v>-17781.871533539532</v>
      </c>
      <c r="H219" s="481">
        <v>1</v>
      </c>
      <c r="I219" s="481">
        <v>3</v>
      </c>
      <c r="J219" s="481">
        <v>11</v>
      </c>
      <c r="K219" s="462" t="s">
        <v>1028</v>
      </c>
    </row>
    <row r="220" spans="1:11" ht="13" x14ac:dyDescent="0.25">
      <c r="A220" s="295"/>
      <c r="B220" s="464">
        <v>7</v>
      </c>
      <c r="C220" s="480" t="s">
        <v>1027</v>
      </c>
      <c r="D220" s="478"/>
      <c r="E220" s="478"/>
      <c r="F220" s="479"/>
      <c r="G220" s="481">
        <v>-120.11762764951996</v>
      </c>
      <c r="H220" s="481">
        <v>1</v>
      </c>
      <c r="I220" s="481">
        <v>3</v>
      </c>
      <c r="J220" s="481">
        <v>12</v>
      </c>
      <c r="K220" s="462" t="s">
        <v>1028</v>
      </c>
    </row>
    <row r="221" spans="1:11" ht="13" x14ac:dyDescent="0.25">
      <c r="A221" s="295"/>
      <c r="B221" s="464">
        <v>7</v>
      </c>
      <c r="C221" s="480" t="s">
        <v>1027</v>
      </c>
      <c r="D221" s="478"/>
      <c r="E221" s="478"/>
      <c r="F221" s="479"/>
      <c r="G221" s="481">
        <v>-41.95</v>
      </c>
      <c r="H221" s="481">
        <v>1</v>
      </c>
      <c r="I221" s="481">
        <v>3</v>
      </c>
      <c r="J221" s="481">
        <v>21</v>
      </c>
      <c r="K221" s="462" t="s">
        <v>1028</v>
      </c>
    </row>
    <row r="222" spans="1:11" ht="13" x14ac:dyDescent="0.25">
      <c r="A222" s="295"/>
      <c r="B222" s="464">
        <v>7</v>
      </c>
      <c r="C222" s="480" t="s">
        <v>1027</v>
      </c>
      <c r="D222" s="478"/>
      <c r="E222" s="478"/>
      <c r="F222" s="479"/>
      <c r="G222" s="481">
        <v>-104.8665402237814</v>
      </c>
      <c r="H222" s="481">
        <v>1</v>
      </c>
      <c r="I222" s="481">
        <v>3</v>
      </c>
      <c r="J222" s="481">
        <v>23</v>
      </c>
      <c r="K222" s="462" t="s">
        <v>1028</v>
      </c>
    </row>
    <row r="223" spans="1:11" ht="13" x14ac:dyDescent="0.25">
      <c r="A223" s="295"/>
      <c r="B223" s="464">
        <v>7</v>
      </c>
      <c r="C223" s="480" t="s">
        <v>1027</v>
      </c>
      <c r="D223" s="478"/>
      <c r="E223" s="478"/>
      <c r="F223" s="479"/>
      <c r="G223" s="481">
        <v>-201.80547406082297</v>
      </c>
      <c r="H223" s="481">
        <v>1</v>
      </c>
      <c r="I223" s="481">
        <v>3</v>
      </c>
      <c r="J223" s="481">
        <v>24</v>
      </c>
      <c r="K223" s="462" t="s">
        <v>1028</v>
      </c>
    </row>
    <row r="224" spans="1:11" ht="13" x14ac:dyDescent="0.25">
      <c r="A224" s="295"/>
      <c r="B224" s="464">
        <v>7</v>
      </c>
      <c r="C224" s="480" t="s">
        <v>1027</v>
      </c>
      <c r="D224" s="478"/>
      <c r="E224" s="478"/>
      <c r="F224" s="479"/>
      <c r="G224" s="481">
        <v>-8654.7687761789493</v>
      </c>
      <c r="H224" s="481">
        <v>1</v>
      </c>
      <c r="I224" s="481">
        <v>3</v>
      </c>
      <c r="J224" s="481">
        <v>26</v>
      </c>
      <c r="K224" s="462" t="s">
        <v>1028</v>
      </c>
    </row>
    <row r="225" spans="1:11" ht="13" x14ac:dyDescent="0.25">
      <c r="A225" s="295"/>
      <c r="B225" s="464">
        <v>7</v>
      </c>
      <c r="C225" s="480" t="s">
        <v>1027</v>
      </c>
      <c r="D225" s="478"/>
      <c r="E225" s="478"/>
      <c r="F225" s="479"/>
      <c r="G225" s="481">
        <v>-7659.7143057889043</v>
      </c>
      <c r="H225" s="481">
        <v>1</v>
      </c>
      <c r="I225" s="481">
        <v>3</v>
      </c>
      <c r="J225" s="481">
        <v>28</v>
      </c>
      <c r="K225" s="462" t="s">
        <v>1028</v>
      </c>
    </row>
    <row r="226" spans="1:11" ht="13" x14ac:dyDescent="0.25">
      <c r="A226" s="295"/>
      <c r="B226" s="464">
        <v>7</v>
      </c>
      <c r="C226" s="480" t="s">
        <v>1027</v>
      </c>
      <c r="D226" s="478"/>
      <c r="E226" s="478"/>
      <c r="F226" s="479"/>
      <c r="G226" s="481">
        <v>-1142.3641860465118</v>
      </c>
      <c r="H226" s="481">
        <v>1</v>
      </c>
      <c r="I226" s="481">
        <v>3</v>
      </c>
      <c r="J226" s="481">
        <v>29</v>
      </c>
      <c r="K226" s="462" t="s">
        <v>1028</v>
      </c>
    </row>
    <row r="227" spans="1:11" ht="13" x14ac:dyDescent="0.25">
      <c r="A227" s="295"/>
      <c r="B227" s="464">
        <v>7</v>
      </c>
      <c r="C227" s="480" t="s">
        <v>1027</v>
      </c>
      <c r="D227" s="478"/>
      <c r="E227" s="478"/>
      <c r="F227" s="479"/>
      <c r="G227" s="481">
        <v>-1564.2490651650155</v>
      </c>
      <c r="H227" s="481">
        <v>1</v>
      </c>
      <c r="I227" s="481">
        <v>3</v>
      </c>
      <c r="J227" s="481">
        <v>30</v>
      </c>
      <c r="K227" s="462" t="s">
        <v>1028</v>
      </c>
    </row>
    <row r="228" spans="1:11" ht="13" x14ac:dyDescent="0.25">
      <c r="A228" s="295"/>
      <c r="B228" s="464">
        <v>7</v>
      </c>
      <c r="C228" s="480" t="s">
        <v>1027</v>
      </c>
      <c r="D228" s="478"/>
      <c r="E228" s="478"/>
      <c r="F228" s="479"/>
      <c r="G228" s="481">
        <v>-7668.0400109076263</v>
      </c>
      <c r="H228" s="481">
        <v>1</v>
      </c>
      <c r="I228" s="481">
        <v>3</v>
      </c>
      <c r="J228" s="481">
        <v>33</v>
      </c>
      <c r="K228" s="462" t="s">
        <v>1028</v>
      </c>
    </row>
    <row r="229" spans="1:11" ht="13" x14ac:dyDescent="0.25">
      <c r="A229" s="295"/>
      <c r="B229" s="464">
        <v>7</v>
      </c>
      <c r="C229" s="480" t="s">
        <v>1027</v>
      </c>
      <c r="D229" s="478"/>
      <c r="E229" s="478"/>
      <c r="F229" s="479"/>
      <c r="G229" s="481">
        <v>-2792.2726263454333</v>
      </c>
      <c r="H229" s="481">
        <v>1</v>
      </c>
      <c r="I229" s="481">
        <v>3</v>
      </c>
      <c r="J229" s="481">
        <v>34</v>
      </c>
      <c r="K229" s="462" t="s">
        <v>1028</v>
      </c>
    </row>
    <row r="230" spans="1:11" ht="13" x14ac:dyDescent="0.25">
      <c r="A230" s="295"/>
      <c r="B230" s="464">
        <v>7</v>
      </c>
      <c r="C230" s="480" t="s">
        <v>1027</v>
      </c>
      <c r="D230" s="478"/>
      <c r="E230" s="478"/>
      <c r="F230" s="479"/>
      <c r="G230" s="481">
        <v>-71.035295272469085</v>
      </c>
      <c r="H230" s="481">
        <v>1</v>
      </c>
      <c r="I230" s="481">
        <v>3</v>
      </c>
      <c r="J230" s="481">
        <v>36</v>
      </c>
      <c r="K230" s="462" t="s">
        <v>1028</v>
      </c>
    </row>
    <row r="231" spans="1:11" ht="13" x14ac:dyDescent="0.25">
      <c r="A231" s="295"/>
      <c r="B231" s="464">
        <v>7</v>
      </c>
      <c r="C231" s="480" t="s">
        <v>1027</v>
      </c>
      <c r="D231" s="478"/>
      <c r="E231" s="478"/>
      <c r="F231" s="479"/>
      <c r="G231" s="481">
        <v>-125.63687269861009</v>
      </c>
      <c r="H231" s="481">
        <v>1</v>
      </c>
      <c r="I231" s="481">
        <v>3</v>
      </c>
      <c r="J231" s="481">
        <v>37</v>
      </c>
      <c r="K231" s="462" t="s">
        <v>1028</v>
      </c>
    </row>
    <row r="232" spans="1:11" ht="13" x14ac:dyDescent="0.25">
      <c r="A232" s="295"/>
      <c r="B232" s="464">
        <v>7</v>
      </c>
      <c r="C232" s="480" t="s">
        <v>1027</v>
      </c>
      <c r="D232" s="478"/>
      <c r="E232" s="478"/>
      <c r="F232" s="479"/>
      <c r="G232" s="481">
        <v>-171.69513271673782</v>
      </c>
      <c r="H232" s="481">
        <v>1</v>
      </c>
      <c r="I232" s="481">
        <v>3</v>
      </c>
      <c r="J232" s="481">
        <v>38</v>
      </c>
      <c r="K232" s="462" t="s">
        <v>1028</v>
      </c>
    </row>
    <row r="233" spans="1:11" ht="13" x14ac:dyDescent="0.25">
      <c r="A233" s="295"/>
      <c r="B233" s="464">
        <v>7</v>
      </c>
      <c r="C233" s="480" t="s">
        <v>1027</v>
      </c>
      <c r="D233" s="478"/>
      <c r="E233" s="478"/>
      <c r="F233" s="479"/>
      <c r="G233" s="481">
        <v>-710.21919119521124</v>
      </c>
      <c r="H233" s="481">
        <v>1</v>
      </c>
      <c r="I233" s="481">
        <v>3</v>
      </c>
      <c r="J233" s="481">
        <v>39</v>
      </c>
      <c r="K233" s="462" t="s">
        <v>1028</v>
      </c>
    </row>
    <row r="234" spans="1:11" ht="13" x14ac:dyDescent="0.25">
      <c r="A234" s="295"/>
      <c r="B234" s="464">
        <v>7</v>
      </c>
      <c r="C234" s="480" t="s">
        <v>1027</v>
      </c>
      <c r="D234" s="478"/>
      <c r="E234" s="478"/>
      <c r="F234" s="479"/>
      <c r="G234" s="481">
        <v>-2610.9477273277976</v>
      </c>
      <c r="H234" s="481">
        <v>1</v>
      </c>
      <c r="I234" s="481">
        <v>3</v>
      </c>
      <c r="J234" s="481">
        <v>41</v>
      </c>
      <c r="K234" s="462" t="s">
        <v>1028</v>
      </c>
    </row>
    <row r="235" spans="1:11" ht="13" x14ac:dyDescent="0.25">
      <c r="A235" s="295"/>
      <c r="B235" s="464">
        <v>7</v>
      </c>
      <c r="C235" s="480" t="s">
        <v>1027</v>
      </c>
      <c r="D235" s="478"/>
      <c r="E235" s="478"/>
      <c r="F235" s="479"/>
      <c r="G235" s="481">
        <v>-428.1283803066745</v>
      </c>
      <c r="H235" s="481">
        <v>1</v>
      </c>
      <c r="I235" s="481">
        <v>3</v>
      </c>
      <c r="J235" s="481">
        <v>42</v>
      </c>
      <c r="K235" s="462" t="s">
        <v>1028</v>
      </c>
    </row>
    <row r="236" spans="1:11" ht="13" x14ac:dyDescent="0.25">
      <c r="A236" s="295"/>
      <c r="B236" s="464">
        <v>7</v>
      </c>
      <c r="C236" s="480" t="s">
        <v>1027</v>
      </c>
      <c r="D236" s="478"/>
      <c r="E236" s="478"/>
      <c r="F236" s="479"/>
      <c r="G236" s="481">
        <v>-919.17842576028659</v>
      </c>
      <c r="H236" s="481">
        <v>1</v>
      </c>
      <c r="I236" s="481">
        <v>3</v>
      </c>
      <c r="J236" s="481">
        <v>43</v>
      </c>
      <c r="K236" s="462" t="s">
        <v>1028</v>
      </c>
    </row>
    <row r="237" spans="1:11" ht="13" x14ac:dyDescent="0.25">
      <c r="A237" s="295"/>
      <c r="B237" s="464">
        <v>7</v>
      </c>
      <c r="C237" s="480" t="s">
        <v>1027</v>
      </c>
      <c r="D237" s="478"/>
      <c r="E237" s="478"/>
      <c r="F237" s="479"/>
      <c r="G237" s="481">
        <v>-1.8783542039355998</v>
      </c>
      <c r="H237" s="481">
        <v>1</v>
      </c>
      <c r="I237" s="481">
        <v>3</v>
      </c>
      <c r="J237" s="481">
        <v>44</v>
      </c>
      <c r="K237" s="462" t="s">
        <v>1028</v>
      </c>
    </row>
    <row r="238" spans="1:11" ht="13" x14ac:dyDescent="0.25">
      <c r="A238" s="295"/>
      <c r="B238" s="464">
        <v>7</v>
      </c>
      <c r="C238" s="480" t="s">
        <v>1027</v>
      </c>
      <c r="D238" s="478"/>
      <c r="E238" s="478"/>
      <c r="F238" s="479"/>
      <c r="G238" s="481">
        <v>-2.6453667262969596</v>
      </c>
      <c r="H238" s="481">
        <v>1</v>
      </c>
      <c r="I238" s="481">
        <v>3</v>
      </c>
      <c r="J238" s="481">
        <v>45</v>
      </c>
      <c r="K238" s="462" t="s">
        <v>1028</v>
      </c>
    </row>
    <row r="239" spans="1:11" ht="13" x14ac:dyDescent="0.25">
      <c r="A239" s="295"/>
      <c r="B239" s="464">
        <v>7</v>
      </c>
      <c r="C239" s="480" t="s">
        <v>1027</v>
      </c>
      <c r="D239" s="478"/>
      <c r="E239" s="478"/>
      <c r="F239" s="479"/>
      <c r="G239" s="481">
        <v>-1125.1057665380533</v>
      </c>
      <c r="H239" s="481">
        <v>1</v>
      </c>
      <c r="I239" s="481">
        <v>3</v>
      </c>
      <c r="J239" s="481">
        <v>46</v>
      </c>
      <c r="K239" s="462" t="s">
        <v>1028</v>
      </c>
    </row>
    <row r="240" spans="1:11" ht="13" x14ac:dyDescent="0.25">
      <c r="A240" s="295"/>
      <c r="B240" s="464">
        <v>7</v>
      </c>
      <c r="C240" s="480" t="s">
        <v>1027</v>
      </c>
      <c r="D240" s="478"/>
      <c r="E240" s="478"/>
      <c r="F240" s="479"/>
      <c r="G240" s="481">
        <v>-1223.1587257494286</v>
      </c>
      <c r="H240" s="481">
        <v>1</v>
      </c>
      <c r="I240" s="481">
        <v>3</v>
      </c>
      <c r="J240" s="481">
        <v>47</v>
      </c>
      <c r="K240" s="462" t="s">
        <v>1028</v>
      </c>
    </row>
    <row r="241" spans="1:11" ht="13" x14ac:dyDescent="0.25">
      <c r="A241" s="295"/>
      <c r="B241" s="464">
        <v>7</v>
      </c>
      <c r="C241" s="480" t="s">
        <v>1027</v>
      </c>
      <c r="D241" s="478"/>
      <c r="E241" s="478"/>
      <c r="F241" s="479"/>
      <c r="G241" s="481">
        <v>-2855.3338083729345</v>
      </c>
      <c r="H241" s="481">
        <v>1</v>
      </c>
      <c r="I241" s="481">
        <v>3</v>
      </c>
      <c r="J241" s="481">
        <v>48</v>
      </c>
      <c r="K241" s="462" t="s">
        <v>1028</v>
      </c>
    </row>
    <row r="242" spans="1:11" ht="13" x14ac:dyDescent="0.25">
      <c r="A242" s="295"/>
      <c r="B242" s="464">
        <v>7</v>
      </c>
      <c r="C242" s="480" t="s">
        <v>1027</v>
      </c>
      <c r="D242" s="478"/>
      <c r="E242" s="478"/>
      <c r="F242" s="479"/>
      <c r="G242" s="481">
        <v>117024.63909951434</v>
      </c>
      <c r="H242" s="481">
        <v>1</v>
      </c>
      <c r="I242" s="481">
        <v>5</v>
      </c>
      <c r="J242" s="481">
        <v>3</v>
      </c>
      <c r="K242" s="462" t="s">
        <v>1028</v>
      </c>
    </row>
    <row r="243" spans="1:11" ht="13" x14ac:dyDescent="0.25">
      <c r="A243" s="295"/>
      <c r="B243" s="464">
        <v>7</v>
      </c>
      <c r="C243" s="480" t="s">
        <v>1027</v>
      </c>
      <c r="D243" s="478"/>
      <c r="E243" s="478"/>
      <c r="F243" s="479"/>
      <c r="G243" s="481">
        <v>13117.257340249991</v>
      </c>
      <c r="H243" s="481">
        <v>1</v>
      </c>
      <c r="I243" s="481">
        <v>5</v>
      </c>
      <c r="J243" s="481">
        <v>6</v>
      </c>
      <c r="K243" s="462" t="s">
        <v>1028</v>
      </c>
    </row>
    <row r="244" spans="1:11" ht="13" x14ac:dyDescent="0.25">
      <c r="A244" s="295"/>
      <c r="B244" s="464">
        <v>7</v>
      </c>
      <c r="C244" s="480" t="s">
        <v>1027</v>
      </c>
      <c r="D244" s="478"/>
      <c r="E244" s="478"/>
      <c r="F244" s="479"/>
      <c r="G244" s="481">
        <v>17.923127747896242</v>
      </c>
      <c r="H244" s="481">
        <v>1</v>
      </c>
      <c r="I244" s="481">
        <v>5</v>
      </c>
      <c r="J244" s="481">
        <v>10</v>
      </c>
      <c r="K244" s="462" t="s">
        <v>1028</v>
      </c>
    </row>
    <row r="245" spans="1:11" ht="13" x14ac:dyDescent="0.25">
      <c r="A245" s="295"/>
      <c r="B245" s="464">
        <v>7</v>
      </c>
      <c r="C245" s="480" t="s">
        <v>1027</v>
      </c>
      <c r="D245" s="478"/>
      <c r="E245" s="478"/>
      <c r="F245" s="479"/>
      <c r="G245" s="481">
        <v>17781.871533539532</v>
      </c>
      <c r="H245" s="481">
        <v>1</v>
      </c>
      <c r="I245" s="481">
        <v>5</v>
      </c>
      <c r="J245" s="481">
        <v>11</v>
      </c>
      <c r="K245" s="462" t="s">
        <v>1028</v>
      </c>
    </row>
    <row r="246" spans="1:11" ht="13" x14ac:dyDescent="0.25">
      <c r="A246" s="295"/>
      <c r="B246" s="464">
        <v>7</v>
      </c>
      <c r="C246" s="480" t="s">
        <v>1027</v>
      </c>
      <c r="D246" s="478"/>
      <c r="E246" s="478"/>
      <c r="F246" s="479"/>
      <c r="G246" s="481">
        <v>120.11762764951996</v>
      </c>
      <c r="H246" s="481">
        <v>1</v>
      </c>
      <c r="I246" s="481">
        <v>5</v>
      </c>
      <c r="J246" s="481">
        <v>12</v>
      </c>
      <c r="K246" s="462" t="s">
        <v>1028</v>
      </c>
    </row>
    <row r="247" spans="1:11" ht="13" x14ac:dyDescent="0.25">
      <c r="A247" s="295"/>
      <c r="B247" s="464">
        <v>7</v>
      </c>
      <c r="C247" s="480" t="s">
        <v>1027</v>
      </c>
      <c r="D247" s="478"/>
      <c r="E247" s="478"/>
      <c r="F247" s="479"/>
      <c r="G247" s="481">
        <v>41.95</v>
      </c>
      <c r="H247" s="481">
        <v>1</v>
      </c>
      <c r="I247" s="481">
        <v>5</v>
      </c>
      <c r="J247" s="481">
        <v>21</v>
      </c>
      <c r="K247" s="462" t="s">
        <v>1028</v>
      </c>
    </row>
    <row r="248" spans="1:11" ht="13" x14ac:dyDescent="0.25">
      <c r="A248" s="295"/>
      <c r="B248" s="464">
        <v>7</v>
      </c>
      <c r="C248" s="480" t="s">
        <v>1027</v>
      </c>
      <c r="D248" s="478"/>
      <c r="E248" s="478"/>
      <c r="F248" s="479"/>
      <c r="G248" s="481">
        <v>104.8665402237814</v>
      </c>
      <c r="H248" s="481">
        <v>1</v>
      </c>
      <c r="I248" s="481">
        <v>5</v>
      </c>
      <c r="J248" s="481">
        <v>23</v>
      </c>
      <c r="K248" s="462" t="s">
        <v>1028</v>
      </c>
    </row>
    <row r="249" spans="1:11" ht="13" x14ac:dyDescent="0.25">
      <c r="A249" s="295"/>
      <c r="B249" s="464">
        <v>7</v>
      </c>
      <c r="C249" s="480" t="s">
        <v>1027</v>
      </c>
      <c r="D249" s="478"/>
      <c r="E249" s="478"/>
      <c r="F249" s="479"/>
      <c r="G249" s="481">
        <v>201.80547406082297</v>
      </c>
      <c r="H249" s="481">
        <v>1</v>
      </c>
      <c r="I249" s="481">
        <v>5</v>
      </c>
      <c r="J249" s="481">
        <v>24</v>
      </c>
      <c r="K249" s="462" t="s">
        <v>1028</v>
      </c>
    </row>
    <row r="250" spans="1:11" ht="13" x14ac:dyDescent="0.25">
      <c r="A250" s="295"/>
      <c r="B250" s="464">
        <v>7</v>
      </c>
      <c r="C250" s="480" t="s">
        <v>1027</v>
      </c>
      <c r="D250" s="478"/>
      <c r="E250" s="478"/>
      <c r="F250" s="479"/>
      <c r="G250" s="481">
        <v>8654.7687761789493</v>
      </c>
      <c r="H250" s="481">
        <v>1</v>
      </c>
      <c r="I250" s="481">
        <v>5</v>
      </c>
      <c r="J250" s="481">
        <v>26</v>
      </c>
      <c r="K250" s="462" t="s">
        <v>1028</v>
      </c>
    </row>
    <row r="251" spans="1:11" ht="13" x14ac:dyDescent="0.25">
      <c r="A251" s="295"/>
      <c r="B251" s="464">
        <v>7</v>
      </c>
      <c r="C251" s="480" t="s">
        <v>1027</v>
      </c>
      <c r="D251" s="478"/>
      <c r="E251" s="478"/>
      <c r="F251" s="479"/>
      <c r="G251" s="481">
        <v>7659.7143057889043</v>
      </c>
      <c r="H251" s="481">
        <v>1</v>
      </c>
      <c r="I251" s="481">
        <v>5</v>
      </c>
      <c r="J251" s="481">
        <v>28</v>
      </c>
      <c r="K251" s="462" t="s">
        <v>1028</v>
      </c>
    </row>
    <row r="252" spans="1:11" ht="13" x14ac:dyDescent="0.25">
      <c r="A252" s="295"/>
      <c r="B252" s="464">
        <v>7</v>
      </c>
      <c r="C252" s="480" t="s">
        <v>1027</v>
      </c>
      <c r="D252" s="478"/>
      <c r="E252" s="478"/>
      <c r="F252" s="479"/>
      <c r="G252" s="481">
        <v>1142.3641860465118</v>
      </c>
      <c r="H252" s="481">
        <v>1</v>
      </c>
      <c r="I252" s="481">
        <v>5</v>
      </c>
      <c r="J252" s="481">
        <v>29</v>
      </c>
      <c r="K252" s="462" t="s">
        <v>1028</v>
      </c>
    </row>
    <row r="253" spans="1:11" ht="13" x14ac:dyDescent="0.25">
      <c r="A253" s="295"/>
      <c r="B253" s="464">
        <v>7</v>
      </c>
      <c r="C253" s="480" t="s">
        <v>1027</v>
      </c>
      <c r="D253" s="478"/>
      <c r="E253" s="478"/>
      <c r="F253" s="479"/>
      <c r="G253" s="481">
        <v>1564.2490651650155</v>
      </c>
      <c r="H253" s="481">
        <v>1</v>
      </c>
      <c r="I253" s="481">
        <v>5</v>
      </c>
      <c r="J253" s="481">
        <v>30</v>
      </c>
      <c r="K253" s="462" t="s">
        <v>1028</v>
      </c>
    </row>
    <row r="254" spans="1:11" ht="13" x14ac:dyDescent="0.25">
      <c r="A254" s="295"/>
      <c r="B254" s="464">
        <v>7</v>
      </c>
      <c r="C254" s="480" t="s">
        <v>1027</v>
      </c>
      <c r="D254" s="478"/>
      <c r="E254" s="478"/>
      <c r="F254" s="479"/>
      <c r="G254" s="481">
        <v>7668.0400109076263</v>
      </c>
      <c r="H254" s="481">
        <v>1</v>
      </c>
      <c r="I254" s="481">
        <v>5</v>
      </c>
      <c r="J254" s="481">
        <v>33</v>
      </c>
      <c r="K254" s="462" t="s">
        <v>1028</v>
      </c>
    </row>
    <row r="255" spans="1:11" ht="13" x14ac:dyDescent="0.25">
      <c r="A255" s="295"/>
      <c r="B255" s="464">
        <v>7</v>
      </c>
      <c r="C255" s="480" t="s">
        <v>1027</v>
      </c>
      <c r="D255" s="478"/>
      <c r="E255" s="478"/>
      <c r="F255" s="479"/>
      <c r="G255" s="481">
        <v>2792.2726263454333</v>
      </c>
      <c r="H255" s="481">
        <v>1</v>
      </c>
      <c r="I255" s="481">
        <v>5</v>
      </c>
      <c r="J255" s="481">
        <v>34</v>
      </c>
      <c r="K255" s="462" t="s">
        <v>1028</v>
      </c>
    </row>
    <row r="256" spans="1:11" ht="13" x14ac:dyDescent="0.25">
      <c r="A256" s="295"/>
      <c r="B256" s="464">
        <v>7</v>
      </c>
      <c r="C256" s="480" t="s">
        <v>1027</v>
      </c>
      <c r="D256" s="478"/>
      <c r="E256" s="478"/>
      <c r="F256" s="479"/>
      <c r="G256" s="481">
        <v>71.035295272469085</v>
      </c>
      <c r="H256" s="481">
        <v>1</v>
      </c>
      <c r="I256" s="481">
        <v>5</v>
      </c>
      <c r="J256" s="481">
        <v>36</v>
      </c>
      <c r="K256" s="462" t="s">
        <v>1028</v>
      </c>
    </row>
    <row r="257" spans="1:11" ht="13" x14ac:dyDescent="0.25">
      <c r="A257" s="295"/>
      <c r="B257" s="464">
        <v>7</v>
      </c>
      <c r="C257" s="480" t="s">
        <v>1027</v>
      </c>
      <c r="D257" s="478"/>
      <c r="E257" s="478"/>
      <c r="F257" s="479"/>
      <c r="G257" s="481">
        <v>125.63687269861009</v>
      </c>
      <c r="H257" s="481">
        <v>1</v>
      </c>
      <c r="I257" s="481">
        <v>5</v>
      </c>
      <c r="J257" s="481">
        <v>37</v>
      </c>
      <c r="K257" s="462" t="s">
        <v>1028</v>
      </c>
    </row>
    <row r="258" spans="1:11" ht="13" x14ac:dyDescent="0.25">
      <c r="A258" s="295"/>
      <c r="B258" s="464">
        <v>7</v>
      </c>
      <c r="C258" s="480" t="s">
        <v>1027</v>
      </c>
      <c r="D258" s="478"/>
      <c r="E258" s="478"/>
      <c r="F258" s="479"/>
      <c r="G258" s="481">
        <v>171.69513271673782</v>
      </c>
      <c r="H258" s="481">
        <v>1</v>
      </c>
      <c r="I258" s="481">
        <v>5</v>
      </c>
      <c r="J258" s="481">
        <v>38</v>
      </c>
      <c r="K258" s="462" t="s">
        <v>1028</v>
      </c>
    </row>
    <row r="259" spans="1:11" ht="13" x14ac:dyDescent="0.25">
      <c r="A259" s="295"/>
      <c r="B259" s="464">
        <v>7</v>
      </c>
      <c r="C259" s="480" t="s">
        <v>1027</v>
      </c>
      <c r="D259" s="478"/>
      <c r="E259" s="478"/>
      <c r="F259" s="479"/>
      <c r="G259" s="481">
        <v>710.21919119521124</v>
      </c>
      <c r="H259" s="481">
        <v>1</v>
      </c>
      <c r="I259" s="481">
        <v>5</v>
      </c>
      <c r="J259" s="481">
        <v>39</v>
      </c>
      <c r="K259" s="462" t="s">
        <v>1028</v>
      </c>
    </row>
    <row r="260" spans="1:11" ht="13" x14ac:dyDescent="0.25">
      <c r="A260" s="295"/>
      <c r="B260" s="464">
        <v>7</v>
      </c>
      <c r="C260" s="480" t="s">
        <v>1027</v>
      </c>
      <c r="D260" s="478"/>
      <c r="E260" s="478"/>
      <c r="F260" s="479"/>
      <c r="G260" s="481">
        <v>2610.9477273277976</v>
      </c>
      <c r="H260" s="481">
        <v>1</v>
      </c>
      <c r="I260" s="481">
        <v>5</v>
      </c>
      <c r="J260" s="481">
        <v>41</v>
      </c>
      <c r="K260" s="462" t="s">
        <v>1028</v>
      </c>
    </row>
    <row r="261" spans="1:11" ht="13" x14ac:dyDescent="0.25">
      <c r="A261" s="295"/>
      <c r="B261" s="464">
        <v>7</v>
      </c>
      <c r="C261" s="480" t="s">
        <v>1027</v>
      </c>
      <c r="D261" s="478"/>
      <c r="E261" s="478"/>
      <c r="F261" s="479"/>
      <c r="G261" s="481">
        <v>428.1283803066745</v>
      </c>
      <c r="H261" s="481">
        <v>1</v>
      </c>
      <c r="I261" s="481">
        <v>5</v>
      </c>
      <c r="J261" s="481">
        <v>42</v>
      </c>
      <c r="K261" s="462" t="s">
        <v>1028</v>
      </c>
    </row>
    <row r="262" spans="1:11" ht="13" x14ac:dyDescent="0.25">
      <c r="A262" s="295"/>
      <c r="B262" s="464">
        <v>7</v>
      </c>
      <c r="C262" s="480" t="s">
        <v>1027</v>
      </c>
      <c r="D262" s="478"/>
      <c r="E262" s="478"/>
      <c r="F262" s="479"/>
      <c r="G262" s="481">
        <v>919.17842576028659</v>
      </c>
      <c r="H262" s="481">
        <v>1</v>
      </c>
      <c r="I262" s="481">
        <v>5</v>
      </c>
      <c r="J262" s="481">
        <v>43</v>
      </c>
      <c r="K262" s="462" t="s">
        <v>1028</v>
      </c>
    </row>
    <row r="263" spans="1:11" ht="13" x14ac:dyDescent="0.25">
      <c r="A263" s="295"/>
      <c r="B263" s="464">
        <v>7</v>
      </c>
      <c r="C263" s="480" t="s">
        <v>1027</v>
      </c>
      <c r="D263" s="478"/>
      <c r="E263" s="478"/>
      <c r="F263" s="479"/>
      <c r="G263" s="481">
        <v>1.8783542039355998</v>
      </c>
      <c r="H263" s="481">
        <v>1</v>
      </c>
      <c r="I263" s="481">
        <v>5</v>
      </c>
      <c r="J263" s="481">
        <v>44</v>
      </c>
      <c r="K263" s="462" t="s">
        <v>1028</v>
      </c>
    </row>
    <row r="264" spans="1:11" ht="13" x14ac:dyDescent="0.25">
      <c r="A264" s="295"/>
      <c r="B264" s="464">
        <v>7</v>
      </c>
      <c r="C264" s="480" t="s">
        <v>1027</v>
      </c>
      <c r="D264" s="478"/>
      <c r="E264" s="478"/>
      <c r="F264" s="479"/>
      <c r="G264" s="481">
        <v>2.6453667262969596</v>
      </c>
      <c r="H264" s="481">
        <v>1</v>
      </c>
      <c r="I264" s="481">
        <v>5</v>
      </c>
      <c r="J264" s="481">
        <v>45</v>
      </c>
      <c r="K264" s="462" t="s">
        <v>1028</v>
      </c>
    </row>
    <row r="265" spans="1:11" ht="13" x14ac:dyDescent="0.25">
      <c r="A265" s="295"/>
      <c r="B265" s="464">
        <v>7</v>
      </c>
      <c r="C265" s="480" t="s">
        <v>1027</v>
      </c>
      <c r="D265" s="478"/>
      <c r="E265" s="478"/>
      <c r="F265" s="479"/>
      <c r="G265" s="481">
        <v>1125.1057665380533</v>
      </c>
      <c r="H265" s="481">
        <v>1</v>
      </c>
      <c r="I265" s="481">
        <v>5</v>
      </c>
      <c r="J265" s="481">
        <v>46</v>
      </c>
      <c r="K265" s="462" t="s">
        <v>1028</v>
      </c>
    </row>
    <row r="266" spans="1:11" ht="13" x14ac:dyDescent="0.25">
      <c r="A266" s="295"/>
      <c r="B266" s="464">
        <v>7</v>
      </c>
      <c r="C266" s="480" t="s">
        <v>1027</v>
      </c>
      <c r="D266" s="478"/>
      <c r="E266" s="478"/>
      <c r="F266" s="479"/>
      <c r="G266" s="481">
        <v>1223.1587257494286</v>
      </c>
      <c r="H266" s="481">
        <v>1</v>
      </c>
      <c r="I266" s="481">
        <v>5</v>
      </c>
      <c r="J266" s="481">
        <v>47</v>
      </c>
      <c r="K266" s="462" t="s">
        <v>1028</v>
      </c>
    </row>
    <row r="267" spans="1:11" ht="13" x14ac:dyDescent="0.25">
      <c r="A267" s="295"/>
      <c r="B267" s="464">
        <v>7</v>
      </c>
      <c r="C267" s="480" t="s">
        <v>1027</v>
      </c>
      <c r="D267" s="478"/>
      <c r="E267" s="478"/>
      <c r="F267" s="479"/>
      <c r="G267" s="481">
        <v>2855.3338083729345</v>
      </c>
      <c r="H267" s="481">
        <v>1</v>
      </c>
      <c r="I267" s="481">
        <v>5</v>
      </c>
      <c r="J267" s="481">
        <v>48</v>
      </c>
      <c r="K267" s="462" t="s">
        <v>1028</v>
      </c>
    </row>
    <row r="268" spans="1:11" ht="13" x14ac:dyDescent="0.25">
      <c r="A268" s="295"/>
      <c r="B268" s="464"/>
      <c r="C268" s="474"/>
      <c r="D268" s="475"/>
      <c r="E268" s="475"/>
      <c r="F268" s="475"/>
      <c r="G268" s="476"/>
      <c r="H268" s="303"/>
      <c r="I268" s="303"/>
      <c r="J268" s="303"/>
      <c r="K268" s="462"/>
    </row>
    <row r="269" spans="1:11" ht="13" x14ac:dyDescent="0.25">
      <c r="A269" s="295"/>
      <c r="B269" s="464">
        <v>8</v>
      </c>
      <c r="C269" s="480" t="s">
        <v>1027</v>
      </c>
      <c r="D269" s="478"/>
      <c r="E269" s="478"/>
      <c r="F269" s="479"/>
      <c r="G269" s="481">
        <v>-5641.5527057300287</v>
      </c>
      <c r="H269" s="481">
        <v>1</v>
      </c>
      <c r="I269" s="481">
        <v>5</v>
      </c>
      <c r="J269" s="481">
        <v>6</v>
      </c>
      <c r="K269" s="462" t="s">
        <v>1028</v>
      </c>
    </row>
    <row r="270" spans="1:11" ht="13" x14ac:dyDescent="0.25">
      <c r="A270" s="295"/>
      <c r="B270" s="464">
        <v>8</v>
      </c>
      <c r="C270" s="480" t="s">
        <v>1027</v>
      </c>
      <c r="D270" s="478"/>
      <c r="E270" s="478"/>
      <c r="F270" s="479"/>
      <c r="G270" s="481">
        <v>-4.4756654375504175</v>
      </c>
      <c r="H270" s="481">
        <v>1</v>
      </c>
      <c r="I270" s="481">
        <v>5</v>
      </c>
      <c r="J270" s="481">
        <v>10</v>
      </c>
      <c r="K270" s="462" t="s">
        <v>1028</v>
      </c>
    </row>
    <row r="271" spans="1:11" ht="13" x14ac:dyDescent="0.25">
      <c r="A271" s="295"/>
      <c r="B271" s="464">
        <v>8</v>
      </c>
      <c r="C271" s="480" t="s">
        <v>1027</v>
      </c>
      <c r="D271" s="478"/>
      <c r="E271" s="478"/>
      <c r="F271" s="479"/>
      <c r="G271" s="481">
        <v>-36701.406283313947</v>
      </c>
      <c r="H271" s="481">
        <v>1</v>
      </c>
      <c r="I271" s="481">
        <v>5</v>
      </c>
      <c r="J271" s="481">
        <v>11</v>
      </c>
      <c r="K271" s="462" t="s">
        <v>1028</v>
      </c>
    </row>
    <row r="272" spans="1:11" ht="13" x14ac:dyDescent="0.25">
      <c r="A272" s="295"/>
      <c r="B272" s="464">
        <v>8</v>
      </c>
      <c r="C272" s="480" t="s">
        <v>1027</v>
      </c>
      <c r="D272" s="478"/>
      <c r="E272" s="478"/>
      <c r="F272" s="479"/>
      <c r="G272" s="481">
        <v>-55.010710574371913</v>
      </c>
      <c r="H272" s="481">
        <v>1</v>
      </c>
      <c r="I272" s="481">
        <v>5</v>
      </c>
      <c r="J272" s="481">
        <v>12</v>
      </c>
      <c r="K272" s="462" t="s">
        <v>1028</v>
      </c>
    </row>
    <row r="273" spans="1:11" ht="13" x14ac:dyDescent="0.25">
      <c r="A273" s="295"/>
      <c r="B273" s="464">
        <v>8</v>
      </c>
      <c r="C273" s="480" t="s">
        <v>1027</v>
      </c>
      <c r="D273" s="478"/>
      <c r="E273" s="478"/>
      <c r="F273" s="479"/>
      <c r="G273" s="481">
        <v>-0.51122633528392381</v>
      </c>
      <c r="H273" s="481">
        <v>1</v>
      </c>
      <c r="I273" s="481">
        <v>5</v>
      </c>
      <c r="J273" s="481">
        <v>22</v>
      </c>
      <c r="K273" s="462" t="s">
        <v>1028</v>
      </c>
    </row>
    <row r="274" spans="1:11" ht="13" x14ac:dyDescent="0.25">
      <c r="A274" s="295"/>
      <c r="B274" s="464">
        <v>8</v>
      </c>
      <c r="C274" s="480" t="s">
        <v>1027</v>
      </c>
      <c r="D274" s="478"/>
      <c r="E274" s="478"/>
      <c r="F274" s="479"/>
      <c r="G274" s="481">
        <v>-42.246902153489884</v>
      </c>
      <c r="H274" s="481">
        <v>1</v>
      </c>
      <c r="I274" s="481">
        <v>5</v>
      </c>
      <c r="J274" s="481">
        <v>23</v>
      </c>
      <c r="K274" s="462" t="s">
        <v>1028</v>
      </c>
    </row>
    <row r="275" spans="1:11" ht="13" x14ac:dyDescent="0.25">
      <c r="A275" s="295"/>
      <c r="B275" s="464">
        <v>8</v>
      </c>
      <c r="C275" s="480" t="s">
        <v>1027</v>
      </c>
      <c r="D275" s="478"/>
      <c r="E275" s="478"/>
      <c r="F275" s="479"/>
      <c r="G275" s="481">
        <v>-80.722189624329189</v>
      </c>
      <c r="H275" s="481">
        <v>1</v>
      </c>
      <c r="I275" s="481">
        <v>5</v>
      </c>
      <c r="J275" s="481">
        <v>24</v>
      </c>
      <c r="K275" s="462" t="s">
        <v>1028</v>
      </c>
    </row>
    <row r="276" spans="1:11" ht="13" x14ac:dyDescent="0.25">
      <c r="A276" s="295"/>
      <c r="B276" s="464">
        <v>8</v>
      </c>
      <c r="C276" s="480" t="s">
        <v>1027</v>
      </c>
      <c r="D276" s="478"/>
      <c r="E276" s="478"/>
      <c r="F276" s="479"/>
      <c r="G276" s="481">
        <v>-621.79167794302873</v>
      </c>
      <c r="H276" s="481">
        <v>1</v>
      </c>
      <c r="I276" s="481">
        <v>5</v>
      </c>
      <c r="J276" s="481">
        <v>26</v>
      </c>
      <c r="K276" s="462" t="s">
        <v>1028</v>
      </c>
    </row>
    <row r="277" spans="1:11" ht="13" x14ac:dyDescent="0.25">
      <c r="A277" s="295"/>
      <c r="B277" s="464">
        <v>8</v>
      </c>
      <c r="C277" s="480" t="s">
        <v>1027</v>
      </c>
      <c r="D277" s="478"/>
      <c r="E277" s="478"/>
      <c r="F277" s="479"/>
      <c r="G277" s="481">
        <v>-2028.7163914145444</v>
      </c>
      <c r="H277" s="481">
        <v>1</v>
      </c>
      <c r="I277" s="481">
        <v>5</v>
      </c>
      <c r="J277" s="481">
        <v>28</v>
      </c>
      <c r="K277" s="462" t="s">
        <v>1028</v>
      </c>
    </row>
    <row r="278" spans="1:11" ht="13" x14ac:dyDescent="0.25">
      <c r="A278" s="295"/>
      <c r="B278" s="464">
        <v>8</v>
      </c>
      <c r="C278" s="480" t="s">
        <v>1027</v>
      </c>
      <c r="D278" s="478"/>
      <c r="E278" s="478"/>
      <c r="F278" s="479"/>
      <c r="G278" s="481">
        <v>-456.94567441860477</v>
      </c>
      <c r="H278" s="481">
        <v>1</v>
      </c>
      <c r="I278" s="481">
        <v>5</v>
      </c>
      <c r="J278" s="481">
        <v>29</v>
      </c>
      <c r="K278" s="462" t="s">
        <v>1028</v>
      </c>
    </row>
    <row r="279" spans="1:11" ht="13" x14ac:dyDescent="0.25">
      <c r="A279" s="295"/>
      <c r="B279" s="464">
        <v>8</v>
      </c>
      <c r="C279" s="480" t="s">
        <v>1027</v>
      </c>
      <c r="D279" s="478"/>
      <c r="E279" s="478"/>
      <c r="F279" s="479"/>
      <c r="G279" s="481">
        <v>-1076.6659235081343</v>
      </c>
      <c r="H279" s="481">
        <v>1</v>
      </c>
      <c r="I279" s="481">
        <v>5</v>
      </c>
      <c r="J279" s="481">
        <v>30</v>
      </c>
      <c r="K279" s="462" t="s">
        <v>1028</v>
      </c>
    </row>
    <row r="280" spans="1:11" ht="13" x14ac:dyDescent="0.25">
      <c r="A280" s="295"/>
      <c r="B280" s="464">
        <v>8</v>
      </c>
      <c r="C280" s="480" t="s">
        <v>1027</v>
      </c>
      <c r="D280" s="478"/>
      <c r="E280" s="478"/>
      <c r="F280" s="479"/>
      <c r="G280" s="481">
        <v>-2679.935373121114</v>
      </c>
      <c r="H280" s="481">
        <v>1</v>
      </c>
      <c r="I280" s="481">
        <v>5</v>
      </c>
      <c r="J280" s="481">
        <v>33</v>
      </c>
      <c r="K280" s="462" t="s">
        <v>1028</v>
      </c>
    </row>
    <row r="281" spans="1:11" ht="13" x14ac:dyDescent="0.25">
      <c r="A281" s="295"/>
      <c r="B281" s="464">
        <v>8</v>
      </c>
      <c r="C281" s="480" t="s">
        <v>1027</v>
      </c>
      <c r="D281" s="478"/>
      <c r="E281" s="478"/>
      <c r="F281" s="479"/>
      <c r="G281" s="481">
        <v>-2200.4466959891574</v>
      </c>
      <c r="H281" s="481">
        <v>1</v>
      </c>
      <c r="I281" s="481">
        <v>5</v>
      </c>
      <c r="J281" s="481">
        <v>34</v>
      </c>
      <c r="K281" s="462" t="s">
        <v>1028</v>
      </c>
    </row>
    <row r="282" spans="1:11" ht="13" x14ac:dyDescent="0.25">
      <c r="A282" s="295"/>
      <c r="B282" s="464">
        <v>8</v>
      </c>
      <c r="C282" s="480" t="s">
        <v>1027</v>
      </c>
      <c r="D282" s="478"/>
      <c r="E282" s="478"/>
      <c r="F282" s="479"/>
      <c r="G282" s="481">
        <v>-177.64497120133711</v>
      </c>
      <c r="H282" s="481">
        <v>1</v>
      </c>
      <c r="I282" s="481">
        <v>5</v>
      </c>
      <c r="J282" s="481">
        <v>36</v>
      </c>
      <c r="K282" s="462" t="s">
        <v>1028</v>
      </c>
    </row>
    <row r="283" spans="1:11" ht="13" x14ac:dyDescent="0.25">
      <c r="A283" s="295"/>
      <c r="B283" s="464">
        <v>8</v>
      </c>
      <c r="C283" s="480" t="s">
        <v>1027</v>
      </c>
      <c r="D283" s="478"/>
      <c r="E283" s="478"/>
      <c r="F283" s="479"/>
      <c r="G283" s="481">
        <v>-294.79962088604793</v>
      </c>
      <c r="H283" s="481">
        <v>1</v>
      </c>
      <c r="I283" s="481">
        <v>5</v>
      </c>
      <c r="J283" s="481">
        <v>37</v>
      </c>
      <c r="K283" s="462" t="s">
        <v>1028</v>
      </c>
    </row>
    <row r="284" spans="1:11" ht="13" x14ac:dyDescent="0.25">
      <c r="A284" s="295"/>
      <c r="B284" s="464">
        <v>8</v>
      </c>
      <c r="C284" s="480" t="s">
        <v>1027</v>
      </c>
      <c r="D284" s="478"/>
      <c r="E284" s="478"/>
      <c r="F284" s="479"/>
      <c r="G284" s="481">
        <v>-134.87022306184093</v>
      </c>
      <c r="H284" s="481">
        <v>1</v>
      </c>
      <c r="I284" s="481">
        <v>5</v>
      </c>
      <c r="J284" s="481">
        <v>38</v>
      </c>
      <c r="K284" s="462" t="s">
        <v>1028</v>
      </c>
    </row>
    <row r="285" spans="1:11" ht="13" x14ac:dyDescent="0.25">
      <c r="A285" s="295"/>
      <c r="B285" s="464">
        <v>8</v>
      </c>
      <c r="C285" s="480" t="s">
        <v>1027</v>
      </c>
      <c r="D285" s="478"/>
      <c r="E285" s="478"/>
      <c r="F285" s="479"/>
      <c r="G285" s="481">
        <v>832.25789578792956</v>
      </c>
      <c r="H285" s="481">
        <v>1</v>
      </c>
      <c r="I285" s="481">
        <v>5</v>
      </c>
      <c r="J285" s="481">
        <v>39</v>
      </c>
      <c r="K285" s="462" t="s">
        <v>1028</v>
      </c>
    </row>
    <row r="286" spans="1:11" ht="13" x14ac:dyDescent="0.25">
      <c r="A286" s="295"/>
      <c r="B286" s="464">
        <v>8</v>
      </c>
      <c r="C286" s="480" t="s">
        <v>1027</v>
      </c>
      <c r="D286" s="478"/>
      <c r="E286" s="478"/>
      <c r="F286" s="479"/>
      <c r="G286" s="481">
        <v>-38.282755954835586</v>
      </c>
      <c r="H286" s="481">
        <v>1</v>
      </c>
      <c r="I286" s="481">
        <v>5</v>
      </c>
      <c r="J286" s="481">
        <v>41</v>
      </c>
      <c r="K286" s="462" t="s">
        <v>1028</v>
      </c>
    </row>
    <row r="287" spans="1:11" ht="13" x14ac:dyDescent="0.25">
      <c r="A287" s="295"/>
      <c r="B287" s="464">
        <v>8</v>
      </c>
      <c r="C287" s="480" t="s">
        <v>1027</v>
      </c>
      <c r="D287" s="478"/>
      <c r="E287" s="478"/>
      <c r="F287" s="479"/>
      <c r="G287" s="481">
        <v>-756.69017664257024</v>
      </c>
      <c r="H287" s="481">
        <v>1</v>
      </c>
      <c r="I287" s="481">
        <v>5</v>
      </c>
      <c r="J287" s="481">
        <v>42</v>
      </c>
      <c r="K287" s="462" t="s">
        <v>1028</v>
      </c>
    </row>
    <row r="288" spans="1:11" ht="13" x14ac:dyDescent="0.25">
      <c r="A288" s="295"/>
      <c r="B288" s="464">
        <v>8</v>
      </c>
      <c r="C288" s="480" t="s">
        <v>1027</v>
      </c>
      <c r="D288" s="478"/>
      <c r="E288" s="478"/>
      <c r="F288" s="479"/>
      <c r="G288" s="481">
        <v>-367.67137030411459</v>
      </c>
      <c r="H288" s="481">
        <v>1</v>
      </c>
      <c r="I288" s="481">
        <v>5</v>
      </c>
      <c r="J288" s="481">
        <v>43</v>
      </c>
      <c r="K288" s="462" t="s">
        <v>1028</v>
      </c>
    </row>
    <row r="289" spans="1:11" ht="13" x14ac:dyDescent="0.25">
      <c r="A289" s="295"/>
      <c r="B289" s="464">
        <v>8</v>
      </c>
      <c r="C289" s="480" t="s">
        <v>1027</v>
      </c>
      <c r="D289" s="478"/>
      <c r="E289" s="478"/>
      <c r="F289" s="479"/>
      <c r="G289" s="481">
        <v>-0.75134168157423997</v>
      </c>
      <c r="H289" s="481">
        <v>1</v>
      </c>
      <c r="I289" s="481">
        <v>5</v>
      </c>
      <c r="J289" s="481">
        <v>44</v>
      </c>
      <c r="K289" s="462" t="s">
        <v>1028</v>
      </c>
    </row>
    <row r="290" spans="1:11" ht="13" x14ac:dyDescent="0.25">
      <c r="A290" s="295"/>
      <c r="B290" s="464">
        <v>8</v>
      </c>
      <c r="C290" s="480" t="s">
        <v>1027</v>
      </c>
      <c r="D290" s="478"/>
      <c r="E290" s="478"/>
      <c r="F290" s="479"/>
      <c r="G290" s="481">
        <v>-1.0581466905187837</v>
      </c>
      <c r="H290" s="481">
        <v>1</v>
      </c>
      <c r="I290" s="481">
        <v>5</v>
      </c>
      <c r="J290" s="481">
        <v>45</v>
      </c>
      <c r="K290" s="462" t="s">
        <v>1028</v>
      </c>
    </row>
    <row r="291" spans="1:11" ht="13" x14ac:dyDescent="0.25">
      <c r="A291" s="295"/>
      <c r="B291" s="464">
        <v>8</v>
      </c>
      <c r="C291" s="480" t="s">
        <v>1027</v>
      </c>
      <c r="D291" s="478"/>
      <c r="E291" s="478"/>
      <c r="F291" s="479"/>
      <c r="G291" s="481">
        <v>-27883.303393210837</v>
      </c>
      <c r="H291" s="481">
        <v>1</v>
      </c>
      <c r="I291" s="481">
        <v>5</v>
      </c>
      <c r="J291" s="481">
        <v>46</v>
      </c>
      <c r="K291" s="462" t="s">
        <v>1028</v>
      </c>
    </row>
    <row r="292" spans="1:11" ht="13" x14ac:dyDescent="0.25">
      <c r="A292" s="295"/>
      <c r="B292" s="464">
        <v>8</v>
      </c>
      <c r="C292" s="480" t="s">
        <v>1027</v>
      </c>
      <c r="D292" s="478"/>
      <c r="E292" s="478"/>
      <c r="F292" s="479"/>
      <c r="G292" s="481">
        <v>-489.84133683661366</v>
      </c>
      <c r="H292" s="481">
        <v>1</v>
      </c>
      <c r="I292" s="481">
        <v>5</v>
      </c>
      <c r="J292" s="481">
        <v>47</v>
      </c>
      <c r="K292" s="462" t="s">
        <v>1028</v>
      </c>
    </row>
    <row r="293" spans="1:11" ht="13" x14ac:dyDescent="0.25">
      <c r="A293" s="295"/>
      <c r="B293" s="464">
        <v>8</v>
      </c>
      <c r="C293" s="480" t="s">
        <v>1027</v>
      </c>
      <c r="D293" s="478"/>
      <c r="E293" s="478"/>
      <c r="F293" s="479"/>
      <c r="G293" s="481">
        <v>-256.91805172613198</v>
      </c>
      <c r="H293" s="481">
        <v>1</v>
      </c>
      <c r="I293" s="481">
        <v>5</v>
      </c>
      <c r="J293" s="481">
        <v>48</v>
      </c>
      <c r="K293" s="462" t="s">
        <v>1028</v>
      </c>
    </row>
    <row r="294" spans="1:11" ht="13" x14ac:dyDescent="0.25">
      <c r="A294" s="295"/>
      <c r="B294" s="464">
        <v>8</v>
      </c>
      <c r="C294" s="480" t="s">
        <v>1027</v>
      </c>
      <c r="D294" s="478"/>
      <c r="E294" s="478"/>
      <c r="F294" s="479"/>
      <c r="G294" s="481">
        <v>5641.5527057300287</v>
      </c>
      <c r="H294" s="481">
        <v>1</v>
      </c>
      <c r="I294" s="481">
        <v>3</v>
      </c>
      <c r="J294" s="481">
        <v>6</v>
      </c>
      <c r="K294" s="462" t="s">
        <v>1028</v>
      </c>
    </row>
    <row r="295" spans="1:11" ht="13" x14ac:dyDescent="0.25">
      <c r="A295" s="295"/>
      <c r="B295" s="464">
        <v>8</v>
      </c>
      <c r="C295" s="480" t="s">
        <v>1027</v>
      </c>
      <c r="D295" s="478"/>
      <c r="E295" s="478"/>
      <c r="F295" s="479"/>
      <c r="G295" s="481">
        <v>4.4756654375504175</v>
      </c>
      <c r="H295" s="481">
        <v>1</v>
      </c>
      <c r="I295" s="481">
        <v>3</v>
      </c>
      <c r="J295" s="481">
        <v>10</v>
      </c>
      <c r="K295" s="462" t="s">
        <v>1028</v>
      </c>
    </row>
    <row r="296" spans="1:11" ht="13" x14ac:dyDescent="0.25">
      <c r="A296" s="295"/>
      <c r="B296" s="464">
        <v>8</v>
      </c>
      <c r="C296" s="480" t="s">
        <v>1027</v>
      </c>
      <c r="D296" s="478"/>
      <c r="E296" s="478"/>
      <c r="F296" s="479"/>
      <c r="G296" s="481">
        <v>36701.406283313947</v>
      </c>
      <c r="H296" s="481">
        <v>1</v>
      </c>
      <c r="I296" s="481">
        <v>3</v>
      </c>
      <c r="J296" s="481">
        <v>11</v>
      </c>
      <c r="K296" s="462" t="s">
        <v>1028</v>
      </c>
    </row>
    <row r="297" spans="1:11" ht="13" x14ac:dyDescent="0.25">
      <c r="A297" s="295"/>
      <c r="B297" s="464">
        <v>8</v>
      </c>
      <c r="C297" s="480" t="s">
        <v>1027</v>
      </c>
      <c r="D297" s="478"/>
      <c r="E297" s="478"/>
      <c r="F297" s="479"/>
      <c r="G297" s="481">
        <v>55.010710574371913</v>
      </c>
      <c r="H297" s="481">
        <v>1</v>
      </c>
      <c r="I297" s="481">
        <v>3</v>
      </c>
      <c r="J297" s="481">
        <v>12</v>
      </c>
      <c r="K297" s="462" t="s">
        <v>1028</v>
      </c>
    </row>
    <row r="298" spans="1:11" ht="13" x14ac:dyDescent="0.25">
      <c r="A298" s="295"/>
      <c r="B298" s="464">
        <v>8</v>
      </c>
      <c r="C298" s="480" t="s">
        <v>1027</v>
      </c>
      <c r="D298" s="478"/>
      <c r="E298" s="478"/>
      <c r="F298" s="479"/>
      <c r="G298" s="481">
        <v>0.51122633528392381</v>
      </c>
      <c r="H298" s="481">
        <v>1</v>
      </c>
      <c r="I298" s="481">
        <v>3</v>
      </c>
      <c r="J298" s="481">
        <v>22</v>
      </c>
      <c r="K298" s="462" t="s">
        <v>1028</v>
      </c>
    </row>
    <row r="299" spans="1:11" ht="13" x14ac:dyDescent="0.25">
      <c r="A299" s="295"/>
      <c r="B299" s="464">
        <v>8</v>
      </c>
      <c r="C299" s="480" t="s">
        <v>1027</v>
      </c>
      <c r="D299" s="478"/>
      <c r="E299" s="478"/>
      <c r="F299" s="479"/>
      <c r="G299" s="481">
        <v>42.246902153489884</v>
      </c>
      <c r="H299" s="481">
        <v>1</v>
      </c>
      <c r="I299" s="481">
        <v>3</v>
      </c>
      <c r="J299" s="481">
        <v>23</v>
      </c>
      <c r="K299" s="462" t="s">
        <v>1028</v>
      </c>
    </row>
    <row r="300" spans="1:11" ht="13" x14ac:dyDescent="0.25">
      <c r="A300" s="295"/>
      <c r="B300" s="464">
        <v>8</v>
      </c>
      <c r="C300" s="480" t="s">
        <v>1027</v>
      </c>
      <c r="D300" s="478"/>
      <c r="E300" s="478"/>
      <c r="F300" s="479"/>
      <c r="G300" s="481">
        <v>80.722189624329189</v>
      </c>
      <c r="H300" s="481">
        <v>1</v>
      </c>
      <c r="I300" s="481">
        <v>3</v>
      </c>
      <c r="J300" s="481">
        <v>24</v>
      </c>
      <c r="K300" s="462" t="s">
        <v>1028</v>
      </c>
    </row>
    <row r="301" spans="1:11" ht="13" x14ac:dyDescent="0.25">
      <c r="A301" s="295"/>
      <c r="B301" s="464">
        <v>8</v>
      </c>
      <c r="C301" s="480" t="s">
        <v>1027</v>
      </c>
      <c r="D301" s="478"/>
      <c r="E301" s="478"/>
      <c r="F301" s="479"/>
      <c r="G301" s="481">
        <v>621.79167794302873</v>
      </c>
      <c r="H301" s="481">
        <v>1</v>
      </c>
      <c r="I301" s="481">
        <v>3</v>
      </c>
      <c r="J301" s="481">
        <v>26</v>
      </c>
      <c r="K301" s="462" t="s">
        <v>1028</v>
      </c>
    </row>
    <row r="302" spans="1:11" ht="13" x14ac:dyDescent="0.25">
      <c r="A302" s="295"/>
      <c r="B302" s="464">
        <v>8</v>
      </c>
      <c r="C302" s="480" t="s">
        <v>1027</v>
      </c>
      <c r="D302" s="478"/>
      <c r="E302" s="478"/>
      <c r="F302" s="479"/>
      <c r="G302" s="481">
        <v>2028.7163914145444</v>
      </c>
      <c r="H302" s="481">
        <v>1</v>
      </c>
      <c r="I302" s="481">
        <v>3</v>
      </c>
      <c r="J302" s="481">
        <v>28</v>
      </c>
      <c r="K302" s="462" t="s">
        <v>1028</v>
      </c>
    </row>
    <row r="303" spans="1:11" ht="13" x14ac:dyDescent="0.25">
      <c r="A303" s="295"/>
      <c r="B303" s="464">
        <v>8</v>
      </c>
      <c r="C303" s="480" t="s">
        <v>1027</v>
      </c>
      <c r="D303" s="478"/>
      <c r="E303" s="478"/>
      <c r="F303" s="479"/>
      <c r="G303" s="481">
        <v>456.94567441860477</v>
      </c>
      <c r="H303" s="481">
        <v>1</v>
      </c>
      <c r="I303" s="481">
        <v>3</v>
      </c>
      <c r="J303" s="481">
        <v>29</v>
      </c>
      <c r="K303" s="462" t="s">
        <v>1028</v>
      </c>
    </row>
    <row r="304" spans="1:11" ht="13" x14ac:dyDescent="0.25">
      <c r="A304" s="295"/>
      <c r="B304" s="464">
        <v>8</v>
      </c>
      <c r="C304" s="480" t="s">
        <v>1027</v>
      </c>
      <c r="D304" s="478"/>
      <c r="E304" s="478"/>
      <c r="F304" s="479"/>
      <c r="G304" s="481">
        <v>1076.6659235081343</v>
      </c>
      <c r="H304" s="481">
        <v>1</v>
      </c>
      <c r="I304" s="481">
        <v>3</v>
      </c>
      <c r="J304" s="481">
        <v>30</v>
      </c>
      <c r="K304" s="462" t="s">
        <v>1028</v>
      </c>
    </row>
    <row r="305" spans="1:11" ht="13" x14ac:dyDescent="0.25">
      <c r="A305" s="295"/>
      <c r="B305" s="464">
        <v>8</v>
      </c>
      <c r="C305" s="480" t="s">
        <v>1027</v>
      </c>
      <c r="D305" s="478"/>
      <c r="E305" s="478"/>
      <c r="F305" s="479"/>
      <c r="G305" s="481">
        <v>2679.935373121114</v>
      </c>
      <c r="H305" s="481">
        <v>1</v>
      </c>
      <c r="I305" s="481">
        <v>3</v>
      </c>
      <c r="J305" s="481">
        <v>33</v>
      </c>
      <c r="K305" s="462" t="s">
        <v>1028</v>
      </c>
    </row>
    <row r="306" spans="1:11" ht="13" x14ac:dyDescent="0.25">
      <c r="A306" s="295"/>
      <c r="B306" s="464">
        <v>8</v>
      </c>
      <c r="C306" s="480" t="s">
        <v>1027</v>
      </c>
      <c r="D306" s="478"/>
      <c r="E306" s="478"/>
      <c r="F306" s="479"/>
      <c r="G306" s="481">
        <v>2200.4466959891574</v>
      </c>
      <c r="H306" s="481">
        <v>1</v>
      </c>
      <c r="I306" s="481">
        <v>3</v>
      </c>
      <c r="J306" s="481">
        <v>34</v>
      </c>
      <c r="K306" s="462" t="s">
        <v>1028</v>
      </c>
    </row>
    <row r="307" spans="1:11" ht="13" x14ac:dyDescent="0.25">
      <c r="A307" s="295"/>
      <c r="B307" s="464">
        <v>8</v>
      </c>
      <c r="C307" s="480" t="s">
        <v>1027</v>
      </c>
      <c r="D307" s="478"/>
      <c r="E307" s="478"/>
      <c r="F307" s="479"/>
      <c r="G307" s="481">
        <v>177.64497120133711</v>
      </c>
      <c r="H307" s="481">
        <v>1</v>
      </c>
      <c r="I307" s="481">
        <v>3</v>
      </c>
      <c r="J307" s="481">
        <v>36</v>
      </c>
      <c r="K307" s="462" t="s">
        <v>1028</v>
      </c>
    </row>
    <row r="308" spans="1:11" ht="13" x14ac:dyDescent="0.25">
      <c r="A308" s="295"/>
      <c r="B308" s="464">
        <v>8</v>
      </c>
      <c r="C308" s="480" t="s">
        <v>1027</v>
      </c>
      <c r="D308" s="478"/>
      <c r="E308" s="478"/>
      <c r="F308" s="479"/>
      <c r="G308" s="481">
        <v>294.79962088604793</v>
      </c>
      <c r="H308" s="481">
        <v>1</v>
      </c>
      <c r="I308" s="481">
        <v>3</v>
      </c>
      <c r="J308" s="481">
        <v>37</v>
      </c>
      <c r="K308" s="462" t="s">
        <v>1028</v>
      </c>
    </row>
    <row r="309" spans="1:11" ht="13" x14ac:dyDescent="0.25">
      <c r="A309" s="295"/>
      <c r="B309" s="464">
        <v>8</v>
      </c>
      <c r="C309" s="480" t="s">
        <v>1027</v>
      </c>
      <c r="D309" s="478"/>
      <c r="E309" s="478"/>
      <c r="F309" s="479"/>
      <c r="G309" s="481">
        <v>134.87022306184093</v>
      </c>
      <c r="H309" s="481">
        <v>1</v>
      </c>
      <c r="I309" s="481">
        <v>3</v>
      </c>
      <c r="J309" s="481">
        <v>38</v>
      </c>
      <c r="K309" s="462" t="s">
        <v>1028</v>
      </c>
    </row>
    <row r="310" spans="1:11" ht="13" x14ac:dyDescent="0.25">
      <c r="A310" s="295"/>
      <c r="B310" s="464">
        <v>8</v>
      </c>
      <c r="C310" s="480" t="s">
        <v>1027</v>
      </c>
      <c r="D310" s="478"/>
      <c r="E310" s="478"/>
      <c r="F310" s="479"/>
      <c r="G310" s="481">
        <v>-832.25789578792956</v>
      </c>
      <c r="H310" s="481">
        <v>1</v>
      </c>
      <c r="I310" s="481">
        <v>3</v>
      </c>
      <c r="J310" s="481">
        <v>39</v>
      </c>
      <c r="K310" s="462" t="s">
        <v>1028</v>
      </c>
    </row>
    <row r="311" spans="1:11" ht="13" x14ac:dyDescent="0.25">
      <c r="A311" s="295"/>
      <c r="B311" s="464">
        <v>8</v>
      </c>
      <c r="C311" s="480" t="s">
        <v>1027</v>
      </c>
      <c r="D311" s="478"/>
      <c r="E311" s="478"/>
      <c r="F311" s="479"/>
      <c r="G311" s="481">
        <v>38.282755954835586</v>
      </c>
      <c r="H311" s="481">
        <v>1</v>
      </c>
      <c r="I311" s="481">
        <v>3</v>
      </c>
      <c r="J311" s="481">
        <v>41</v>
      </c>
      <c r="K311" s="462" t="s">
        <v>1028</v>
      </c>
    </row>
    <row r="312" spans="1:11" ht="13" x14ac:dyDescent="0.25">
      <c r="A312" s="295"/>
      <c r="B312" s="464">
        <v>8</v>
      </c>
      <c r="C312" s="480" t="s">
        <v>1027</v>
      </c>
      <c r="D312" s="478"/>
      <c r="E312" s="478"/>
      <c r="F312" s="479"/>
      <c r="G312" s="481">
        <v>756.69017664257024</v>
      </c>
      <c r="H312" s="481">
        <v>1</v>
      </c>
      <c r="I312" s="481">
        <v>3</v>
      </c>
      <c r="J312" s="481">
        <v>42</v>
      </c>
      <c r="K312" s="462" t="s">
        <v>1028</v>
      </c>
    </row>
    <row r="313" spans="1:11" ht="13" x14ac:dyDescent="0.25">
      <c r="A313" s="295"/>
      <c r="B313" s="464">
        <v>8</v>
      </c>
      <c r="C313" s="480" t="s">
        <v>1027</v>
      </c>
      <c r="D313" s="478"/>
      <c r="E313" s="478"/>
      <c r="F313" s="479"/>
      <c r="G313" s="481">
        <v>367.67137030411459</v>
      </c>
      <c r="H313" s="481">
        <v>1</v>
      </c>
      <c r="I313" s="481">
        <v>3</v>
      </c>
      <c r="J313" s="481">
        <v>43</v>
      </c>
      <c r="K313" s="462" t="s">
        <v>1028</v>
      </c>
    </row>
    <row r="314" spans="1:11" ht="13" x14ac:dyDescent="0.25">
      <c r="A314" s="295"/>
      <c r="B314" s="464">
        <v>8</v>
      </c>
      <c r="C314" s="480" t="s">
        <v>1027</v>
      </c>
      <c r="D314" s="478"/>
      <c r="E314" s="478"/>
      <c r="F314" s="479"/>
      <c r="G314" s="481">
        <v>0.75134168157423997</v>
      </c>
      <c r="H314" s="481">
        <v>1</v>
      </c>
      <c r="I314" s="481">
        <v>3</v>
      </c>
      <c r="J314" s="481">
        <v>44</v>
      </c>
      <c r="K314" s="462" t="s">
        <v>1028</v>
      </c>
    </row>
    <row r="315" spans="1:11" ht="13" x14ac:dyDescent="0.25">
      <c r="A315" s="295"/>
      <c r="B315" s="464">
        <v>8</v>
      </c>
      <c r="C315" s="480" t="s">
        <v>1027</v>
      </c>
      <c r="D315" s="478"/>
      <c r="E315" s="478"/>
      <c r="F315" s="479"/>
      <c r="G315" s="481">
        <v>1.0581466905187837</v>
      </c>
      <c r="H315" s="481">
        <v>1</v>
      </c>
      <c r="I315" s="481">
        <v>3</v>
      </c>
      <c r="J315" s="481">
        <v>45</v>
      </c>
      <c r="K315" s="462" t="s">
        <v>1028</v>
      </c>
    </row>
    <row r="316" spans="1:11" ht="13" x14ac:dyDescent="0.25">
      <c r="A316" s="295"/>
      <c r="B316" s="464">
        <v>8</v>
      </c>
      <c r="C316" s="480" t="s">
        <v>1027</v>
      </c>
      <c r="D316" s="478"/>
      <c r="E316" s="478"/>
      <c r="F316" s="479"/>
      <c r="G316" s="481">
        <v>27883.303393210837</v>
      </c>
      <c r="H316" s="481">
        <v>1</v>
      </c>
      <c r="I316" s="481">
        <v>3</v>
      </c>
      <c r="J316" s="481">
        <v>46</v>
      </c>
      <c r="K316" s="462" t="s">
        <v>1028</v>
      </c>
    </row>
    <row r="317" spans="1:11" ht="13" x14ac:dyDescent="0.25">
      <c r="A317" s="295"/>
      <c r="B317" s="464">
        <v>8</v>
      </c>
      <c r="C317" s="480" t="s">
        <v>1027</v>
      </c>
      <c r="D317" s="478"/>
      <c r="E317" s="478"/>
      <c r="F317" s="479"/>
      <c r="G317" s="481">
        <v>489.84133683661366</v>
      </c>
      <c r="H317" s="481">
        <v>1</v>
      </c>
      <c r="I317" s="481">
        <v>3</v>
      </c>
      <c r="J317" s="481">
        <v>47</v>
      </c>
      <c r="K317" s="462" t="s">
        <v>1028</v>
      </c>
    </row>
    <row r="318" spans="1:11" ht="13" x14ac:dyDescent="0.25">
      <c r="B318" s="464">
        <v>8</v>
      </c>
      <c r="C318" s="480" t="s">
        <v>1027</v>
      </c>
      <c r="D318" s="478"/>
      <c r="E318" s="478"/>
      <c r="F318" s="479"/>
      <c r="G318" s="481">
        <v>256.91805172613198</v>
      </c>
      <c r="H318" s="481">
        <v>1</v>
      </c>
      <c r="I318" s="481">
        <v>3</v>
      </c>
      <c r="J318" s="481">
        <v>48</v>
      </c>
      <c r="K318" s="462" t="s">
        <v>1028</v>
      </c>
    </row>
    <row r="319" spans="1:11" ht="13" x14ac:dyDescent="0.25">
      <c r="B319" s="464"/>
      <c r="C319" s="474"/>
      <c r="D319" s="475"/>
      <c r="E319" s="475"/>
      <c r="F319" s="475"/>
      <c r="G319" s="476"/>
      <c r="H319" s="303"/>
      <c r="I319" s="303"/>
      <c r="J319" s="303"/>
      <c r="K319" s="462"/>
    </row>
    <row r="320" spans="1:11" ht="13" x14ac:dyDescent="0.25">
      <c r="A320" s="287"/>
      <c r="B320" s="464">
        <v>9</v>
      </c>
      <c r="C320" s="463" t="s">
        <v>1029</v>
      </c>
      <c r="D320" s="475"/>
      <c r="E320" s="475"/>
      <c r="F320" s="475"/>
      <c r="G320" s="483">
        <v>-376024</v>
      </c>
      <c r="H320" s="481">
        <v>1</v>
      </c>
      <c r="I320" s="481">
        <v>3</v>
      </c>
      <c r="J320" s="481">
        <v>58</v>
      </c>
      <c r="K320" s="462">
        <v>200.9</v>
      </c>
    </row>
    <row r="321" spans="1:22" ht="13" x14ac:dyDescent="0.25">
      <c r="A321" s="287"/>
      <c r="B321" s="464">
        <v>9</v>
      </c>
      <c r="C321" s="463" t="s">
        <v>1029</v>
      </c>
      <c r="D321" s="475"/>
      <c r="E321" s="475"/>
      <c r="F321" s="475"/>
      <c r="G321" s="483">
        <v>-14296</v>
      </c>
      <c r="H321" s="481">
        <v>1</v>
      </c>
      <c r="I321" s="481">
        <v>4</v>
      </c>
      <c r="J321" s="481">
        <v>58</v>
      </c>
      <c r="K321" s="462">
        <v>200.9</v>
      </c>
      <c r="M321" s="293"/>
      <c r="N321" s="294"/>
      <c r="O321" s="294"/>
      <c r="P321" s="294"/>
      <c r="Q321" s="294"/>
      <c r="R321" s="294"/>
      <c r="S321" s="294"/>
      <c r="T321" s="294"/>
      <c r="U321" s="294"/>
      <c r="V321" s="294"/>
    </row>
    <row r="322" spans="1:22" ht="13" x14ac:dyDescent="0.25">
      <c r="A322" s="295"/>
      <c r="B322" s="464">
        <v>9</v>
      </c>
      <c r="C322" s="463" t="s">
        <v>1029</v>
      </c>
      <c r="D322" s="475"/>
      <c r="E322" s="475"/>
      <c r="F322" s="475"/>
      <c r="G322" s="483">
        <v>350027</v>
      </c>
      <c r="H322" s="481">
        <v>1</v>
      </c>
      <c r="I322" s="481">
        <v>5</v>
      </c>
      <c r="J322" s="481">
        <v>58</v>
      </c>
      <c r="K322" s="462">
        <v>200.9</v>
      </c>
    </row>
    <row r="323" spans="1:22" ht="13" x14ac:dyDescent="0.25">
      <c r="A323" s="295"/>
      <c r="B323" s="464">
        <v>9</v>
      </c>
      <c r="C323" s="463" t="s">
        <v>1029</v>
      </c>
      <c r="D323" s="475"/>
      <c r="E323" s="475"/>
      <c r="F323" s="475"/>
      <c r="G323" s="483">
        <v>25568</v>
      </c>
      <c r="H323" s="481">
        <v>1</v>
      </c>
      <c r="I323" s="481">
        <v>6</v>
      </c>
      <c r="J323" s="481">
        <v>58</v>
      </c>
      <c r="K323" s="462">
        <v>200.9</v>
      </c>
    </row>
    <row r="324" spans="1:22" ht="13.5" thickBot="1" x14ac:dyDescent="0.3">
      <c r="A324" s="295"/>
      <c r="B324" s="296"/>
      <c r="C324" s="297"/>
      <c r="D324" s="298"/>
      <c r="E324" s="298"/>
      <c r="F324" s="298"/>
      <c r="G324" s="299"/>
      <c r="H324" s="300"/>
      <c r="I324" s="300"/>
      <c r="J324" s="406"/>
      <c r="K324" s="301"/>
    </row>
    <row r="325" spans="1:22" ht="13.5" thickBot="1" x14ac:dyDescent="0.3">
      <c r="B325" s="283" t="s">
        <v>586</v>
      </c>
      <c r="C325" s="284"/>
      <c r="D325" s="284"/>
      <c r="E325" s="284"/>
      <c r="F325" s="284"/>
      <c r="G325" s="399"/>
      <c r="H325" s="405"/>
      <c r="I325" s="405"/>
      <c r="J325" s="405"/>
      <c r="K325" s="285"/>
    </row>
    <row r="326" spans="1:22" ht="13" x14ac:dyDescent="0.25">
      <c r="B326" s="286"/>
      <c r="C326" s="286"/>
      <c r="D326" s="286"/>
      <c r="E326" s="286"/>
      <c r="F326" s="286"/>
      <c r="G326" s="400"/>
      <c r="H326" s="288"/>
      <c r="I326" s="288"/>
      <c r="J326" s="288"/>
      <c r="K326" s="286"/>
    </row>
    <row r="327" spans="1:22" ht="13" x14ac:dyDescent="0.25">
      <c r="A327" s="287"/>
      <c r="B327" s="288" t="s">
        <v>579</v>
      </c>
      <c r="C327" s="289"/>
      <c r="D327" s="289"/>
      <c r="E327" s="289"/>
      <c r="F327" s="289"/>
      <c r="G327" s="401"/>
      <c r="H327" s="289"/>
      <c r="I327" s="289"/>
      <c r="J327" s="289"/>
      <c r="K327" s="289"/>
    </row>
    <row r="328" spans="1:22" ht="13" x14ac:dyDescent="0.25">
      <c r="A328" s="287"/>
      <c r="B328" s="290" t="s">
        <v>580</v>
      </c>
      <c r="C328" s="291" t="s">
        <v>11</v>
      </c>
      <c r="D328" s="292"/>
      <c r="E328" s="290"/>
      <c r="F328" s="290"/>
      <c r="G328" s="402" t="s">
        <v>581</v>
      </c>
      <c r="H328" s="290" t="s">
        <v>582</v>
      </c>
      <c r="I328" s="290" t="s">
        <v>583</v>
      </c>
      <c r="J328" s="290" t="s">
        <v>584</v>
      </c>
      <c r="K328" s="290" t="s">
        <v>585</v>
      </c>
      <c r="M328" s="293"/>
      <c r="N328" s="294"/>
      <c r="O328" s="294"/>
      <c r="P328" s="294"/>
      <c r="Q328" s="294"/>
      <c r="R328" s="294"/>
      <c r="S328" s="294"/>
      <c r="T328" s="294"/>
      <c r="U328" s="294"/>
      <c r="V328" s="294"/>
    </row>
    <row r="329" spans="1:22" ht="13" x14ac:dyDescent="0.25">
      <c r="A329" s="295"/>
      <c r="B329" s="296"/>
      <c r="C329" s="297"/>
      <c r="D329" s="298"/>
      <c r="E329" s="298"/>
      <c r="F329" s="298"/>
      <c r="G329" s="302"/>
      <c r="H329" s="303"/>
      <c r="I329" s="304"/>
      <c r="J329" s="304"/>
      <c r="K329" s="301"/>
    </row>
    <row r="330" spans="1:22" ht="13" x14ac:dyDescent="0.25">
      <c r="A330" s="295"/>
      <c r="B330" s="296"/>
      <c r="C330" s="297"/>
      <c r="D330" s="298"/>
      <c r="E330" s="298"/>
      <c r="F330" s="298"/>
      <c r="G330" s="302"/>
      <c r="H330" s="303"/>
      <c r="I330" s="304"/>
      <c r="J330" s="304"/>
      <c r="K330" s="301"/>
    </row>
    <row r="331" spans="1:22" ht="13" x14ac:dyDescent="0.25">
      <c r="A331" s="295"/>
      <c r="B331" s="296"/>
      <c r="C331" s="297"/>
      <c r="D331" s="298"/>
      <c r="E331" s="298"/>
      <c r="F331" s="298"/>
      <c r="G331" s="302"/>
      <c r="H331" s="303"/>
      <c r="I331" s="304"/>
      <c r="J331" s="304"/>
      <c r="K331" s="301"/>
    </row>
    <row r="332" spans="1:22" ht="13" x14ac:dyDescent="0.25">
      <c r="A332" s="295"/>
      <c r="B332" s="296"/>
      <c r="C332" s="297"/>
      <c r="D332" s="298"/>
      <c r="E332" s="298"/>
      <c r="F332" s="298"/>
      <c r="G332" s="302"/>
      <c r="H332" s="303"/>
      <c r="I332" s="304"/>
      <c r="J332" s="304"/>
      <c r="K332" s="301"/>
    </row>
    <row r="333" spans="1:22" ht="13" x14ac:dyDescent="0.25">
      <c r="A333" s="295"/>
      <c r="B333" s="296"/>
      <c r="C333" s="297"/>
      <c r="D333" s="298"/>
      <c r="E333" s="298"/>
      <c r="F333" s="298"/>
      <c r="G333" s="302"/>
      <c r="H333" s="303"/>
      <c r="I333" s="304"/>
      <c r="J333" s="304"/>
      <c r="K333" s="301"/>
    </row>
    <row r="334" spans="1:22" ht="13" x14ac:dyDescent="0.25">
      <c r="A334" s="295"/>
      <c r="B334" s="296"/>
      <c r="C334" s="297"/>
      <c r="D334" s="298"/>
      <c r="E334" s="298"/>
      <c r="F334" s="298"/>
      <c r="G334" s="302"/>
      <c r="H334" s="303"/>
      <c r="I334" s="304"/>
      <c r="J334" s="304"/>
      <c r="K334" s="301"/>
    </row>
    <row r="335" spans="1:22" ht="13.5" thickBot="1" x14ac:dyDescent="0.3">
      <c r="A335" s="295"/>
      <c r="B335" s="296"/>
      <c r="C335" s="297"/>
      <c r="D335" s="298"/>
      <c r="E335" s="298"/>
      <c r="F335" s="298"/>
      <c r="G335" s="299"/>
      <c r="H335" s="300"/>
      <c r="I335" s="300"/>
      <c r="J335" s="406"/>
      <c r="K335" s="301"/>
    </row>
    <row r="336" spans="1:22" ht="13.5" thickBot="1" x14ac:dyDescent="0.3">
      <c r="A336" s="287"/>
      <c r="B336" s="283" t="s">
        <v>587</v>
      </c>
      <c r="C336" s="284"/>
      <c r="D336" s="284"/>
      <c r="E336" s="284"/>
      <c r="F336" s="284"/>
      <c r="G336" s="399"/>
      <c r="H336" s="405"/>
      <c r="I336" s="405"/>
      <c r="J336" s="405"/>
      <c r="K336" s="285"/>
    </row>
    <row r="337" spans="1:11" x14ac:dyDescent="0.25">
      <c r="A337" s="287"/>
      <c r="B337" s="305"/>
      <c r="C337" s="306"/>
      <c r="D337" s="287"/>
      <c r="E337" s="287"/>
      <c r="F337" s="287"/>
      <c r="G337" s="403"/>
      <c r="H337" s="305"/>
      <c r="I337" s="305"/>
      <c r="J337" s="305"/>
      <c r="K337" s="287"/>
    </row>
    <row r="338" spans="1:11" ht="13" x14ac:dyDescent="0.25">
      <c r="A338" s="287"/>
      <c r="B338" s="288" t="s">
        <v>579</v>
      </c>
      <c r="C338" s="306"/>
      <c r="D338" s="287"/>
      <c r="E338" s="287"/>
      <c r="F338" s="287"/>
      <c r="G338" s="403"/>
      <c r="H338" s="305"/>
      <c r="I338" s="305"/>
      <c r="J338" s="305"/>
      <c r="K338" s="287"/>
    </row>
    <row r="339" spans="1:11" ht="13" x14ac:dyDescent="0.25">
      <c r="A339" s="287"/>
      <c r="B339" s="290" t="s">
        <v>580</v>
      </c>
      <c r="C339" s="291" t="s">
        <v>11</v>
      </c>
      <c r="D339" s="292"/>
      <c r="E339" s="290"/>
      <c r="F339" s="290"/>
      <c r="G339" s="402" t="s">
        <v>581</v>
      </c>
      <c r="H339" s="290" t="s">
        <v>582</v>
      </c>
      <c r="I339" s="290" t="s">
        <v>583</v>
      </c>
      <c r="J339" s="290" t="s">
        <v>584</v>
      </c>
      <c r="K339" s="290" t="s">
        <v>585</v>
      </c>
    </row>
    <row r="340" spans="1:11" x14ac:dyDescent="0.25">
      <c r="A340" s="287"/>
      <c r="B340" s="305"/>
      <c r="C340" s="287"/>
      <c r="D340" s="287"/>
      <c r="E340" s="287"/>
      <c r="F340" s="287"/>
      <c r="G340" s="403"/>
      <c r="H340" s="304"/>
      <c r="I340" s="304"/>
      <c r="J340" s="304"/>
      <c r="K340" s="307"/>
    </row>
    <row r="341" spans="1:11" ht="13" x14ac:dyDescent="0.25">
      <c r="A341" s="295"/>
      <c r="B341" s="464">
        <v>10</v>
      </c>
      <c r="C341" s="480" t="s">
        <v>1030</v>
      </c>
      <c r="D341" s="478"/>
      <c r="E341" s="478"/>
      <c r="F341" s="479"/>
      <c r="G341" s="481">
        <v>-86026.371053897485</v>
      </c>
      <c r="H341" s="481" t="s">
        <v>1031</v>
      </c>
      <c r="I341" s="481">
        <v>2</v>
      </c>
      <c r="J341" s="482" t="s">
        <v>1025</v>
      </c>
      <c r="K341" s="462" t="s">
        <v>1028</v>
      </c>
    </row>
    <row r="342" spans="1:11" ht="13" x14ac:dyDescent="0.25">
      <c r="A342" s="295"/>
      <c r="B342" s="464">
        <v>10</v>
      </c>
      <c r="C342" s="480" t="s">
        <v>1030</v>
      </c>
      <c r="D342" s="478"/>
      <c r="E342" s="478"/>
      <c r="F342" s="479"/>
      <c r="G342" s="481">
        <v>34391.309274141015</v>
      </c>
      <c r="H342" s="481" t="s">
        <v>1031</v>
      </c>
      <c r="I342" s="481">
        <v>5</v>
      </c>
      <c r="J342" s="482" t="s">
        <v>1025</v>
      </c>
      <c r="K342" s="462" t="s">
        <v>1028</v>
      </c>
    </row>
    <row r="343" spans="1:11" ht="13" x14ac:dyDescent="0.25">
      <c r="A343" s="295"/>
      <c r="B343" s="473"/>
      <c r="C343" s="463"/>
      <c r="D343" s="465"/>
      <c r="E343" s="485"/>
      <c r="F343" s="485"/>
      <c r="G343" s="302"/>
      <c r="H343" s="300"/>
      <c r="I343" s="300"/>
      <c r="J343" s="300"/>
      <c r="K343" s="462"/>
    </row>
    <row r="344" spans="1:11" ht="13" x14ac:dyDescent="0.25">
      <c r="A344" s="295"/>
      <c r="B344" s="473">
        <v>11</v>
      </c>
      <c r="C344" s="480" t="s">
        <v>1030</v>
      </c>
      <c r="D344" s="478"/>
      <c r="E344" s="478"/>
      <c r="F344" s="479"/>
      <c r="G344" s="481">
        <v>-36322</v>
      </c>
      <c r="H344" s="481" t="s">
        <v>1032</v>
      </c>
      <c r="I344" s="481">
        <v>2</v>
      </c>
      <c r="J344" s="482" t="s">
        <v>1033</v>
      </c>
      <c r="K344" s="462" t="s">
        <v>1028</v>
      </c>
    </row>
    <row r="345" spans="1:11" ht="13" x14ac:dyDescent="0.25">
      <c r="A345" s="295"/>
      <c r="B345" s="473"/>
      <c r="C345" s="463"/>
      <c r="D345" s="465"/>
      <c r="E345" s="485"/>
      <c r="F345" s="485"/>
      <c r="G345" s="302"/>
      <c r="H345" s="300"/>
      <c r="I345" s="300"/>
      <c r="J345" s="300"/>
      <c r="K345" s="462"/>
    </row>
    <row r="346" spans="1:11" ht="13" x14ac:dyDescent="0.25">
      <c r="A346" s="295"/>
      <c r="B346" s="473">
        <v>12</v>
      </c>
      <c r="C346" s="480" t="s">
        <v>1030</v>
      </c>
      <c r="D346" s="478"/>
      <c r="E346" s="478"/>
      <c r="F346" s="479"/>
      <c r="G346" s="481">
        <v>-789505.56686597492</v>
      </c>
      <c r="H346" s="481" t="s">
        <v>1034</v>
      </c>
      <c r="I346" s="481">
        <v>2</v>
      </c>
      <c r="J346" s="482">
        <v>5</v>
      </c>
      <c r="K346" s="462" t="s">
        <v>1028</v>
      </c>
    </row>
    <row r="347" spans="1:11" ht="13" x14ac:dyDescent="0.25">
      <c r="A347" s="295"/>
      <c r="B347" s="473">
        <v>12</v>
      </c>
      <c r="C347" s="480" t="s">
        <v>1030</v>
      </c>
      <c r="D347" s="478"/>
      <c r="E347" s="478"/>
      <c r="F347" s="479"/>
      <c r="G347" s="481">
        <v>-440221.21624296834</v>
      </c>
      <c r="H347" s="481" t="s">
        <v>1034</v>
      </c>
      <c r="I347" s="481">
        <v>2</v>
      </c>
      <c r="J347" s="487" t="s">
        <v>1035</v>
      </c>
      <c r="K347" s="462" t="s">
        <v>1028</v>
      </c>
    </row>
    <row r="348" spans="1:11" ht="13" x14ac:dyDescent="0.25">
      <c r="A348" s="295"/>
      <c r="B348" s="473">
        <v>12</v>
      </c>
      <c r="C348" s="480" t="s">
        <v>1030</v>
      </c>
      <c r="D348" s="478"/>
      <c r="E348" s="478"/>
      <c r="F348" s="479"/>
      <c r="G348" s="481">
        <v>789505.56686597492</v>
      </c>
      <c r="H348" s="481" t="s">
        <v>1034</v>
      </c>
      <c r="I348" s="481">
        <v>5</v>
      </c>
      <c r="J348" s="482">
        <v>5</v>
      </c>
      <c r="K348" s="462" t="s">
        <v>1028</v>
      </c>
    </row>
    <row r="349" spans="1:11" ht="13" x14ac:dyDescent="0.25">
      <c r="A349" s="295"/>
      <c r="B349" s="473">
        <v>12</v>
      </c>
      <c r="C349" s="480" t="s">
        <v>1030</v>
      </c>
      <c r="D349" s="478"/>
      <c r="E349" s="478"/>
      <c r="F349" s="479"/>
      <c r="G349" s="481">
        <v>440221.21624296834</v>
      </c>
      <c r="H349" s="481" t="s">
        <v>1034</v>
      </c>
      <c r="I349" s="481">
        <v>5</v>
      </c>
      <c r="J349" s="487" t="s">
        <v>1035</v>
      </c>
      <c r="K349" s="462" t="s">
        <v>1028</v>
      </c>
    </row>
    <row r="350" spans="1:11" ht="13" x14ac:dyDescent="0.25">
      <c r="A350" s="295"/>
      <c r="B350" s="473"/>
      <c r="C350" s="463"/>
      <c r="D350" s="465"/>
      <c r="E350" s="465"/>
      <c r="F350" s="465"/>
      <c r="G350" s="302"/>
      <c r="H350" s="300"/>
      <c r="I350" s="300"/>
      <c r="J350" s="300"/>
      <c r="K350" s="462"/>
    </row>
    <row r="351" spans="1:11" ht="13" x14ac:dyDescent="0.25">
      <c r="A351" s="295"/>
      <c r="B351" s="464">
        <v>13</v>
      </c>
      <c r="C351" s="480" t="s">
        <v>1030</v>
      </c>
      <c r="D351" s="478"/>
      <c r="E351" s="478"/>
      <c r="F351" s="478"/>
      <c r="G351" s="481">
        <v>-270135.07057898771</v>
      </c>
      <c r="H351" s="481" t="s">
        <v>1031</v>
      </c>
      <c r="I351" s="481">
        <v>2</v>
      </c>
      <c r="J351" s="481">
        <v>35</v>
      </c>
      <c r="K351" s="462" t="s">
        <v>1028</v>
      </c>
    </row>
    <row r="352" spans="1:11" ht="13" x14ac:dyDescent="0.25">
      <c r="A352" s="295"/>
      <c r="B352" s="464">
        <v>13</v>
      </c>
      <c r="C352" s="480" t="s">
        <v>1030</v>
      </c>
      <c r="D352" s="478"/>
      <c r="E352" s="478"/>
      <c r="F352" s="478"/>
      <c r="G352" s="481">
        <v>270135.07057898771</v>
      </c>
      <c r="H352" s="481" t="s">
        <v>1031</v>
      </c>
      <c r="I352" s="481">
        <v>5</v>
      </c>
      <c r="J352" s="481">
        <v>35</v>
      </c>
      <c r="K352" s="462" t="s">
        <v>1028</v>
      </c>
    </row>
    <row r="353" spans="1:11" ht="13" x14ac:dyDescent="0.25">
      <c r="A353" s="295"/>
      <c r="B353" s="464">
        <v>13</v>
      </c>
      <c r="C353" s="480" t="s">
        <v>1030</v>
      </c>
      <c r="D353" s="478"/>
      <c r="E353" s="478"/>
      <c r="F353" s="478"/>
      <c r="G353" s="481">
        <v>-374622.50907111698</v>
      </c>
      <c r="H353" s="481" t="s">
        <v>1031</v>
      </c>
      <c r="I353" s="481">
        <v>2</v>
      </c>
      <c r="J353" s="481">
        <v>36</v>
      </c>
      <c r="K353" s="462" t="s">
        <v>1028</v>
      </c>
    </row>
    <row r="354" spans="1:11" ht="13" x14ac:dyDescent="0.25">
      <c r="A354" s="295"/>
      <c r="B354" s="464">
        <v>13</v>
      </c>
      <c r="C354" s="480" t="s">
        <v>1030</v>
      </c>
      <c r="D354" s="478"/>
      <c r="E354" s="478"/>
      <c r="F354" s="478"/>
      <c r="G354" s="481">
        <v>374622.50907111698</v>
      </c>
      <c r="H354" s="481" t="s">
        <v>1031</v>
      </c>
      <c r="I354" s="481">
        <v>5</v>
      </c>
      <c r="J354" s="481">
        <v>36</v>
      </c>
      <c r="K354" s="462" t="s">
        <v>1028</v>
      </c>
    </row>
    <row r="355" spans="1:11" x14ac:dyDescent="0.25">
      <c r="A355" s="295"/>
      <c r="B355" s="464"/>
      <c r="C355" s="486"/>
      <c r="D355" s="484"/>
      <c r="E355" s="484"/>
      <c r="F355" s="484"/>
      <c r="G355" s="484"/>
      <c r="H355" s="304"/>
      <c r="I355" s="304"/>
      <c r="J355" s="304"/>
      <c r="K355" s="462"/>
    </row>
    <row r="356" spans="1:11" ht="13" x14ac:dyDescent="0.25">
      <c r="A356" s="295"/>
      <c r="B356" s="464">
        <v>14</v>
      </c>
      <c r="C356" s="480" t="s">
        <v>1030</v>
      </c>
      <c r="D356" s="478"/>
      <c r="E356" s="478"/>
      <c r="F356" s="479"/>
      <c r="G356" s="481">
        <v>-188137.47968749428</v>
      </c>
      <c r="H356" s="481" t="s">
        <v>1031</v>
      </c>
      <c r="I356" s="481">
        <v>2</v>
      </c>
      <c r="J356" s="481">
        <v>32</v>
      </c>
      <c r="K356" s="462" t="s">
        <v>1028</v>
      </c>
    </row>
    <row r="357" spans="1:11" ht="13" x14ac:dyDescent="0.25">
      <c r="A357" s="295"/>
      <c r="B357" s="464">
        <v>14</v>
      </c>
      <c r="C357" s="480" t="s">
        <v>1030</v>
      </c>
      <c r="D357" s="478"/>
      <c r="E357" s="478"/>
      <c r="F357" s="479"/>
      <c r="G357" s="481">
        <v>188137.47968749428</v>
      </c>
      <c r="H357" s="481" t="s">
        <v>1031</v>
      </c>
      <c r="I357" s="481">
        <v>5</v>
      </c>
      <c r="J357" s="481">
        <v>32</v>
      </c>
      <c r="K357" s="462" t="s">
        <v>1028</v>
      </c>
    </row>
    <row r="358" spans="1:11" x14ac:dyDescent="0.25">
      <c r="A358" s="295"/>
      <c r="B358" s="464"/>
      <c r="C358" s="486"/>
      <c r="D358" s="484"/>
      <c r="E358" s="484"/>
      <c r="F358" s="484"/>
      <c r="G358" s="484"/>
      <c r="H358" s="304"/>
      <c r="I358" s="304"/>
      <c r="J358" s="304"/>
      <c r="K358" s="462"/>
    </row>
    <row r="359" spans="1:11" ht="13" x14ac:dyDescent="0.25">
      <c r="A359" s="295"/>
      <c r="B359" s="464">
        <v>15</v>
      </c>
      <c r="C359" s="480" t="s">
        <v>1030</v>
      </c>
      <c r="D359" s="478"/>
      <c r="E359" s="478"/>
      <c r="F359" s="479"/>
      <c r="G359" s="481">
        <v>81160.000911972093</v>
      </c>
      <c r="H359" s="481" t="s">
        <v>1031</v>
      </c>
      <c r="I359" s="481">
        <v>2</v>
      </c>
      <c r="J359" s="481">
        <v>29</v>
      </c>
      <c r="K359" s="462" t="s">
        <v>1028</v>
      </c>
    </row>
    <row r="360" spans="1:11" ht="13" x14ac:dyDescent="0.25">
      <c r="A360" s="295"/>
      <c r="B360" s="464">
        <v>15</v>
      </c>
      <c r="C360" s="480" t="s">
        <v>1030</v>
      </c>
      <c r="D360" s="478"/>
      <c r="E360" s="478"/>
      <c r="F360" s="479"/>
      <c r="G360" s="481">
        <v>-81160.000911972093</v>
      </c>
      <c r="H360" s="481" t="s">
        <v>1031</v>
      </c>
      <c r="I360" s="481">
        <v>5</v>
      </c>
      <c r="J360" s="481">
        <v>29</v>
      </c>
      <c r="K360" s="462" t="s">
        <v>1028</v>
      </c>
    </row>
    <row r="361" spans="1:11" ht="13.5" thickBot="1" x14ac:dyDescent="0.3">
      <c r="A361" s="295"/>
      <c r="B361" s="296"/>
      <c r="C361" s="297"/>
      <c r="D361" s="298"/>
      <c r="E361" s="298"/>
      <c r="F361" s="298"/>
      <c r="G361" s="299"/>
      <c r="H361" s="300"/>
      <c r="I361" s="300"/>
      <c r="J361" s="406"/>
      <c r="K361" s="301"/>
    </row>
    <row r="362" spans="1:11" ht="13.5" thickBot="1" x14ac:dyDescent="0.3">
      <c r="A362" s="287"/>
      <c r="B362" s="283" t="s">
        <v>588</v>
      </c>
      <c r="C362" s="284"/>
      <c r="D362" s="284"/>
      <c r="E362" s="284"/>
      <c r="F362" s="284"/>
      <c r="G362" s="399"/>
      <c r="H362" s="405"/>
      <c r="I362" s="405"/>
      <c r="J362" s="405"/>
      <c r="K362" s="285"/>
    </row>
    <row r="363" spans="1:11" x14ac:dyDescent="0.25">
      <c r="A363" s="287"/>
      <c r="B363" s="305"/>
      <c r="C363" s="306"/>
      <c r="D363" s="287"/>
      <c r="E363" s="287"/>
      <c r="F363" s="287"/>
      <c r="G363" s="403"/>
      <c r="H363" s="305"/>
      <c r="I363" s="305"/>
      <c r="J363" s="305"/>
      <c r="K363" s="287"/>
    </row>
    <row r="364" spans="1:11" ht="13" x14ac:dyDescent="0.25">
      <c r="A364" s="287"/>
      <c r="B364" s="288" t="s">
        <v>579</v>
      </c>
      <c r="C364" s="306"/>
      <c r="D364" s="287"/>
      <c r="E364" s="287"/>
      <c r="F364" s="287"/>
      <c r="G364" s="403"/>
      <c r="H364" s="305"/>
      <c r="I364" s="305"/>
      <c r="J364" s="305"/>
      <c r="K364" s="287"/>
    </row>
    <row r="365" spans="1:11" ht="13" x14ac:dyDescent="0.25">
      <c r="A365" s="287"/>
      <c r="B365" s="290" t="s">
        <v>580</v>
      </c>
      <c r="C365" s="291" t="s">
        <v>11</v>
      </c>
      <c r="D365" s="292"/>
      <c r="E365" s="290"/>
      <c r="F365" s="290"/>
      <c r="G365" s="402" t="s">
        <v>581</v>
      </c>
      <c r="H365" s="290" t="s">
        <v>582</v>
      </c>
      <c r="I365" s="290" t="s">
        <v>583</v>
      </c>
      <c r="J365" s="290" t="s">
        <v>584</v>
      </c>
      <c r="K365" s="290" t="s">
        <v>585</v>
      </c>
    </row>
    <row r="366" spans="1:11" x14ac:dyDescent="0.25">
      <c r="A366" s="287"/>
      <c r="B366" s="287"/>
      <c r="C366" s="287"/>
      <c r="D366" s="287"/>
      <c r="E366" s="287"/>
      <c r="F366" s="287"/>
      <c r="G366" s="403"/>
      <c r="H366" s="304"/>
      <c r="I366" s="304"/>
      <c r="J366" s="304"/>
      <c r="K366" s="287"/>
    </row>
    <row r="367" spans="1:11" ht="13" x14ac:dyDescent="0.25">
      <c r="A367" s="295"/>
      <c r="B367" s="473">
        <v>16</v>
      </c>
      <c r="C367" s="480" t="s">
        <v>1030</v>
      </c>
      <c r="D367" s="478"/>
      <c r="E367" s="478"/>
      <c r="F367" s="479"/>
      <c r="G367" s="481">
        <v>-50636.250370749505</v>
      </c>
      <c r="H367" s="481">
        <v>3</v>
      </c>
      <c r="I367" s="481">
        <v>11</v>
      </c>
      <c r="J367" s="487" t="s">
        <v>1036</v>
      </c>
      <c r="K367" s="462" t="s">
        <v>1026</v>
      </c>
    </row>
    <row r="368" spans="1:11" x14ac:dyDescent="0.25">
      <c r="A368" s="295"/>
      <c r="B368" s="473"/>
      <c r="C368" s="465"/>
      <c r="D368" s="465"/>
      <c r="E368" s="465"/>
      <c r="F368" s="465"/>
      <c r="G368" s="465"/>
      <c r="H368" s="304"/>
      <c r="I368" s="304"/>
      <c r="J368" s="304"/>
      <c r="K368" s="489"/>
    </row>
    <row r="369" spans="1:11" ht="13" x14ac:dyDescent="0.25">
      <c r="A369" s="295"/>
      <c r="B369" s="473">
        <v>17</v>
      </c>
      <c r="C369" s="480" t="s">
        <v>1037</v>
      </c>
      <c r="D369" s="478"/>
      <c r="E369" s="479"/>
      <c r="F369" s="493"/>
      <c r="G369" s="481">
        <v>-1015.5443847425961</v>
      </c>
      <c r="H369" s="481">
        <v>3</v>
      </c>
      <c r="I369" s="481">
        <v>11</v>
      </c>
      <c r="J369" s="487" t="s">
        <v>1038</v>
      </c>
      <c r="K369" s="462">
        <v>200.5</v>
      </c>
    </row>
    <row r="370" spans="1:11" ht="13" x14ac:dyDescent="0.25">
      <c r="A370" s="295"/>
      <c r="B370" s="473">
        <v>17</v>
      </c>
      <c r="C370" s="480" t="s">
        <v>1037</v>
      </c>
      <c r="D370" s="478"/>
      <c r="E370" s="479"/>
      <c r="F370" s="493"/>
      <c r="G370" s="481">
        <v>-2494.9244025348471</v>
      </c>
      <c r="H370" s="481">
        <v>3</v>
      </c>
      <c r="I370" s="481">
        <v>11</v>
      </c>
      <c r="J370" s="487" t="s">
        <v>1036</v>
      </c>
      <c r="K370" s="462">
        <v>200.5</v>
      </c>
    </row>
    <row r="371" spans="1:11" ht="13" x14ac:dyDescent="0.25">
      <c r="A371" s="295"/>
      <c r="B371" s="473">
        <v>17</v>
      </c>
      <c r="C371" s="480" t="s">
        <v>1037</v>
      </c>
      <c r="D371" s="478"/>
      <c r="E371" s="478"/>
      <c r="F371" s="478"/>
      <c r="G371" s="481">
        <v>-10785.952611190871</v>
      </c>
      <c r="H371" s="481">
        <v>3</v>
      </c>
      <c r="I371" s="481">
        <v>11</v>
      </c>
      <c r="J371" s="487" t="s">
        <v>1039</v>
      </c>
      <c r="K371" s="462">
        <v>200.5</v>
      </c>
    </row>
    <row r="372" spans="1:11" ht="13" x14ac:dyDescent="0.25">
      <c r="A372" s="295"/>
      <c r="B372" s="473"/>
      <c r="C372" s="480"/>
      <c r="D372" s="478"/>
      <c r="E372" s="478"/>
      <c r="F372" s="478"/>
      <c r="G372" s="481"/>
      <c r="H372" s="481"/>
      <c r="I372" s="481"/>
      <c r="J372" s="487"/>
      <c r="K372" s="462"/>
    </row>
    <row r="373" spans="1:11" ht="13" x14ac:dyDescent="0.25">
      <c r="A373" s="295"/>
      <c r="B373" s="473">
        <v>18</v>
      </c>
      <c r="C373" s="480" t="s">
        <v>1040</v>
      </c>
      <c r="D373" s="491"/>
      <c r="E373" s="491"/>
      <c r="F373" s="490"/>
      <c r="G373" s="488">
        <v>-1847</v>
      </c>
      <c r="H373" s="492">
        <v>3</v>
      </c>
      <c r="I373" s="492">
        <v>9</v>
      </c>
      <c r="J373" s="492" t="s">
        <v>1041</v>
      </c>
      <c r="K373" s="462">
        <v>300.10000000000002</v>
      </c>
    </row>
    <row r="374" spans="1:11" ht="13" x14ac:dyDescent="0.25">
      <c r="A374" s="295"/>
      <c r="B374" s="473">
        <v>18</v>
      </c>
      <c r="C374" s="480" t="s">
        <v>1040</v>
      </c>
      <c r="D374" s="491"/>
      <c r="E374" s="491"/>
      <c r="F374" s="490"/>
      <c r="G374" s="488">
        <v>-1373</v>
      </c>
      <c r="H374" s="492">
        <v>3</v>
      </c>
      <c r="I374" s="492">
        <v>9</v>
      </c>
      <c r="J374" s="492" t="s">
        <v>1042</v>
      </c>
      <c r="K374" s="462">
        <v>300.10000000000002</v>
      </c>
    </row>
    <row r="375" spans="1:11" ht="13" x14ac:dyDescent="0.25">
      <c r="A375" s="295"/>
      <c r="B375" s="473">
        <v>18</v>
      </c>
      <c r="C375" s="480" t="s">
        <v>1040</v>
      </c>
      <c r="D375" s="491"/>
      <c r="E375" s="491"/>
      <c r="F375" s="490"/>
      <c r="G375" s="488">
        <v>-41</v>
      </c>
      <c r="H375" s="492">
        <v>3</v>
      </c>
      <c r="I375" s="492">
        <v>9</v>
      </c>
      <c r="J375" s="492" t="s">
        <v>1043</v>
      </c>
      <c r="K375" s="462">
        <v>300.10000000000002</v>
      </c>
    </row>
    <row r="376" spans="1:11" ht="13.5" thickBot="1" x14ac:dyDescent="0.3">
      <c r="A376" s="295"/>
      <c r="B376" s="296"/>
      <c r="C376" s="297"/>
      <c r="D376" s="298"/>
      <c r="E376" s="298"/>
      <c r="F376" s="298"/>
      <c r="G376" s="299"/>
      <c r="H376" s="300"/>
      <c r="I376" s="300"/>
      <c r="J376" s="406"/>
      <c r="K376" s="301"/>
    </row>
    <row r="377" spans="1:11" ht="13.5" thickBot="1" x14ac:dyDescent="0.3">
      <c r="A377" s="287"/>
      <c r="B377" s="283" t="s">
        <v>589</v>
      </c>
      <c r="C377" s="284"/>
      <c r="D377" s="284"/>
      <c r="E377" s="284"/>
      <c r="F377" s="284"/>
      <c r="G377" s="399"/>
      <c r="H377" s="405"/>
      <c r="I377" s="405"/>
      <c r="J377" s="405"/>
      <c r="K377" s="285"/>
    </row>
    <row r="378" spans="1:11" x14ac:dyDescent="0.25">
      <c r="A378" s="287"/>
      <c r="B378" s="305"/>
      <c r="C378" s="306"/>
      <c r="D378" s="287"/>
      <c r="E378" s="287"/>
      <c r="F378" s="287"/>
      <c r="G378" s="403"/>
      <c r="H378" s="305"/>
      <c r="I378" s="305"/>
      <c r="J378" s="305"/>
      <c r="K378" s="287"/>
    </row>
    <row r="379" spans="1:11" ht="13" x14ac:dyDescent="0.25">
      <c r="A379" s="287"/>
      <c r="B379" s="288" t="s">
        <v>579</v>
      </c>
      <c r="C379" s="306"/>
      <c r="D379" s="287"/>
      <c r="E379" s="287"/>
      <c r="F379" s="287"/>
      <c r="G379" s="403"/>
      <c r="H379" s="305"/>
      <c r="I379" s="305"/>
      <c r="J379" s="305"/>
      <c r="K379" s="287"/>
    </row>
    <row r="380" spans="1:11" ht="13" x14ac:dyDescent="0.25">
      <c r="A380" s="287"/>
      <c r="B380" s="290" t="s">
        <v>580</v>
      </c>
      <c r="C380" s="291" t="s">
        <v>11</v>
      </c>
      <c r="D380" s="292"/>
      <c r="E380" s="290"/>
      <c r="F380" s="290"/>
      <c r="G380" s="402" t="s">
        <v>581</v>
      </c>
      <c r="H380" s="290" t="s">
        <v>582</v>
      </c>
      <c r="I380" s="290" t="s">
        <v>583</v>
      </c>
      <c r="J380" s="290" t="s">
        <v>584</v>
      </c>
      <c r="K380" s="290" t="s">
        <v>585</v>
      </c>
    </row>
    <row r="381" spans="1:11" x14ac:dyDescent="0.25">
      <c r="A381" s="287"/>
      <c r="B381" s="287"/>
      <c r="C381" s="287"/>
      <c r="D381" s="287"/>
      <c r="E381" s="287"/>
      <c r="F381" s="287"/>
      <c r="G381" s="403"/>
      <c r="H381" s="305"/>
      <c r="I381" s="305"/>
      <c r="J381" s="305"/>
      <c r="K381" s="287"/>
    </row>
    <row r="382" spans="1:11" ht="13" x14ac:dyDescent="0.25">
      <c r="A382" s="287"/>
      <c r="B382" s="473">
        <v>19</v>
      </c>
      <c r="C382" s="465" t="s">
        <v>1044</v>
      </c>
      <c r="D382" s="465"/>
      <c r="E382" s="465"/>
      <c r="F382" s="465"/>
      <c r="G382" s="488">
        <v>-21891</v>
      </c>
      <c r="H382" s="492">
        <v>4</v>
      </c>
      <c r="I382" s="492">
        <v>8</v>
      </c>
      <c r="J382" s="492">
        <v>1</v>
      </c>
      <c r="K382" s="462">
        <v>300.10000000000002</v>
      </c>
    </row>
    <row r="383" spans="1:11" x14ac:dyDescent="0.25">
      <c r="A383" s="287"/>
      <c r="B383" s="473"/>
      <c r="C383" s="465"/>
      <c r="D383" s="465"/>
      <c r="E383" s="465"/>
      <c r="F383" s="465"/>
      <c r="G383" s="465"/>
      <c r="H383" s="304"/>
      <c r="I383" s="304"/>
      <c r="J383" s="304"/>
      <c r="K383" s="462"/>
    </row>
    <row r="384" spans="1:11" ht="13" x14ac:dyDescent="0.25">
      <c r="A384" s="287"/>
      <c r="B384" s="473">
        <v>20</v>
      </c>
      <c r="C384" s="480" t="s">
        <v>1045</v>
      </c>
      <c r="D384" s="491"/>
      <c r="E384" s="491"/>
      <c r="F384" s="490"/>
      <c r="G384" s="488">
        <v>-2982</v>
      </c>
      <c r="H384" s="492">
        <v>4</v>
      </c>
      <c r="I384" s="492">
        <v>1</v>
      </c>
      <c r="J384" s="492">
        <v>6</v>
      </c>
      <c r="K384" s="462">
        <v>300.10000000000002</v>
      </c>
    </row>
    <row r="385" spans="1:11" ht="13" x14ac:dyDescent="0.25">
      <c r="A385" s="287"/>
      <c r="B385" s="473">
        <v>20</v>
      </c>
      <c r="C385" s="480" t="s">
        <v>1045</v>
      </c>
      <c r="D385" s="491"/>
      <c r="E385" s="491"/>
      <c r="F385" s="490"/>
      <c r="G385" s="488">
        <v>-2</v>
      </c>
      <c r="H385" s="492">
        <v>4</v>
      </c>
      <c r="I385" s="492">
        <v>1</v>
      </c>
      <c r="J385" s="492">
        <v>8</v>
      </c>
      <c r="K385" s="462">
        <v>300.10000000000002</v>
      </c>
    </row>
    <row r="386" spans="1:11" ht="13" x14ac:dyDescent="0.25">
      <c r="A386" s="287"/>
      <c r="B386" s="473">
        <v>20</v>
      </c>
      <c r="C386" s="480" t="s">
        <v>1045</v>
      </c>
      <c r="D386" s="491"/>
      <c r="E386" s="491"/>
      <c r="F386" s="490"/>
      <c r="G386" s="488">
        <v>-212</v>
      </c>
      <c r="H386" s="492">
        <v>4</v>
      </c>
      <c r="I386" s="492">
        <v>1</v>
      </c>
      <c r="J386" s="492">
        <v>9</v>
      </c>
      <c r="K386" s="462">
        <v>300.10000000000002</v>
      </c>
    </row>
    <row r="387" spans="1:11" ht="13" x14ac:dyDescent="0.25">
      <c r="A387" s="287"/>
      <c r="B387" s="473">
        <v>20</v>
      </c>
      <c r="C387" s="480" t="s">
        <v>1045</v>
      </c>
      <c r="D387" s="491"/>
      <c r="E387" s="491"/>
      <c r="F387" s="490"/>
      <c r="G387" s="488">
        <v>-652</v>
      </c>
      <c r="H387" s="492">
        <v>4</v>
      </c>
      <c r="I387" s="492">
        <v>1</v>
      </c>
      <c r="J387" s="492">
        <v>10</v>
      </c>
      <c r="K387" s="462">
        <v>300.10000000000002</v>
      </c>
    </row>
    <row r="388" spans="1:11" ht="13" x14ac:dyDescent="0.25">
      <c r="A388" s="287"/>
      <c r="B388" s="473">
        <v>20</v>
      </c>
      <c r="C388" s="480" t="s">
        <v>1045</v>
      </c>
      <c r="D388" s="491"/>
      <c r="E388" s="491"/>
      <c r="F388" s="490"/>
      <c r="G388" s="488">
        <v>-20</v>
      </c>
      <c r="H388" s="492">
        <v>4</v>
      </c>
      <c r="I388" s="492">
        <v>1</v>
      </c>
      <c r="J388" s="492">
        <v>11</v>
      </c>
      <c r="K388" s="462">
        <v>300.10000000000002</v>
      </c>
    </row>
    <row r="389" spans="1:11" ht="13" x14ac:dyDescent="0.25">
      <c r="A389" s="287"/>
      <c r="B389" s="473">
        <v>20</v>
      </c>
      <c r="C389" s="480" t="s">
        <v>1045</v>
      </c>
      <c r="D389" s="491"/>
      <c r="E389" s="491"/>
      <c r="F389" s="490"/>
      <c r="G389" s="488">
        <v>-1250</v>
      </c>
      <c r="H389" s="492">
        <v>4</v>
      </c>
      <c r="I389" s="492">
        <v>1</v>
      </c>
      <c r="J389" s="492">
        <v>12</v>
      </c>
      <c r="K389" s="462">
        <v>300.10000000000002</v>
      </c>
    </row>
    <row r="390" spans="1:11" ht="13" x14ac:dyDescent="0.25">
      <c r="A390" s="287"/>
      <c r="B390" s="473">
        <v>20</v>
      </c>
      <c r="C390" s="480" t="s">
        <v>1045</v>
      </c>
      <c r="D390" s="491"/>
      <c r="E390" s="491"/>
      <c r="F390" s="490"/>
      <c r="G390" s="488">
        <v>-9</v>
      </c>
      <c r="H390" s="492">
        <v>4</v>
      </c>
      <c r="I390" s="492">
        <v>1</v>
      </c>
      <c r="J390" s="492">
        <v>13</v>
      </c>
      <c r="K390" s="462">
        <v>300.10000000000002</v>
      </c>
    </row>
    <row r="391" spans="1:11" ht="13" x14ac:dyDescent="0.25">
      <c r="A391" s="287"/>
      <c r="B391" s="473">
        <v>20</v>
      </c>
      <c r="C391" s="480" t="s">
        <v>1045</v>
      </c>
      <c r="D391" s="491"/>
      <c r="E391" s="491"/>
      <c r="F391" s="490"/>
      <c r="G391" s="488">
        <v>-3244</v>
      </c>
      <c r="H391" s="492">
        <v>4</v>
      </c>
      <c r="I391" s="492">
        <v>1</v>
      </c>
      <c r="J391" s="492">
        <v>14</v>
      </c>
      <c r="K391" s="462">
        <v>300.10000000000002</v>
      </c>
    </row>
    <row r="392" spans="1:11" ht="13" x14ac:dyDescent="0.25">
      <c r="A392" s="287"/>
      <c r="B392" s="473">
        <v>20</v>
      </c>
      <c r="C392" s="480" t="s">
        <v>1045</v>
      </c>
      <c r="D392" s="491"/>
      <c r="E392" s="491"/>
      <c r="F392" s="490"/>
      <c r="G392" s="488">
        <v>-2</v>
      </c>
      <c r="H392" s="492">
        <v>4</v>
      </c>
      <c r="I392" s="492">
        <v>1</v>
      </c>
      <c r="J392" s="492">
        <v>15</v>
      </c>
      <c r="K392" s="462">
        <v>300.10000000000002</v>
      </c>
    </row>
    <row r="393" spans="1:11" ht="13" x14ac:dyDescent="0.25">
      <c r="A393" s="287"/>
      <c r="B393" s="473">
        <v>20</v>
      </c>
      <c r="C393" s="480" t="s">
        <v>1045</v>
      </c>
      <c r="D393" s="491"/>
      <c r="E393" s="491"/>
      <c r="F393" s="490"/>
      <c r="G393" s="488">
        <v>-7452</v>
      </c>
      <c r="H393" s="492">
        <v>4</v>
      </c>
      <c r="I393" s="492">
        <v>1</v>
      </c>
      <c r="J393" s="492">
        <v>16</v>
      </c>
      <c r="K393" s="462">
        <v>300.10000000000002</v>
      </c>
    </row>
    <row r="394" spans="1:11" ht="13" x14ac:dyDescent="0.25">
      <c r="A394" s="287"/>
      <c r="B394" s="473">
        <v>20</v>
      </c>
      <c r="C394" s="480" t="s">
        <v>1045</v>
      </c>
      <c r="D394" s="491"/>
      <c r="E394" s="491"/>
      <c r="F394" s="490"/>
      <c r="G394" s="488">
        <v>-1</v>
      </c>
      <c r="H394" s="492">
        <v>4</v>
      </c>
      <c r="I394" s="492">
        <v>1</v>
      </c>
      <c r="J394" s="492">
        <v>17</v>
      </c>
      <c r="K394" s="462">
        <v>300.10000000000002</v>
      </c>
    </row>
    <row r="395" spans="1:11" ht="13" x14ac:dyDescent="0.25">
      <c r="A395" s="287"/>
      <c r="B395" s="473">
        <v>20</v>
      </c>
      <c r="C395" s="480" t="s">
        <v>1045</v>
      </c>
      <c r="D395" s="491"/>
      <c r="E395" s="491"/>
      <c r="F395" s="490"/>
      <c r="G395" s="488">
        <v>-17</v>
      </c>
      <c r="H395" s="492">
        <v>4</v>
      </c>
      <c r="I395" s="492">
        <v>1</v>
      </c>
      <c r="J395" s="492">
        <v>18</v>
      </c>
      <c r="K395" s="462">
        <v>300.10000000000002</v>
      </c>
    </row>
    <row r="396" spans="1:11" ht="13" x14ac:dyDescent="0.25">
      <c r="A396" s="287"/>
      <c r="B396" s="473">
        <v>20</v>
      </c>
      <c r="C396" s="480" t="s">
        <v>1045</v>
      </c>
      <c r="D396" s="491"/>
      <c r="E396" s="491"/>
      <c r="F396" s="490"/>
      <c r="G396" s="488">
        <v>-5</v>
      </c>
      <c r="H396" s="492">
        <v>4</v>
      </c>
      <c r="I396" s="492">
        <v>1</v>
      </c>
      <c r="J396" s="492">
        <v>19</v>
      </c>
      <c r="K396" s="462">
        <v>300.10000000000002</v>
      </c>
    </row>
    <row r="397" spans="1:11" ht="13" x14ac:dyDescent="0.25">
      <c r="A397" s="287"/>
      <c r="B397" s="473">
        <v>20</v>
      </c>
      <c r="C397" s="480" t="s">
        <v>1045</v>
      </c>
      <c r="D397" s="491"/>
      <c r="E397" s="491"/>
      <c r="F397" s="490"/>
      <c r="G397" s="488">
        <v>-253</v>
      </c>
      <c r="H397" s="492">
        <v>4</v>
      </c>
      <c r="I397" s="492">
        <v>1</v>
      </c>
      <c r="J397" s="492">
        <v>20</v>
      </c>
      <c r="K397" s="462">
        <v>300.10000000000002</v>
      </c>
    </row>
    <row r="398" spans="1:11" ht="13" x14ac:dyDescent="0.25">
      <c r="A398" s="287"/>
      <c r="B398" s="473">
        <v>20</v>
      </c>
      <c r="C398" s="480" t="s">
        <v>1045</v>
      </c>
      <c r="D398" s="491"/>
      <c r="E398" s="491"/>
      <c r="F398" s="490"/>
      <c r="G398" s="488">
        <v>-812</v>
      </c>
      <c r="H398" s="492">
        <v>4</v>
      </c>
      <c r="I398" s="492">
        <v>1</v>
      </c>
      <c r="J398" s="492">
        <v>21</v>
      </c>
      <c r="K398" s="462">
        <v>300.10000000000002</v>
      </c>
    </row>
    <row r="399" spans="1:11" ht="13" x14ac:dyDescent="0.25">
      <c r="A399" s="287"/>
      <c r="B399" s="473">
        <v>20</v>
      </c>
      <c r="C399" s="480" t="s">
        <v>1045</v>
      </c>
      <c r="D399" s="491"/>
      <c r="E399" s="491"/>
      <c r="F399" s="490"/>
      <c r="G399" s="488">
        <v>-4447</v>
      </c>
      <c r="H399" s="492">
        <v>4</v>
      </c>
      <c r="I399" s="492">
        <v>1</v>
      </c>
      <c r="J399" s="492">
        <v>23</v>
      </c>
      <c r="K399" s="462">
        <v>300.10000000000002</v>
      </c>
    </row>
    <row r="400" spans="1:11" ht="13" x14ac:dyDescent="0.25">
      <c r="A400" s="287"/>
      <c r="B400" s="473">
        <v>20</v>
      </c>
      <c r="C400" s="480" t="s">
        <v>1045</v>
      </c>
      <c r="D400" s="491"/>
      <c r="E400" s="491"/>
      <c r="F400" s="490"/>
      <c r="G400" s="488">
        <v>-32</v>
      </c>
      <c r="H400" s="492">
        <v>4</v>
      </c>
      <c r="I400" s="492">
        <v>1</v>
      </c>
      <c r="J400" s="492">
        <v>25</v>
      </c>
      <c r="K400" s="462">
        <v>300.10000000000002</v>
      </c>
    </row>
    <row r="401" spans="1:11" ht="13" x14ac:dyDescent="0.25">
      <c r="A401" s="287"/>
      <c r="B401" s="473">
        <v>20</v>
      </c>
      <c r="C401" s="480" t="s">
        <v>1045</v>
      </c>
      <c r="D401" s="491"/>
      <c r="E401" s="491"/>
      <c r="F401" s="490"/>
      <c r="G401" s="488">
        <v>-799</v>
      </c>
      <c r="H401" s="492">
        <v>4</v>
      </c>
      <c r="I401" s="492">
        <v>1</v>
      </c>
      <c r="J401" s="492">
        <v>26</v>
      </c>
      <c r="K401" s="462">
        <v>300.10000000000002</v>
      </c>
    </row>
    <row r="402" spans="1:11" ht="13" x14ac:dyDescent="0.25">
      <c r="A402" s="287"/>
      <c r="B402" s="473">
        <v>20</v>
      </c>
      <c r="C402" s="480" t="s">
        <v>1045</v>
      </c>
      <c r="D402" s="491"/>
      <c r="E402" s="491"/>
      <c r="F402" s="490"/>
      <c r="G402" s="488">
        <v>-726</v>
      </c>
      <c r="H402" s="492">
        <v>4</v>
      </c>
      <c r="I402" s="492">
        <v>1</v>
      </c>
      <c r="J402" s="492">
        <v>39</v>
      </c>
      <c r="K402" s="462">
        <v>300.10000000000002</v>
      </c>
    </row>
    <row r="403" spans="1:11" ht="13" x14ac:dyDescent="0.25">
      <c r="A403" s="287"/>
      <c r="B403" s="473">
        <v>20</v>
      </c>
      <c r="C403" s="480" t="s">
        <v>1045</v>
      </c>
      <c r="D403" s="491"/>
      <c r="E403" s="491"/>
      <c r="F403" s="490"/>
      <c r="G403" s="488">
        <v>-6</v>
      </c>
      <c r="H403" s="492">
        <v>4</v>
      </c>
      <c r="I403" s="492">
        <v>1</v>
      </c>
      <c r="J403" s="492">
        <v>40</v>
      </c>
      <c r="K403" s="462">
        <v>300.10000000000002</v>
      </c>
    </row>
    <row r="404" spans="1:11" ht="13" x14ac:dyDescent="0.25">
      <c r="A404" s="287"/>
      <c r="B404" s="473">
        <v>20</v>
      </c>
      <c r="C404" s="480" t="s">
        <v>1045</v>
      </c>
      <c r="D404" s="491"/>
      <c r="E404" s="491"/>
      <c r="F404" s="490"/>
      <c r="G404" s="488">
        <v>-20</v>
      </c>
      <c r="H404" s="492">
        <v>4</v>
      </c>
      <c r="I404" s="492">
        <v>1</v>
      </c>
      <c r="J404" s="492">
        <v>42</v>
      </c>
      <c r="K404" s="462">
        <v>300.10000000000002</v>
      </c>
    </row>
    <row r="405" spans="1:11" ht="13" x14ac:dyDescent="0.25">
      <c r="A405" s="287"/>
      <c r="B405" s="473">
        <v>20</v>
      </c>
      <c r="C405" s="480" t="s">
        <v>1045</v>
      </c>
      <c r="D405" s="491"/>
      <c r="E405" s="491"/>
      <c r="F405" s="490"/>
      <c r="G405" s="488">
        <v>-11</v>
      </c>
      <c r="H405" s="492">
        <v>4</v>
      </c>
      <c r="I405" s="492">
        <v>1</v>
      </c>
      <c r="J405" s="492">
        <v>43</v>
      </c>
      <c r="K405" s="462">
        <v>300.10000000000002</v>
      </c>
    </row>
    <row r="406" spans="1:11" ht="13" x14ac:dyDescent="0.25">
      <c r="A406" s="287"/>
      <c r="B406" s="473">
        <v>20</v>
      </c>
      <c r="C406" s="480" t="s">
        <v>1045</v>
      </c>
      <c r="D406" s="491"/>
      <c r="E406" s="491"/>
      <c r="F406" s="490"/>
      <c r="G406" s="488">
        <v>-8</v>
      </c>
      <c r="H406" s="492">
        <v>4</v>
      </c>
      <c r="I406" s="492">
        <v>1</v>
      </c>
      <c r="J406" s="492">
        <v>44</v>
      </c>
      <c r="K406" s="462">
        <v>300.10000000000002</v>
      </c>
    </row>
    <row r="407" spans="1:11" ht="13" x14ac:dyDescent="0.25">
      <c r="A407" s="287"/>
      <c r="B407" s="473">
        <v>20</v>
      </c>
      <c r="C407" s="480" t="s">
        <v>1045</v>
      </c>
      <c r="D407" s="491"/>
      <c r="E407" s="491"/>
      <c r="F407" s="490"/>
      <c r="G407" s="488">
        <v>-14</v>
      </c>
      <c r="H407" s="492">
        <v>4</v>
      </c>
      <c r="I407" s="492">
        <v>1</v>
      </c>
      <c r="J407" s="492">
        <v>45</v>
      </c>
      <c r="K407" s="462">
        <v>300.10000000000002</v>
      </c>
    </row>
    <row r="408" spans="1:11" ht="13" x14ac:dyDescent="0.25">
      <c r="A408" s="287"/>
      <c r="B408" s="473">
        <v>20</v>
      </c>
      <c r="C408" s="480" t="s">
        <v>1045</v>
      </c>
      <c r="D408" s="491"/>
      <c r="E408" s="491"/>
      <c r="F408" s="490"/>
      <c r="G408" s="488">
        <v>-106</v>
      </c>
      <c r="H408" s="492">
        <v>4</v>
      </c>
      <c r="I408" s="492">
        <v>1</v>
      </c>
      <c r="J408" s="492">
        <v>46</v>
      </c>
      <c r="K408" s="462">
        <v>300.10000000000002</v>
      </c>
    </row>
    <row r="409" spans="1:11" ht="13" x14ac:dyDescent="0.25">
      <c r="A409" s="287"/>
      <c r="B409" s="473">
        <v>20</v>
      </c>
      <c r="C409" s="480" t="s">
        <v>1045</v>
      </c>
      <c r="D409" s="491"/>
      <c r="E409" s="491"/>
      <c r="F409" s="490"/>
      <c r="G409" s="488">
        <v>-243</v>
      </c>
      <c r="H409" s="492">
        <v>4</v>
      </c>
      <c r="I409" s="492">
        <v>1</v>
      </c>
      <c r="J409" s="492">
        <v>47</v>
      </c>
      <c r="K409" s="462">
        <v>300.10000000000002</v>
      </c>
    </row>
    <row r="410" spans="1:11" ht="13" x14ac:dyDescent="0.25">
      <c r="A410" s="287"/>
      <c r="B410" s="473">
        <v>20</v>
      </c>
      <c r="C410" s="480" t="s">
        <v>1045</v>
      </c>
      <c r="D410" s="491"/>
      <c r="E410" s="491"/>
      <c r="F410" s="490"/>
      <c r="G410" s="488">
        <v>-142</v>
      </c>
      <c r="H410" s="492">
        <v>4</v>
      </c>
      <c r="I410" s="492">
        <v>1</v>
      </c>
      <c r="J410" s="492">
        <v>48</v>
      </c>
      <c r="K410" s="462">
        <v>300.10000000000002</v>
      </c>
    </row>
    <row r="411" spans="1:11" ht="13" x14ac:dyDescent="0.25">
      <c r="A411" s="287"/>
      <c r="B411" s="473">
        <v>20</v>
      </c>
      <c r="C411" s="480" t="s">
        <v>1045</v>
      </c>
      <c r="D411" s="491"/>
      <c r="E411" s="491"/>
      <c r="F411" s="490"/>
      <c r="G411" s="488">
        <v>-1273</v>
      </c>
      <c r="H411" s="492">
        <v>4</v>
      </c>
      <c r="I411" s="492">
        <v>1</v>
      </c>
      <c r="J411" s="492">
        <v>49</v>
      </c>
      <c r="K411" s="462">
        <v>300.10000000000002</v>
      </c>
    </row>
    <row r="412" spans="1:11" ht="13" x14ac:dyDescent="0.25">
      <c r="A412" s="287"/>
      <c r="B412" s="473">
        <v>20</v>
      </c>
      <c r="C412" s="480" t="s">
        <v>1045</v>
      </c>
      <c r="D412" s="491"/>
      <c r="E412" s="491"/>
      <c r="F412" s="490"/>
      <c r="G412" s="488">
        <v>-104</v>
      </c>
      <c r="H412" s="492">
        <v>4</v>
      </c>
      <c r="I412" s="492">
        <v>1</v>
      </c>
      <c r="J412" s="492">
        <v>50</v>
      </c>
      <c r="K412" s="462">
        <v>300.10000000000002</v>
      </c>
    </row>
    <row r="413" spans="1:11" ht="13" x14ac:dyDescent="0.25">
      <c r="A413" s="287"/>
      <c r="B413" s="473">
        <v>20</v>
      </c>
      <c r="C413" s="480" t="s">
        <v>1045</v>
      </c>
      <c r="D413" s="491"/>
      <c r="E413" s="491"/>
      <c r="F413" s="490"/>
      <c r="G413" s="488">
        <v>-1319</v>
      </c>
      <c r="H413" s="492">
        <v>4</v>
      </c>
      <c r="I413" s="492">
        <v>1</v>
      </c>
      <c r="J413" s="492">
        <v>51</v>
      </c>
      <c r="K413" s="462">
        <v>300.10000000000002</v>
      </c>
    </row>
    <row r="414" spans="1:11" ht="13" x14ac:dyDescent="0.25">
      <c r="A414" s="287"/>
      <c r="B414" s="473">
        <v>20</v>
      </c>
      <c r="C414" s="480" t="s">
        <v>1045</v>
      </c>
      <c r="D414" s="491"/>
      <c r="E414" s="491"/>
      <c r="F414" s="490"/>
      <c r="G414" s="488">
        <v>-5122</v>
      </c>
      <c r="H414" s="492">
        <v>4</v>
      </c>
      <c r="I414" s="492">
        <v>1</v>
      </c>
      <c r="J414" s="492">
        <v>52</v>
      </c>
      <c r="K414" s="462">
        <v>300.10000000000002</v>
      </c>
    </row>
    <row r="415" spans="1:11" ht="13" x14ac:dyDescent="0.25">
      <c r="A415" s="287"/>
      <c r="B415" s="473">
        <v>20</v>
      </c>
      <c r="C415" s="480" t="s">
        <v>1045</v>
      </c>
      <c r="D415" s="491"/>
      <c r="E415" s="491"/>
      <c r="F415" s="490"/>
      <c r="G415" s="488">
        <v>-877</v>
      </c>
      <c r="H415" s="492">
        <v>4</v>
      </c>
      <c r="I415" s="492">
        <v>1</v>
      </c>
      <c r="J415" s="492">
        <v>53</v>
      </c>
      <c r="K415" s="462">
        <v>300.10000000000002</v>
      </c>
    </row>
    <row r="416" spans="1:11" ht="13" x14ac:dyDescent="0.25">
      <c r="A416" s="287"/>
      <c r="B416" s="473">
        <v>20</v>
      </c>
      <c r="C416" s="480" t="s">
        <v>1045</v>
      </c>
      <c r="D416" s="491"/>
      <c r="E416" s="491"/>
      <c r="F416" s="490"/>
      <c r="G416" s="488">
        <v>-1</v>
      </c>
      <c r="H416" s="492">
        <v>4</v>
      </c>
      <c r="I416" s="492">
        <v>1</v>
      </c>
      <c r="J416" s="492">
        <v>82</v>
      </c>
      <c r="K416" s="462">
        <v>300.10000000000002</v>
      </c>
    </row>
    <row r="417" spans="1:11" ht="13" x14ac:dyDescent="0.25">
      <c r="A417" s="287"/>
      <c r="B417" s="473">
        <v>20</v>
      </c>
      <c r="C417" s="480" t="s">
        <v>1045</v>
      </c>
      <c r="D417" s="491"/>
      <c r="E417" s="491"/>
      <c r="F417" s="490"/>
      <c r="G417" s="488">
        <v>-1</v>
      </c>
      <c r="H417" s="492">
        <v>4</v>
      </c>
      <c r="I417" s="492">
        <v>1</v>
      </c>
      <c r="J417" s="492">
        <v>83</v>
      </c>
      <c r="K417" s="462">
        <v>300.10000000000002</v>
      </c>
    </row>
    <row r="418" spans="1:11" ht="13" x14ac:dyDescent="0.25">
      <c r="A418" s="287"/>
      <c r="B418" s="473">
        <v>20</v>
      </c>
      <c r="C418" s="480" t="s">
        <v>1045</v>
      </c>
      <c r="D418" s="491"/>
      <c r="E418" s="491"/>
      <c r="F418" s="490"/>
      <c r="G418" s="488">
        <v>-69</v>
      </c>
      <c r="H418" s="492">
        <v>4</v>
      </c>
      <c r="I418" s="492">
        <v>1</v>
      </c>
      <c r="J418" s="492">
        <v>91</v>
      </c>
      <c r="K418" s="462">
        <v>300.10000000000002</v>
      </c>
    </row>
    <row r="419" spans="1:11" ht="13" x14ac:dyDescent="0.25">
      <c r="A419" s="287"/>
      <c r="B419" s="473">
        <v>20</v>
      </c>
      <c r="C419" s="480" t="s">
        <v>1045</v>
      </c>
      <c r="D419" s="491"/>
      <c r="E419" s="491"/>
      <c r="F419" s="490"/>
      <c r="G419" s="488">
        <v>-97</v>
      </c>
      <c r="H419" s="492">
        <v>4</v>
      </c>
      <c r="I419" s="492">
        <v>1</v>
      </c>
      <c r="J419" s="492">
        <v>92</v>
      </c>
      <c r="K419" s="462">
        <v>300.10000000000002</v>
      </c>
    </row>
    <row r="420" spans="1:11" ht="13" x14ac:dyDescent="0.25">
      <c r="A420" s="287"/>
      <c r="B420" s="473">
        <v>20</v>
      </c>
      <c r="C420" s="480" t="s">
        <v>1045</v>
      </c>
      <c r="D420" s="491"/>
      <c r="E420" s="491"/>
      <c r="F420" s="490"/>
      <c r="G420" s="488">
        <v>-91</v>
      </c>
      <c r="H420" s="492">
        <v>4</v>
      </c>
      <c r="I420" s="492">
        <v>1</v>
      </c>
      <c r="J420" s="492">
        <v>93</v>
      </c>
      <c r="K420" s="462">
        <v>300.10000000000002</v>
      </c>
    </row>
    <row r="421" spans="1:11" ht="13" x14ac:dyDescent="0.25">
      <c r="A421" s="287"/>
      <c r="B421" s="473">
        <v>20</v>
      </c>
      <c r="C421" s="480" t="s">
        <v>1045</v>
      </c>
      <c r="D421" s="491"/>
      <c r="E421" s="491"/>
      <c r="F421" s="490"/>
      <c r="G421" s="488">
        <v>-1</v>
      </c>
      <c r="H421" s="492">
        <v>4</v>
      </c>
      <c r="I421" s="492">
        <v>1</v>
      </c>
      <c r="J421" s="492">
        <v>94</v>
      </c>
      <c r="K421" s="462">
        <v>300.10000000000002</v>
      </c>
    </row>
    <row r="422" spans="1:11" ht="13" x14ac:dyDescent="0.25">
      <c r="A422" s="287"/>
      <c r="B422" s="473">
        <v>20</v>
      </c>
      <c r="C422" s="480" t="s">
        <v>1045</v>
      </c>
      <c r="D422" s="491"/>
      <c r="E422" s="491"/>
      <c r="F422" s="490"/>
      <c r="G422" s="488">
        <v>-9</v>
      </c>
      <c r="H422" s="492">
        <v>4</v>
      </c>
      <c r="I422" s="492">
        <v>1</v>
      </c>
      <c r="J422" s="492">
        <v>98</v>
      </c>
      <c r="K422" s="462">
        <v>300.10000000000002</v>
      </c>
    </row>
    <row r="423" spans="1:11" ht="13" x14ac:dyDescent="0.25">
      <c r="A423" s="287"/>
      <c r="B423" s="473">
        <v>20</v>
      </c>
      <c r="C423" s="480" t="s">
        <v>1045</v>
      </c>
      <c r="D423" s="491"/>
      <c r="E423" s="491"/>
      <c r="F423" s="490"/>
      <c r="G423" s="488">
        <v>-11</v>
      </c>
      <c r="H423" s="492">
        <v>4</v>
      </c>
      <c r="I423" s="492">
        <v>1</v>
      </c>
      <c r="J423" s="492">
        <v>99</v>
      </c>
      <c r="K423" s="462">
        <v>300.10000000000002</v>
      </c>
    </row>
    <row r="424" spans="1:11" ht="13" x14ac:dyDescent="0.25">
      <c r="A424" s="287"/>
      <c r="B424" s="473">
        <v>20</v>
      </c>
      <c r="C424" s="480" t="s">
        <v>1045</v>
      </c>
      <c r="D424" s="491"/>
      <c r="E424" s="491"/>
      <c r="F424" s="490"/>
      <c r="G424" s="488">
        <v>-25</v>
      </c>
      <c r="H424" s="492">
        <v>4</v>
      </c>
      <c r="I424" s="492">
        <v>1</v>
      </c>
      <c r="J424" s="492">
        <v>100</v>
      </c>
      <c r="K424" s="462">
        <v>300.10000000000002</v>
      </c>
    </row>
    <row r="425" spans="1:11" ht="13" x14ac:dyDescent="0.25">
      <c r="A425" s="287"/>
      <c r="B425" s="473">
        <v>20</v>
      </c>
      <c r="C425" s="480" t="s">
        <v>1045</v>
      </c>
      <c r="D425" s="491"/>
      <c r="E425" s="491"/>
      <c r="F425" s="490"/>
      <c r="G425" s="488">
        <v>-95</v>
      </c>
      <c r="H425" s="492">
        <v>4</v>
      </c>
      <c r="I425" s="492">
        <v>1</v>
      </c>
      <c r="J425" s="492">
        <v>103</v>
      </c>
      <c r="K425" s="462">
        <v>300.10000000000002</v>
      </c>
    </row>
    <row r="426" spans="1:11" ht="13" x14ac:dyDescent="0.25">
      <c r="A426" s="287"/>
      <c r="B426" s="473">
        <v>20</v>
      </c>
      <c r="C426" s="480" t="s">
        <v>1045</v>
      </c>
      <c r="D426" s="491"/>
      <c r="E426" s="491"/>
      <c r="F426" s="490"/>
      <c r="G426" s="488">
        <v>-521</v>
      </c>
      <c r="H426" s="492">
        <v>4</v>
      </c>
      <c r="I426" s="492">
        <v>1</v>
      </c>
      <c r="J426" s="492">
        <v>104</v>
      </c>
      <c r="K426" s="462">
        <v>300.10000000000002</v>
      </c>
    </row>
    <row r="427" spans="1:11" ht="13" x14ac:dyDescent="0.25">
      <c r="A427" s="287"/>
      <c r="B427" s="473">
        <v>20</v>
      </c>
      <c r="C427" s="480" t="s">
        <v>1045</v>
      </c>
      <c r="D427" s="491"/>
      <c r="E427" s="491"/>
      <c r="F427" s="490"/>
      <c r="G427" s="488">
        <v>-8868</v>
      </c>
      <c r="H427" s="492">
        <v>4</v>
      </c>
      <c r="I427" s="492">
        <v>1</v>
      </c>
      <c r="J427" s="492">
        <v>106</v>
      </c>
      <c r="K427" s="462">
        <v>300.10000000000002</v>
      </c>
    </row>
    <row r="428" spans="1:11" ht="13" x14ac:dyDescent="0.25">
      <c r="A428" s="287"/>
      <c r="B428" s="473">
        <v>20</v>
      </c>
      <c r="C428" s="480" t="s">
        <v>1045</v>
      </c>
      <c r="D428" s="491"/>
      <c r="E428" s="491"/>
      <c r="F428" s="490"/>
      <c r="G428" s="488">
        <v>-2571</v>
      </c>
      <c r="H428" s="492">
        <v>4</v>
      </c>
      <c r="I428" s="492">
        <v>1</v>
      </c>
      <c r="J428" s="492">
        <v>107</v>
      </c>
      <c r="K428" s="462">
        <v>300.10000000000002</v>
      </c>
    </row>
    <row r="429" spans="1:11" ht="13" x14ac:dyDescent="0.25">
      <c r="A429" s="287"/>
      <c r="B429" s="473">
        <v>20</v>
      </c>
      <c r="C429" s="480" t="s">
        <v>1045</v>
      </c>
      <c r="D429" s="491"/>
      <c r="E429" s="491"/>
      <c r="F429" s="490"/>
      <c r="G429" s="488">
        <v>-1569</v>
      </c>
      <c r="H429" s="492">
        <v>4</v>
      </c>
      <c r="I429" s="492">
        <v>1</v>
      </c>
      <c r="J429" s="492">
        <v>108</v>
      </c>
      <c r="K429" s="462">
        <v>300.10000000000002</v>
      </c>
    </row>
    <row r="430" spans="1:11" ht="13" x14ac:dyDescent="0.25">
      <c r="A430" s="287"/>
      <c r="B430" s="473">
        <v>20</v>
      </c>
      <c r="C430" s="480" t="s">
        <v>1045</v>
      </c>
      <c r="D430" s="491"/>
      <c r="E430" s="491"/>
      <c r="F430" s="490"/>
      <c r="G430" s="488">
        <v>-1</v>
      </c>
      <c r="H430" s="492">
        <v>4</v>
      </c>
      <c r="I430" s="492">
        <v>1</v>
      </c>
      <c r="J430" s="492">
        <v>109</v>
      </c>
      <c r="K430" s="462">
        <v>300.10000000000002</v>
      </c>
    </row>
    <row r="431" spans="1:11" ht="13" x14ac:dyDescent="0.25">
      <c r="A431" s="287"/>
      <c r="B431" s="473">
        <v>20</v>
      </c>
      <c r="C431" s="480" t="s">
        <v>1045</v>
      </c>
      <c r="D431" s="491"/>
      <c r="E431" s="491"/>
      <c r="F431" s="490"/>
      <c r="G431" s="488">
        <v>-5</v>
      </c>
      <c r="H431" s="492">
        <v>4</v>
      </c>
      <c r="I431" s="492">
        <v>1</v>
      </c>
      <c r="J431" s="492">
        <v>111</v>
      </c>
      <c r="K431" s="462">
        <v>300.10000000000002</v>
      </c>
    </row>
    <row r="432" spans="1:11" ht="13" x14ac:dyDescent="0.25">
      <c r="A432" s="287"/>
      <c r="B432" s="473">
        <v>20</v>
      </c>
      <c r="C432" s="480" t="s">
        <v>1045</v>
      </c>
      <c r="D432" s="491"/>
      <c r="E432" s="491"/>
      <c r="F432" s="490"/>
      <c r="G432" s="488">
        <v>-810</v>
      </c>
      <c r="H432" s="492">
        <v>4</v>
      </c>
      <c r="I432" s="492">
        <v>1</v>
      </c>
      <c r="J432" s="492">
        <v>112</v>
      </c>
      <c r="K432" s="462">
        <v>300.10000000000002</v>
      </c>
    </row>
    <row r="433" spans="1:11" ht="13" x14ac:dyDescent="0.25">
      <c r="A433" s="287"/>
      <c r="B433" s="473">
        <v>20</v>
      </c>
      <c r="C433" s="480" t="s">
        <v>1045</v>
      </c>
      <c r="D433" s="491"/>
      <c r="E433" s="491"/>
      <c r="F433" s="490"/>
      <c r="G433" s="488">
        <v>7364</v>
      </c>
      <c r="H433" s="492">
        <v>4</v>
      </c>
      <c r="I433" s="492">
        <v>1</v>
      </c>
      <c r="J433" s="492">
        <v>118</v>
      </c>
      <c r="K433" s="462">
        <v>300.10000000000002</v>
      </c>
    </row>
    <row r="434" spans="1:11" ht="13" x14ac:dyDescent="0.25">
      <c r="A434" s="287"/>
      <c r="B434" s="473">
        <v>20</v>
      </c>
      <c r="C434" s="480" t="s">
        <v>1045</v>
      </c>
      <c r="D434" s="491"/>
      <c r="E434" s="491"/>
      <c r="F434" s="490"/>
      <c r="G434" s="488">
        <v>-32</v>
      </c>
      <c r="H434" s="492">
        <v>4</v>
      </c>
      <c r="I434" s="492">
        <v>1</v>
      </c>
      <c r="J434" s="492">
        <v>121</v>
      </c>
      <c r="K434" s="462">
        <v>300.10000000000002</v>
      </c>
    </row>
    <row r="435" spans="1:11" ht="13" x14ac:dyDescent="0.25">
      <c r="A435" s="287"/>
      <c r="B435" s="473">
        <v>20</v>
      </c>
      <c r="C435" s="480" t="s">
        <v>1045</v>
      </c>
      <c r="D435" s="491"/>
      <c r="E435" s="491"/>
      <c r="F435" s="490"/>
      <c r="G435" s="488">
        <v>-188</v>
      </c>
      <c r="H435" s="492">
        <v>4</v>
      </c>
      <c r="I435" s="492">
        <v>1</v>
      </c>
      <c r="J435" s="492">
        <v>126</v>
      </c>
      <c r="K435" s="462">
        <v>300.10000000000002</v>
      </c>
    </row>
    <row r="436" spans="1:11" ht="13" x14ac:dyDescent="0.25">
      <c r="A436" s="287"/>
      <c r="B436" s="473">
        <v>20</v>
      </c>
      <c r="C436" s="480" t="s">
        <v>1045</v>
      </c>
      <c r="D436" s="491"/>
      <c r="E436" s="491"/>
      <c r="F436" s="490"/>
      <c r="G436" s="488">
        <v>-266</v>
      </c>
      <c r="H436" s="492">
        <v>4</v>
      </c>
      <c r="I436" s="492">
        <v>1</v>
      </c>
      <c r="J436" s="492">
        <v>127</v>
      </c>
      <c r="K436" s="462">
        <v>300.10000000000002</v>
      </c>
    </row>
    <row r="437" spans="1:11" ht="13" x14ac:dyDescent="0.25">
      <c r="A437" s="287"/>
      <c r="B437" s="473">
        <v>20</v>
      </c>
      <c r="C437" s="480" t="s">
        <v>1045</v>
      </c>
      <c r="D437" s="491"/>
      <c r="E437" s="491"/>
      <c r="F437" s="490"/>
      <c r="G437" s="488">
        <v>-5888</v>
      </c>
      <c r="H437" s="492">
        <v>4</v>
      </c>
      <c r="I437" s="492">
        <v>1</v>
      </c>
      <c r="J437" s="492">
        <v>128</v>
      </c>
      <c r="K437" s="462">
        <v>300.10000000000002</v>
      </c>
    </row>
    <row r="438" spans="1:11" ht="13" x14ac:dyDescent="0.25">
      <c r="A438" s="287"/>
      <c r="B438" s="473">
        <v>20</v>
      </c>
      <c r="C438" s="480" t="s">
        <v>1045</v>
      </c>
      <c r="D438" s="491"/>
      <c r="E438" s="491"/>
      <c r="F438" s="490"/>
      <c r="G438" s="488">
        <v>-96</v>
      </c>
      <c r="H438" s="492">
        <v>4</v>
      </c>
      <c r="I438" s="492">
        <v>1</v>
      </c>
      <c r="J438" s="492">
        <v>129</v>
      </c>
      <c r="K438" s="462">
        <v>300.10000000000002</v>
      </c>
    </row>
    <row r="439" spans="1:11" ht="13" x14ac:dyDescent="0.25">
      <c r="A439" s="287"/>
      <c r="B439" s="473">
        <v>20</v>
      </c>
      <c r="C439" s="480" t="s">
        <v>1045</v>
      </c>
      <c r="D439" s="491"/>
      <c r="E439" s="491"/>
      <c r="F439" s="490"/>
      <c r="G439" s="488">
        <v>-159</v>
      </c>
      <c r="H439" s="492">
        <v>4</v>
      </c>
      <c r="I439" s="492">
        <v>1</v>
      </c>
      <c r="J439" s="492">
        <v>131</v>
      </c>
      <c r="K439" s="462">
        <v>300.10000000000002</v>
      </c>
    </row>
    <row r="440" spans="1:11" ht="13" x14ac:dyDescent="0.25">
      <c r="A440" s="287"/>
      <c r="B440" s="473">
        <v>20</v>
      </c>
      <c r="C440" s="480" t="s">
        <v>1045</v>
      </c>
      <c r="D440" s="491"/>
      <c r="E440" s="491"/>
      <c r="F440" s="490"/>
      <c r="G440" s="488">
        <v>-18759</v>
      </c>
      <c r="H440" s="492">
        <v>4</v>
      </c>
      <c r="I440" s="492">
        <v>1</v>
      </c>
      <c r="J440" s="492">
        <v>133</v>
      </c>
      <c r="K440" s="462">
        <v>300.10000000000002</v>
      </c>
    </row>
    <row r="441" spans="1:11" ht="13" x14ac:dyDescent="0.25">
      <c r="A441" s="287"/>
      <c r="B441" s="473">
        <v>20</v>
      </c>
      <c r="C441" s="480" t="s">
        <v>1045</v>
      </c>
      <c r="D441" s="491"/>
      <c r="E441" s="491"/>
      <c r="F441" s="490"/>
      <c r="G441" s="488">
        <v>-257</v>
      </c>
      <c r="H441" s="492">
        <v>4</v>
      </c>
      <c r="I441" s="492">
        <v>1</v>
      </c>
      <c r="J441" s="492">
        <v>134</v>
      </c>
      <c r="K441" s="462">
        <v>300.10000000000002</v>
      </c>
    </row>
    <row r="442" spans="1:11" ht="13" x14ac:dyDescent="0.25">
      <c r="A442" s="287"/>
      <c r="B442" s="473">
        <v>20</v>
      </c>
      <c r="C442" s="480" t="s">
        <v>1045</v>
      </c>
      <c r="D442" s="491"/>
      <c r="E442" s="491"/>
      <c r="F442" s="490"/>
      <c r="G442" s="488">
        <v>126</v>
      </c>
      <c r="H442" s="492">
        <v>4</v>
      </c>
      <c r="I442" s="492">
        <v>1</v>
      </c>
      <c r="J442" s="492">
        <v>135</v>
      </c>
      <c r="K442" s="462">
        <v>300.10000000000002</v>
      </c>
    </row>
    <row r="443" spans="1:11" ht="13" x14ac:dyDescent="0.25">
      <c r="A443" s="287"/>
      <c r="B443" s="473">
        <v>20</v>
      </c>
      <c r="C443" s="480" t="s">
        <v>1045</v>
      </c>
      <c r="D443" s="491"/>
      <c r="E443" s="491"/>
      <c r="F443" s="490"/>
      <c r="G443" s="488">
        <v>29</v>
      </c>
      <c r="H443" s="492">
        <v>4</v>
      </c>
      <c r="I443" s="492">
        <v>1</v>
      </c>
      <c r="J443" s="492">
        <v>139</v>
      </c>
      <c r="K443" s="462">
        <v>300.10000000000002</v>
      </c>
    </row>
    <row r="444" spans="1:11" ht="13" x14ac:dyDescent="0.25">
      <c r="A444" s="287"/>
      <c r="B444" s="473">
        <v>20</v>
      </c>
      <c r="C444" s="480" t="s">
        <v>1045</v>
      </c>
      <c r="D444" s="491"/>
      <c r="E444" s="491"/>
      <c r="F444" s="490"/>
      <c r="G444" s="488">
        <v>-1499</v>
      </c>
      <c r="H444" s="492">
        <v>4</v>
      </c>
      <c r="I444" s="492">
        <v>1</v>
      </c>
      <c r="J444" s="492">
        <v>147</v>
      </c>
      <c r="K444" s="462">
        <v>300.10000000000002</v>
      </c>
    </row>
    <row r="445" spans="1:11" ht="13" x14ac:dyDescent="0.25">
      <c r="A445" s="287"/>
      <c r="B445" s="473">
        <v>20</v>
      </c>
      <c r="C445" s="480" t="s">
        <v>1045</v>
      </c>
      <c r="D445" s="491"/>
      <c r="E445" s="491"/>
      <c r="F445" s="490"/>
      <c r="G445" s="488">
        <v>-4782</v>
      </c>
      <c r="H445" s="492">
        <v>4</v>
      </c>
      <c r="I445" s="492">
        <v>1</v>
      </c>
      <c r="J445" s="492">
        <v>149</v>
      </c>
      <c r="K445" s="462">
        <v>300.10000000000002</v>
      </c>
    </row>
    <row r="446" spans="1:11" ht="13" x14ac:dyDescent="0.25">
      <c r="A446" s="287"/>
      <c r="B446" s="473">
        <v>20</v>
      </c>
      <c r="C446" s="480" t="s">
        <v>1045</v>
      </c>
      <c r="D446" s="491"/>
      <c r="E446" s="491"/>
      <c r="F446" s="490"/>
      <c r="G446" s="488">
        <v>-535</v>
      </c>
      <c r="H446" s="492">
        <v>4</v>
      </c>
      <c r="I446" s="492">
        <v>1</v>
      </c>
      <c r="J446" s="492">
        <v>151</v>
      </c>
      <c r="K446" s="462">
        <v>300.10000000000002</v>
      </c>
    </row>
    <row r="447" spans="1:11" ht="13" x14ac:dyDescent="0.25">
      <c r="A447" s="287"/>
      <c r="B447" s="473">
        <v>20</v>
      </c>
      <c r="C447" s="480" t="s">
        <v>1045</v>
      </c>
      <c r="D447" s="491"/>
      <c r="E447" s="491"/>
      <c r="F447" s="490"/>
      <c r="G447" s="488">
        <v>-3</v>
      </c>
      <c r="H447" s="492">
        <v>4</v>
      </c>
      <c r="I447" s="492">
        <v>1</v>
      </c>
      <c r="J447" s="492">
        <v>152</v>
      </c>
      <c r="K447" s="462">
        <v>300.10000000000002</v>
      </c>
    </row>
    <row r="448" spans="1:11" ht="13" x14ac:dyDescent="0.25">
      <c r="A448" s="287"/>
      <c r="B448" s="473">
        <v>20</v>
      </c>
      <c r="C448" s="480" t="s">
        <v>1045</v>
      </c>
      <c r="D448" s="491"/>
      <c r="E448" s="491"/>
      <c r="F448" s="490"/>
      <c r="G448" s="488">
        <v>-13</v>
      </c>
      <c r="H448" s="492">
        <v>4</v>
      </c>
      <c r="I448" s="492">
        <v>1</v>
      </c>
      <c r="J448" s="492">
        <v>154</v>
      </c>
      <c r="K448" s="462">
        <v>300.10000000000002</v>
      </c>
    </row>
    <row r="449" spans="1:11" ht="13" x14ac:dyDescent="0.25">
      <c r="A449" s="287"/>
      <c r="B449" s="473">
        <v>20</v>
      </c>
      <c r="C449" s="480" t="s">
        <v>1045</v>
      </c>
      <c r="D449" s="491"/>
      <c r="E449" s="491"/>
      <c r="F449" s="490"/>
      <c r="G449" s="488">
        <v>-3</v>
      </c>
      <c r="H449" s="492">
        <v>4</v>
      </c>
      <c r="I449" s="492">
        <v>1</v>
      </c>
      <c r="J449" s="492">
        <v>156</v>
      </c>
      <c r="K449" s="462">
        <v>300.10000000000002</v>
      </c>
    </row>
    <row r="450" spans="1:11" ht="13" x14ac:dyDescent="0.25">
      <c r="A450" s="287"/>
      <c r="B450" s="473">
        <v>20</v>
      </c>
      <c r="C450" s="480" t="s">
        <v>1045</v>
      </c>
      <c r="D450" s="491"/>
      <c r="E450" s="491"/>
      <c r="F450" s="490"/>
      <c r="G450" s="488">
        <v>-2536</v>
      </c>
      <c r="H450" s="492">
        <v>4</v>
      </c>
      <c r="I450" s="492">
        <v>1</v>
      </c>
      <c r="J450" s="492">
        <v>158</v>
      </c>
      <c r="K450" s="462">
        <v>300.10000000000002</v>
      </c>
    </row>
    <row r="451" spans="1:11" ht="13" x14ac:dyDescent="0.25">
      <c r="A451" s="287"/>
      <c r="B451" s="473">
        <v>20</v>
      </c>
      <c r="C451" s="480" t="s">
        <v>1045</v>
      </c>
      <c r="D451" s="491"/>
      <c r="E451" s="491"/>
      <c r="F451" s="490"/>
      <c r="G451" s="488">
        <v>-1</v>
      </c>
      <c r="H451" s="492">
        <v>4</v>
      </c>
      <c r="I451" s="492">
        <v>1</v>
      </c>
      <c r="J451" s="492">
        <v>159</v>
      </c>
      <c r="K451" s="462">
        <v>300.10000000000002</v>
      </c>
    </row>
    <row r="452" spans="1:11" ht="13" x14ac:dyDescent="0.25">
      <c r="A452" s="287"/>
      <c r="B452" s="473">
        <v>20</v>
      </c>
      <c r="C452" s="480" t="s">
        <v>1045</v>
      </c>
      <c r="D452" s="491"/>
      <c r="E452" s="491"/>
      <c r="F452" s="490"/>
      <c r="G452" s="488">
        <v>-3030</v>
      </c>
      <c r="H452" s="492">
        <v>4</v>
      </c>
      <c r="I452" s="492">
        <v>1</v>
      </c>
      <c r="J452" s="492">
        <v>162</v>
      </c>
      <c r="K452" s="462">
        <v>300.10000000000002</v>
      </c>
    </row>
    <row r="453" spans="1:11" ht="13" x14ac:dyDescent="0.25">
      <c r="A453" s="287"/>
      <c r="B453" s="473">
        <v>20</v>
      </c>
      <c r="C453" s="480" t="s">
        <v>1045</v>
      </c>
      <c r="D453" s="491"/>
      <c r="E453" s="491"/>
      <c r="F453" s="490"/>
      <c r="G453" s="488">
        <v>-11582</v>
      </c>
      <c r="H453" s="492">
        <v>4</v>
      </c>
      <c r="I453" s="492">
        <v>1</v>
      </c>
      <c r="J453" s="492">
        <v>163</v>
      </c>
      <c r="K453" s="462">
        <v>300.10000000000002</v>
      </c>
    </row>
    <row r="454" spans="1:11" ht="13" x14ac:dyDescent="0.25">
      <c r="A454" s="287"/>
      <c r="B454" s="473">
        <v>20</v>
      </c>
      <c r="C454" s="480" t="s">
        <v>1045</v>
      </c>
      <c r="D454" s="491"/>
      <c r="E454" s="491"/>
      <c r="F454" s="490"/>
      <c r="G454" s="488">
        <v>-2279</v>
      </c>
      <c r="H454" s="492">
        <v>4</v>
      </c>
      <c r="I454" s="492">
        <v>1</v>
      </c>
      <c r="J454" s="492">
        <v>164</v>
      </c>
      <c r="K454" s="462">
        <v>300.10000000000002</v>
      </c>
    </row>
    <row r="455" spans="1:11" ht="13" x14ac:dyDescent="0.25">
      <c r="A455" s="287"/>
      <c r="B455" s="473">
        <v>20</v>
      </c>
      <c r="C455" s="480" t="s">
        <v>1045</v>
      </c>
      <c r="D455" s="491"/>
      <c r="E455" s="491"/>
      <c r="F455" s="490"/>
      <c r="G455" s="488">
        <v>-9162</v>
      </c>
      <c r="H455" s="492">
        <v>4</v>
      </c>
      <c r="I455" s="492">
        <v>1</v>
      </c>
      <c r="J455" s="492">
        <v>165</v>
      </c>
      <c r="K455" s="462">
        <v>300.10000000000002</v>
      </c>
    </row>
    <row r="456" spans="1:11" ht="13" x14ac:dyDescent="0.25">
      <c r="A456" s="287"/>
      <c r="B456" s="473">
        <v>20</v>
      </c>
      <c r="C456" s="480" t="s">
        <v>1045</v>
      </c>
      <c r="D456" s="491"/>
      <c r="E456" s="491"/>
      <c r="F456" s="490"/>
      <c r="G456" s="488">
        <v>-281</v>
      </c>
      <c r="H456" s="492">
        <v>4</v>
      </c>
      <c r="I456" s="492">
        <v>1</v>
      </c>
      <c r="J456" s="492">
        <v>169</v>
      </c>
      <c r="K456" s="462">
        <v>300.10000000000002</v>
      </c>
    </row>
    <row r="457" spans="1:11" ht="13" x14ac:dyDescent="0.25">
      <c r="A457" s="287"/>
      <c r="B457" s="473">
        <v>20</v>
      </c>
      <c r="C457" s="480" t="s">
        <v>1045</v>
      </c>
      <c r="D457" s="491"/>
      <c r="E457" s="491"/>
      <c r="F457" s="490"/>
      <c r="G457" s="488">
        <v>-54</v>
      </c>
      <c r="H457" s="492">
        <v>4</v>
      </c>
      <c r="I457" s="492">
        <v>1</v>
      </c>
      <c r="J457" s="492">
        <v>170</v>
      </c>
      <c r="K457" s="462">
        <v>300.10000000000002</v>
      </c>
    </row>
    <row r="458" spans="1:11" ht="13" x14ac:dyDescent="0.25">
      <c r="A458" s="287"/>
      <c r="B458" s="473">
        <v>20</v>
      </c>
      <c r="C458" s="480" t="s">
        <v>1045</v>
      </c>
      <c r="D458" s="491"/>
      <c r="E458" s="491"/>
      <c r="F458" s="490"/>
      <c r="G458" s="488">
        <v>-10</v>
      </c>
      <c r="H458" s="492">
        <v>4</v>
      </c>
      <c r="I458" s="492">
        <v>1</v>
      </c>
      <c r="J458" s="492">
        <v>173</v>
      </c>
      <c r="K458" s="462">
        <v>300.10000000000002</v>
      </c>
    </row>
    <row r="459" spans="1:11" ht="13" x14ac:dyDescent="0.25">
      <c r="A459" s="287"/>
      <c r="B459" s="473">
        <v>20</v>
      </c>
      <c r="C459" s="480" t="s">
        <v>1045</v>
      </c>
      <c r="D459" s="491"/>
      <c r="E459" s="491"/>
      <c r="F459" s="490"/>
      <c r="G459" s="488">
        <v>-18</v>
      </c>
      <c r="H459" s="492">
        <v>4</v>
      </c>
      <c r="I459" s="492">
        <v>1</v>
      </c>
      <c r="J459" s="492">
        <v>174</v>
      </c>
      <c r="K459" s="462">
        <v>300.10000000000002</v>
      </c>
    </row>
    <row r="460" spans="1:11" ht="13" x14ac:dyDescent="0.25">
      <c r="A460" s="287"/>
      <c r="B460" s="473">
        <v>20</v>
      </c>
      <c r="C460" s="480" t="s">
        <v>1045</v>
      </c>
      <c r="D460" s="491"/>
      <c r="E460" s="491"/>
      <c r="F460" s="490"/>
      <c r="G460" s="488">
        <v>-1</v>
      </c>
      <c r="H460" s="492">
        <v>4</v>
      </c>
      <c r="I460" s="492">
        <v>1</v>
      </c>
      <c r="J460" s="492">
        <v>175</v>
      </c>
      <c r="K460" s="462">
        <v>300.10000000000002</v>
      </c>
    </row>
    <row r="461" spans="1:11" ht="13" x14ac:dyDescent="0.25">
      <c r="A461" s="287"/>
      <c r="B461" s="473">
        <v>20</v>
      </c>
      <c r="C461" s="480" t="s">
        <v>1045</v>
      </c>
      <c r="D461" s="491"/>
      <c r="E461" s="491"/>
      <c r="F461" s="490"/>
      <c r="G461" s="488">
        <v>8</v>
      </c>
      <c r="H461" s="492">
        <v>4</v>
      </c>
      <c r="I461" s="492">
        <v>1</v>
      </c>
      <c r="J461" s="492">
        <v>178</v>
      </c>
      <c r="K461" s="462">
        <v>300.10000000000002</v>
      </c>
    </row>
    <row r="462" spans="1:11" ht="13" x14ac:dyDescent="0.25">
      <c r="A462" s="287"/>
      <c r="B462" s="473">
        <v>20</v>
      </c>
      <c r="C462" s="480" t="s">
        <v>1045</v>
      </c>
      <c r="D462" s="491"/>
      <c r="E462" s="491"/>
      <c r="F462" s="490"/>
      <c r="G462" s="488">
        <v>-7</v>
      </c>
      <c r="H462" s="492">
        <v>4</v>
      </c>
      <c r="I462" s="492">
        <v>1</v>
      </c>
      <c r="J462" s="492">
        <v>182</v>
      </c>
      <c r="K462" s="462">
        <v>300.10000000000002</v>
      </c>
    </row>
    <row r="463" spans="1:11" ht="13" x14ac:dyDescent="0.25">
      <c r="A463" s="287"/>
      <c r="B463" s="473">
        <v>20</v>
      </c>
      <c r="C463" s="480" t="s">
        <v>1045</v>
      </c>
      <c r="D463" s="491"/>
      <c r="E463" s="491"/>
      <c r="F463" s="490"/>
      <c r="G463" s="488">
        <v>-10946</v>
      </c>
      <c r="H463" s="492">
        <v>4</v>
      </c>
      <c r="I463" s="492">
        <v>1</v>
      </c>
      <c r="J463" s="492">
        <v>183</v>
      </c>
      <c r="K463" s="462">
        <v>300.10000000000002</v>
      </c>
    </row>
    <row r="464" spans="1:11" ht="13" x14ac:dyDescent="0.25">
      <c r="A464" s="287"/>
      <c r="B464" s="473"/>
      <c r="C464" s="480"/>
      <c r="D464" s="491"/>
      <c r="E464" s="491"/>
      <c r="F464" s="490"/>
      <c r="G464" s="488"/>
      <c r="H464" s="492"/>
      <c r="I464" s="492"/>
      <c r="J464" s="492"/>
      <c r="K464" s="462"/>
    </row>
    <row r="465" spans="1:11" ht="13" x14ac:dyDescent="0.25">
      <c r="A465" s="287"/>
      <c r="B465" s="473">
        <v>21</v>
      </c>
      <c r="C465" s="480" t="s">
        <v>1046</v>
      </c>
      <c r="D465" s="491"/>
      <c r="E465" s="491"/>
      <c r="F465" s="490"/>
      <c r="G465" s="488">
        <v>2980</v>
      </c>
      <c r="H465" s="492">
        <v>4</v>
      </c>
      <c r="I465" s="492">
        <v>5</v>
      </c>
      <c r="J465" s="492">
        <v>6</v>
      </c>
      <c r="K465" s="462">
        <v>300.10000000000002</v>
      </c>
    </row>
    <row r="466" spans="1:11" ht="13" x14ac:dyDescent="0.25">
      <c r="A466" s="287"/>
      <c r="B466" s="473">
        <v>21</v>
      </c>
      <c r="C466" s="480" t="s">
        <v>1046</v>
      </c>
      <c r="D466" s="491"/>
      <c r="E466" s="491"/>
      <c r="F466" s="490"/>
      <c r="G466" s="488">
        <v>2</v>
      </c>
      <c r="H466" s="492">
        <v>4</v>
      </c>
      <c r="I466" s="492">
        <v>5</v>
      </c>
      <c r="J466" s="492">
        <v>8</v>
      </c>
      <c r="K466" s="462">
        <v>300.10000000000002</v>
      </c>
    </row>
    <row r="467" spans="1:11" ht="13" x14ac:dyDescent="0.25">
      <c r="A467" s="287"/>
      <c r="B467" s="473">
        <v>21</v>
      </c>
      <c r="C467" s="480" t="s">
        <v>1046</v>
      </c>
      <c r="D467" s="491"/>
      <c r="E467" s="491"/>
      <c r="F467" s="490"/>
      <c r="G467" s="488">
        <v>212</v>
      </c>
      <c r="H467" s="492">
        <v>4</v>
      </c>
      <c r="I467" s="492">
        <v>5</v>
      </c>
      <c r="J467" s="492">
        <v>9</v>
      </c>
      <c r="K467" s="462">
        <v>300.10000000000002</v>
      </c>
    </row>
    <row r="468" spans="1:11" ht="13" x14ac:dyDescent="0.25">
      <c r="A468" s="287"/>
      <c r="B468" s="473">
        <v>21</v>
      </c>
      <c r="C468" s="480" t="s">
        <v>1046</v>
      </c>
      <c r="D468" s="491"/>
      <c r="E468" s="491"/>
      <c r="F468" s="490"/>
      <c r="G468" s="488">
        <v>652</v>
      </c>
      <c r="H468" s="492">
        <v>4</v>
      </c>
      <c r="I468" s="492">
        <v>5</v>
      </c>
      <c r="J468" s="492">
        <v>10</v>
      </c>
      <c r="K468" s="462">
        <v>300.10000000000002</v>
      </c>
    </row>
    <row r="469" spans="1:11" ht="13" x14ac:dyDescent="0.25">
      <c r="A469" s="287"/>
      <c r="B469" s="473">
        <v>21</v>
      </c>
      <c r="C469" s="480" t="s">
        <v>1046</v>
      </c>
      <c r="D469" s="491"/>
      <c r="E469" s="491"/>
      <c r="F469" s="490"/>
      <c r="G469" s="488">
        <v>20</v>
      </c>
      <c r="H469" s="492">
        <v>4</v>
      </c>
      <c r="I469" s="492">
        <v>5</v>
      </c>
      <c r="J469" s="492">
        <v>11</v>
      </c>
      <c r="K469" s="462">
        <v>300.10000000000002</v>
      </c>
    </row>
    <row r="470" spans="1:11" ht="13" x14ac:dyDescent="0.25">
      <c r="A470" s="287"/>
      <c r="B470" s="473">
        <v>21</v>
      </c>
      <c r="C470" s="480" t="s">
        <v>1046</v>
      </c>
      <c r="D470" s="491"/>
      <c r="E470" s="491"/>
      <c r="F470" s="490"/>
      <c r="G470" s="488">
        <v>1249</v>
      </c>
      <c r="H470" s="492">
        <v>4</v>
      </c>
      <c r="I470" s="492">
        <v>5</v>
      </c>
      <c r="J470" s="492">
        <v>12</v>
      </c>
      <c r="K470" s="462">
        <v>300.10000000000002</v>
      </c>
    </row>
    <row r="471" spans="1:11" ht="13" x14ac:dyDescent="0.25">
      <c r="A471" s="287"/>
      <c r="B471" s="473">
        <v>21</v>
      </c>
      <c r="C471" s="480" t="s">
        <v>1046</v>
      </c>
      <c r="D471" s="491"/>
      <c r="E471" s="491"/>
      <c r="F471" s="490"/>
      <c r="G471" s="488">
        <v>9</v>
      </c>
      <c r="H471" s="492">
        <v>4</v>
      </c>
      <c r="I471" s="492">
        <v>5</v>
      </c>
      <c r="J471" s="492">
        <v>13</v>
      </c>
      <c r="K471" s="462">
        <v>300.10000000000002</v>
      </c>
    </row>
    <row r="472" spans="1:11" ht="13" x14ac:dyDescent="0.25">
      <c r="A472" s="287"/>
      <c r="B472" s="473">
        <v>21</v>
      </c>
      <c r="C472" s="480" t="s">
        <v>1046</v>
      </c>
      <c r="D472" s="491"/>
      <c r="E472" s="491"/>
      <c r="F472" s="490"/>
      <c r="G472" s="488">
        <v>3244</v>
      </c>
      <c r="H472" s="492">
        <v>4</v>
      </c>
      <c r="I472" s="492">
        <v>5</v>
      </c>
      <c r="J472" s="492">
        <v>14</v>
      </c>
      <c r="K472" s="462">
        <v>300.10000000000002</v>
      </c>
    </row>
    <row r="473" spans="1:11" ht="13" x14ac:dyDescent="0.25">
      <c r="A473" s="287"/>
      <c r="B473" s="473">
        <v>21</v>
      </c>
      <c r="C473" s="480" t="s">
        <v>1046</v>
      </c>
      <c r="D473" s="491"/>
      <c r="E473" s="491"/>
      <c r="F473" s="490"/>
      <c r="G473" s="488">
        <v>2</v>
      </c>
      <c r="H473" s="492">
        <v>4</v>
      </c>
      <c r="I473" s="492">
        <v>5</v>
      </c>
      <c r="J473" s="492">
        <v>15</v>
      </c>
      <c r="K473" s="462">
        <v>300.10000000000002</v>
      </c>
    </row>
    <row r="474" spans="1:11" ht="13" x14ac:dyDescent="0.25">
      <c r="A474" s="287"/>
      <c r="B474" s="473">
        <v>21</v>
      </c>
      <c r="C474" s="480" t="s">
        <v>1046</v>
      </c>
      <c r="D474" s="491"/>
      <c r="E474" s="491"/>
      <c r="F474" s="490"/>
      <c r="G474" s="488">
        <v>7453</v>
      </c>
      <c r="H474" s="492">
        <v>4</v>
      </c>
      <c r="I474" s="492">
        <v>5</v>
      </c>
      <c r="J474" s="492">
        <v>16</v>
      </c>
      <c r="K474" s="462">
        <v>300.10000000000002</v>
      </c>
    </row>
    <row r="475" spans="1:11" ht="13" x14ac:dyDescent="0.25">
      <c r="A475" s="287"/>
      <c r="B475" s="473">
        <v>21</v>
      </c>
      <c r="C475" s="480" t="s">
        <v>1046</v>
      </c>
      <c r="D475" s="491"/>
      <c r="E475" s="491"/>
      <c r="F475" s="490"/>
      <c r="G475" s="488">
        <v>1</v>
      </c>
      <c r="H475" s="492">
        <v>4</v>
      </c>
      <c r="I475" s="492">
        <v>5</v>
      </c>
      <c r="J475" s="492">
        <v>17</v>
      </c>
      <c r="K475" s="462">
        <v>300.10000000000002</v>
      </c>
    </row>
    <row r="476" spans="1:11" ht="13" x14ac:dyDescent="0.25">
      <c r="A476" s="287"/>
      <c r="B476" s="473">
        <v>21</v>
      </c>
      <c r="C476" s="480" t="s">
        <v>1046</v>
      </c>
      <c r="D476" s="491"/>
      <c r="E476" s="491"/>
      <c r="F476" s="490"/>
      <c r="G476" s="488">
        <v>17</v>
      </c>
      <c r="H476" s="492">
        <v>4</v>
      </c>
      <c r="I476" s="492">
        <v>5</v>
      </c>
      <c r="J476" s="492">
        <v>18</v>
      </c>
      <c r="K476" s="462">
        <v>300.10000000000002</v>
      </c>
    </row>
    <row r="477" spans="1:11" ht="13" x14ac:dyDescent="0.25">
      <c r="A477" s="287"/>
      <c r="B477" s="473">
        <v>21</v>
      </c>
      <c r="C477" s="480" t="s">
        <v>1046</v>
      </c>
      <c r="D477" s="491"/>
      <c r="E477" s="491"/>
      <c r="F477" s="490"/>
      <c r="G477" s="488">
        <v>5</v>
      </c>
      <c r="H477" s="492">
        <v>4</v>
      </c>
      <c r="I477" s="492">
        <v>5</v>
      </c>
      <c r="J477" s="492">
        <v>19</v>
      </c>
      <c r="K477" s="462">
        <v>300.10000000000002</v>
      </c>
    </row>
    <row r="478" spans="1:11" ht="13" x14ac:dyDescent="0.25">
      <c r="A478" s="287"/>
      <c r="B478" s="473">
        <v>21</v>
      </c>
      <c r="C478" s="480" t="s">
        <v>1046</v>
      </c>
      <c r="D478" s="491"/>
      <c r="E478" s="491"/>
      <c r="F478" s="490"/>
      <c r="G478" s="488">
        <v>253</v>
      </c>
      <c r="H478" s="492">
        <v>4</v>
      </c>
      <c r="I478" s="492">
        <v>5</v>
      </c>
      <c r="J478" s="492">
        <v>20</v>
      </c>
      <c r="K478" s="462">
        <v>300.10000000000002</v>
      </c>
    </row>
    <row r="479" spans="1:11" ht="13" x14ac:dyDescent="0.25">
      <c r="A479" s="287"/>
      <c r="B479" s="473">
        <v>21</v>
      </c>
      <c r="C479" s="480" t="s">
        <v>1046</v>
      </c>
      <c r="D479" s="491"/>
      <c r="E479" s="491"/>
      <c r="F479" s="490"/>
      <c r="G479" s="488">
        <v>812</v>
      </c>
      <c r="H479" s="492">
        <v>4</v>
      </c>
      <c r="I479" s="492">
        <v>5</v>
      </c>
      <c r="J479" s="492">
        <v>21</v>
      </c>
      <c r="K479" s="462">
        <v>300.10000000000002</v>
      </c>
    </row>
    <row r="480" spans="1:11" ht="13" x14ac:dyDescent="0.25">
      <c r="A480" s="287"/>
      <c r="B480" s="473">
        <v>21</v>
      </c>
      <c r="C480" s="480" t="s">
        <v>1046</v>
      </c>
      <c r="D480" s="491"/>
      <c r="E480" s="491"/>
      <c r="F480" s="490"/>
      <c r="G480" s="488">
        <v>4446</v>
      </c>
      <c r="H480" s="492">
        <v>4</v>
      </c>
      <c r="I480" s="492">
        <v>5</v>
      </c>
      <c r="J480" s="492">
        <v>23</v>
      </c>
      <c r="K480" s="462">
        <v>300.10000000000002</v>
      </c>
    </row>
    <row r="481" spans="1:11" ht="13" x14ac:dyDescent="0.25">
      <c r="A481" s="287"/>
      <c r="B481" s="473">
        <v>21</v>
      </c>
      <c r="C481" s="480" t="s">
        <v>1046</v>
      </c>
      <c r="D481" s="491"/>
      <c r="E481" s="491"/>
      <c r="F481" s="490"/>
      <c r="G481" s="488">
        <v>32</v>
      </c>
      <c r="H481" s="492">
        <v>4</v>
      </c>
      <c r="I481" s="492">
        <v>5</v>
      </c>
      <c r="J481" s="492">
        <v>25</v>
      </c>
      <c r="K481" s="462">
        <v>300.10000000000002</v>
      </c>
    </row>
    <row r="482" spans="1:11" ht="13" x14ac:dyDescent="0.25">
      <c r="A482" s="287"/>
      <c r="B482" s="473">
        <v>21</v>
      </c>
      <c r="C482" s="480" t="s">
        <v>1046</v>
      </c>
      <c r="D482" s="491"/>
      <c r="E482" s="491"/>
      <c r="F482" s="490"/>
      <c r="G482" s="488">
        <v>799</v>
      </c>
      <c r="H482" s="492">
        <v>4</v>
      </c>
      <c r="I482" s="492">
        <v>5</v>
      </c>
      <c r="J482" s="492">
        <v>26</v>
      </c>
      <c r="K482" s="462">
        <v>300.10000000000002</v>
      </c>
    </row>
    <row r="483" spans="1:11" ht="13" x14ac:dyDescent="0.25">
      <c r="A483" s="287"/>
      <c r="B483" s="473">
        <v>21</v>
      </c>
      <c r="C483" s="480" t="s">
        <v>1046</v>
      </c>
      <c r="D483" s="491"/>
      <c r="E483" s="491"/>
      <c r="F483" s="490"/>
      <c r="G483" s="488">
        <v>726</v>
      </c>
      <c r="H483" s="492">
        <v>4</v>
      </c>
      <c r="I483" s="492">
        <v>5</v>
      </c>
      <c r="J483" s="492">
        <v>39</v>
      </c>
      <c r="K483" s="462">
        <v>300.10000000000002</v>
      </c>
    </row>
    <row r="484" spans="1:11" ht="13" x14ac:dyDescent="0.25">
      <c r="A484" s="287"/>
      <c r="B484" s="473">
        <v>21</v>
      </c>
      <c r="C484" s="480" t="s">
        <v>1046</v>
      </c>
      <c r="D484" s="491"/>
      <c r="E484" s="491"/>
      <c r="F484" s="490"/>
      <c r="G484" s="488">
        <v>6</v>
      </c>
      <c r="H484" s="492">
        <v>4</v>
      </c>
      <c r="I484" s="492">
        <v>5</v>
      </c>
      <c r="J484" s="492">
        <v>40</v>
      </c>
      <c r="K484" s="462">
        <v>300.10000000000002</v>
      </c>
    </row>
    <row r="485" spans="1:11" ht="13" x14ac:dyDescent="0.25">
      <c r="A485" s="287"/>
      <c r="B485" s="473">
        <v>21</v>
      </c>
      <c r="C485" s="480" t="s">
        <v>1046</v>
      </c>
      <c r="D485" s="491"/>
      <c r="E485" s="491"/>
      <c r="F485" s="490"/>
      <c r="G485" s="488">
        <v>20</v>
      </c>
      <c r="H485" s="492">
        <v>4</v>
      </c>
      <c r="I485" s="492">
        <v>5</v>
      </c>
      <c r="J485" s="492">
        <v>42</v>
      </c>
      <c r="K485" s="462">
        <v>300.10000000000002</v>
      </c>
    </row>
    <row r="486" spans="1:11" ht="13" x14ac:dyDescent="0.25">
      <c r="A486" s="287"/>
      <c r="B486" s="473">
        <v>21</v>
      </c>
      <c r="C486" s="480" t="s">
        <v>1046</v>
      </c>
      <c r="D486" s="491"/>
      <c r="E486" s="491"/>
      <c r="F486" s="490"/>
      <c r="G486" s="488">
        <v>11</v>
      </c>
      <c r="H486" s="492">
        <v>4</v>
      </c>
      <c r="I486" s="492">
        <v>5</v>
      </c>
      <c r="J486" s="492">
        <v>43</v>
      </c>
      <c r="K486" s="462">
        <v>300.10000000000002</v>
      </c>
    </row>
    <row r="487" spans="1:11" ht="13" x14ac:dyDescent="0.25">
      <c r="A487" s="287"/>
      <c r="B487" s="473">
        <v>21</v>
      </c>
      <c r="C487" s="480" t="s">
        <v>1046</v>
      </c>
      <c r="D487" s="491"/>
      <c r="E487" s="491"/>
      <c r="F487" s="490"/>
      <c r="G487" s="488">
        <v>8</v>
      </c>
      <c r="H487" s="492">
        <v>4</v>
      </c>
      <c r="I487" s="492">
        <v>5</v>
      </c>
      <c r="J487" s="492">
        <v>44</v>
      </c>
      <c r="K487" s="462">
        <v>300.10000000000002</v>
      </c>
    </row>
    <row r="488" spans="1:11" ht="13" x14ac:dyDescent="0.25">
      <c r="A488" s="287"/>
      <c r="B488" s="473">
        <v>21</v>
      </c>
      <c r="C488" s="480" t="s">
        <v>1046</v>
      </c>
      <c r="D488" s="491"/>
      <c r="E488" s="491"/>
      <c r="F488" s="490"/>
      <c r="G488" s="488">
        <v>14</v>
      </c>
      <c r="H488" s="492">
        <v>4</v>
      </c>
      <c r="I488" s="492">
        <v>5</v>
      </c>
      <c r="J488" s="492">
        <v>45</v>
      </c>
      <c r="K488" s="462">
        <v>300.10000000000002</v>
      </c>
    </row>
    <row r="489" spans="1:11" ht="13" x14ac:dyDescent="0.25">
      <c r="A489" s="287"/>
      <c r="B489" s="473">
        <v>21</v>
      </c>
      <c r="C489" s="480" t="s">
        <v>1046</v>
      </c>
      <c r="D489" s="491"/>
      <c r="E489" s="491"/>
      <c r="F489" s="490"/>
      <c r="G489" s="488">
        <v>104</v>
      </c>
      <c r="H489" s="492">
        <v>4</v>
      </c>
      <c r="I489" s="492">
        <v>5</v>
      </c>
      <c r="J489" s="492">
        <v>46</v>
      </c>
      <c r="K489" s="462">
        <v>300.10000000000002</v>
      </c>
    </row>
    <row r="490" spans="1:11" ht="13" x14ac:dyDescent="0.25">
      <c r="A490" s="287"/>
      <c r="B490" s="473">
        <v>21</v>
      </c>
      <c r="C490" s="480" t="s">
        <v>1046</v>
      </c>
      <c r="D490" s="491"/>
      <c r="E490" s="491"/>
      <c r="F490" s="490"/>
      <c r="G490" s="488">
        <v>237</v>
      </c>
      <c r="H490" s="492">
        <v>4</v>
      </c>
      <c r="I490" s="492">
        <v>5</v>
      </c>
      <c r="J490" s="492">
        <v>47</v>
      </c>
      <c r="K490" s="462">
        <v>300.10000000000002</v>
      </c>
    </row>
    <row r="491" spans="1:11" ht="13" x14ac:dyDescent="0.25">
      <c r="A491" s="287"/>
      <c r="B491" s="473">
        <v>21</v>
      </c>
      <c r="C491" s="480" t="s">
        <v>1046</v>
      </c>
      <c r="D491" s="491"/>
      <c r="E491" s="491"/>
      <c r="F491" s="490"/>
      <c r="G491" s="488">
        <v>139</v>
      </c>
      <c r="H491" s="492">
        <v>4</v>
      </c>
      <c r="I491" s="492">
        <v>5</v>
      </c>
      <c r="J491" s="492">
        <v>48</v>
      </c>
      <c r="K491" s="462">
        <v>300.10000000000002</v>
      </c>
    </row>
    <row r="492" spans="1:11" ht="13" x14ac:dyDescent="0.25">
      <c r="A492" s="287"/>
      <c r="B492" s="473">
        <v>21</v>
      </c>
      <c r="C492" s="480" t="s">
        <v>1046</v>
      </c>
      <c r="D492" s="491"/>
      <c r="E492" s="491"/>
      <c r="F492" s="490"/>
      <c r="G492" s="488">
        <v>1270</v>
      </c>
      <c r="H492" s="492">
        <v>4</v>
      </c>
      <c r="I492" s="492">
        <v>5</v>
      </c>
      <c r="J492" s="492">
        <v>49</v>
      </c>
      <c r="K492" s="462">
        <v>300.10000000000002</v>
      </c>
    </row>
    <row r="493" spans="1:11" ht="13" x14ac:dyDescent="0.25">
      <c r="A493" s="287"/>
      <c r="B493" s="473">
        <v>21</v>
      </c>
      <c r="C493" s="480" t="s">
        <v>1046</v>
      </c>
      <c r="D493" s="491"/>
      <c r="E493" s="491"/>
      <c r="F493" s="490"/>
      <c r="G493" s="488">
        <v>103</v>
      </c>
      <c r="H493" s="492">
        <v>4</v>
      </c>
      <c r="I493" s="492">
        <v>5</v>
      </c>
      <c r="J493" s="492">
        <v>50</v>
      </c>
      <c r="K493" s="462">
        <v>300.10000000000002</v>
      </c>
    </row>
    <row r="494" spans="1:11" ht="13" x14ac:dyDescent="0.25">
      <c r="A494" s="287"/>
      <c r="B494" s="473">
        <v>21</v>
      </c>
      <c r="C494" s="480" t="s">
        <v>1046</v>
      </c>
      <c r="D494" s="491"/>
      <c r="E494" s="491"/>
      <c r="F494" s="490"/>
      <c r="G494" s="488">
        <v>1316</v>
      </c>
      <c r="H494" s="492">
        <v>4</v>
      </c>
      <c r="I494" s="492">
        <v>5</v>
      </c>
      <c r="J494" s="492">
        <v>51</v>
      </c>
      <c r="K494" s="462">
        <v>300.10000000000002</v>
      </c>
    </row>
    <row r="495" spans="1:11" ht="13" x14ac:dyDescent="0.25">
      <c r="A495" s="287"/>
      <c r="B495" s="473">
        <v>21</v>
      </c>
      <c r="C495" s="480" t="s">
        <v>1046</v>
      </c>
      <c r="D495" s="491"/>
      <c r="E495" s="491"/>
      <c r="F495" s="490"/>
      <c r="G495" s="488">
        <v>5131</v>
      </c>
      <c r="H495" s="492">
        <v>4</v>
      </c>
      <c r="I495" s="492">
        <v>5</v>
      </c>
      <c r="J495" s="492">
        <v>52</v>
      </c>
      <c r="K495" s="462">
        <v>300.10000000000002</v>
      </c>
    </row>
    <row r="496" spans="1:11" ht="13" x14ac:dyDescent="0.25">
      <c r="A496" s="287"/>
      <c r="B496" s="473">
        <v>21</v>
      </c>
      <c r="C496" s="480" t="s">
        <v>1046</v>
      </c>
      <c r="D496" s="491"/>
      <c r="E496" s="491"/>
      <c r="F496" s="490"/>
      <c r="G496" s="488">
        <v>882</v>
      </c>
      <c r="H496" s="492">
        <v>4</v>
      </c>
      <c r="I496" s="492">
        <v>5</v>
      </c>
      <c r="J496" s="492">
        <v>53</v>
      </c>
      <c r="K496" s="462">
        <v>300.10000000000002</v>
      </c>
    </row>
    <row r="497" spans="1:11" ht="13" x14ac:dyDescent="0.25">
      <c r="A497" s="287"/>
      <c r="B497" s="473">
        <v>21</v>
      </c>
      <c r="C497" s="480" t="s">
        <v>1046</v>
      </c>
      <c r="D497" s="491"/>
      <c r="E497" s="491"/>
      <c r="F497" s="490"/>
      <c r="G497" s="488">
        <v>1</v>
      </c>
      <c r="H497" s="492">
        <v>4</v>
      </c>
      <c r="I497" s="492">
        <v>5</v>
      </c>
      <c r="J497" s="492">
        <v>82</v>
      </c>
      <c r="K497" s="462">
        <v>300.10000000000002</v>
      </c>
    </row>
    <row r="498" spans="1:11" ht="13" x14ac:dyDescent="0.25">
      <c r="A498" s="287"/>
      <c r="B498" s="473">
        <v>21</v>
      </c>
      <c r="C498" s="480" t="s">
        <v>1046</v>
      </c>
      <c r="D498" s="491"/>
      <c r="E498" s="491"/>
      <c r="F498" s="490"/>
      <c r="G498" s="488">
        <v>1</v>
      </c>
      <c r="H498" s="492">
        <v>4</v>
      </c>
      <c r="I498" s="492">
        <v>5</v>
      </c>
      <c r="J498" s="492">
        <v>83</v>
      </c>
      <c r="K498" s="462">
        <v>300.10000000000002</v>
      </c>
    </row>
    <row r="499" spans="1:11" ht="13" x14ac:dyDescent="0.25">
      <c r="A499" s="287"/>
      <c r="B499" s="473">
        <v>21</v>
      </c>
      <c r="C499" s="480" t="s">
        <v>1046</v>
      </c>
      <c r="D499" s="491"/>
      <c r="E499" s="491"/>
      <c r="F499" s="490"/>
      <c r="G499" s="488">
        <v>69</v>
      </c>
      <c r="H499" s="492">
        <v>4</v>
      </c>
      <c r="I499" s="492">
        <v>5</v>
      </c>
      <c r="J499" s="492">
        <v>91</v>
      </c>
      <c r="K499" s="462">
        <v>300.10000000000002</v>
      </c>
    </row>
    <row r="500" spans="1:11" ht="13" x14ac:dyDescent="0.25">
      <c r="A500" s="287"/>
      <c r="B500" s="473">
        <v>21</v>
      </c>
      <c r="C500" s="480" t="s">
        <v>1046</v>
      </c>
      <c r="D500" s="491"/>
      <c r="E500" s="491"/>
      <c r="F500" s="490"/>
      <c r="G500" s="488">
        <v>97</v>
      </c>
      <c r="H500" s="492">
        <v>4</v>
      </c>
      <c r="I500" s="492">
        <v>5</v>
      </c>
      <c r="J500" s="492">
        <v>92</v>
      </c>
      <c r="K500" s="462">
        <v>300.10000000000002</v>
      </c>
    </row>
    <row r="501" spans="1:11" ht="13" x14ac:dyDescent="0.25">
      <c r="A501" s="287"/>
      <c r="B501" s="473">
        <v>21</v>
      </c>
      <c r="C501" s="480" t="s">
        <v>1046</v>
      </c>
      <c r="D501" s="491"/>
      <c r="E501" s="491"/>
      <c r="F501" s="490"/>
      <c r="G501" s="488">
        <v>91</v>
      </c>
      <c r="H501" s="492">
        <v>4</v>
      </c>
      <c r="I501" s="492">
        <v>5</v>
      </c>
      <c r="J501" s="492">
        <v>93</v>
      </c>
      <c r="K501" s="462">
        <v>300.10000000000002</v>
      </c>
    </row>
    <row r="502" spans="1:11" ht="13" x14ac:dyDescent="0.25">
      <c r="A502" s="287"/>
      <c r="B502" s="473">
        <v>21</v>
      </c>
      <c r="C502" s="480" t="s">
        <v>1046</v>
      </c>
      <c r="D502" s="491"/>
      <c r="E502" s="491"/>
      <c r="F502" s="490"/>
      <c r="G502" s="488">
        <v>1</v>
      </c>
      <c r="H502" s="492">
        <v>4</v>
      </c>
      <c r="I502" s="492">
        <v>5</v>
      </c>
      <c r="J502" s="492">
        <v>94</v>
      </c>
      <c r="K502" s="462">
        <v>300.10000000000002</v>
      </c>
    </row>
    <row r="503" spans="1:11" ht="13" x14ac:dyDescent="0.25">
      <c r="A503" s="287"/>
      <c r="B503" s="473">
        <v>21</v>
      </c>
      <c r="C503" s="480" t="s">
        <v>1046</v>
      </c>
      <c r="D503" s="491"/>
      <c r="E503" s="491"/>
      <c r="F503" s="490"/>
      <c r="G503" s="488">
        <v>9</v>
      </c>
      <c r="H503" s="492">
        <v>4</v>
      </c>
      <c r="I503" s="492">
        <v>5</v>
      </c>
      <c r="J503" s="492">
        <v>98</v>
      </c>
      <c r="K503" s="462">
        <v>300.10000000000002</v>
      </c>
    </row>
    <row r="504" spans="1:11" ht="13" x14ac:dyDescent="0.25">
      <c r="A504" s="287"/>
      <c r="B504" s="473">
        <v>21</v>
      </c>
      <c r="C504" s="480" t="s">
        <v>1046</v>
      </c>
      <c r="D504" s="491"/>
      <c r="E504" s="491"/>
      <c r="F504" s="490"/>
      <c r="G504" s="488">
        <v>11</v>
      </c>
      <c r="H504" s="492">
        <v>4</v>
      </c>
      <c r="I504" s="492">
        <v>5</v>
      </c>
      <c r="J504" s="492">
        <v>99</v>
      </c>
      <c r="K504" s="462">
        <v>300.10000000000002</v>
      </c>
    </row>
    <row r="505" spans="1:11" ht="13" x14ac:dyDescent="0.25">
      <c r="A505" s="287"/>
      <c r="B505" s="473">
        <v>21</v>
      </c>
      <c r="C505" s="480" t="s">
        <v>1046</v>
      </c>
      <c r="D505" s="491"/>
      <c r="E505" s="491"/>
      <c r="F505" s="490"/>
      <c r="G505" s="488">
        <v>25</v>
      </c>
      <c r="H505" s="492">
        <v>4</v>
      </c>
      <c r="I505" s="492">
        <v>5</v>
      </c>
      <c r="J505" s="492">
        <v>100</v>
      </c>
      <c r="K505" s="462">
        <v>300.10000000000002</v>
      </c>
    </row>
    <row r="506" spans="1:11" ht="13" x14ac:dyDescent="0.25">
      <c r="A506" s="287"/>
      <c r="B506" s="473">
        <v>21</v>
      </c>
      <c r="C506" s="480" t="s">
        <v>1046</v>
      </c>
      <c r="D506" s="491"/>
      <c r="E506" s="491"/>
      <c r="F506" s="490"/>
      <c r="G506" s="488">
        <v>155</v>
      </c>
      <c r="H506" s="492">
        <v>4</v>
      </c>
      <c r="I506" s="492">
        <v>5</v>
      </c>
      <c r="J506" s="492">
        <v>103</v>
      </c>
      <c r="K506" s="462">
        <v>300.10000000000002</v>
      </c>
    </row>
    <row r="507" spans="1:11" ht="13" x14ac:dyDescent="0.25">
      <c r="A507" s="287"/>
      <c r="B507" s="473">
        <v>21</v>
      </c>
      <c r="C507" s="480" t="s">
        <v>1046</v>
      </c>
      <c r="D507" s="491"/>
      <c r="E507" s="491"/>
      <c r="F507" s="490"/>
      <c r="G507" s="488">
        <v>521</v>
      </c>
      <c r="H507" s="492">
        <v>4</v>
      </c>
      <c r="I507" s="492">
        <v>5</v>
      </c>
      <c r="J507" s="492">
        <v>104</v>
      </c>
      <c r="K507" s="462">
        <v>300.10000000000002</v>
      </c>
    </row>
    <row r="508" spans="1:11" ht="13" x14ac:dyDescent="0.25">
      <c r="A508" s="287"/>
      <c r="B508" s="473">
        <v>21</v>
      </c>
      <c r="C508" s="480" t="s">
        <v>1046</v>
      </c>
      <c r="D508" s="491"/>
      <c r="E508" s="491"/>
      <c r="F508" s="490"/>
      <c r="G508" s="488">
        <v>9896</v>
      </c>
      <c r="H508" s="492">
        <v>4</v>
      </c>
      <c r="I508" s="492">
        <v>5</v>
      </c>
      <c r="J508" s="492">
        <v>106</v>
      </c>
      <c r="K508" s="462">
        <v>300.10000000000002</v>
      </c>
    </row>
    <row r="509" spans="1:11" ht="13" x14ac:dyDescent="0.25">
      <c r="A509" s="287"/>
      <c r="B509" s="473">
        <v>21</v>
      </c>
      <c r="C509" s="480" t="s">
        <v>1046</v>
      </c>
      <c r="D509" s="491"/>
      <c r="E509" s="491"/>
      <c r="F509" s="490"/>
      <c r="G509" s="488">
        <v>2566</v>
      </c>
      <c r="H509" s="492">
        <v>4</v>
      </c>
      <c r="I509" s="492">
        <v>5</v>
      </c>
      <c r="J509" s="492">
        <v>107</v>
      </c>
      <c r="K509" s="462">
        <v>300.10000000000002</v>
      </c>
    </row>
    <row r="510" spans="1:11" ht="13" x14ac:dyDescent="0.25">
      <c r="A510" s="287"/>
      <c r="B510" s="473">
        <v>21</v>
      </c>
      <c r="C510" s="480" t="s">
        <v>1046</v>
      </c>
      <c r="D510" s="491"/>
      <c r="E510" s="491"/>
      <c r="F510" s="490"/>
      <c r="G510" s="488">
        <v>1569</v>
      </c>
      <c r="H510" s="492">
        <v>4</v>
      </c>
      <c r="I510" s="492">
        <v>5</v>
      </c>
      <c r="J510" s="492">
        <v>108</v>
      </c>
      <c r="K510" s="462">
        <v>300.10000000000002</v>
      </c>
    </row>
    <row r="511" spans="1:11" ht="13" x14ac:dyDescent="0.25">
      <c r="A511" s="287"/>
      <c r="B511" s="473">
        <v>21</v>
      </c>
      <c r="C511" s="480" t="s">
        <v>1046</v>
      </c>
      <c r="D511" s="491"/>
      <c r="E511" s="491"/>
      <c r="F511" s="490"/>
      <c r="G511" s="488">
        <v>1</v>
      </c>
      <c r="H511" s="492">
        <v>4</v>
      </c>
      <c r="I511" s="492">
        <v>5</v>
      </c>
      <c r="J511" s="492">
        <v>109</v>
      </c>
      <c r="K511" s="462">
        <v>300.10000000000002</v>
      </c>
    </row>
    <row r="512" spans="1:11" ht="13" x14ac:dyDescent="0.25">
      <c r="A512" s="287"/>
      <c r="B512" s="473">
        <v>21</v>
      </c>
      <c r="C512" s="480" t="s">
        <v>1046</v>
      </c>
      <c r="D512" s="491"/>
      <c r="E512" s="491"/>
      <c r="F512" s="490"/>
      <c r="G512" s="488">
        <v>-36</v>
      </c>
      <c r="H512" s="492">
        <v>4</v>
      </c>
      <c r="I512" s="492">
        <v>5</v>
      </c>
      <c r="J512" s="492">
        <v>111</v>
      </c>
      <c r="K512" s="462">
        <v>300.10000000000002</v>
      </c>
    </row>
    <row r="513" spans="1:11" ht="13" x14ac:dyDescent="0.25">
      <c r="A513" s="287"/>
      <c r="B513" s="473">
        <v>21</v>
      </c>
      <c r="C513" s="480" t="s">
        <v>1046</v>
      </c>
      <c r="D513" s="491"/>
      <c r="E513" s="491"/>
      <c r="F513" s="490"/>
      <c r="G513" s="488">
        <v>810</v>
      </c>
      <c r="H513" s="492">
        <v>4</v>
      </c>
      <c r="I513" s="492">
        <v>5</v>
      </c>
      <c r="J513" s="492">
        <v>112</v>
      </c>
      <c r="K513" s="462">
        <v>300.10000000000002</v>
      </c>
    </row>
    <row r="514" spans="1:11" ht="13" x14ac:dyDescent="0.25">
      <c r="A514" s="287"/>
      <c r="B514" s="473">
        <v>21</v>
      </c>
      <c r="C514" s="480" t="s">
        <v>1046</v>
      </c>
      <c r="D514" s="491"/>
      <c r="E514" s="491"/>
      <c r="F514" s="490"/>
      <c r="G514" s="488">
        <v>-1373</v>
      </c>
      <c r="H514" s="492">
        <v>4</v>
      </c>
      <c r="I514" s="492">
        <v>5</v>
      </c>
      <c r="J514" s="492">
        <v>114</v>
      </c>
      <c r="K514" s="462">
        <v>300.10000000000002</v>
      </c>
    </row>
    <row r="515" spans="1:11" ht="13" x14ac:dyDescent="0.25">
      <c r="A515" s="287"/>
      <c r="B515" s="473">
        <v>21</v>
      </c>
      <c r="C515" s="480" t="s">
        <v>1046</v>
      </c>
      <c r="D515" s="491"/>
      <c r="E515" s="491"/>
      <c r="F515" s="490"/>
      <c r="G515" s="488">
        <v>9101</v>
      </c>
      <c r="H515" s="492">
        <v>4</v>
      </c>
      <c r="I515" s="492">
        <v>5</v>
      </c>
      <c r="J515" s="492">
        <v>118</v>
      </c>
      <c r="K515" s="462">
        <v>300.10000000000002</v>
      </c>
    </row>
    <row r="516" spans="1:11" ht="13" x14ac:dyDescent="0.25">
      <c r="A516" s="287"/>
      <c r="B516" s="473">
        <v>21</v>
      </c>
      <c r="C516" s="480" t="s">
        <v>1046</v>
      </c>
      <c r="D516" s="491"/>
      <c r="E516" s="491"/>
      <c r="F516" s="490"/>
      <c r="G516" s="488">
        <v>32</v>
      </c>
      <c r="H516" s="492">
        <v>4</v>
      </c>
      <c r="I516" s="492">
        <v>5</v>
      </c>
      <c r="J516" s="492">
        <v>121</v>
      </c>
      <c r="K516" s="462">
        <v>300.10000000000002</v>
      </c>
    </row>
    <row r="517" spans="1:11" ht="13" x14ac:dyDescent="0.25">
      <c r="A517" s="287"/>
      <c r="B517" s="473">
        <v>21</v>
      </c>
      <c r="C517" s="480" t="s">
        <v>1046</v>
      </c>
      <c r="D517" s="491"/>
      <c r="E517" s="491"/>
      <c r="F517" s="490"/>
      <c r="G517" s="488">
        <v>187</v>
      </c>
      <c r="H517" s="492">
        <v>4</v>
      </c>
      <c r="I517" s="492">
        <v>5</v>
      </c>
      <c r="J517" s="492">
        <v>126</v>
      </c>
      <c r="K517" s="462">
        <v>300.10000000000002</v>
      </c>
    </row>
    <row r="518" spans="1:11" ht="13" x14ac:dyDescent="0.25">
      <c r="A518" s="287"/>
      <c r="B518" s="473">
        <v>21</v>
      </c>
      <c r="C518" s="480" t="s">
        <v>1046</v>
      </c>
      <c r="D518" s="491"/>
      <c r="E518" s="491"/>
      <c r="F518" s="490"/>
      <c r="G518" s="488">
        <v>266</v>
      </c>
      <c r="H518" s="492">
        <v>4</v>
      </c>
      <c r="I518" s="492">
        <v>5</v>
      </c>
      <c r="J518" s="492">
        <v>127</v>
      </c>
      <c r="K518" s="462">
        <v>300.10000000000002</v>
      </c>
    </row>
    <row r="519" spans="1:11" ht="13" x14ac:dyDescent="0.25">
      <c r="A519" s="287"/>
      <c r="B519" s="473">
        <v>21</v>
      </c>
      <c r="C519" s="480" t="s">
        <v>1046</v>
      </c>
      <c r="D519" s="491"/>
      <c r="E519" s="491"/>
      <c r="F519" s="490"/>
      <c r="G519" s="488">
        <v>5888</v>
      </c>
      <c r="H519" s="492">
        <v>4</v>
      </c>
      <c r="I519" s="492">
        <v>5</v>
      </c>
      <c r="J519" s="492">
        <v>128</v>
      </c>
      <c r="K519" s="462">
        <v>300.10000000000002</v>
      </c>
    </row>
    <row r="520" spans="1:11" ht="13" x14ac:dyDescent="0.25">
      <c r="A520" s="287"/>
      <c r="B520" s="473">
        <v>21</v>
      </c>
      <c r="C520" s="480" t="s">
        <v>1046</v>
      </c>
      <c r="D520" s="491"/>
      <c r="E520" s="491"/>
      <c r="F520" s="490"/>
      <c r="G520" s="488">
        <v>96</v>
      </c>
      <c r="H520" s="492">
        <v>4</v>
      </c>
      <c r="I520" s="492">
        <v>5</v>
      </c>
      <c r="J520" s="492">
        <v>129</v>
      </c>
      <c r="K520" s="462">
        <v>300.10000000000002</v>
      </c>
    </row>
    <row r="521" spans="1:11" ht="13" x14ac:dyDescent="0.25">
      <c r="A521" s="287"/>
      <c r="B521" s="473">
        <v>21</v>
      </c>
      <c r="C521" s="480" t="s">
        <v>1046</v>
      </c>
      <c r="D521" s="491"/>
      <c r="E521" s="491"/>
      <c r="F521" s="490"/>
      <c r="G521" s="488">
        <v>159</v>
      </c>
      <c r="H521" s="492">
        <v>4</v>
      </c>
      <c r="I521" s="492">
        <v>5</v>
      </c>
      <c r="J521" s="492">
        <v>131</v>
      </c>
      <c r="K521" s="462">
        <v>300.10000000000002</v>
      </c>
    </row>
    <row r="522" spans="1:11" ht="13" x14ac:dyDescent="0.25">
      <c r="A522" s="287"/>
      <c r="B522" s="473">
        <v>21</v>
      </c>
      <c r="C522" s="480" t="s">
        <v>1046</v>
      </c>
      <c r="D522" s="491"/>
      <c r="E522" s="491"/>
      <c r="F522" s="490"/>
      <c r="G522" s="488">
        <v>18749</v>
      </c>
      <c r="H522" s="492">
        <v>4</v>
      </c>
      <c r="I522" s="492">
        <v>5</v>
      </c>
      <c r="J522" s="492">
        <v>133</v>
      </c>
      <c r="K522" s="462">
        <v>300.10000000000002</v>
      </c>
    </row>
    <row r="523" spans="1:11" ht="13" x14ac:dyDescent="0.25">
      <c r="A523" s="287"/>
      <c r="B523" s="473">
        <v>21</v>
      </c>
      <c r="C523" s="480" t="s">
        <v>1046</v>
      </c>
      <c r="D523" s="491"/>
      <c r="E523" s="491"/>
      <c r="F523" s="490"/>
      <c r="G523" s="488">
        <v>264</v>
      </c>
      <c r="H523" s="492">
        <v>4</v>
      </c>
      <c r="I523" s="492">
        <v>5</v>
      </c>
      <c r="J523" s="492">
        <v>134</v>
      </c>
      <c r="K523" s="462">
        <v>300.10000000000002</v>
      </c>
    </row>
    <row r="524" spans="1:11" ht="13" x14ac:dyDescent="0.25">
      <c r="A524" s="287"/>
      <c r="B524" s="473">
        <v>21</v>
      </c>
      <c r="C524" s="480" t="s">
        <v>1046</v>
      </c>
      <c r="D524" s="491"/>
      <c r="E524" s="491"/>
      <c r="F524" s="490"/>
      <c r="G524" s="488">
        <v>30</v>
      </c>
      <c r="H524" s="492">
        <v>4</v>
      </c>
      <c r="I524" s="492">
        <v>5</v>
      </c>
      <c r="J524" s="492">
        <v>135</v>
      </c>
      <c r="K524" s="462">
        <v>300.10000000000002</v>
      </c>
    </row>
    <row r="525" spans="1:11" ht="13" x14ac:dyDescent="0.25">
      <c r="A525" s="287"/>
      <c r="B525" s="473">
        <v>21</v>
      </c>
      <c r="C525" s="480" t="s">
        <v>1046</v>
      </c>
      <c r="D525" s="491"/>
      <c r="E525" s="491"/>
      <c r="F525" s="490"/>
      <c r="G525" s="488">
        <v>6420</v>
      </c>
      <c r="H525" s="492">
        <v>4</v>
      </c>
      <c r="I525" s="492">
        <v>5</v>
      </c>
      <c r="J525" s="492">
        <v>139</v>
      </c>
      <c r="K525" s="462">
        <v>300.10000000000002</v>
      </c>
    </row>
    <row r="526" spans="1:11" ht="13" x14ac:dyDescent="0.25">
      <c r="A526" s="287"/>
      <c r="B526" s="473">
        <v>21</v>
      </c>
      <c r="C526" s="480" t="s">
        <v>1046</v>
      </c>
      <c r="D526" s="491"/>
      <c r="E526" s="491"/>
      <c r="F526" s="490"/>
      <c r="G526" s="488">
        <v>7</v>
      </c>
      <c r="H526" s="492">
        <v>4</v>
      </c>
      <c r="I526" s="492">
        <v>5</v>
      </c>
      <c r="J526" s="492">
        <v>141</v>
      </c>
      <c r="K526" s="462">
        <v>300.10000000000002</v>
      </c>
    </row>
    <row r="527" spans="1:11" ht="13" x14ac:dyDescent="0.25">
      <c r="A527" s="287"/>
      <c r="B527" s="473">
        <v>21</v>
      </c>
      <c r="C527" s="480" t="s">
        <v>1046</v>
      </c>
      <c r="D527" s="491"/>
      <c r="E527" s="491"/>
      <c r="F527" s="490"/>
      <c r="G527" s="488">
        <v>1499</v>
      </c>
      <c r="H527" s="492">
        <v>4</v>
      </c>
      <c r="I527" s="492">
        <v>5</v>
      </c>
      <c r="J527" s="492">
        <v>147</v>
      </c>
      <c r="K527" s="462">
        <v>300.10000000000002</v>
      </c>
    </row>
    <row r="528" spans="1:11" ht="13" x14ac:dyDescent="0.25">
      <c r="A528" s="287"/>
      <c r="B528" s="473">
        <v>21</v>
      </c>
      <c r="C528" s="480" t="s">
        <v>1046</v>
      </c>
      <c r="D528" s="491"/>
      <c r="E528" s="491"/>
      <c r="F528" s="490"/>
      <c r="G528" s="488">
        <v>4787</v>
      </c>
      <c r="H528" s="492">
        <v>4</v>
      </c>
      <c r="I528" s="492">
        <v>5</v>
      </c>
      <c r="J528" s="492">
        <v>149</v>
      </c>
      <c r="K528" s="462">
        <v>300.10000000000002</v>
      </c>
    </row>
    <row r="529" spans="1:11" ht="13" x14ac:dyDescent="0.25">
      <c r="A529" s="287"/>
      <c r="B529" s="473">
        <v>21</v>
      </c>
      <c r="C529" s="480" t="s">
        <v>1046</v>
      </c>
      <c r="D529" s="491"/>
      <c r="E529" s="491"/>
      <c r="F529" s="490"/>
      <c r="G529" s="488">
        <v>535</v>
      </c>
      <c r="H529" s="492">
        <v>4</v>
      </c>
      <c r="I529" s="492">
        <v>5</v>
      </c>
      <c r="J529" s="492">
        <v>151</v>
      </c>
      <c r="K529" s="462">
        <v>300.10000000000002</v>
      </c>
    </row>
    <row r="530" spans="1:11" ht="13" x14ac:dyDescent="0.25">
      <c r="A530" s="287"/>
      <c r="B530" s="473">
        <v>21</v>
      </c>
      <c r="C530" s="480" t="s">
        <v>1046</v>
      </c>
      <c r="D530" s="491"/>
      <c r="E530" s="491"/>
      <c r="F530" s="490"/>
      <c r="G530" s="488">
        <v>3</v>
      </c>
      <c r="H530" s="492">
        <v>4</v>
      </c>
      <c r="I530" s="492">
        <v>5</v>
      </c>
      <c r="J530" s="492">
        <v>152</v>
      </c>
      <c r="K530" s="462">
        <v>300.10000000000002</v>
      </c>
    </row>
    <row r="531" spans="1:11" ht="13" x14ac:dyDescent="0.25">
      <c r="A531" s="287"/>
      <c r="B531" s="473">
        <v>21</v>
      </c>
      <c r="C531" s="480" t="s">
        <v>1046</v>
      </c>
      <c r="D531" s="491"/>
      <c r="E531" s="491"/>
      <c r="F531" s="490"/>
      <c r="G531" s="488">
        <v>13</v>
      </c>
      <c r="H531" s="492">
        <v>4</v>
      </c>
      <c r="I531" s="492">
        <v>5</v>
      </c>
      <c r="J531" s="492">
        <v>154</v>
      </c>
      <c r="K531" s="462">
        <v>300.10000000000002</v>
      </c>
    </row>
    <row r="532" spans="1:11" ht="13" x14ac:dyDescent="0.25">
      <c r="A532" s="287"/>
      <c r="B532" s="473">
        <v>21</v>
      </c>
      <c r="C532" s="480" t="s">
        <v>1046</v>
      </c>
      <c r="D532" s="491"/>
      <c r="E532" s="491"/>
      <c r="F532" s="490"/>
      <c r="G532" s="488">
        <v>3</v>
      </c>
      <c r="H532" s="492">
        <v>4</v>
      </c>
      <c r="I532" s="492">
        <v>5</v>
      </c>
      <c r="J532" s="492">
        <v>156</v>
      </c>
      <c r="K532" s="462">
        <v>300.10000000000002</v>
      </c>
    </row>
    <row r="533" spans="1:11" ht="13" x14ac:dyDescent="0.25">
      <c r="A533" s="287"/>
      <c r="B533" s="473">
        <v>21</v>
      </c>
      <c r="C533" s="480" t="s">
        <v>1046</v>
      </c>
      <c r="D533" s="491"/>
      <c r="E533" s="491"/>
      <c r="F533" s="490"/>
      <c r="G533" s="488">
        <v>2536</v>
      </c>
      <c r="H533" s="492">
        <v>4</v>
      </c>
      <c r="I533" s="492">
        <v>5</v>
      </c>
      <c r="J533" s="492">
        <v>158</v>
      </c>
      <c r="K533" s="462">
        <v>300.10000000000002</v>
      </c>
    </row>
    <row r="534" spans="1:11" ht="13" x14ac:dyDescent="0.25">
      <c r="A534" s="287"/>
      <c r="B534" s="473">
        <v>21</v>
      </c>
      <c r="C534" s="480" t="s">
        <v>1046</v>
      </c>
      <c r="D534" s="491"/>
      <c r="E534" s="491"/>
      <c r="F534" s="490"/>
      <c r="G534" s="488">
        <v>1</v>
      </c>
      <c r="H534" s="492">
        <v>4</v>
      </c>
      <c r="I534" s="492">
        <v>5</v>
      </c>
      <c r="J534" s="492">
        <v>159</v>
      </c>
      <c r="K534" s="462">
        <v>300.10000000000002</v>
      </c>
    </row>
    <row r="535" spans="1:11" ht="13" x14ac:dyDescent="0.25">
      <c r="A535" s="287"/>
      <c r="B535" s="473">
        <v>21</v>
      </c>
      <c r="C535" s="480" t="s">
        <v>1046</v>
      </c>
      <c r="D535" s="491"/>
      <c r="E535" s="491"/>
      <c r="F535" s="490"/>
      <c r="G535" s="488">
        <v>3030</v>
      </c>
      <c r="H535" s="492">
        <v>4</v>
      </c>
      <c r="I535" s="492">
        <v>5</v>
      </c>
      <c r="J535" s="492">
        <v>162</v>
      </c>
      <c r="K535" s="462">
        <v>300.10000000000002</v>
      </c>
    </row>
    <row r="536" spans="1:11" ht="13" x14ac:dyDescent="0.25">
      <c r="A536" s="287"/>
      <c r="B536" s="473">
        <v>21</v>
      </c>
      <c r="C536" s="480" t="s">
        <v>1046</v>
      </c>
      <c r="D536" s="491"/>
      <c r="E536" s="491"/>
      <c r="F536" s="490"/>
      <c r="G536" s="488">
        <v>11582</v>
      </c>
      <c r="H536" s="492">
        <v>4</v>
      </c>
      <c r="I536" s="492">
        <v>5</v>
      </c>
      <c r="J536" s="492">
        <v>163</v>
      </c>
      <c r="K536" s="462">
        <v>300.10000000000002</v>
      </c>
    </row>
    <row r="537" spans="1:11" ht="13" x14ac:dyDescent="0.25">
      <c r="A537" s="287"/>
      <c r="B537" s="473">
        <v>21</v>
      </c>
      <c r="C537" s="480" t="s">
        <v>1046</v>
      </c>
      <c r="D537" s="491"/>
      <c r="E537" s="491"/>
      <c r="F537" s="490"/>
      <c r="G537" s="488">
        <v>2279</v>
      </c>
      <c r="H537" s="492">
        <v>4</v>
      </c>
      <c r="I537" s="492">
        <v>5</v>
      </c>
      <c r="J537" s="492">
        <v>164</v>
      </c>
      <c r="K537" s="462">
        <v>300.10000000000002</v>
      </c>
    </row>
    <row r="538" spans="1:11" ht="13" x14ac:dyDescent="0.25">
      <c r="A538" s="287"/>
      <c r="B538" s="473">
        <v>21</v>
      </c>
      <c r="C538" s="480" t="s">
        <v>1046</v>
      </c>
      <c r="D538" s="491"/>
      <c r="E538" s="491"/>
      <c r="F538" s="490"/>
      <c r="G538" s="488">
        <v>9162</v>
      </c>
      <c r="H538" s="492">
        <v>4</v>
      </c>
      <c r="I538" s="492">
        <v>5</v>
      </c>
      <c r="J538" s="492">
        <v>165</v>
      </c>
      <c r="K538" s="462">
        <v>300.10000000000002</v>
      </c>
    </row>
    <row r="539" spans="1:11" ht="13" x14ac:dyDescent="0.25">
      <c r="A539" s="287"/>
      <c r="B539" s="473">
        <v>21</v>
      </c>
      <c r="C539" s="480" t="s">
        <v>1046</v>
      </c>
      <c r="D539" s="491"/>
      <c r="E539" s="491"/>
      <c r="F539" s="490"/>
      <c r="G539" s="488">
        <v>-1847</v>
      </c>
      <c r="H539" s="492">
        <v>4</v>
      </c>
      <c r="I539" s="492">
        <v>5</v>
      </c>
      <c r="J539" s="492">
        <v>168</v>
      </c>
      <c r="K539" s="462">
        <v>300.10000000000002</v>
      </c>
    </row>
    <row r="540" spans="1:11" ht="13" x14ac:dyDescent="0.25">
      <c r="A540" s="287"/>
      <c r="B540" s="473">
        <v>21</v>
      </c>
      <c r="C540" s="480" t="s">
        <v>1046</v>
      </c>
      <c r="D540" s="491"/>
      <c r="E540" s="491"/>
      <c r="F540" s="490"/>
      <c r="G540" s="488">
        <v>281</v>
      </c>
      <c r="H540" s="492">
        <v>4</v>
      </c>
      <c r="I540" s="492">
        <v>5</v>
      </c>
      <c r="J540" s="492">
        <v>169</v>
      </c>
      <c r="K540" s="462">
        <v>300.10000000000002</v>
      </c>
    </row>
    <row r="541" spans="1:11" ht="13" x14ac:dyDescent="0.25">
      <c r="A541" s="287"/>
      <c r="B541" s="473">
        <v>21</v>
      </c>
      <c r="C541" s="480" t="s">
        <v>1046</v>
      </c>
      <c r="D541" s="491"/>
      <c r="E541" s="491"/>
      <c r="F541" s="490"/>
      <c r="G541" s="488">
        <v>54</v>
      </c>
      <c r="H541" s="492">
        <v>4</v>
      </c>
      <c r="I541" s="492">
        <v>5</v>
      </c>
      <c r="J541" s="492">
        <v>170</v>
      </c>
      <c r="K541" s="462">
        <v>300.10000000000002</v>
      </c>
    </row>
    <row r="542" spans="1:11" ht="13" x14ac:dyDescent="0.25">
      <c r="A542" s="287"/>
      <c r="B542" s="473">
        <v>21</v>
      </c>
      <c r="C542" s="480" t="s">
        <v>1046</v>
      </c>
      <c r="D542" s="491"/>
      <c r="E542" s="491"/>
      <c r="F542" s="490"/>
      <c r="G542" s="488">
        <v>10</v>
      </c>
      <c r="H542" s="492">
        <v>4</v>
      </c>
      <c r="I542" s="492">
        <v>5</v>
      </c>
      <c r="J542" s="492">
        <v>173</v>
      </c>
      <c r="K542" s="462">
        <v>300.10000000000002</v>
      </c>
    </row>
    <row r="543" spans="1:11" ht="13" x14ac:dyDescent="0.25">
      <c r="A543" s="287"/>
      <c r="B543" s="473">
        <v>21</v>
      </c>
      <c r="C543" s="480" t="s">
        <v>1046</v>
      </c>
      <c r="D543" s="491"/>
      <c r="E543" s="491"/>
      <c r="F543" s="490"/>
      <c r="G543" s="488">
        <v>18</v>
      </c>
      <c r="H543" s="492">
        <v>4</v>
      </c>
      <c r="I543" s="492">
        <v>5</v>
      </c>
      <c r="J543" s="492">
        <v>174</v>
      </c>
      <c r="K543" s="462">
        <v>300.10000000000002</v>
      </c>
    </row>
    <row r="544" spans="1:11" ht="13" x14ac:dyDescent="0.25">
      <c r="A544" s="287"/>
      <c r="B544" s="473">
        <v>21</v>
      </c>
      <c r="C544" s="480" t="s">
        <v>1046</v>
      </c>
      <c r="D544" s="491"/>
      <c r="E544" s="491"/>
      <c r="F544" s="490"/>
      <c r="G544" s="488">
        <v>1</v>
      </c>
      <c r="H544" s="492">
        <v>4</v>
      </c>
      <c r="I544" s="492">
        <v>5</v>
      </c>
      <c r="J544" s="492">
        <v>175</v>
      </c>
      <c r="K544" s="462">
        <v>300.10000000000002</v>
      </c>
    </row>
    <row r="545" spans="1:11" ht="13" x14ac:dyDescent="0.25">
      <c r="A545" s="287"/>
      <c r="B545" s="473">
        <v>21</v>
      </c>
      <c r="C545" s="480" t="s">
        <v>1046</v>
      </c>
      <c r="D545" s="491"/>
      <c r="E545" s="491"/>
      <c r="F545" s="490"/>
      <c r="G545" s="488">
        <v>7</v>
      </c>
      <c r="H545" s="492">
        <v>4</v>
      </c>
      <c r="I545" s="492">
        <v>5</v>
      </c>
      <c r="J545" s="492">
        <v>182</v>
      </c>
      <c r="K545" s="462">
        <v>300.10000000000002</v>
      </c>
    </row>
    <row r="546" spans="1:11" ht="13" x14ac:dyDescent="0.25">
      <c r="A546" s="287"/>
      <c r="B546" s="473">
        <v>21</v>
      </c>
      <c r="C546" s="480" t="s">
        <v>1046</v>
      </c>
      <c r="D546" s="491"/>
      <c r="E546" s="491"/>
      <c r="F546" s="490"/>
      <c r="G546" s="488">
        <v>10946</v>
      </c>
      <c r="H546" s="492">
        <v>4</v>
      </c>
      <c r="I546" s="492">
        <v>5</v>
      </c>
      <c r="J546" s="492">
        <v>183</v>
      </c>
      <c r="K546" s="462">
        <v>300.10000000000002</v>
      </c>
    </row>
    <row r="547" spans="1:11" ht="13" thickBot="1" x14ac:dyDescent="0.3">
      <c r="A547" s="287"/>
      <c r="B547" s="287"/>
      <c r="C547" s="287"/>
      <c r="D547" s="287"/>
      <c r="E547" s="287"/>
      <c r="F547" s="287"/>
      <c r="G547" s="403"/>
      <c r="H547" s="305"/>
      <c r="I547" s="305"/>
      <c r="J547" s="305"/>
      <c r="K547" s="287"/>
    </row>
    <row r="548" spans="1:11" ht="13.5" thickBot="1" x14ac:dyDescent="0.3">
      <c r="A548" s="287"/>
      <c r="B548" s="283" t="s">
        <v>925</v>
      </c>
      <c r="C548" s="284"/>
      <c r="D548" s="284"/>
      <c r="E548" s="284"/>
      <c r="F548" s="284"/>
      <c r="G548" s="284"/>
      <c r="H548" s="284"/>
      <c r="I548" s="284"/>
      <c r="J548" s="284"/>
      <c r="K548" s="285"/>
    </row>
    <row r="549" spans="1:11" x14ac:dyDescent="0.25">
      <c r="A549" s="287"/>
      <c r="B549" s="305"/>
      <c r="C549" s="306"/>
      <c r="D549" s="287"/>
      <c r="E549" s="287"/>
      <c r="F549" s="287"/>
      <c r="G549" s="287"/>
      <c r="H549" s="287"/>
      <c r="I549" s="287"/>
      <c r="J549" s="287"/>
      <c r="K549" s="287"/>
    </row>
    <row r="550" spans="1:11" ht="13" x14ac:dyDescent="0.25">
      <c r="A550" s="287"/>
      <c r="B550" s="288" t="s">
        <v>579</v>
      </c>
      <c r="C550" s="306"/>
      <c r="D550" s="287"/>
      <c r="E550" s="287"/>
      <c r="F550" s="287"/>
      <c r="G550" s="287"/>
      <c r="H550" s="287"/>
      <c r="I550" s="287"/>
      <c r="J550" s="287"/>
      <c r="K550" s="287"/>
    </row>
    <row r="551" spans="1:11" ht="13" x14ac:dyDescent="0.25">
      <c r="A551" s="287"/>
      <c r="B551" s="290" t="s">
        <v>580</v>
      </c>
      <c r="C551" s="291" t="s">
        <v>11</v>
      </c>
      <c r="D551" s="292"/>
      <c r="E551" s="290"/>
      <c r="F551" s="290"/>
      <c r="G551" s="290" t="s">
        <v>581</v>
      </c>
      <c r="H551" s="290" t="s">
        <v>582</v>
      </c>
      <c r="I551" s="290" t="s">
        <v>583</v>
      </c>
      <c r="J551" s="290" t="s">
        <v>584</v>
      </c>
      <c r="K551" s="290" t="s">
        <v>585</v>
      </c>
    </row>
    <row r="552" spans="1:11" x14ac:dyDescent="0.25">
      <c r="A552" s="287"/>
      <c r="B552" s="287"/>
      <c r="C552" s="287"/>
      <c r="D552" s="287"/>
      <c r="E552" s="287"/>
      <c r="F552" s="287"/>
      <c r="G552" s="403"/>
      <c r="H552" s="305"/>
      <c r="I552" s="305"/>
      <c r="J552" s="305"/>
      <c r="K552" s="287"/>
    </row>
    <row r="553" spans="1:11" x14ac:dyDescent="0.25">
      <c r="A553" s="287"/>
      <c r="B553" s="287"/>
      <c r="C553" s="287"/>
      <c r="D553" s="287"/>
      <c r="E553" s="287"/>
      <c r="F553" s="287"/>
      <c r="G553" s="403"/>
      <c r="H553" s="305"/>
      <c r="I553" s="305"/>
      <c r="J553" s="305"/>
      <c r="K553" s="287"/>
    </row>
    <row r="554" spans="1:11" x14ac:dyDescent="0.25">
      <c r="A554" s="287"/>
      <c r="B554" s="287"/>
      <c r="C554" s="287"/>
      <c r="D554" s="287"/>
      <c r="E554" s="287"/>
      <c r="F554" s="287"/>
      <c r="G554" s="403"/>
      <c r="H554" s="305"/>
      <c r="I554" s="305"/>
      <c r="J554" s="305"/>
      <c r="K554" s="287"/>
    </row>
    <row r="555" spans="1:11" x14ac:dyDescent="0.25">
      <c r="A555" s="287"/>
      <c r="B555" s="287"/>
      <c r="C555" s="287"/>
      <c r="D555" s="287"/>
      <c r="E555" s="287"/>
      <c r="F555" s="287"/>
      <c r="G555" s="403"/>
      <c r="H555" s="305"/>
      <c r="I555" s="305"/>
      <c r="J555" s="305"/>
      <c r="K555" s="287"/>
    </row>
    <row r="556" spans="1:11" x14ac:dyDescent="0.25">
      <c r="A556" s="287"/>
      <c r="B556" s="287"/>
      <c r="C556" s="287"/>
      <c r="D556" s="287"/>
      <c r="E556" s="287"/>
      <c r="F556" s="287"/>
      <c r="G556" s="403"/>
      <c r="H556" s="305"/>
      <c r="I556" s="305"/>
      <c r="J556" s="305"/>
      <c r="K556" s="287"/>
    </row>
    <row r="557" spans="1:11" x14ac:dyDescent="0.25">
      <c r="A557" s="287"/>
      <c r="B557" s="287"/>
      <c r="C557" s="287"/>
      <c r="D557" s="287"/>
      <c r="E557" s="287"/>
      <c r="F557" s="287"/>
      <c r="G557" s="403"/>
      <c r="H557" s="305"/>
      <c r="I557" s="305"/>
      <c r="J557" s="305"/>
      <c r="K557" s="287"/>
    </row>
    <row r="558" spans="1:11" x14ac:dyDescent="0.25">
      <c r="A558" s="287"/>
      <c r="B558" s="287"/>
      <c r="C558" s="287"/>
      <c r="D558" s="287"/>
      <c r="E558" s="287"/>
      <c r="F558" s="287"/>
      <c r="G558" s="403"/>
      <c r="H558" s="305"/>
      <c r="I558" s="305"/>
      <c r="J558" s="305"/>
      <c r="K558" s="287"/>
    </row>
    <row r="559" spans="1:11" x14ac:dyDescent="0.25">
      <c r="A559" s="287"/>
      <c r="B559" s="287"/>
      <c r="C559" s="287"/>
      <c r="D559" s="287"/>
      <c r="E559" s="287"/>
      <c r="F559" s="287"/>
      <c r="G559" s="403"/>
      <c r="H559" s="305"/>
      <c r="I559" s="305"/>
      <c r="J559" s="305"/>
      <c r="K559" s="287"/>
    </row>
    <row r="560" spans="1:11" x14ac:dyDescent="0.25">
      <c r="A560" s="287"/>
      <c r="B560" s="287"/>
      <c r="C560" s="287"/>
      <c r="D560" s="287"/>
      <c r="E560" s="287"/>
      <c r="F560" s="287"/>
      <c r="G560" s="403"/>
      <c r="H560" s="305"/>
      <c r="I560" s="305"/>
      <c r="J560" s="305"/>
      <c r="K560" s="287"/>
    </row>
    <row r="561" spans="1:11" x14ac:dyDescent="0.25">
      <c r="A561" s="287"/>
      <c r="B561" s="287"/>
      <c r="C561" s="287"/>
      <c r="D561" s="287"/>
      <c r="E561" s="287"/>
      <c r="F561" s="287"/>
      <c r="G561" s="403"/>
      <c r="H561" s="305"/>
      <c r="I561" s="305"/>
      <c r="J561" s="305"/>
      <c r="K561" s="287"/>
    </row>
    <row r="562" spans="1:11" x14ac:dyDescent="0.25">
      <c r="A562" s="287"/>
      <c r="B562" s="287"/>
      <c r="C562" s="287"/>
      <c r="D562" s="287"/>
      <c r="E562" s="287"/>
      <c r="F562" s="287"/>
      <c r="G562" s="403"/>
      <c r="H562" s="305"/>
      <c r="I562" s="305"/>
      <c r="J562" s="305"/>
      <c r="K562" s="287"/>
    </row>
    <row r="563" spans="1:11" x14ac:dyDescent="0.25">
      <c r="A563" s="287"/>
      <c r="B563" s="287"/>
      <c r="C563" s="287"/>
      <c r="D563" s="287"/>
      <c r="E563" s="287"/>
      <c r="F563" s="287"/>
      <c r="G563" s="403"/>
      <c r="H563" s="305"/>
      <c r="I563" s="305"/>
      <c r="J563" s="305"/>
      <c r="K563" s="287"/>
    </row>
    <row r="564" spans="1:11" x14ac:dyDescent="0.25">
      <c r="A564" s="287"/>
      <c r="B564" s="287"/>
      <c r="C564" s="287"/>
      <c r="D564" s="287"/>
      <c r="E564" s="287"/>
      <c r="F564" s="287"/>
      <c r="G564" s="403"/>
      <c r="H564" s="305"/>
      <c r="I564" s="305"/>
      <c r="J564" s="305"/>
      <c r="K564" s="287"/>
    </row>
    <row r="565" spans="1:11" x14ac:dyDescent="0.25">
      <c r="A565" s="287"/>
      <c r="B565" s="287"/>
      <c r="C565" s="287"/>
      <c r="D565" s="287"/>
      <c r="E565" s="287"/>
      <c r="F565" s="287"/>
      <c r="G565" s="403"/>
      <c r="H565" s="305"/>
      <c r="I565" s="305"/>
      <c r="J565" s="305"/>
      <c r="K565" s="287"/>
    </row>
    <row r="566" spans="1:11" x14ac:dyDescent="0.25">
      <c r="A566" s="287"/>
      <c r="B566" s="287"/>
      <c r="C566" s="287"/>
      <c r="D566" s="287"/>
      <c r="E566" s="287"/>
      <c r="F566" s="287"/>
      <c r="G566" s="403"/>
      <c r="H566" s="305"/>
      <c r="I566" s="305"/>
      <c r="J566" s="305"/>
      <c r="K566" s="287"/>
    </row>
    <row r="567" spans="1:11" x14ac:dyDescent="0.25">
      <c r="A567" s="287"/>
      <c r="B567" s="287"/>
      <c r="C567" s="287"/>
      <c r="D567" s="287"/>
      <c r="E567" s="287"/>
      <c r="F567" s="287"/>
      <c r="G567" s="403"/>
      <c r="H567" s="305"/>
      <c r="I567" s="305"/>
      <c r="J567" s="305"/>
      <c r="K567" s="287"/>
    </row>
    <row r="568" spans="1:11" x14ac:dyDescent="0.25">
      <c r="A568" s="287"/>
      <c r="B568" s="287"/>
      <c r="C568" s="287"/>
      <c r="D568" s="287"/>
      <c r="E568" s="287"/>
      <c r="F568" s="287"/>
      <c r="G568" s="403"/>
      <c r="H568" s="305"/>
      <c r="I568" s="305"/>
      <c r="J568" s="305"/>
      <c r="K568" s="287"/>
    </row>
    <row r="569" spans="1:11" x14ac:dyDescent="0.25">
      <c r="A569" s="287"/>
      <c r="B569" s="287"/>
      <c r="C569" s="287"/>
      <c r="D569" s="287"/>
      <c r="E569" s="287"/>
      <c r="F569" s="287"/>
      <c r="G569" s="403"/>
      <c r="H569" s="305"/>
      <c r="I569" s="305"/>
      <c r="J569" s="305"/>
      <c r="K569" s="287"/>
    </row>
    <row r="570" spans="1:11" x14ac:dyDescent="0.25">
      <c r="A570" s="287"/>
      <c r="B570" s="287"/>
      <c r="C570" s="287"/>
      <c r="D570" s="287"/>
      <c r="E570" s="287"/>
      <c r="F570" s="287"/>
      <c r="G570" s="403"/>
      <c r="H570" s="305"/>
      <c r="I570" s="305"/>
      <c r="J570" s="305"/>
      <c r="K570" s="287"/>
    </row>
    <row r="571" spans="1:11" x14ac:dyDescent="0.25">
      <c r="A571" s="287"/>
      <c r="B571" s="287"/>
      <c r="C571" s="287"/>
      <c r="D571" s="287"/>
      <c r="E571" s="287"/>
      <c r="F571" s="287"/>
      <c r="G571" s="403"/>
      <c r="H571" s="305"/>
      <c r="I571" s="305"/>
      <c r="J571" s="305"/>
      <c r="K571" s="287"/>
    </row>
    <row r="572" spans="1:11" x14ac:dyDescent="0.25">
      <c r="A572" s="287"/>
      <c r="B572" s="287"/>
      <c r="C572" s="287"/>
      <c r="D572" s="287"/>
      <c r="E572" s="287"/>
      <c r="F572" s="287"/>
      <c r="G572" s="403"/>
      <c r="H572" s="305"/>
      <c r="I572" s="305"/>
      <c r="J572" s="305"/>
      <c r="K572" s="287"/>
    </row>
    <row r="573" spans="1:11" x14ac:dyDescent="0.25">
      <c r="A573" s="287"/>
      <c r="B573" s="287"/>
      <c r="C573" s="287"/>
      <c r="D573" s="287"/>
      <c r="E573" s="287"/>
      <c r="F573" s="287"/>
      <c r="G573" s="403"/>
      <c r="H573" s="305"/>
      <c r="I573" s="305"/>
      <c r="J573" s="305"/>
      <c r="K573" s="287"/>
    </row>
    <row r="574" spans="1:11" x14ac:dyDescent="0.25">
      <c r="A574" s="287"/>
      <c r="B574" s="287"/>
      <c r="C574" s="287"/>
      <c r="D574" s="287"/>
      <c r="E574" s="287"/>
      <c r="F574" s="287"/>
      <c r="G574" s="403"/>
      <c r="H574" s="305"/>
      <c r="I574" s="305"/>
      <c r="J574" s="305"/>
      <c r="K574" s="287"/>
    </row>
    <row r="575" spans="1:11" x14ac:dyDescent="0.25">
      <c r="A575" s="287"/>
      <c r="B575" s="287"/>
      <c r="C575" s="287"/>
      <c r="D575" s="287"/>
      <c r="E575" s="287"/>
      <c r="F575" s="287"/>
      <c r="G575" s="403"/>
      <c r="H575" s="305"/>
      <c r="I575" s="305"/>
      <c r="J575" s="305"/>
      <c r="K575" s="287"/>
    </row>
    <row r="576" spans="1:11" x14ac:dyDescent="0.25">
      <c r="A576" s="287"/>
      <c r="B576" s="287"/>
      <c r="C576" s="287"/>
      <c r="D576" s="287"/>
      <c r="E576" s="287"/>
      <c r="F576" s="287"/>
      <c r="G576" s="403"/>
      <c r="H576" s="305"/>
      <c r="I576" s="305"/>
      <c r="J576" s="305"/>
      <c r="K576" s="287"/>
    </row>
    <row r="577" spans="1:11" x14ac:dyDescent="0.25">
      <c r="A577" s="287"/>
      <c r="B577" s="287"/>
      <c r="C577" s="287"/>
      <c r="D577" s="287"/>
      <c r="E577" s="287"/>
      <c r="F577" s="287"/>
      <c r="G577" s="403"/>
      <c r="H577" s="305"/>
      <c r="I577" s="305"/>
      <c r="J577" s="305"/>
      <c r="K577" s="287"/>
    </row>
    <row r="578" spans="1:11" x14ac:dyDescent="0.25">
      <c r="A578" s="287"/>
      <c r="B578" s="287"/>
      <c r="C578" s="287"/>
      <c r="D578" s="287"/>
      <c r="E578" s="287"/>
      <c r="F578" s="287"/>
      <c r="G578" s="403"/>
      <c r="H578" s="305"/>
      <c r="I578" s="305"/>
      <c r="J578" s="305"/>
      <c r="K578" s="287"/>
    </row>
    <row r="579" spans="1:11" x14ac:dyDescent="0.25">
      <c r="A579" s="287"/>
      <c r="B579" s="287"/>
      <c r="C579" s="287"/>
      <c r="D579" s="287"/>
      <c r="E579" s="287"/>
      <c r="F579" s="287"/>
      <c r="G579" s="403"/>
      <c r="H579" s="305"/>
      <c r="I579" s="305"/>
      <c r="J579" s="305"/>
      <c r="K579" s="287"/>
    </row>
    <row r="580" spans="1:11" x14ac:dyDescent="0.25">
      <c r="A580" s="287"/>
      <c r="B580" s="287"/>
      <c r="C580" s="287"/>
      <c r="D580" s="287"/>
      <c r="E580" s="287"/>
      <c r="F580" s="287"/>
      <c r="G580" s="403"/>
      <c r="H580" s="305"/>
      <c r="I580" s="305"/>
      <c r="J580" s="305"/>
      <c r="K580" s="287"/>
    </row>
    <row r="581" spans="1:11" x14ac:dyDescent="0.25">
      <c r="A581" s="287"/>
      <c r="B581" s="287"/>
      <c r="C581" s="287"/>
      <c r="D581" s="287"/>
      <c r="E581" s="287"/>
      <c r="F581" s="287"/>
      <c r="G581" s="403"/>
      <c r="H581" s="305"/>
      <c r="I581" s="305"/>
      <c r="J581" s="305"/>
      <c r="K581" s="287"/>
    </row>
    <row r="582" spans="1:11" x14ac:dyDescent="0.25">
      <c r="A582" s="287"/>
      <c r="B582" s="287"/>
      <c r="C582" s="287"/>
      <c r="D582" s="287"/>
      <c r="E582" s="287"/>
      <c r="F582" s="287"/>
      <c r="G582" s="403"/>
      <c r="H582" s="305"/>
      <c r="I582" s="305"/>
      <c r="J582" s="305"/>
      <c r="K582" s="287"/>
    </row>
    <row r="583" spans="1:11" x14ac:dyDescent="0.25">
      <c r="A583" s="287"/>
      <c r="B583" s="287"/>
      <c r="C583" s="287"/>
      <c r="D583" s="287"/>
      <c r="E583" s="287"/>
      <c r="F583" s="287"/>
      <c r="G583" s="403"/>
      <c r="H583" s="305"/>
      <c r="I583" s="305"/>
      <c r="J583" s="305"/>
      <c r="K583" s="287"/>
    </row>
    <row r="584" spans="1:11" x14ac:dyDescent="0.25">
      <c r="A584" s="287"/>
      <c r="B584" s="287"/>
      <c r="C584" s="287"/>
      <c r="D584" s="287"/>
      <c r="E584" s="287"/>
      <c r="F584" s="287"/>
      <c r="G584" s="403"/>
      <c r="H584" s="305"/>
      <c r="I584" s="305"/>
      <c r="J584" s="305"/>
      <c r="K584" s="287"/>
    </row>
    <row r="585" spans="1:11" x14ac:dyDescent="0.25">
      <c r="A585" s="287"/>
      <c r="B585" s="287"/>
      <c r="C585" s="287"/>
      <c r="D585" s="287"/>
      <c r="E585" s="287"/>
      <c r="F585" s="287"/>
      <c r="G585" s="403"/>
      <c r="H585" s="305"/>
      <c r="I585" s="305"/>
      <c r="J585" s="305"/>
      <c r="K585" s="287"/>
    </row>
    <row r="586" spans="1:11" x14ac:dyDescent="0.25">
      <c r="A586" s="287"/>
      <c r="B586" s="287"/>
      <c r="C586" s="287"/>
      <c r="D586" s="287"/>
      <c r="E586" s="287"/>
      <c r="F586" s="287"/>
      <c r="G586" s="403"/>
      <c r="H586" s="305"/>
      <c r="I586" s="305"/>
      <c r="J586" s="305"/>
      <c r="K586" s="287"/>
    </row>
    <row r="587" spans="1:11" x14ac:dyDescent="0.25">
      <c r="A587" s="287"/>
      <c r="B587" s="287"/>
      <c r="C587" s="287"/>
      <c r="D587" s="287"/>
      <c r="E587" s="287"/>
      <c r="F587" s="287"/>
      <c r="G587" s="403"/>
      <c r="H587" s="305"/>
      <c r="I587" s="305"/>
      <c r="J587" s="305"/>
      <c r="K587" s="287"/>
    </row>
    <row r="588" spans="1:11" x14ac:dyDescent="0.25">
      <c r="A588" s="287"/>
      <c r="B588" s="287"/>
      <c r="C588" s="287"/>
      <c r="D588" s="287"/>
      <c r="E588" s="287"/>
      <c r="F588" s="287"/>
      <c r="G588" s="403"/>
      <c r="H588" s="305"/>
      <c r="I588" s="305"/>
      <c r="J588" s="305"/>
      <c r="K588" s="287"/>
    </row>
    <row r="589" spans="1:11" x14ac:dyDescent="0.25">
      <c r="A589" s="287"/>
      <c r="B589" s="287"/>
      <c r="C589" s="287"/>
      <c r="D589" s="287"/>
      <c r="E589" s="287"/>
      <c r="F589" s="287"/>
      <c r="G589" s="403"/>
      <c r="H589" s="305"/>
      <c r="I589" s="305"/>
      <c r="J589" s="305"/>
      <c r="K589" s="287"/>
    </row>
    <row r="590" spans="1:11" x14ac:dyDescent="0.25">
      <c r="A590" s="287"/>
      <c r="B590" s="287"/>
      <c r="C590" s="287"/>
      <c r="D590" s="287"/>
      <c r="E590" s="287"/>
      <c r="F590" s="287"/>
      <c r="G590" s="403"/>
      <c r="H590" s="305"/>
      <c r="I590" s="305"/>
      <c r="J590" s="305"/>
      <c r="K590" s="287"/>
    </row>
    <row r="591" spans="1:11" x14ac:dyDescent="0.25">
      <c r="A591" s="287"/>
      <c r="B591" s="287"/>
      <c r="C591" s="287"/>
      <c r="D591" s="287"/>
      <c r="E591" s="287"/>
      <c r="F591" s="287"/>
      <c r="G591" s="403"/>
      <c r="H591" s="305"/>
      <c r="I591" s="305"/>
      <c r="J591" s="305"/>
      <c r="K591" s="287"/>
    </row>
    <row r="592" spans="1:11" x14ac:dyDescent="0.25">
      <c r="A592" s="287"/>
      <c r="B592" s="287"/>
      <c r="C592" s="287"/>
      <c r="D592" s="287"/>
      <c r="E592" s="287"/>
      <c r="F592" s="287"/>
      <c r="G592" s="403"/>
      <c r="H592" s="305"/>
      <c r="I592" s="305"/>
      <c r="J592" s="305"/>
      <c r="K592" s="287"/>
    </row>
    <row r="593" spans="1:11" x14ac:dyDescent="0.25">
      <c r="A593" s="287"/>
      <c r="B593" s="287"/>
      <c r="C593" s="287"/>
      <c r="D593" s="287"/>
      <c r="E593" s="287"/>
      <c r="F593" s="287"/>
      <c r="G593" s="403"/>
      <c r="H593" s="305"/>
      <c r="I593" s="305"/>
      <c r="J593" s="305"/>
      <c r="K593" s="287"/>
    </row>
    <row r="594" spans="1:11" x14ac:dyDescent="0.25">
      <c r="A594" s="287"/>
      <c r="B594" s="287"/>
      <c r="C594" s="287"/>
      <c r="D594" s="287"/>
      <c r="E594" s="287"/>
      <c r="F594" s="287"/>
      <c r="G594" s="403"/>
      <c r="H594" s="305"/>
      <c r="I594" s="305"/>
      <c r="J594" s="305"/>
      <c r="K594" s="287"/>
    </row>
    <row r="595" spans="1:11" x14ac:dyDescent="0.25">
      <c r="A595" s="287"/>
      <c r="B595" s="287"/>
      <c r="C595" s="287"/>
      <c r="D595" s="287"/>
      <c r="E595" s="287"/>
      <c r="F595" s="287"/>
      <c r="G595" s="403"/>
      <c r="H595" s="305"/>
      <c r="I595" s="305"/>
      <c r="J595" s="305"/>
      <c r="K595" s="287"/>
    </row>
    <row r="596" spans="1:11" x14ac:dyDescent="0.25">
      <c r="A596" s="287"/>
      <c r="B596" s="287"/>
      <c r="C596" s="287"/>
      <c r="D596" s="287"/>
      <c r="E596" s="287"/>
      <c r="F596" s="287"/>
      <c r="G596" s="403"/>
      <c r="H596" s="305"/>
      <c r="I596" s="305"/>
      <c r="J596" s="305"/>
      <c r="K596" s="287"/>
    </row>
    <row r="597" spans="1:11" x14ac:dyDescent="0.25">
      <c r="A597" s="287"/>
      <c r="B597" s="287"/>
      <c r="C597" s="287"/>
      <c r="D597" s="287"/>
      <c r="E597" s="287"/>
      <c r="F597" s="287"/>
      <c r="G597" s="403"/>
      <c r="H597" s="305"/>
      <c r="I597" s="305"/>
      <c r="J597" s="305"/>
      <c r="K597" s="287"/>
    </row>
    <row r="598" spans="1:11" x14ac:dyDescent="0.25">
      <c r="A598" s="287"/>
      <c r="B598" s="287"/>
      <c r="C598" s="287"/>
      <c r="D598" s="287"/>
      <c r="E598" s="287"/>
      <c r="F598" s="287"/>
      <c r="G598" s="403"/>
      <c r="H598" s="305"/>
      <c r="I598" s="305"/>
      <c r="J598" s="305"/>
      <c r="K598" s="287"/>
    </row>
    <row r="599" spans="1:11" x14ac:dyDescent="0.25">
      <c r="A599" s="287"/>
      <c r="B599" s="287"/>
      <c r="C599" s="287"/>
      <c r="D599" s="287"/>
      <c r="E599" s="287"/>
      <c r="F599" s="287"/>
      <c r="G599" s="403"/>
      <c r="H599" s="305"/>
      <c r="I599" s="305"/>
      <c r="J599" s="305"/>
      <c r="K599" s="287"/>
    </row>
    <row r="600" spans="1:11" x14ac:dyDescent="0.25">
      <c r="A600" s="287"/>
      <c r="B600" s="287"/>
      <c r="C600" s="287"/>
      <c r="D600" s="287"/>
      <c r="E600" s="287"/>
      <c r="F600" s="287"/>
      <c r="G600" s="403"/>
      <c r="H600" s="305"/>
      <c r="I600" s="305"/>
      <c r="J600" s="305"/>
      <c r="K600" s="287"/>
    </row>
    <row r="601" spans="1:11" x14ac:dyDescent="0.25">
      <c r="A601" s="287"/>
      <c r="B601" s="287"/>
      <c r="C601" s="287"/>
      <c r="D601" s="287"/>
      <c r="E601" s="287"/>
      <c r="F601" s="287"/>
      <c r="G601" s="403"/>
      <c r="H601" s="305"/>
      <c r="I601" s="305"/>
      <c r="J601" s="305"/>
      <c r="K601" s="287"/>
    </row>
    <row r="602" spans="1:11" x14ac:dyDescent="0.25">
      <c r="A602" s="287"/>
      <c r="B602" s="287"/>
      <c r="C602" s="287"/>
      <c r="D602" s="287"/>
      <c r="E602" s="287"/>
      <c r="F602" s="287"/>
      <c r="G602" s="403"/>
      <c r="H602" s="305"/>
      <c r="I602" s="305"/>
      <c r="J602" s="305"/>
      <c r="K602" s="287"/>
    </row>
    <row r="603" spans="1:11" x14ac:dyDescent="0.25">
      <c r="A603" s="287"/>
      <c r="B603" s="287"/>
      <c r="C603" s="287"/>
      <c r="D603" s="287"/>
      <c r="E603" s="287"/>
      <c r="F603" s="287"/>
      <c r="G603" s="403"/>
      <c r="H603" s="305"/>
      <c r="I603" s="305"/>
      <c r="J603" s="305"/>
      <c r="K603" s="287"/>
    </row>
    <row r="604" spans="1:11" x14ac:dyDescent="0.25">
      <c r="A604" s="287"/>
      <c r="B604" s="287"/>
      <c r="C604" s="287"/>
      <c r="D604" s="287"/>
      <c r="E604" s="287"/>
      <c r="F604" s="287"/>
      <c r="G604" s="403"/>
      <c r="H604" s="305"/>
      <c r="I604" s="305"/>
      <c r="J604" s="305"/>
      <c r="K604" s="287"/>
    </row>
    <row r="605" spans="1:11" x14ac:dyDescent="0.25">
      <c r="A605" s="287"/>
      <c r="B605" s="287"/>
      <c r="C605" s="287"/>
      <c r="D605" s="287"/>
      <c r="E605" s="287"/>
      <c r="F605" s="287"/>
      <c r="G605" s="403"/>
      <c r="H605" s="305"/>
      <c r="I605" s="305"/>
      <c r="J605" s="305"/>
      <c r="K605" s="287"/>
    </row>
    <row r="606" spans="1:11" x14ac:dyDescent="0.25">
      <c r="A606" s="287"/>
      <c r="B606" s="287"/>
      <c r="C606" s="287"/>
      <c r="D606" s="287"/>
      <c r="E606" s="287"/>
      <c r="F606" s="287"/>
      <c r="G606" s="403"/>
      <c r="H606" s="305"/>
      <c r="I606" s="305"/>
      <c r="J606" s="305"/>
      <c r="K606" s="287"/>
    </row>
    <row r="607" spans="1:11" x14ac:dyDescent="0.25">
      <c r="A607" s="287"/>
      <c r="B607" s="287"/>
      <c r="C607" s="287"/>
      <c r="D607" s="287"/>
      <c r="E607" s="287"/>
      <c r="F607" s="287"/>
      <c r="G607" s="403"/>
      <c r="H607" s="305"/>
      <c r="I607" s="305"/>
      <c r="J607" s="305"/>
      <c r="K607" s="287"/>
    </row>
    <row r="608" spans="1:11" x14ac:dyDescent="0.25">
      <c r="A608" s="287"/>
      <c r="B608" s="287"/>
      <c r="C608" s="287"/>
      <c r="D608" s="287"/>
      <c r="E608" s="287"/>
      <c r="F608" s="287"/>
      <c r="G608" s="403"/>
      <c r="H608" s="305"/>
      <c r="I608" s="305"/>
      <c r="J608" s="305"/>
      <c r="K608" s="287"/>
    </row>
    <row r="609" spans="1:11" x14ac:dyDescent="0.25">
      <c r="A609" s="287"/>
      <c r="B609" s="287"/>
      <c r="C609" s="287"/>
      <c r="D609" s="287"/>
      <c r="E609" s="287"/>
      <c r="F609" s="287"/>
      <c r="G609" s="403"/>
      <c r="H609" s="305"/>
      <c r="I609" s="305"/>
      <c r="J609" s="305"/>
      <c r="K609" s="287"/>
    </row>
    <row r="610" spans="1:11" x14ac:dyDescent="0.25">
      <c r="A610" s="287"/>
      <c r="B610" s="287"/>
      <c r="C610" s="287"/>
      <c r="D610" s="287"/>
      <c r="E610" s="287"/>
      <c r="F610" s="287"/>
      <c r="G610" s="403"/>
      <c r="H610" s="305"/>
      <c r="I610" s="305"/>
      <c r="J610" s="305"/>
      <c r="K610" s="287"/>
    </row>
    <row r="611" spans="1:11" x14ac:dyDescent="0.25">
      <c r="A611" s="287"/>
      <c r="B611" s="287"/>
      <c r="C611" s="287"/>
      <c r="D611" s="287"/>
      <c r="E611" s="287"/>
      <c r="F611" s="287"/>
      <c r="G611" s="403"/>
      <c r="H611" s="305"/>
      <c r="I611" s="305"/>
      <c r="J611" s="305"/>
      <c r="K611" s="287"/>
    </row>
    <row r="612" spans="1:11" x14ac:dyDescent="0.25">
      <c r="A612" s="287"/>
      <c r="B612" s="287"/>
      <c r="C612" s="287"/>
      <c r="D612" s="287"/>
      <c r="E612" s="287"/>
      <c r="F612" s="287"/>
      <c r="G612" s="403"/>
      <c r="H612" s="305"/>
      <c r="I612" s="305"/>
      <c r="J612" s="305"/>
      <c r="K612" s="287"/>
    </row>
    <row r="613" spans="1:11" x14ac:dyDescent="0.25">
      <c r="A613" s="287"/>
      <c r="B613" s="287"/>
      <c r="C613" s="287"/>
      <c r="D613" s="287"/>
      <c r="E613" s="287"/>
      <c r="F613" s="287"/>
      <c r="G613" s="403"/>
      <c r="H613" s="305"/>
      <c r="I613" s="305"/>
      <c r="J613" s="305"/>
      <c r="K613" s="287"/>
    </row>
    <row r="614" spans="1:11" x14ac:dyDescent="0.25">
      <c r="A614" s="287"/>
      <c r="B614" s="287"/>
      <c r="C614" s="287"/>
      <c r="D614" s="287"/>
      <c r="E614" s="287"/>
      <c r="F614" s="287"/>
      <c r="G614" s="403"/>
      <c r="H614" s="305"/>
      <c r="I614" s="305"/>
      <c r="J614" s="305"/>
      <c r="K614" s="287"/>
    </row>
    <row r="615" spans="1:11" x14ac:dyDescent="0.25">
      <c r="A615" s="287"/>
      <c r="B615" s="287"/>
      <c r="C615" s="287"/>
      <c r="D615" s="287"/>
      <c r="E615" s="287"/>
      <c r="F615" s="287"/>
      <c r="G615" s="403"/>
      <c r="H615" s="305"/>
      <c r="I615" s="305"/>
      <c r="J615" s="305"/>
      <c r="K615" s="287"/>
    </row>
    <row r="616" spans="1:11" x14ac:dyDescent="0.25">
      <c r="A616" s="287"/>
      <c r="B616" s="287"/>
      <c r="C616" s="287"/>
      <c r="D616" s="287"/>
      <c r="E616" s="287"/>
      <c r="F616" s="287"/>
      <c r="G616" s="403"/>
      <c r="H616" s="305"/>
      <c r="I616" s="305"/>
      <c r="J616" s="305"/>
      <c r="K616" s="287"/>
    </row>
    <row r="617" spans="1:11" x14ac:dyDescent="0.25">
      <c r="A617" s="287"/>
      <c r="B617" s="287"/>
      <c r="C617" s="287"/>
      <c r="D617" s="287"/>
      <c r="E617" s="287"/>
      <c r="F617" s="287"/>
      <c r="G617" s="403"/>
      <c r="H617" s="305"/>
      <c r="I617" s="305"/>
      <c r="J617" s="305"/>
      <c r="K617" s="287"/>
    </row>
    <row r="618" spans="1:11" x14ac:dyDescent="0.25">
      <c r="A618" s="287"/>
      <c r="B618" s="287"/>
      <c r="C618" s="287"/>
      <c r="D618" s="287"/>
      <c r="E618" s="287"/>
      <c r="F618" s="287"/>
      <c r="G618" s="403"/>
      <c r="H618" s="305"/>
      <c r="I618" s="305"/>
      <c r="J618" s="305"/>
      <c r="K618" s="287"/>
    </row>
    <row r="619" spans="1:11" x14ac:dyDescent="0.25">
      <c r="A619" s="287"/>
      <c r="B619" s="287"/>
      <c r="C619" s="287"/>
      <c r="D619" s="287"/>
      <c r="E619" s="287"/>
      <c r="F619" s="287"/>
      <c r="G619" s="403"/>
      <c r="H619" s="305"/>
      <c r="I619" s="305"/>
      <c r="J619" s="305"/>
      <c r="K619" s="287"/>
    </row>
    <row r="620" spans="1:11" x14ac:dyDescent="0.25">
      <c r="A620" s="287"/>
      <c r="B620" s="287"/>
      <c r="C620" s="287"/>
      <c r="D620" s="287"/>
      <c r="E620" s="287"/>
      <c r="F620" s="287"/>
      <c r="G620" s="403"/>
      <c r="H620" s="305"/>
      <c r="I620" s="305"/>
      <c r="J620" s="305"/>
      <c r="K620" s="287"/>
    </row>
    <row r="621" spans="1:11" x14ac:dyDescent="0.25">
      <c r="A621" s="287"/>
      <c r="B621" s="287"/>
      <c r="C621" s="287"/>
      <c r="D621" s="287"/>
      <c r="E621" s="287"/>
      <c r="F621" s="287"/>
      <c r="G621" s="403"/>
      <c r="H621" s="305"/>
      <c r="I621" s="305"/>
      <c r="J621" s="305"/>
      <c r="K621" s="287"/>
    </row>
    <row r="622" spans="1:11" x14ac:dyDescent="0.25">
      <c r="A622" s="287"/>
      <c r="B622" s="287"/>
      <c r="C622" s="287"/>
      <c r="D622" s="287"/>
      <c r="E622" s="287"/>
      <c r="F622" s="287"/>
      <c r="G622" s="403"/>
      <c r="H622" s="305"/>
      <c r="I622" s="305"/>
      <c r="J622" s="305"/>
      <c r="K622" s="287"/>
    </row>
    <row r="623" spans="1:11" x14ac:dyDescent="0.25">
      <c r="A623" s="287"/>
      <c r="B623" s="287"/>
      <c r="C623" s="287"/>
      <c r="D623" s="287"/>
      <c r="E623" s="287"/>
      <c r="F623" s="287"/>
      <c r="G623" s="403"/>
      <c r="H623" s="305"/>
      <c r="I623" s="305"/>
      <c r="J623" s="305"/>
      <c r="K623" s="287"/>
    </row>
    <row r="624" spans="1:11" x14ac:dyDescent="0.25">
      <c r="A624" s="287"/>
      <c r="B624" s="287"/>
      <c r="C624" s="287"/>
      <c r="D624" s="287"/>
      <c r="E624" s="287"/>
      <c r="F624" s="287"/>
      <c r="G624" s="403"/>
      <c r="H624" s="305"/>
      <c r="I624" s="305"/>
      <c r="J624" s="305"/>
      <c r="K624" s="287"/>
    </row>
    <row r="625" spans="1:11" x14ac:dyDescent="0.25">
      <c r="A625" s="287"/>
      <c r="B625" s="287"/>
      <c r="C625" s="287"/>
      <c r="D625" s="287"/>
      <c r="E625" s="287"/>
      <c r="F625" s="287"/>
      <c r="G625" s="403"/>
      <c r="H625" s="305"/>
      <c r="I625" s="305"/>
      <c r="J625" s="305"/>
      <c r="K625" s="287"/>
    </row>
    <row r="626" spans="1:11" x14ac:dyDescent="0.25">
      <c r="A626" s="287"/>
      <c r="B626" s="287"/>
      <c r="C626" s="287"/>
      <c r="D626" s="287"/>
      <c r="E626" s="287"/>
      <c r="F626" s="287"/>
      <c r="G626" s="403"/>
      <c r="H626" s="305"/>
      <c r="I626" s="305"/>
      <c r="J626" s="305"/>
      <c r="K626" s="287"/>
    </row>
    <row r="627" spans="1:11" x14ac:dyDescent="0.25">
      <c r="A627" s="287"/>
      <c r="B627" s="287"/>
      <c r="C627" s="287"/>
      <c r="D627" s="287"/>
      <c r="E627" s="287"/>
      <c r="F627" s="287"/>
      <c r="G627" s="403"/>
      <c r="H627" s="305"/>
      <c r="I627" s="305"/>
      <c r="J627" s="305"/>
      <c r="K627" s="287"/>
    </row>
    <row r="628" spans="1:11" x14ac:dyDescent="0.25">
      <c r="A628" s="287"/>
      <c r="B628" s="287"/>
      <c r="C628" s="287"/>
      <c r="D628" s="287"/>
      <c r="E628" s="287"/>
      <c r="F628" s="287"/>
      <c r="G628" s="403"/>
      <c r="H628" s="305"/>
      <c r="I628" s="305"/>
      <c r="J628" s="305"/>
      <c r="K628" s="287"/>
    </row>
    <row r="629" spans="1:11" x14ac:dyDescent="0.25">
      <c r="A629" s="287"/>
      <c r="B629" s="287"/>
      <c r="C629" s="287"/>
      <c r="D629" s="287"/>
      <c r="E629" s="287"/>
      <c r="F629" s="287"/>
      <c r="G629" s="403"/>
      <c r="H629" s="305"/>
      <c r="I629" s="305"/>
      <c r="J629" s="305"/>
      <c r="K629" s="287"/>
    </row>
    <row r="630" spans="1:11" x14ac:dyDescent="0.25">
      <c r="A630" s="287"/>
      <c r="B630" s="287"/>
      <c r="C630" s="287"/>
      <c r="D630" s="287"/>
      <c r="E630" s="287"/>
      <c r="F630" s="287"/>
      <c r="G630" s="403"/>
      <c r="H630" s="305"/>
      <c r="I630" s="305"/>
      <c r="J630" s="305"/>
      <c r="K630" s="287"/>
    </row>
    <row r="631" spans="1:11" x14ac:dyDescent="0.25">
      <c r="A631" s="287"/>
      <c r="B631" s="287"/>
      <c r="C631" s="287"/>
      <c r="D631" s="287"/>
      <c r="E631" s="287"/>
      <c r="F631" s="287"/>
      <c r="G631" s="403"/>
      <c r="H631" s="305"/>
      <c r="I631" s="305"/>
      <c r="J631" s="305"/>
      <c r="K631" s="287"/>
    </row>
    <row r="632" spans="1:11" x14ac:dyDescent="0.25">
      <c r="A632" s="287"/>
      <c r="B632" s="287"/>
      <c r="C632" s="287"/>
      <c r="D632" s="287"/>
      <c r="E632" s="287"/>
      <c r="F632" s="287"/>
      <c r="G632" s="403"/>
      <c r="H632" s="305"/>
      <c r="I632" s="305"/>
      <c r="J632" s="305"/>
      <c r="K632" s="287"/>
    </row>
    <row r="633" spans="1:11" x14ac:dyDescent="0.25">
      <c r="A633" s="287"/>
      <c r="B633" s="287"/>
      <c r="C633" s="287"/>
      <c r="D633" s="287"/>
      <c r="E633" s="287"/>
      <c r="F633" s="287"/>
      <c r="G633" s="403"/>
      <c r="H633" s="305"/>
      <c r="I633" s="305"/>
      <c r="J633" s="305"/>
      <c r="K633" s="287"/>
    </row>
    <row r="634" spans="1:11" x14ac:dyDescent="0.25">
      <c r="A634" s="287"/>
      <c r="B634" s="287"/>
      <c r="C634" s="287"/>
      <c r="D634" s="287"/>
      <c r="E634" s="287"/>
      <c r="F634" s="287"/>
      <c r="G634" s="403"/>
      <c r="H634" s="305"/>
      <c r="I634" s="305"/>
      <c r="J634" s="305"/>
      <c r="K634" s="287"/>
    </row>
    <row r="635" spans="1:11" x14ac:dyDescent="0.25">
      <c r="A635" s="287"/>
      <c r="B635" s="287"/>
      <c r="C635" s="287"/>
      <c r="D635" s="287"/>
      <c r="E635" s="287"/>
      <c r="F635" s="287"/>
      <c r="G635" s="403"/>
      <c r="H635" s="305"/>
      <c r="I635" s="305"/>
      <c r="J635" s="305"/>
      <c r="K635" s="287"/>
    </row>
    <row r="636" spans="1:11" x14ac:dyDescent="0.25">
      <c r="A636" s="287"/>
      <c r="B636" s="287"/>
      <c r="C636" s="287"/>
      <c r="D636" s="287"/>
      <c r="E636" s="287"/>
      <c r="F636" s="287"/>
      <c r="G636" s="403"/>
      <c r="H636" s="305"/>
      <c r="I636" s="305"/>
      <c r="J636" s="305"/>
      <c r="K636" s="287"/>
    </row>
    <row r="637" spans="1:11" x14ac:dyDescent="0.25">
      <c r="A637" s="287"/>
      <c r="B637" s="287"/>
      <c r="C637" s="287"/>
      <c r="D637" s="287"/>
      <c r="E637" s="287"/>
      <c r="F637" s="287"/>
      <c r="G637" s="403"/>
      <c r="H637" s="305"/>
      <c r="I637" s="305"/>
      <c r="J637" s="305"/>
      <c r="K637" s="287"/>
    </row>
    <row r="638" spans="1:11" x14ac:dyDescent="0.25">
      <c r="A638" s="287"/>
      <c r="B638" s="287"/>
      <c r="C638" s="287"/>
      <c r="D638" s="287"/>
      <c r="E638" s="287"/>
      <c r="F638" s="287"/>
      <c r="G638" s="403"/>
      <c r="H638" s="305"/>
      <c r="I638" s="305"/>
      <c r="J638" s="305"/>
      <c r="K638" s="287"/>
    </row>
    <row r="639" spans="1:11" x14ac:dyDescent="0.25">
      <c r="A639" s="287"/>
      <c r="B639" s="287"/>
      <c r="C639" s="287"/>
      <c r="D639" s="287"/>
      <c r="E639" s="287"/>
      <c r="F639" s="287"/>
      <c r="G639" s="403"/>
      <c r="H639" s="305"/>
      <c r="I639" s="305"/>
      <c r="J639" s="305"/>
      <c r="K639" s="287"/>
    </row>
    <row r="640" spans="1:11" x14ac:dyDescent="0.25">
      <c r="A640" s="287"/>
      <c r="B640" s="287"/>
      <c r="C640" s="287"/>
      <c r="D640" s="287"/>
      <c r="E640" s="287"/>
      <c r="F640" s="287"/>
      <c r="G640" s="403"/>
      <c r="H640" s="305"/>
      <c r="I640" s="305"/>
      <c r="J640" s="305"/>
      <c r="K640" s="287"/>
    </row>
    <row r="641" spans="1:11" x14ac:dyDescent="0.25">
      <c r="A641" s="287"/>
      <c r="B641" s="287"/>
      <c r="C641" s="287"/>
      <c r="D641" s="287"/>
      <c r="E641" s="287"/>
      <c r="F641" s="287"/>
      <c r="G641" s="403"/>
      <c r="H641" s="305"/>
      <c r="I641" s="305"/>
      <c r="J641" s="305"/>
      <c r="K641" s="287"/>
    </row>
    <row r="642" spans="1:11" x14ac:dyDescent="0.25">
      <c r="A642" s="287"/>
      <c r="B642" s="287"/>
      <c r="C642" s="287"/>
      <c r="D642" s="287"/>
      <c r="E642" s="287"/>
      <c r="F642" s="287"/>
      <c r="G642" s="403"/>
      <c r="H642" s="305"/>
      <c r="I642" s="305"/>
      <c r="J642" s="305"/>
      <c r="K642" s="287"/>
    </row>
    <row r="643" spans="1:11" x14ac:dyDescent="0.25">
      <c r="A643" s="287"/>
      <c r="B643" s="287"/>
      <c r="C643" s="287"/>
      <c r="D643" s="287"/>
      <c r="E643" s="287"/>
      <c r="F643" s="287"/>
      <c r="G643" s="403"/>
      <c r="H643" s="305"/>
      <c r="I643" s="305"/>
      <c r="J643" s="305"/>
      <c r="K643" s="287"/>
    </row>
    <row r="644" spans="1:11" x14ac:dyDescent="0.25">
      <c r="A644" s="287"/>
      <c r="B644" s="287"/>
      <c r="C644" s="287"/>
      <c r="D644" s="287"/>
      <c r="E644" s="287"/>
      <c r="F644" s="287"/>
      <c r="G644" s="403"/>
      <c r="H644" s="305"/>
      <c r="I644" s="305"/>
      <c r="J644" s="305"/>
      <c r="K644" s="287"/>
    </row>
    <row r="645" spans="1:11" x14ac:dyDescent="0.25">
      <c r="A645" s="287"/>
      <c r="B645" s="287"/>
      <c r="C645" s="287"/>
      <c r="D645" s="287"/>
      <c r="E645" s="287"/>
      <c r="F645" s="287"/>
      <c r="G645" s="403"/>
      <c r="H645" s="305"/>
      <c r="I645" s="305"/>
      <c r="J645" s="305"/>
      <c r="K645" s="287"/>
    </row>
    <row r="646" spans="1:11" x14ac:dyDescent="0.25">
      <c r="A646" s="287"/>
      <c r="B646" s="287"/>
      <c r="C646" s="287"/>
      <c r="D646" s="287"/>
      <c r="E646" s="287"/>
      <c r="F646" s="287"/>
      <c r="G646" s="403"/>
      <c r="H646" s="305"/>
      <c r="I646" s="305"/>
      <c r="J646" s="305"/>
      <c r="K646" s="287"/>
    </row>
    <row r="647" spans="1:11" x14ac:dyDescent="0.25">
      <c r="A647" s="287"/>
      <c r="B647" s="287"/>
      <c r="C647" s="287"/>
      <c r="D647" s="287"/>
      <c r="E647" s="287"/>
      <c r="F647" s="287"/>
      <c r="G647" s="403"/>
      <c r="H647" s="305"/>
      <c r="I647" s="305"/>
      <c r="J647" s="305"/>
      <c r="K647" s="287"/>
    </row>
    <row r="648" spans="1:11" x14ac:dyDescent="0.25">
      <c r="A648" s="287"/>
      <c r="B648" s="287"/>
      <c r="C648" s="287"/>
      <c r="D648" s="287"/>
      <c r="E648" s="287"/>
      <c r="F648" s="287"/>
      <c r="G648" s="403"/>
      <c r="H648" s="305"/>
      <c r="I648" s="305"/>
      <c r="J648" s="305"/>
      <c r="K648" s="287"/>
    </row>
    <row r="649" spans="1:11" x14ac:dyDescent="0.25">
      <c r="A649" s="287"/>
      <c r="B649" s="287"/>
      <c r="C649" s="287"/>
      <c r="D649" s="287"/>
      <c r="E649" s="287"/>
      <c r="F649" s="287"/>
      <c r="G649" s="403"/>
      <c r="H649" s="305"/>
      <c r="I649" s="305"/>
      <c r="J649" s="305"/>
      <c r="K649" s="287"/>
    </row>
    <row r="650" spans="1:11" x14ac:dyDescent="0.25">
      <c r="A650" s="287"/>
      <c r="B650" s="287"/>
      <c r="C650" s="287"/>
      <c r="D650" s="287"/>
      <c r="E650" s="287"/>
      <c r="F650" s="287"/>
      <c r="G650" s="403"/>
      <c r="H650" s="305"/>
      <c r="I650" s="305"/>
      <c r="J650" s="305"/>
      <c r="K650" s="287"/>
    </row>
    <row r="651" spans="1:11" x14ac:dyDescent="0.25">
      <c r="A651" s="287"/>
      <c r="B651" s="287"/>
      <c r="C651" s="287"/>
      <c r="D651" s="287"/>
      <c r="E651" s="287"/>
      <c r="F651" s="287"/>
      <c r="G651" s="403"/>
      <c r="H651" s="305"/>
      <c r="I651" s="305"/>
      <c r="J651" s="305"/>
      <c r="K651" s="287"/>
    </row>
    <row r="652" spans="1:11" x14ac:dyDescent="0.25">
      <c r="A652" s="287"/>
      <c r="B652" s="287"/>
      <c r="C652" s="287"/>
      <c r="D652" s="287"/>
      <c r="E652" s="287"/>
      <c r="F652" s="287"/>
      <c r="G652" s="403"/>
      <c r="H652" s="305"/>
      <c r="I652" s="305"/>
      <c r="J652" s="305"/>
      <c r="K652" s="287"/>
    </row>
    <row r="653" spans="1:11" x14ac:dyDescent="0.25">
      <c r="A653" s="287"/>
      <c r="B653" s="287"/>
      <c r="C653" s="287"/>
      <c r="D653" s="287"/>
      <c r="E653" s="287"/>
      <c r="F653" s="287"/>
      <c r="G653" s="403"/>
      <c r="H653" s="305"/>
      <c r="I653" s="305"/>
      <c r="J653" s="305"/>
      <c r="K653" s="287"/>
    </row>
    <row r="654" spans="1:11" x14ac:dyDescent="0.25">
      <c r="A654" s="287"/>
      <c r="B654" s="287"/>
      <c r="C654" s="287"/>
      <c r="D654" s="287"/>
      <c r="E654" s="287"/>
      <c r="F654" s="287"/>
      <c r="G654" s="403"/>
      <c r="H654" s="305"/>
      <c r="I654" s="305"/>
      <c r="J654" s="305"/>
      <c r="K654" s="287"/>
    </row>
    <row r="655" spans="1:11" x14ac:dyDescent="0.25">
      <c r="A655" s="287"/>
      <c r="B655" s="287"/>
      <c r="C655" s="287"/>
      <c r="D655" s="287"/>
      <c r="E655" s="287"/>
      <c r="F655" s="287"/>
      <c r="G655" s="403"/>
      <c r="H655" s="305"/>
      <c r="I655" s="305"/>
      <c r="J655" s="305"/>
      <c r="K655" s="287"/>
    </row>
    <row r="656" spans="1:11" x14ac:dyDescent="0.25">
      <c r="A656" s="287"/>
      <c r="B656" s="287"/>
      <c r="C656" s="287"/>
      <c r="D656" s="287"/>
      <c r="E656" s="287"/>
      <c r="F656" s="287"/>
      <c r="G656" s="403"/>
      <c r="H656" s="305"/>
      <c r="I656" s="305"/>
      <c r="J656" s="305"/>
      <c r="K656" s="287"/>
    </row>
    <row r="657" spans="1:11" x14ac:dyDescent="0.25">
      <c r="A657" s="287"/>
      <c r="B657" s="287"/>
      <c r="C657" s="287"/>
      <c r="D657" s="287"/>
      <c r="E657" s="287"/>
      <c r="F657" s="287"/>
      <c r="G657" s="403"/>
      <c r="H657" s="305"/>
      <c r="I657" s="305"/>
      <c r="J657" s="305"/>
      <c r="K657" s="287"/>
    </row>
    <row r="658" spans="1:11" x14ac:dyDescent="0.25">
      <c r="A658" s="287"/>
      <c r="B658" s="287"/>
      <c r="C658" s="287"/>
      <c r="D658" s="287"/>
      <c r="E658" s="287"/>
      <c r="F658" s="287"/>
      <c r="G658" s="403"/>
      <c r="H658" s="305"/>
      <c r="I658" s="305"/>
      <c r="J658" s="305"/>
      <c r="K658" s="287"/>
    </row>
    <row r="659" spans="1:11" x14ac:dyDescent="0.25">
      <c r="A659" s="287"/>
      <c r="B659" s="287"/>
      <c r="C659" s="287"/>
      <c r="D659" s="287"/>
      <c r="E659" s="287"/>
      <c r="F659" s="287"/>
      <c r="G659" s="403"/>
      <c r="H659" s="305"/>
      <c r="I659" s="305"/>
      <c r="J659" s="305"/>
      <c r="K659" s="287"/>
    </row>
    <row r="660" spans="1:11" x14ac:dyDescent="0.25">
      <c r="A660" s="287"/>
      <c r="B660" s="287"/>
      <c r="C660" s="287"/>
      <c r="D660" s="287"/>
      <c r="E660" s="287"/>
      <c r="F660" s="287"/>
      <c r="G660" s="403"/>
      <c r="H660" s="305"/>
      <c r="I660" s="305"/>
      <c r="J660" s="305"/>
      <c r="K660" s="287"/>
    </row>
    <row r="661" spans="1:11" x14ac:dyDescent="0.25">
      <c r="A661" s="287"/>
      <c r="B661" s="287"/>
      <c r="C661" s="287"/>
      <c r="D661" s="287"/>
      <c r="E661" s="287"/>
      <c r="F661" s="287"/>
      <c r="G661" s="403"/>
      <c r="H661" s="305"/>
      <c r="I661" s="305"/>
      <c r="J661" s="305"/>
      <c r="K661" s="287"/>
    </row>
    <row r="662" spans="1:11" x14ac:dyDescent="0.25">
      <c r="A662" s="287"/>
      <c r="B662" s="287"/>
      <c r="C662" s="287"/>
      <c r="D662" s="287"/>
      <c r="E662" s="287"/>
      <c r="F662" s="287"/>
      <c r="G662" s="403"/>
      <c r="H662" s="305"/>
      <c r="I662" s="305"/>
      <c r="J662" s="305"/>
      <c r="K662" s="287"/>
    </row>
    <row r="663" spans="1:11" x14ac:dyDescent="0.25">
      <c r="A663" s="287"/>
      <c r="B663" s="287"/>
      <c r="C663" s="287"/>
      <c r="D663" s="287"/>
      <c r="E663" s="287"/>
      <c r="F663" s="287"/>
      <c r="G663" s="403"/>
      <c r="H663" s="305"/>
      <c r="I663" s="305"/>
      <c r="J663" s="305"/>
      <c r="K663" s="287"/>
    </row>
    <row r="664" spans="1:11" x14ac:dyDescent="0.25">
      <c r="A664" s="287"/>
      <c r="B664" s="287"/>
      <c r="C664" s="287"/>
      <c r="D664" s="287"/>
      <c r="E664" s="287"/>
      <c r="F664" s="287"/>
      <c r="G664" s="403"/>
      <c r="H664" s="305"/>
      <c r="I664" s="305"/>
      <c r="J664" s="305"/>
      <c r="K664" s="287"/>
    </row>
    <row r="665" spans="1:11" x14ac:dyDescent="0.25">
      <c r="A665" s="287"/>
      <c r="B665" s="287"/>
      <c r="C665" s="287"/>
      <c r="D665" s="287"/>
      <c r="E665" s="287"/>
      <c r="F665" s="287"/>
      <c r="G665" s="403"/>
      <c r="H665" s="305"/>
      <c r="I665" s="305"/>
      <c r="J665" s="305"/>
      <c r="K665" s="287"/>
    </row>
    <row r="666" spans="1:11" x14ac:dyDescent="0.25">
      <c r="A666" s="287"/>
      <c r="B666" s="287"/>
      <c r="C666" s="287"/>
      <c r="D666" s="287"/>
      <c r="E666" s="287"/>
      <c r="F666" s="287"/>
      <c r="G666" s="403"/>
      <c r="H666" s="305"/>
      <c r="I666" s="305"/>
      <c r="J666" s="305"/>
      <c r="K666" s="287"/>
    </row>
    <row r="667" spans="1:11" x14ac:dyDescent="0.25">
      <c r="A667" s="287"/>
      <c r="B667" s="287"/>
      <c r="C667" s="287"/>
      <c r="D667" s="287"/>
      <c r="E667" s="287"/>
      <c r="F667" s="287"/>
      <c r="G667" s="403"/>
      <c r="H667" s="305"/>
      <c r="I667" s="305"/>
      <c r="J667" s="305"/>
      <c r="K667" s="287"/>
    </row>
    <row r="668" spans="1:11" x14ac:dyDescent="0.25">
      <c r="A668" s="287"/>
      <c r="B668" s="287"/>
      <c r="C668" s="287"/>
      <c r="D668" s="287"/>
      <c r="E668" s="287"/>
      <c r="F668" s="287"/>
      <c r="G668" s="403"/>
      <c r="H668" s="305"/>
      <c r="I668" s="305"/>
      <c r="J668" s="305"/>
      <c r="K668" s="287"/>
    </row>
    <row r="669" spans="1:11" x14ac:dyDescent="0.25">
      <c r="A669" s="287"/>
      <c r="B669" s="287"/>
      <c r="C669" s="287"/>
      <c r="D669" s="287"/>
      <c r="E669" s="287"/>
      <c r="F669" s="287"/>
      <c r="G669" s="403"/>
      <c r="H669" s="305"/>
      <c r="I669" s="305"/>
      <c r="J669" s="305"/>
      <c r="K669" s="287"/>
    </row>
    <row r="670" spans="1:11" x14ac:dyDescent="0.25">
      <c r="A670" s="287"/>
      <c r="B670" s="287"/>
      <c r="C670" s="287"/>
      <c r="D670" s="287"/>
      <c r="E670" s="287"/>
      <c r="F670" s="287"/>
      <c r="G670" s="403"/>
      <c r="H670" s="305"/>
      <c r="I670" s="305"/>
      <c r="J670" s="305"/>
      <c r="K670" s="287"/>
    </row>
    <row r="671" spans="1:11" x14ac:dyDescent="0.25">
      <c r="A671" s="287"/>
      <c r="B671" s="287"/>
      <c r="C671" s="287"/>
      <c r="D671" s="287"/>
      <c r="E671" s="287"/>
      <c r="F671" s="287"/>
      <c r="G671" s="403"/>
      <c r="H671" s="305"/>
      <c r="I671" s="305"/>
      <c r="J671" s="305"/>
      <c r="K671" s="287"/>
    </row>
    <row r="672" spans="1:11" x14ac:dyDescent="0.25">
      <c r="A672" s="287"/>
      <c r="B672" s="287"/>
      <c r="C672" s="287"/>
      <c r="D672" s="287"/>
      <c r="E672" s="287"/>
      <c r="F672" s="287"/>
      <c r="G672" s="403"/>
      <c r="H672" s="305"/>
      <c r="I672" s="305"/>
      <c r="J672" s="305"/>
      <c r="K672" s="287"/>
    </row>
    <row r="673" spans="1:11" x14ac:dyDescent="0.25">
      <c r="A673" s="287"/>
      <c r="B673" s="287"/>
      <c r="C673" s="287"/>
      <c r="D673" s="287"/>
      <c r="E673" s="287"/>
      <c r="F673" s="287"/>
      <c r="G673" s="403"/>
      <c r="H673" s="305"/>
      <c r="I673" s="305"/>
      <c r="J673" s="305"/>
      <c r="K673" s="287"/>
    </row>
    <row r="674" spans="1:11" x14ac:dyDescent="0.25">
      <c r="A674" s="287"/>
      <c r="B674" s="287"/>
      <c r="C674" s="287"/>
      <c r="D674" s="287"/>
      <c r="E674" s="287"/>
      <c r="F674" s="287"/>
      <c r="G674" s="403"/>
      <c r="H674" s="305"/>
      <c r="I674" s="305"/>
      <c r="J674" s="305"/>
      <c r="K674" s="287"/>
    </row>
    <row r="675" spans="1:11" x14ac:dyDescent="0.25">
      <c r="A675" s="287"/>
      <c r="B675" s="287"/>
      <c r="C675" s="287"/>
      <c r="D675" s="287"/>
      <c r="E675" s="287"/>
      <c r="F675" s="287"/>
      <c r="G675" s="403"/>
      <c r="H675" s="305"/>
      <c r="I675" s="305"/>
      <c r="J675" s="305"/>
      <c r="K675" s="287"/>
    </row>
    <row r="676" spans="1:11" x14ac:dyDescent="0.25">
      <c r="A676" s="287"/>
      <c r="B676" s="287"/>
      <c r="C676" s="287"/>
      <c r="D676" s="287"/>
      <c r="E676" s="287"/>
      <c r="F676" s="287"/>
      <c r="G676" s="403"/>
      <c r="H676" s="305"/>
      <c r="I676" s="305"/>
      <c r="J676" s="305"/>
      <c r="K676" s="287"/>
    </row>
    <row r="677" spans="1:11" x14ac:dyDescent="0.25">
      <c r="A677" s="287"/>
      <c r="B677" s="287"/>
      <c r="C677" s="287"/>
      <c r="D677" s="287"/>
      <c r="E677" s="287"/>
      <c r="F677" s="287"/>
      <c r="G677" s="403"/>
      <c r="H677" s="305"/>
      <c r="I677" s="305"/>
      <c r="J677" s="305"/>
      <c r="K677" s="287"/>
    </row>
    <row r="678" spans="1:11" x14ac:dyDescent="0.25">
      <c r="A678" s="287"/>
      <c r="B678" s="287"/>
      <c r="C678" s="287"/>
      <c r="D678" s="287"/>
      <c r="E678" s="287"/>
      <c r="F678" s="287"/>
      <c r="G678" s="403"/>
      <c r="H678" s="305"/>
      <c r="I678" s="305"/>
      <c r="J678" s="305"/>
      <c r="K678" s="287"/>
    </row>
    <row r="679" spans="1:11" x14ac:dyDescent="0.25">
      <c r="A679" s="287"/>
      <c r="B679" s="287"/>
      <c r="C679" s="287"/>
      <c r="D679" s="287"/>
      <c r="E679" s="287"/>
      <c r="F679" s="287"/>
      <c r="G679" s="403"/>
      <c r="H679" s="305"/>
      <c r="I679" s="305"/>
      <c r="J679" s="305"/>
      <c r="K679" s="287"/>
    </row>
    <row r="680" spans="1:11" x14ac:dyDescent="0.25">
      <c r="A680" s="287"/>
      <c r="B680" s="287"/>
      <c r="C680" s="287"/>
      <c r="D680" s="287"/>
      <c r="E680" s="287"/>
      <c r="F680" s="287"/>
      <c r="G680" s="403"/>
      <c r="H680" s="305"/>
      <c r="I680" s="305"/>
      <c r="J680" s="305"/>
      <c r="K680" s="287"/>
    </row>
    <row r="681" spans="1:11" x14ac:dyDescent="0.25">
      <c r="A681" s="287"/>
      <c r="B681" s="287"/>
      <c r="C681" s="287"/>
      <c r="D681" s="287"/>
      <c r="E681" s="287"/>
      <c r="F681" s="287"/>
      <c r="G681" s="403"/>
      <c r="H681" s="305"/>
      <c r="I681" s="305"/>
      <c r="J681" s="305"/>
      <c r="K681" s="287"/>
    </row>
    <row r="682" spans="1:11" x14ac:dyDescent="0.25">
      <c r="A682" s="287"/>
      <c r="B682" s="287"/>
      <c r="C682" s="287"/>
      <c r="D682" s="287"/>
      <c r="E682" s="287"/>
      <c r="F682" s="287"/>
      <c r="G682" s="403"/>
      <c r="H682" s="305"/>
      <c r="I682" s="305"/>
      <c r="J682" s="305"/>
      <c r="K682" s="287"/>
    </row>
    <row r="683" spans="1:11" x14ac:dyDescent="0.25">
      <c r="A683" s="287"/>
      <c r="B683" s="287"/>
      <c r="C683" s="287"/>
      <c r="D683" s="287"/>
      <c r="E683" s="287"/>
      <c r="F683" s="287"/>
      <c r="G683" s="403"/>
      <c r="H683" s="305"/>
      <c r="I683" s="305"/>
      <c r="J683" s="305"/>
      <c r="K683" s="287"/>
    </row>
    <row r="684" spans="1:11" x14ac:dyDescent="0.25">
      <c r="A684" s="287"/>
      <c r="B684" s="287"/>
      <c r="C684" s="287"/>
      <c r="D684" s="287"/>
      <c r="E684" s="287"/>
      <c r="F684" s="287"/>
      <c r="G684" s="403"/>
      <c r="H684" s="305"/>
      <c r="I684" s="305"/>
      <c r="J684" s="305"/>
      <c r="K684" s="287"/>
    </row>
    <row r="685" spans="1:11" x14ac:dyDescent="0.25">
      <c r="A685" s="287"/>
      <c r="B685" s="287"/>
      <c r="C685" s="287"/>
      <c r="D685" s="287"/>
      <c r="E685" s="287"/>
      <c r="F685" s="287"/>
      <c r="G685" s="403"/>
      <c r="H685" s="305"/>
      <c r="I685" s="305"/>
      <c r="J685" s="305"/>
      <c r="K685" s="287"/>
    </row>
    <row r="686" spans="1:11" x14ac:dyDescent="0.25">
      <c r="A686" s="287"/>
      <c r="B686" s="287"/>
      <c r="C686" s="287"/>
      <c r="D686" s="287"/>
      <c r="E686" s="287"/>
      <c r="F686" s="287"/>
      <c r="G686" s="403"/>
      <c r="H686" s="305"/>
      <c r="I686" s="305"/>
      <c r="J686" s="305"/>
      <c r="K686" s="287"/>
    </row>
    <row r="687" spans="1:11" x14ac:dyDescent="0.25">
      <c r="A687" s="287"/>
      <c r="B687" s="287"/>
      <c r="C687" s="287"/>
      <c r="D687" s="287"/>
      <c r="E687" s="287"/>
      <c r="F687" s="287"/>
      <c r="G687" s="403"/>
      <c r="H687" s="305"/>
      <c r="I687" s="305"/>
      <c r="J687" s="305"/>
      <c r="K687" s="287"/>
    </row>
    <row r="688" spans="1:11" x14ac:dyDescent="0.25">
      <c r="A688" s="287"/>
      <c r="B688" s="287"/>
      <c r="C688" s="287"/>
      <c r="D688" s="287"/>
      <c r="E688" s="287"/>
      <c r="F688" s="287"/>
      <c r="G688" s="403"/>
      <c r="H688" s="305"/>
      <c r="I688" s="305"/>
      <c r="J688" s="305"/>
      <c r="K688" s="287"/>
    </row>
    <row r="689" spans="1:11" x14ac:dyDescent="0.25">
      <c r="A689" s="287"/>
      <c r="B689" s="287"/>
      <c r="C689" s="287"/>
      <c r="D689" s="287"/>
      <c r="E689" s="287"/>
      <c r="F689" s="287"/>
      <c r="G689" s="403"/>
      <c r="H689" s="305"/>
      <c r="I689" s="305"/>
      <c r="J689" s="305"/>
      <c r="K689" s="287"/>
    </row>
    <row r="690" spans="1:11" x14ac:dyDescent="0.25">
      <c r="A690" s="287"/>
      <c r="B690" s="287"/>
      <c r="C690" s="287"/>
      <c r="D690" s="287"/>
      <c r="E690" s="287"/>
      <c r="F690" s="287"/>
      <c r="G690" s="403"/>
      <c r="H690" s="305"/>
      <c r="I690" s="305"/>
      <c r="J690" s="305"/>
      <c r="K690" s="287"/>
    </row>
    <row r="691" spans="1:11" x14ac:dyDescent="0.25">
      <c r="A691" s="287"/>
      <c r="B691" s="287"/>
      <c r="C691" s="287"/>
      <c r="D691" s="287"/>
      <c r="E691" s="287"/>
      <c r="F691" s="287"/>
      <c r="G691" s="403"/>
      <c r="H691" s="305"/>
      <c r="I691" s="305"/>
      <c r="J691" s="305"/>
      <c r="K691" s="287"/>
    </row>
    <row r="692" spans="1:11" x14ac:dyDescent="0.25">
      <c r="A692" s="287"/>
      <c r="B692" s="287"/>
      <c r="C692" s="287"/>
      <c r="D692" s="287"/>
      <c r="E692" s="287"/>
      <c r="F692" s="287"/>
      <c r="G692" s="403"/>
      <c r="H692" s="305"/>
      <c r="I692" s="305"/>
      <c r="J692" s="305"/>
      <c r="K692" s="287"/>
    </row>
    <row r="693" spans="1:11" x14ac:dyDescent="0.25">
      <c r="A693" s="287"/>
      <c r="B693" s="287"/>
      <c r="C693" s="287"/>
      <c r="D693" s="287"/>
      <c r="E693" s="287"/>
      <c r="F693" s="287"/>
      <c r="G693" s="403"/>
      <c r="H693" s="305"/>
      <c r="I693" s="305"/>
      <c r="J693" s="305"/>
      <c r="K693" s="287"/>
    </row>
    <row r="694" spans="1:11" x14ac:dyDescent="0.25">
      <c r="A694" s="287"/>
      <c r="B694" s="287"/>
      <c r="C694" s="287"/>
      <c r="D694" s="287"/>
      <c r="E694" s="287"/>
      <c r="F694" s="287"/>
      <c r="G694" s="403"/>
      <c r="H694" s="305"/>
      <c r="I694" s="305"/>
      <c r="J694" s="305"/>
      <c r="K694" s="287"/>
    </row>
    <row r="695" spans="1:11" x14ac:dyDescent="0.25">
      <c r="A695" s="287"/>
      <c r="B695" s="287"/>
      <c r="C695" s="287"/>
      <c r="D695" s="287"/>
      <c r="E695" s="287"/>
      <c r="F695" s="287"/>
      <c r="G695" s="403"/>
      <c r="H695" s="305"/>
      <c r="I695" s="305"/>
      <c r="J695" s="305"/>
      <c r="K695" s="287"/>
    </row>
    <row r="696" spans="1:11" x14ac:dyDescent="0.25">
      <c r="A696" s="287"/>
      <c r="B696" s="287"/>
      <c r="C696" s="287"/>
      <c r="D696" s="287"/>
      <c r="E696" s="287"/>
      <c r="F696" s="287"/>
      <c r="G696" s="403"/>
      <c r="H696" s="305"/>
      <c r="I696" s="305"/>
      <c r="J696" s="305"/>
      <c r="K696" s="287"/>
    </row>
    <row r="697" spans="1:11" x14ac:dyDescent="0.25">
      <c r="A697" s="287"/>
      <c r="B697" s="287"/>
      <c r="C697" s="287"/>
      <c r="D697" s="287"/>
      <c r="E697" s="287"/>
      <c r="F697" s="287"/>
      <c r="G697" s="403"/>
      <c r="H697" s="305"/>
      <c r="I697" s="305"/>
      <c r="J697" s="305"/>
      <c r="K697" s="287"/>
    </row>
    <row r="698" spans="1:11" x14ac:dyDescent="0.25">
      <c r="A698" s="287"/>
      <c r="B698" s="287"/>
      <c r="C698" s="287"/>
      <c r="D698" s="287"/>
      <c r="E698" s="287"/>
      <c r="F698" s="287"/>
      <c r="G698" s="403"/>
      <c r="H698" s="305"/>
      <c r="I698" s="305"/>
      <c r="J698" s="305"/>
      <c r="K698" s="287"/>
    </row>
    <row r="699" spans="1:11" x14ac:dyDescent="0.25">
      <c r="A699" s="287"/>
      <c r="B699" s="287"/>
      <c r="C699" s="287"/>
      <c r="D699" s="287"/>
      <c r="E699" s="287"/>
      <c r="F699" s="287"/>
      <c r="G699" s="403"/>
      <c r="H699" s="305"/>
      <c r="I699" s="305"/>
      <c r="J699" s="305"/>
      <c r="K699" s="287"/>
    </row>
    <row r="700" spans="1:11" x14ac:dyDescent="0.25">
      <c r="A700" s="287"/>
      <c r="B700" s="287"/>
      <c r="C700" s="287"/>
      <c r="D700" s="287"/>
      <c r="E700" s="287"/>
      <c r="F700" s="287"/>
      <c r="G700" s="403"/>
      <c r="H700" s="305"/>
      <c r="I700" s="305"/>
      <c r="J700" s="305"/>
      <c r="K700" s="287"/>
    </row>
    <row r="701" spans="1:11" x14ac:dyDescent="0.25">
      <c r="A701" s="287"/>
      <c r="B701" s="287"/>
      <c r="C701" s="287"/>
      <c r="D701" s="287"/>
      <c r="E701" s="287"/>
      <c r="F701" s="287"/>
      <c r="G701" s="403"/>
      <c r="H701" s="305"/>
      <c r="I701" s="305"/>
      <c r="J701" s="305"/>
      <c r="K701" s="287"/>
    </row>
    <row r="702" spans="1:11" x14ac:dyDescent="0.25">
      <c r="A702" s="287"/>
      <c r="B702" s="287"/>
      <c r="C702" s="287"/>
      <c r="D702" s="287"/>
      <c r="E702" s="287"/>
      <c r="F702" s="287"/>
      <c r="G702" s="403"/>
      <c r="H702" s="305"/>
      <c r="I702" s="305"/>
      <c r="J702" s="305"/>
      <c r="K702" s="287"/>
    </row>
    <row r="703" spans="1:11" x14ac:dyDescent="0.25">
      <c r="A703" s="287"/>
      <c r="B703" s="287"/>
      <c r="C703" s="287"/>
      <c r="D703" s="287"/>
      <c r="E703" s="287"/>
      <c r="F703" s="287"/>
      <c r="G703" s="403"/>
      <c r="H703" s="305"/>
      <c r="I703" s="305"/>
      <c r="J703" s="305"/>
      <c r="K703" s="287"/>
    </row>
    <row r="704" spans="1:11" x14ac:dyDescent="0.25">
      <c r="A704" s="287"/>
      <c r="B704" s="287"/>
      <c r="C704" s="287"/>
      <c r="D704" s="287"/>
      <c r="E704" s="287"/>
      <c r="F704" s="287"/>
      <c r="G704" s="403"/>
      <c r="H704" s="305"/>
      <c r="I704" s="305"/>
      <c r="J704" s="305"/>
      <c r="K704" s="287"/>
    </row>
    <row r="705" spans="1:11" x14ac:dyDescent="0.25">
      <c r="A705" s="287"/>
      <c r="B705" s="287"/>
      <c r="C705" s="287"/>
      <c r="D705" s="287"/>
      <c r="E705" s="287"/>
      <c r="F705" s="287"/>
      <c r="G705" s="403"/>
      <c r="H705" s="305"/>
      <c r="I705" s="305"/>
      <c r="J705" s="305"/>
      <c r="K705" s="287"/>
    </row>
    <row r="706" spans="1:11" x14ac:dyDescent="0.25">
      <c r="A706" s="287"/>
      <c r="B706" s="287"/>
      <c r="C706" s="287"/>
      <c r="D706" s="287"/>
      <c r="E706" s="287"/>
      <c r="F706" s="287"/>
      <c r="G706" s="403"/>
      <c r="H706" s="305"/>
      <c r="I706" s="305"/>
      <c r="J706" s="305"/>
      <c r="K706" s="287"/>
    </row>
    <row r="707" spans="1:11" x14ac:dyDescent="0.25">
      <c r="A707" s="287"/>
      <c r="B707" s="287"/>
      <c r="C707" s="287"/>
      <c r="D707" s="287"/>
      <c r="E707" s="287"/>
      <c r="F707" s="287"/>
      <c r="G707" s="403"/>
      <c r="H707" s="305"/>
      <c r="I707" s="305"/>
      <c r="J707" s="305"/>
      <c r="K707" s="287"/>
    </row>
    <row r="708" spans="1:11" x14ac:dyDescent="0.25">
      <c r="A708" s="287"/>
      <c r="B708" s="287"/>
      <c r="C708" s="287"/>
      <c r="D708" s="287"/>
      <c r="E708" s="287"/>
      <c r="F708" s="287"/>
      <c r="G708" s="403"/>
      <c r="H708" s="305"/>
      <c r="I708" s="305"/>
      <c r="J708" s="305"/>
      <c r="K708" s="287"/>
    </row>
    <row r="709" spans="1:11" x14ac:dyDescent="0.25">
      <c r="A709" s="287"/>
      <c r="B709" s="287"/>
      <c r="C709" s="287"/>
      <c r="D709" s="287"/>
      <c r="E709" s="287"/>
      <c r="F709" s="287"/>
      <c r="G709" s="403"/>
      <c r="H709" s="305"/>
      <c r="I709" s="305"/>
      <c r="J709" s="305"/>
      <c r="K709" s="287"/>
    </row>
    <row r="710" spans="1:11" x14ac:dyDescent="0.25">
      <c r="A710" s="287"/>
      <c r="B710" s="287"/>
      <c r="C710" s="287"/>
      <c r="D710" s="287"/>
      <c r="E710" s="287"/>
      <c r="F710" s="287"/>
      <c r="G710" s="403"/>
      <c r="H710" s="305"/>
      <c r="I710" s="305"/>
      <c r="J710" s="305"/>
      <c r="K710" s="287"/>
    </row>
    <row r="711" spans="1:11" x14ac:dyDescent="0.25">
      <c r="A711" s="287"/>
      <c r="B711" s="287"/>
      <c r="C711" s="287"/>
      <c r="D711" s="287"/>
      <c r="E711" s="287"/>
      <c r="F711" s="287"/>
      <c r="G711" s="403"/>
      <c r="H711" s="305"/>
      <c r="I711" s="305"/>
      <c r="J711" s="305"/>
      <c r="K711" s="287"/>
    </row>
    <row r="712" spans="1:11" x14ac:dyDescent="0.25">
      <c r="A712" s="287"/>
      <c r="B712" s="287"/>
      <c r="C712" s="287"/>
      <c r="D712" s="287"/>
      <c r="E712" s="287"/>
      <c r="F712" s="287"/>
      <c r="G712" s="403"/>
      <c r="H712" s="305"/>
      <c r="I712" s="305"/>
      <c r="J712" s="305"/>
      <c r="K712" s="287"/>
    </row>
    <row r="713" spans="1:11" x14ac:dyDescent="0.25">
      <c r="A713" s="287"/>
      <c r="B713" s="287"/>
      <c r="C713" s="287"/>
      <c r="D713" s="287"/>
      <c r="E713" s="287"/>
      <c r="F713" s="287"/>
      <c r="G713" s="403"/>
      <c r="H713" s="305"/>
      <c r="I713" s="305"/>
      <c r="J713" s="305"/>
      <c r="K713" s="287"/>
    </row>
    <row r="714" spans="1:11" x14ac:dyDescent="0.25">
      <c r="A714" s="287"/>
      <c r="B714" s="287"/>
      <c r="C714" s="287"/>
      <c r="D714" s="287"/>
      <c r="E714" s="287"/>
      <c r="F714" s="287"/>
      <c r="G714" s="403"/>
      <c r="H714" s="305"/>
      <c r="I714" s="305"/>
      <c r="J714" s="305"/>
      <c r="K714" s="287"/>
    </row>
    <row r="715" spans="1:11" x14ac:dyDescent="0.25">
      <c r="A715" s="287"/>
      <c r="B715" s="287"/>
      <c r="C715" s="287"/>
      <c r="D715" s="287"/>
      <c r="E715" s="287"/>
      <c r="F715" s="287"/>
      <c r="G715" s="403"/>
      <c r="H715" s="305"/>
      <c r="I715" s="305"/>
      <c r="J715" s="305"/>
      <c r="K715" s="287"/>
    </row>
    <row r="716" spans="1:11" x14ac:dyDescent="0.25">
      <c r="A716" s="287"/>
      <c r="B716" s="287"/>
      <c r="C716" s="287"/>
      <c r="D716" s="287"/>
      <c r="E716" s="287"/>
      <c r="F716" s="287"/>
      <c r="G716" s="403"/>
      <c r="H716" s="305"/>
      <c r="I716" s="305"/>
      <c r="J716" s="305"/>
      <c r="K716" s="287"/>
    </row>
    <row r="717" spans="1:11" x14ac:dyDescent="0.25">
      <c r="A717" s="287"/>
      <c r="B717" s="287"/>
      <c r="C717" s="287"/>
      <c r="D717" s="287"/>
      <c r="E717" s="287"/>
      <c r="F717" s="287"/>
      <c r="G717" s="403"/>
      <c r="H717" s="305"/>
      <c r="I717" s="305"/>
      <c r="J717" s="305"/>
      <c r="K717" s="287"/>
    </row>
    <row r="718" spans="1:11" x14ac:dyDescent="0.25">
      <c r="A718" s="287"/>
      <c r="B718" s="287"/>
      <c r="C718" s="287"/>
      <c r="D718" s="287"/>
      <c r="E718" s="287"/>
      <c r="F718" s="287"/>
      <c r="G718" s="403"/>
      <c r="H718" s="305"/>
      <c r="I718" s="305"/>
      <c r="J718" s="305"/>
      <c r="K718" s="287"/>
    </row>
    <row r="719" spans="1:11" x14ac:dyDescent="0.25">
      <c r="A719" s="287"/>
      <c r="B719" s="287"/>
      <c r="C719" s="287"/>
      <c r="D719" s="287"/>
      <c r="E719" s="287"/>
      <c r="F719" s="287"/>
      <c r="G719" s="403"/>
      <c r="H719" s="305"/>
      <c r="I719" s="305"/>
      <c r="J719" s="305"/>
      <c r="K719" s="287"/>
    </row>
    <row r="720" spans="1:11" x14ac:dyDescent="0.25">
      <c r="A720" s="287"/>
      <c r="B720" s="287"/>
      <c r="C720" s="287"/>
      <c r="D720" s="287"/>
      <c r="E720" s="287"/>
      <c r="F720" s="287"/>
      <c r="G720" s="403"/>
      <c r="H720" s="305"/>
      <c r="I720" s="305"/>
      <c r="J720" s="305"/>
      <c r="K720" s="287"/>
    </row>
    <row r="721" spans="1:11" x14ac:dyDescent="0.25">
      <c r="A721" s="287"/>
      <c r="B721" s="287"/>
      <c r="C721" s="287"/>
      <c r="D721" s="287"/>
      <c r="E721" s="287"/>
      <c r="F721" s="287"/>
      <c r="G721" s="403"/>
      <c r="H721" s="305"/>
      <c r="I721" s="305"/>
      <c r="J721" s="305"/>
      <c r="K721" s="287"/>
    </row>
    <row r="722" spans="1:11" x14ac:dyDescent="0.25">
      <c r="A722" s="287"/>
      <c r="B722" s="287"/>
      <c r="C722" s="287"/>
      <c r="D722" s="287"/>
      <c r="E722" s="287"/>
      <c r="F722" s="287"/>
      <c r="G722" s="403"/>
      <c r="H722" s="305"/>
      <c r="I722" s="305"/>
      <c r="J722" s="305"/>
      <c r="K722" s="287"/>
    </row>
    <row r="723" spans="1:11" x14ac:dyDescent="0.25">
      <c r="A723" s="287"/>
      <c r="B723" s="287"/>
      <c r="C723" s="287"/>
      <c r="D723" s="287"/>
      <c r="E723" s="287"/>
      <c r="F723" s="287"/>
      <c r="G723" s="403"/>
      <c r="H723" s="305"/>
      <c r="I723" s="305"/>
      <c r="J723" s="305"/>
      <c r="K723" s="287"/>
    </row>
    <row r="724" spans="1:11" x14ac:dyDescent="0.25">
      <c r="A724" s="287"/>
      <c r="B724" s="287"/>
      <c r="C724" s="287"/>
      <c r="D724" s="287"/>
      <c r="E724" s="287"/>
      <c r="F724" s="287"/>
      <c r="G724" s="403"/>
      <c r="H724" s="305"/>
      <c r="I724" s="305"/>
      <c r="J724" s="305"/>
      <c r="K724" s="287"/>
    </row>
    <row r="725" spans="1:11" x14ac:dyDescent="0.25">
      <c r="A725" s="287"/>
      <c r="B725" s="287"/>
      <c r="C725" s="287"/>
      <c r="D725" s="287"/>
      <c r="E725" s="287"/>
      <c r="F725" s="287"/>
      <c r="G725" s="403"/>
      <c r="H725" s="305"/>
      <c r="I725" s="305"/>
      <c r="J725" s="305"/>
      <c r="K725" s="287"/>
    </row>
    <row r="726" spans="1:11" x14ac:dyDescent="0.25">
      <c r="A726" s="287"/>
      <c r="B726" s="287"/>
      <c r="C726" s="287"/>
      <c r="D726" s="287"/>
      <c r="E726" s="287"/>
      <c r="F726" s="287"/>
      <c r="G726" s="403"/>
      <c r="H726" s="305"/>
      <c r="I726" s="305"/>
      <c r="J726" s="305"/>
      <c r="K726" s="287"/>
    </row>
    <row r="727" spans="1:11" x14ac:dyDescent="0.25">
      <c r="A727" s="287"/>
      <c r="B727" s="287"/>
      <c r="C727" s="287"/>
      <c r="D727" s="287"/>
      <c r="E727" s="287"/>
      <c r="F727" s="287"/>
      <c r="G727" s="403"/>
      <c r="H727" s="305"/>
      <c r="I727" s="305"/>
      <c r="J727" s="305"/>
      <c r="K727" s="287"/>
    </row>
    <row r="728" spans="1:11" x14ac:dyDescent="0.25">
      <c r="A728" s="287"/>
      <c r="B728" s="287"/>
      <c r="C728" s="287"/>
      <c r="D728" s="287"/>
      <c r="E728" s="287"/>
      <c r="F728" s="287"/>
      <c r="G728" s="403"/>
      <c r="H728" s="305"/>
      <c r="I728" s="305"/>
      <c r="J728" s="305"/>
      <c r="K728" s="287"/>
    </row>
    <row r="729" spans="1:11" x14ac:dyDescent="0.25">
      <c r="A729" s="287"/>
      <c r="B729" s="287"/>
      <c r="C729" s="287"/>
      <c r="D729" s="287"/>
      <c r="E729" s="287"/>
      <c r="F729" s="287"/>
      <c r="G729" s="403"/>
      <c r="H729" s="305"/>
      <c r="I729" s="305"/>
      <c r="J729" s="305"/>
      <c r="K729" s="287"/>
    </row>
    <row r="730" spans="1:11" x14ac:dyDescent="0.25">
      <c r="A730" s="287"/>
      <c r="B730" s="287"/>
      <c r="C730" s="287"/>
      <c r="D730" s="287"/>
      <c r="E730" s="287"/>
      <c r="F730" s="287"/>
      <c r="G730" s="403"/>
      <c r="H730" s="305"/>
      <c r="I730" s="305"/>
      <c r="J730" s="305"/>
      <c r="K730" s="287"/>
    </row>
    <row r="731" spans="1:11" x14ac:dyDescent="0.25">
      <c r="A731" s="287"/>
      <c r="B731" s="287"/>
      <c r="C731" s="287"/>
      <c r="D731" s="287"/>
      <c r="E731" s="287"/>
      <c r="F731" s="287"/>
      <c r="G731" s="403"/>
      <c r="H731" s="305"/>
      <c r="I731" s="305"/>
      <c r="J731" s="305"/>
      <c r="K731" s="287"/>
    </row>
    <row r="732" spans="1:11" x14ac:dyDescent="0.25">
      <c r="A732" s="287"/>
      <c r="B732" s="287"/>
      <c r="C732" s="287"/>
      <c r="D732" s="287"/>
      <c r="E732" s="287"/>
      <c r="F732" s="287"/>
      <c r="G732" s="403"/>
      <c r="H732" s="305"/>
      <c r="I732" s="305"/>
      <c r="J732" s="305"/>
      <c r="K732" s="287"/>
    </row>
    <row r="733" spans="1:11" x14ac:dyDescent="0.25">
      <c r="A733" s="287"/>
      <c r="B733" s="287"/>
      <c r="C733" s="287"/>
      <c r="D733" s="287"/>
      <c r="E733" s="287"/>
      <c r="F733" s="287"/>
      <c r="G733" s="403"/>
      <c r="H733" s="305"/>
      <c r="I733" s="305"/>
      <c r="J733" s="305"/>
      <c r="K733" s="287"/>
    </row>
    <row r="734" spans="1:11" x14ac:dyDescent="0.25">
      <c r="A734" s="287"/>
      <c r="B734" s="287"/>
      <c r="C734" s="287"/>
      <c r="D734" s="287"/>
      <c r="E734" s="287"/>
      <c r="F734" s="287"/>
      <c r="G734" s="403"/>
      <c r="H734" s="305"/>
      <c r="I734" s="305"/>
      <c r="J734" s="305"/>
      <c r="K734" s="287"/>
    </row>
    <row r="735" spans="1:11" x14ac:dyDescent="0.25">
      <c r="A735" s="287"/>
      <c r="B735" s="287"/>
      <c r="C735" s="287"/>
      <c r="D735" s="287"/>
      <c r="E735" s="287"/>
      <c r="F735" s="287"/>
      <c r="G735" s="403"/>
      <c r="H735" s="305"/>
      <c r="I735" s="305"/>
      <c r="J735" s="305"/>
      <c r="K735" s="287"/>
    </row>
    <row r="736" spans="1:11" x14ac:dyDescent="0.25">
      <c r="A736" s="287"/>
      <c r="B736" s="287"/>
      <c r="C736" s="287"/>
      <c r="D736" s="287"/>
      <c r="E736" s="287"/>
      <c r="F736" s="287"/>
      <c r="G736" s="403"/>
      <c r="H736" s="305"/>
      <c r="I736" s="305"/>
      <c r="J736" s="305"/>
      <c r="K736" s="287"/>
    </row>
    <row r="737" spans="1:11" x14ac:dyDescent="0.25">
      <c r="A737" s="287"/>
      <c r="B737" s="287"/>
      <c r="C737" s="287"/>
      <c r="D737" s="287"/>
      <c r="E737" s="287"/>
      <c r="F737" s="287"/>
      <c r="G737" s="403"/>
      <c r="H737" s="305"/>
      <c r="I737" s="305"/>
      <c r="J737" s="305"/>
      <c r="K737" s="287"/>
    </row>
    <row r="738" spans="1:11" x14ac:dyDescent="0.25">
      <c r="A738" s="287"/>
      <c r="B738" s="287"/>
      <c r="C738" s="287"/>
      <c r="D738" s="287"/>
      <c r="E738" s="287"/>
      <c r="F738" s="287"/>
      <c r="G738" s="403"/>
      <c r="H738" s="305"/>
      <c r="I738" s="305"/>
      <c r="J738" s="305"/>
      <c r="K738" s="287"/>
    </row>
    <row r="739" spans="1:11" x14ac:dyDescent="0.25">
      <c r="A739" s="287"/>
      <c r="B739" s="287"/>
      <c r="C739" s="287"/>
      <c r="D739" s="287"/>
      <c r="E739" s="287"/>
      <c r="F739" s="287"/>
      <c r="G739" s="403"/>
      <c r="H739" s="305"/>
      <c r="I739" s="305"/>
      <c r="J739" s="305"/>
      <c r="K739" s="287"/>
    </row>
    <row r="740" spans="1:11" x14ac:dyDescent="0.25">
      <c r="A740" s="287"/>
      <c r="B740" s="287"/>
      <c r="C740" s="287"/>
      <c r="D740" s="287"/>
      <c r="E740" s="287"/>
      <c r="F740" s="287"/>
      <c r="G740" s="403"/>
      <c r="H740" s="305"/>
      <c r="I740" s="305"/>
      <c r="J740" s="305"/>
      <c r="K740" s="287"/>
    </row>
    <row r="741" spans="1:11" x14ac:dyDescent="0.25">
      <c r="A741" s="287"/>
      <c r="B741" s="287"/>
      <c r="C741" s="287"/>
      <c r="D741" s="287"/>
      <c r="E741" s="287"/>
      <c r="F741" s="287"/>
      <c r="G741" s="403"/>
      <c r="H741" s="305"/>
      <c r="I741" s="305"/>
      <c r="J741" s="305"/>
      <c r="K741" s="287"/>
    </row>
    <row r="742" spans="1:11" x14ac:dyDescent="0.25">
      <c r="A742" s="287"/>
      <c r="B742" s="287"/>
      <c r="C742" s="287"/>
      <c r="D742" s="287"/>
      <c r="E742" s="287"/>
      <c r="F742" s="287"/>
      <c r="G742" s="403"/>
      <c r="H742" s="305"/>
      <c r="I742" s="305"/>
      <c r="J742" s="305"/>
      <c r="K742" s="287"/>
    </row>
    <row r="743" spans="1:11" x14ac:dyDescent="0.25">
      <c r="A743" s="287"/>
      <c r="B743" s="287"/>
      <c r="C743" s="287"/>
      <c r="D743" s="287"/>
      <c r="E743" s="287"/>
      <c r="F743" s="287"/>
      <c r="G743" s="403"/>
      <c r="H743" s="305"/>
      <c r="I743" s="305"/>
      <c r="J743" s="305"/>
      <c r="K743" s="287"/>
    </row>
    <row r="744" spans="1:11" x14ac:dyDescent="0.25">
      <c r="A744" s="287"/>
      <c r="B744" s="287"/>
      <c r="C744" s="287"/>
      <c r="D744" s="287"/>
      <c r="E744" s="287"/>
      <c r="F744" s="287"/>
      <c r="G744" s="403"/>
      <c r="H744" s="305"/>
      <c r="I744" s="305"/>
      <c r="J744" s="305"/>
      <c r="K744" s="287"/>
    </row>
    <row r="745" spans="1:11" x14ac:dyDescent="0.25">
      <c r="A745" s="287"/>
      <c r="B745" s="287"/>
      <c r="C745" s="287"/>
      <c r="D745" s="287"/>
      <c r="E745" s="287"/>
      <c r="F745" s="287"/>
      <c r="G745" s="403"/>
      <c r="H745" s="305"/>
      <c r="I745" s="305"/>
      <c r="J745" s="305"/>
      <c r="K745" s="287"/>
    </row>
    <row r="746" spans="1:11" x14ac:dyDescent="0.25">
      <c r="A746" s="287"/>
      <c r="B746" s="287"/>
      <c r="C746" s="287"/>
      <c r="D746" s="287"/>
      <c r="E746" s="287"/>
      <c r="F746" s="287"/>
      <c r="G746" s="403"/>
      <c r="H746" s="305"/>
      <c r="I746" s="305"/>
      <c r="J746" s="305"/>
      <c r="K746" s="287"/>
    </row>
    <row r="747" spans="1:11" x14ac:dyDescent="0.25">
      <c r="A747" s="287"/>
      <c r="B747" s="287"/>
      <c r="C747" s="287"/>
      <c r="D747" s="287"/>
      <c r="E747" s="287"/>
      <c r="F747" s="287"/>
      <c r="G747" s="403"/>
      <c r="H747" s="305"/>
      <c r="I747" s="305"/>
      <c r="J747" s="305"/>
      <c r="K747" s="287"/>
    </row>
    <row r="748" spans="1:11" x14ac:dyDescent="0.25">
      <c r="A748" s="287"/>
      <c r="B748" s="287"/>
      <c r="C748" s="287"/>
      <c r="D748" s="287"/>
      <c r="E748" s="287"/>
      <c r="F748" s="287"/>
      <c r="G748" s="403"/>
      <c r="H748" s="305"/>
      <c r="I748" s="305"/>
      <c r="J748" s="305"/>
      <c r="K748" s="287"/>
    </row>
    <row r="749" spans="1:11" x14ac:dyDescent="0.25">
      <c r="A749" s="287"/>
      <c r="B749" s="287"/>
      <c r="C749" s="287"/>
      <c r="D749" s="287"/>
      <c r="E749" s="287"/>
      <c r="F749" s="287"/>
      <c r="G749" s="403"/>
      <c r="H749" s="305"/>
      <c r="I749" s="305"/>
      <c r="J749" s="305"/>
      <c r="K749" s="287"/>
    </row>
    <row r="750" spans="1:11" x14ac:dyDescent="0.25">
      <c r="A750" s="287"/>
      <c r="B750" s="287"/>
      <c r="C750" s="287"/>
      <c r="D750" s="287"/>
      <c r="E750" s="287"/>
      <c r="F750" s="287"/>
      <c r="G750" s="403"/>
      <c r="H750" s="305"/>
      <c r="I750" s="305"/>
      <c r="J750" s="305"/>
      <c r="K750" s="287"/>
    </row>
    <row r="751" spans="1:11" x14ac:dyDescent="0.25">
      <c r="A751" s="287"/>
      <c r="B751" s="287"/>
      <c r="C751" s="287"/>
      <c r="D751" s="287"/>
      <c r="E751" s="287"/>
      <c r="F751" s="287"/>
      <c r="G751" s="403"/>
      <c r="H751" s="305"/>
      <c r="I751" s="305"/>
      <c r="J751" s="305"/>
      <c r="K751" s="287"/>
    </row>
    <row r="752" spans="1:11" x14ac:dyDescent="0.25">
      <c r="A752" s="287"/>
      <c r="B752" s="287"/>
      <c r="C752" s="287"/>
      <c r="D752" s="287"/>
      <c r="E752" s="287"/>
      <c r="F752" s="287"/>
      <c r="G752" s="403"/>
      <c r="H752" s="305"/>
      <c r="I752" s="305"/>
      <c r="J752" s="305"/>
      <c r="K752" s="287"/>
    </row>
    <row r="753" spans="1:11" x14ac:dyDescent="0.25">
      <c r="A753" s="287"/>
      <c r="B753" s="287"/>
      <c r="C753" s="287"/>
      <c r="D753" s="287"/>
      <c r="E753" s="287"/>
      <c r="F753" s="287"/>
      <c r="G753" s="403"/>
      <c r="H753" s="305"/>
      <c r="I753" s="305"/>
      <c r="J753" s="305"/>
      <c r="K753" s="287"/>
    </row>
    <row r="754" spans="1:11" x14ac:dyDescent="0.25">
      <c r="A754" s="287"/>
      <c r="B754" s="287"/>
      <c r="C754" s="287"/>
      <c r="D754" s="287"/>
      <c r="E754" s="287"/>
      <c r="F754" s="287"/>
      <c r="G754" s="403"/>
      <c r="H754" s="305"/>
      <c r="I754" s="305"/>
      <c r="J754" s="305"/>
      <c r="K754" s="287"/>
    </row>
    <row r="755" spans="1:11" x14ac:dyDescent="0.25">
      <c r="A755" s="287"/>
      <c r="B755" s="287"/>
      <c r="C755" s="287"/>
      <c r="D755" s="287"/>
      <c r="E755" s="287"/>
      <c r="F755" s="287"/>
      <c r="G755" s="403"/>
      <c r="H755" s="305"/>
      <c r="I755" s="305"/>
      <c r="J755" s="305"/>
      <c r="K755" s="287"/>
    </row>
    <row r="756" spans="1:11" x14ac:dyDescent="0.25">
      <c r="A756" s="287"/>
      <c r="B756" s="287"/>
      <c r="C756" s="287"/>
      <c r="D756" s="287"/>
      <c r="E756" s="287"/>
      <c r="F756" s="287"/>
      <c r="G756" s="403"/>
      <c r="H756" s="305"/>
      <c r="I756" s="305"/>
      <c r="J756" s="305"/>
      <c r="K756" s="287"/>
    </row>
    <row r="757" spans="1:11" x14ac:dyDescent="0.25">
      <c r="A757" s="287"/>
      <c r="B757" s="287"/>
      <c r="C757" s="287"/>
      <c r="D757" s="287"/>
      <c r="E757" s="287"/>
      <c r="F757" s="287"/>
      <c r="G757" s="403"/>
      <c r="H757" s="305"/>
      <c r="I757" s="305"/>
      <c r="J757" s="305"/>
      <c r="K757" s="287"/>
    </row>
    <row r="758" spans="1:11" x14ac:dyDescent="0.25">
      <c r="A758" s="287"/>
      <c r="B758" s="287"/>
      <c r="C758" s="287"/>
      <c r="D758" s="287"/>
      <c r="E758" s="287"/>
      <c r="F758" s="287"/>
      <c r="G758" s="403"/>
      <c r="H758" s="305"/>
      <c r="I758" s="305"/>
      <c r="J758" s="305"/>
      <c r="K758" s="287"/>
    </row>
    <row r="759" spans="1:11" x14ac:dyDescent="0.25">
      <c r="A759" s="287"/>
      <c r="B759" s="287"/>
      <c r="C759" s="287"/>
      <c r="D759" s="287"/>
      <c r="E759" s="287"/>
      <c r="F759" s="287"/>
      <c r="G759" s="403"/>
      <c r="H759" s="305"/>
      <c r="I759" s="305"/>
      <c r="J759" s="305"/>
      <c r="K759" s="287"/>
    </row>
    <row r="760" spans="1:11" x14ac:dyDescent="0.25">
      <c r="A760" s="287"/>
      <c r="B760" s="287"/>
      <c r="C760" s="287"/>
      <c r="D760" s="287"/>
      <c r="E760" s="287"/>
      <c r="F760" s="287"/>
      <c r="G760" s="403"/>
      <c r="H760" s="305"/>
      <c r="I760" s="305"/>
      <c r="J760" s="305"/>
      <c r="K760" s="287"/>
    </row>
    <row r="761" spans="1:11" x14ac:dyDescent="0.25">
      <c r="A761" s="287"/>
      <c r="B761" s="287"/>
      <c r="C761" s="287"/>
      <c r="D761" s="287"/>
      <c r="E761" s="287"/>
      <c r="F761" s="287"/>
      <c r="G761" s="403"/>
      <c r="H761" s="305"/>
      <c r="I761" s="305"/>
      <c r="J761" s="305"/>
      <c r="K761" s="287"/>
    </row>
    <row r="762" spans="1:11" x14ac:dyDescent="0.25">
      <c r="A762" s="287"/>
      <c r="B762" s="287"/>
      <c r="C762" s="287"/>
      <c r="D762" s="287"/>
      <c r="E762" s="287"/>
      <c r="F762" s="287"/>
      <c r="G762" s="403"/>
      <c r="H762" s="305"/>
      <c r="I762" s="305"/>
      <c r="J762" s="305"/>
      <c r="K762" s="287"/>
    </row>
    <row r="763" spans="1:11" x14ac:dyDescent="0.25">
      <c r="A763" s="287"/>
      <c r="B763" s="287"/>
      <c r="C763" s="287"/>
      <c r="D763" s="287"/>
      <c r="E763" s="287"/>
      <c r="F763" s="287"/>
      <c r="G763" s="403"/>
      <c r="H763" s="305"/>
      <c r="I763" s="305"/>
      <c r="J763" s="305"/>
      <c r="K763" s="287"/>
    </row>
    <row r="764" spans="1:11" x14ac:dyDescent="0.25">
      <c r="A764" s="287"/>
      <c r="B764" s="287"/>
      <c r="C764" s="287"/>
      <c r="D764" s="287"/>
      <c r="E764" s="287"/>
      <c r="F764" s="287"/>
      <c r="G764" s="403"/>
      <c r="H764" s="305"/>
      <c r="I764" s="305"/>
      <c r="J764" s="305"/>
      <c r="K764" s="287"/>
    </row>
    <row r="765" spans="1:11" x14ac:dyDescent="0.25">
      <c r="A765" s="287"/>
      <c r="B765" s="287"/>
      <c r="C765" s="287"/>
      <c r="D765" s="287"/>
      <c r="E765" s="287"/>
      <c r="F765" s="287"/>
      <c r="G765" s="403"/>
      <c r="H765" s="305"/>
      <c r="I765" s="305"/>
      <c r="J765" s="305"/>
      <c r="K765" s="287"/>
    </row>
    <row r="766" spans="1:11" x14ac:dyDescent="0.25">
      <c r="A766" s="287"/>
      <c r="B766" s="287"/>
      <c r="C766" s="287"/>
      <c r="D766" s="287"/>
      <c r="E766" s="287"/>
      <c r="F766" s="287"/>
      <c r="G766" s="403"/>
      <c r="H766" s="305"/>
      <c r="I766" s="305"/>
      <c r="J766" s="305"/>
      <c r="K766" s="287"/>
    </row>
    <row r="767" spans="1:11" x14ac:dyDescent="0.25">
      <c r="A767" s="287"/>
      <c r="B767" s="287"/>
      <c r="C767" s="287"/>
      <c r="D767" s="287"/>
      <c r="E767" s="287"/>
      <c r="F767" s="287"/>
      <c r="G767" s="403"/>
      <c r="H767" s="305"/>
      <c r="I767" s="305"/>
      <c r="J767" s="305"/>
      <c r="K767" s="287"/>
    </row>
    <row r="768" spans="1:11" x14ac:dyDescent="0.25">
      <c r="A768" s="287"/>
      <c r="B768" s="287"/>
      <c r="C768" s="287"/>
      <c r="D768" s="287"/>
      <c r="E768" s="287"/>
      <c r="F768" s="287"/>
      <c r="G768" s="403"/>
      <c r="H768" s="305"/>
      <c r="I768" s="305"/>
      <c r="J768" s="305"/>
      <c r="K768" s="287"/>
    </row>
    <row r="769" spans="1:11" x14ac:dyDescent="0.25">
      <c r="A769" s="287"/>
      <c r="B769" s="287"/>
      <c r="C769" s="287"/>
      <c r="D769" s="287"/>
      <c r="E769" s="287"/>
      <c r="F769" s="287"/>
      <c r="G769" s="403"/>
      <c r="H769" s="305"/>
      <c r="I769" s="305"/>
      <c r="J769" s="305"/>
      <c r="K769" s="287"/>
    </row>
    <row r="770" spans="1:11" x14ac:dyDescent="0.25">
      <c r="A770" s="287"/>
      <c r="B770" s="287"/>
      <c r="C770" s="287"/>
      <c r="D770" s="287"/>
      <c r="E770" s="287"/>
      <c r="F770" s="287"/>
      <c r="G770" s="403"/>
      <c r="H770" s="305"/>
      <c r="I770" s="305"/>
      <c r="J770" s="305"/>
      <c r="K770" s="287"/>
    </row>
    <row r="771" spans="1:11" x14ac:dyDescent="0.25">
      <c r="A771" s="287"/>
      <c r="B771" s="287"/>
      <c r="C771" s="287"/>
      <c r="D771" s="287"/>
      <c r="E771" s="287"/>
      <c r="F771" s="287"/>
      <c r="G771" s="403"/>
      <c r="H771" s="305"/>
      <c r="I771" s="305"/>
      <c r="J771" s="305"/>
      <c r="K771" s="287"/>
    </row>
    <row r="772" spans="1:11" x14ac:dyDescent="0.25">
      <c r="A772" s="287"/>
      <c r="B772" s="287"/>
      <c r="C772" s="287"/>
      <c r="D772" s="287"/>
      <c r="E772" s="287"/>
      <c r="F772" s="287"/>
      <c r="G772" s="403"/>
      <c r="H772" s="305"/>
      <c r="I772" s="305"/>
      <c r="J772" s="305"/>
      <c r="K772" s="287"/>
    </row>
    <row r="773" spans="1:11" x14ac:dyDescent="0.25">
      <c r="A773" s="287"/>
      <c r="B773" s="287"/>
      <c r="C773" s="287"/>
      <c r="D773" s="287"/>
      <c r="E773" s="287"/>
      <c r="F773" s="287"/>
      <c r="G773" s="403"/>
      <c r="H773" s="305"/>
      <c r="I773" s="305"/>
      <c r="J773" s="305"/>
      <c r="K773" s="287"/>
    </row>
    <row r="774" spans="1:11" x14ac:dyDescent="0.25">
      <c r="A774" s="287"/>
      <c r="B774" s="287"/>
      <c r="C774" s="287"/>
      <c r="D774" s="287"/>
      <c r="E774" s="287"/>
      <c r="F774" s="287"/>
      <c r="G774" s="403"/>
      <c r="H774" s="305"/>
      <c r="I774" s="305"/>
      <c r="J774" s="305"/>
      <c r="K774" s="287"/>
    </row>
    <row r="775" spans="1:11" x14ac:dyDescent="0.25">
      <c r="A775" s="287"/>
      <c r="B775" s="287"/>
      <c r="C775" s="287"/>
      <c r="D775" s="287"/>
      <c r="E775" s="287"/>
      <c r="F775" s="287"/>
      <c r="G775" s="403"/>
      <c r="H775" s="305"/>
      <c r="I775" s="305"/>
      <c r="J775" s="305"/>
      <c r="K775" s="287"/>
    </row>
    <row r="776" spans="1:11" x14ac:dyDescent="0.25">
      <c r="A776" s="287"/>
      <c r="B776" s="287"/>
      <c r="C776" s="287"/>
      <c r="D776" s="287"/>
      <c r="E776" s="287"/>
      <c r="F776" s="287"/>
      <c r="G776" s="403"/>
      <c r="H776" s="305"/>
      <c r="I776" s="305"/>
      <c r="J776" s="305"/>
      <c r="K776" s="287"/>
    </row>
    <row r="777" spans="1:11" x14ac:dyDescent="0.25">
      <c r="A777" s="287"/>
      <c r="B777" s="287"/>
      <c r="C777" s="287"/>
      <c r="D777" s="287"/>
      <c r="E777" s="287"/>
      <c r="F777" s="287"/>
      <c r="G777" s="403"/>
      <c r="H777" s="305"/>
      <c r="I777" s="305"/>
      <c r="J777" s="305"/>
      <c r="K777" s="287"/>
    </row>
    <row r="778" spans="1:11" x14ac:dyDescent="0.25">
      <c r="A778" s="287"/>
      <c r="B778" s="287"/>
      <c r="C778" s="287"/>
      <c r="D778" s="287"/>
      <c r="E778" s="287"/>
      <c r="F778" s="287"/>
      <c r="G778" s="403"/>
      <c r="H778" s="305"/>
      <c r="I778" s="305"/>
      <c r="J778" s="305"/>
      <c r="K778" s="287"/>
    </row>
    <row r="779" spans="1:11" x14ac:dyDescent="0.25">
      <c r="A779" s="287"/>
      <c r="B779" s="287"/>
      <c r="C779" s="287"/>
      <c r="D779" s="287"/>
      <c r="E779" s="287"/>
      <c r="F779" s="287"/>
      <c r="G779" s="403"/>
      <c r="H779" s="305"/>
      <c r="I779" s="305"/>
      <c r="J779" s="305"/>
      <c r="K779" s="287"/>
    </row>
    <row r="780" spans="1:11" x14ac:dyDescent="0.25">
      <c r="A780" s="287"/>
      <c r="B780" s="287"/>
      <c r="C780" s="287"/>
      <c r="D780" s="287"/>
      <c r="E780" s="287"/>
      <c r="F780" s="287"/>
      <c r="G780" s="403"/>
      <c r="H780" s="305"/>
      <c r="I780" s="305"/>
      <c r="J780" s="305"/>
      <c r="K780" s="287"/>
    </row>
    <row r="781" spans="1:11" x14ac:dyDescent="0.25">
      <c r="A781" s="287"/>
      <c r="B781" s="287"/>
      <c r="C781" s="287"/>
      <c r="D781" s="287"/>
      <c r="E781" s="287"/>
      <c r="F781" s="287"/>
      <c r="G781" s="403"/>
      <c r="H781" s="305"/>
      <c r="I781" s="305"/>
      <c r="J781" s="305"/>
      <c r="K781" s="287"/>
    </row>
    <row r="782" spans="1:11" x14ac:dyDescent="0.25">
      <c r="A782" s="287"/>
      <c r="B782" s="287"/>
      <c r="C782" s="287"/>
      <c r="D782" s="287"/>
      <c r="E782" s="287"/>
      <c r="F782" s="287"/>
      <c r="G782" s="403"/>
      <c r="H782" s="305"/>
      <c r="I782" s="305"/>
      <c r="J782" s="305"/>
      <c r="K782" s="287"/>
    </row>
    <row r="783" spans="1:11" x14ac:dyDescent="0.25">
      <c r="A783" s="287"/>
      <c r="B783" s="287"/>
      <c r="C783" s="287"/>
      <c r="D783" s="287"/>
      <c r="E783" s="287"/>
      <c r="F783" s="287"/>
      <c r="G783" s="403"/>
      <c r="H783" s="305"/>
      <c r="I783" s="305"/>
      <c r="J783" s="305"/>
      <c r="K783" s="287"/>
    </row>
    <row r="784" spans="1:11" x14ac:dyDescent="0.25">
      <c r="A784" s="287"/>
      <c r="B784" s="287"/>
      <c r="C784" s="287"/>
      <c r="D784" s="287"/>
      <c r="E784" s="287"/>
      <c r="F784" s="287"/>
      <c r="G784" s="403"/>
      <c r="H784" s="305"/>
      <c r="I784" s="305"/>
      <c r="J784" s="305"/>
      <c r="K784" s="287"/>
    </row>
    <row r="785" spans="1:11" x14ac:dyDescent="0.25">
      <c r="A785" s="287"/>
      <c r="B785" s="287"/>
      <c r="C785" s="287"/>
      <c r="D785" s="287"/>
      <c r="E785" s="287"/>
      <c r="F785" s="287"/>
      <c r="G785" s="403"/>
      <c r="H785" s="305"/>
      <c r="I785" s="305"/>
      <c r="J785" s="305"/>
      <c r="K785" s="287"/>
    </row>
    <row r="786" spans="1:11" x14ac:dyDescent="0.25">
      <c r="A786" s="287"/>
      <c r="B786" s="287"/>
      <c r="C786" s="287"/>
      <c r="D786" s="287"/>
      <c r="E786" s="287"/>
      <c r="F786" s="287"/>
      <c r="G786" s="403"/>
      <c r="H786" s="305"/>
      <c r="I786" s="305"/>
      <c r="J786" s="305"/>
      <c r="K786" s="287"/>
    </row>
    <row r="787" spans="1:11" x14ac:dyDescent="0.25">
      <c r="A787" s="287"/>
      <c r="B787" s="287"/>
      <c r="C787" s="287"/>
      <c r="D787" s="287"/>
      <c r="E787" s="287"/>
      <c r="F787" s="287"/>
      <c r="G787" s="403"/>
      <c r="H787" s="305"/>
      <c r="I787" s="305"/>
      <c r="J787" s="305"/>
      <c r="K787" s="287"/>
    </row>
    <row r="788" spans="1:11" x14ac:dyDescent="0.25">
      <c r="A788" s="287"/>
      <c r="B788" s="287"/>
      <c r="C788" s="287"/>
      <c r="D788" s="287"/>
      <c r="E788" s="287"/>
      <c r="F788" s="287"/>
      <c r="G788" s="403"/>
      <c r="H788" s="305"/>
      <c r="I788" s="305"/>
      <c r="J788" s="305"/>
      <c r="K788" s="287"/>
    </row>
    <row r="789" spans="1:11" x14ac:dyDescent="0.25">
      <c r="A789" s="287"/>
      <c r="B789" s="287"/>
      <c r="C789" s="287"/>
      <c r="D789" s="287"/>
      <c r="E789" s="287"/>
      <c r="F789" s="287"/>
      <c r="G789" s="403"/>
      <c r="H789" s="305"/>
      <c r="I789" s="305"/>
      <c r="J789" s="305"/>
      <c r="K789" s="287"/>
    </row>
    <row r="790" spans="1:11" x14ac:dyDescent="0.25">
      <c r="A790" s="287"/>
      <c r="B790" s="287"/>
      <c r="C790" s="287"/>
      <c r="D790" s="287"/>
      <c r="E790" s="287"/>
      <c r="F790" s="287"/>
      <c r="G790" s="403"/>
      <c r="H790" s="305"/>
      <c r="I790" s="305"/>
      <c r="J790" s="305"/>
      <c r="K790" s="287"/>
    </row>
    <row r="791" spans="1:11" x14ac:dyDescent="0.25">
      <c r="A791" s="287"/>
      <c r="B791" s="287"/>
      <c r="C791" s="287"/>
      <c r="D791" s="287"/>
      <c r="E791" s="287"/>
      <c r="F791" s="287"/>
      <c r="G791" s="403"/>
      <c r="H791" s="305"/>
      <c r="I791" s="305"/>
      <c r="J791" s="305"/>
      <c r="K791" s="287"/>
    </row>
    <row r="792" spans="1:11" x14ac:dyDescent="0.25">
      <c r="A792" s="287"/>
      <c r="B792" s="287"/>
      <c r="C792" s="287"/>
      <c r="D792" s="287"/>
      <c r="E792" s="287"/>
      <c r="F792" s="287"/>
      <c r="G792" s="403"/>
      <c r="H792" s="305"/>
      <c r="I792" s="305"/>
      <c r="J792" s="305"/>
      <c r="K792" s="287"/>
    </row>
    <row r="793" spans="1:11" x14ac:dyDescent="0.25">
      <c r="A793" s="287"/>
      <c r="B793" s="287"/>
      <c r="C793" s="287"/>
      <c r="D793" s="287"/>
      <c r="E793" s="287"/>
      <c r="F793" s="287"/>
      <c r="G793" s="403"/>
      <c r="H793" s="305"/>
      <c r="I793" s="305"/>
      <c r="J793" s="305"/>
      <c r="K793" s="287"/>
    </row>
    <row r="794" spans="1:11" x14ac:dyDescent="0.25">
      <c r="A794" s="287"/>
      <c r="B794" s="287"/>
      <c r="C794" s="287"/>
      <c r="D794" s="287"/>
      <c r="E794" s="287"/>
      <c r="F794" s="287"/>
      <c r="G794" s="403"/>
      <c r="H794" s="305"/>
      <c r="I794" s="305"/>
      <c r="J794" s="305"/>
      <c r="K794" s="287"/>
    </row>
    <row r="795" spans="1:11" x14ac:dyDescent="0.25">
      <c r="A795" s="287"/>
      <c r="B795" s="287"/>
      <c r="C795" s="287"/>
      <c r="D795" s="287"/>
      <c r="E795" s="287"/>
      <c r="F795" s="287"/>
      <c r="G795" s="403"/>
      <c r="H795" s="305"/>
      <c r="I795" s="305"/>
      <c r="J795" s="305"/>
      <c r="K795" s="287"/>
    </row>
    <row r="796" spans="1:11" x14ac:dyDescent="0.25">
      <c r="A796" s="287"/>
      <c r="B796" s="287"/>
      <c r="C796" s="287"/>
      <c r="D796" s="287"/>
      <c r="E796" s="287"/>
      <c r="F796" s="287"/>
      <c r="G796" s="403"/>
      <c r="H796" s="305"/>
      <c r="I796" s="305"/>
      <c r="J796" s="305"/>
      <c r="K796" s="287"/>
    </row>
    <row r="797" spans="1:11" x14ac:dyDescent="0.25">
      <c r="A797" s="287"/>
      <c r="B797" s="287"/>
      <c r="C797" s="287"/>
      <c r="D797" s="287"/>
      <c r="E797" s="287"/>
      <c r="F797" s="287"/>
      <c r="G797" s="403"/>
      <c r="H797" s="305"/>
      <c r="I797" s="305"/>
      <c r="J797" s="305"/>
      <c r="K797" s="287"/>
    </row>
    <row r="798" spans="1:11" x14ac:dyDescent="0.25">
      <c r="A798" s="287"/>
      <c r="B798" s="287"/>
      <c r="C798" s="287"/>
      <c r="D798" s="287"/>
      <c r="E798" s="287"/>
      <c r="F798" s="287"/>
      <c r="G798" s="403"/>
      <c r="H798" s="305"/>
      <c r="I798" s="305"/>
      <c r="J798" s="305"/>
      <c r="K798" s="287"/>
    </row>
    <row r="799" spans="1:11" x14ac:dyDescent="0.25">
      <c r="A799" s="287"/>
      <c r="B799" s="287"/>
      <c r="C799" s="287"/>
      <c r="D799" s="287"/>
      <c r="E799" s="287"/>
      <c r="F799" s="287"/>
      <c r="G799" s="403"/>
      <c r="H799" s="305"/>
      <c r="I799" s="305"/>
      <c r="J799" s="305"/>
      <c r="K799" s="287"/>
    </row>
    <row r="800" spans="1:11" x14ac:dyDescent="0.25">
      <c r="A800" s="287"/>
      <c r="B800" s="287"/>
      <c r="C800" s="287"/>
      <c r="D800" s="287"/>
      <c r="E800" s="287"/>
      <c r="F800" s="287"/>
      <c r="G800" s="403"/>
      <c r="H800" s="305"/>
      <c r="I800" s="305"/>
      <c r="J800" s="305"/>
      <c r="K800" s="287"/>
    </row>
    <row r="801" spans="1:11" x14ac:dyDescent="0.25">
      <c r="A801" s="287"/>
      <c r="B801" s="287"/>
      <c r="C801" s="287"/>
      <c r="D801" s="287"/>
      <c r="E801" s="287"/>
      <c r="F801" s="287"/>
      <c r="G801" s="403"/>
      <c r="H801" s="305"/>
      <c r="I801" s="305"/>
      <c r="J801" s="305"/>
      <c r="K801" s="287"/>
    </row>
    <row r="802" spans="1:11" x14ac:dyDescent="0.25">
      <c r="A802" s="287"/>
      <c r="B802" s="287"/>
      <c r="C802" s="287"/>
      <c r="D802" s="287"/>
      <c r="E802" s="287"/>
      <c r="F802" s="287"/>
      <c r="G802" s="403"/>
      <c r="H802" s="305"/>
      <c r="I802" s="305"/>
      <c r="J802" s="305"/>
      <c r="K802" s="287"/>
    </row>
    <row r="803" spans="1:11" x14ac:dyDescent="0.25">
      <c r="A803" s="287"/>
      <c r="B803" s="287"/>
      <c r="C803" s="287"/>
      <c r="D803" s="287"/>
      <c r="E803" s="287"/>
      <c r="F803" s="287"/>
      <c r="G803" s="403"/>
      <c r="H803" s="305"/>
      <c r="I803" s="305"/>
      <c r="J803" s="305"/>
      <c r="K803" s="287"/>
    </row>
    <row r="804" spans="1:11" x14ac:dyDescent="0.25">
      <c r="A804" s="287"/>
      <c r="B804" s="287"/>
      <c r="C804" s="287"/>
      <c r="D804" s="287"/>
      <c r="E804" s="287"/>
      <c r="F804" s="287"/>
      <c r="G804" s="403"/>
      <c r="H804" s="305"/>
      <c r="I804" s="305"/>
      <c r="J804" s="305"/>
      <c r="K804" s="287"/>
    </row>
    <row r="805" spans="1:11" x14ac:dyDescent="0.25">
      <c r="A805" s="287"/>
      <c r="B805" s="287"/>
      <c r="C805" s="287"/>
      <c r="D805" s="287"/>
      <c r="E805" s="287"/>
      <c r="F805" s="287"/>
      <c r="G805" s="403"/>
      <c r="H805" s="305"/>
      <c r="I805" s="305"/>
      <c r="J805" s="305"/>
      <c r="K805" s="287"/>
    </row>
    <row r="806" spans="1:11" x14ac:dyDescent="0.25">
      <c r="A806" s="287"/>
      <c r="B806" s="287"/>
      <c r="C806" s="287"/>
      <c r="D806" s="287"/>
      <c r="E806" s="287"/>
      <c r="F806" s="287"/>
      <c r="G806" s="403"/>
      <c r="H806" s="305"/>
      <c r="I806" s="305"/>
      <c r="J806" s="305"/>
      <c r="K806" s="287"/>
    </row>
    <row r="807" spans="1:11" x14ac:dyDescent="0.25">
      <c r="A807" s="287"/>
      <c r="B807" s="287"/>
      <c r="C807" s="287"/>
      <c r="D807" s="287"/>
      <c r="E807" s="287"/>
      <c r="F807" s="287"/>
      <c r="G807" s="403"/>
      <c r="H807" s="305"/>
      <c r="I807" s="305"/>
      <c r="J807" s="305"/>
      <c r="K807" s="287"/>
    </row>
    <row r="808" spans="1:11" x14ac:dyDescent="0.25">
      <c r="A808" s="287"/>
      <c r="B808" s="287"/>
      <c r="C808" s="287"/>
      <c r="D808" s="287"/>
      <c r="E808" s="287"/>
      <c r="F808" s="287"/>
      <c r="G808" s="403"/>
      <c r="H808" s="305"/>
      <c r="I808" s="305"/>
      <c r="J808" s="305"/>
      <c r="K808" s="287"/>
    </row>
    <row r="809" spans="1:11" x14ac:dyDescent="0.25">
      <c r="A809" s="287"/>
      <c r="B809" s="287"/>
      <c r="C809" s="287"/>
      <c r="D809" s="287"/>
      <c r="E809" s="287"/>
      <c r="F809" s="287"/>
      <c r="G809" s="403"/>
      <c r="H809" s="305"/>
      <c r="I809" s="305"/>
      <c r="J809" s="305"/>
      <c r="K809" s="287"/>
    </row>
    <row r="810" spans="1:11" x14ac:dyDescent="0.25">
      <c r="A810" s="287"/>
      <c r="B810" s="287"/>
      <c r="C810" s="287"/>
      <c r="D810" s="287"/>
      <c r="E810" s="287"/>
      <c r="F810" s="287"/>
      <c r="G810" s="403"/>
      <c r="H810" s="305"/>
      <c r="I810" s="305"/>
      <c r="J810" s="305"/>
      <c r="K810" s="287"/>
    </row>
    <row r="811" spans="1:11" x14ac:dyDescent="0.25">
      <c r="A811" s="287"/>
      <c r="B811" s="287"/>
      <c r="C811" s="287"/>
      <c r="D811" s="287"/>
      <c r="E811" s="287"/>
      <c r="F811" s="287"/>
      <c r="G811" s="403"/>
      <c r="H811" s="305"/>
      <c r="I811" s="305"/>
      <c r="J811" s="305"/>
      <c r="K811" s="287"/>
    </row>
    <row r="812" spans="1:11" x14ac:dyDescent="0.25">
      <c r="A812" s="287"/>
      <c r="B812" s="287"/>
      <c r="C812" s="287"/>
      <c r="D812" s="287"/>
      <c r="E812" s="287"/>
      <c r="F812" s="287"/>
      <c r="G812" s="403"/>
      <c r="H812" s="305"/>
      <c r="I812" s="305"/>
      <c r="J812" s="305"/>
      <c r="K812" s="287"/>
    </row>
    <row r="813" spans="1:11" x14ac:dyDescent="0.25">
      <c r="A813" s="287"/>
      <c r="B813" s="287"/>
      <c r="C813" s="287"/>
      <c r="D813" s="287"/>
      <c r="E813" s="287"/>
      <c r="F813" s="287"/>
      <c r="G813" s="403"/>
      <c r="H813" s="305"/>
      <c r="I813" s="305"/>
      <c r="J813" s="305"/>
      <c r="K813" s="287"/>
    </row>
    <row r="814" spans="1:11" x14ac:dyDescent="0.25">
      <c r="A814" s="287"/>
      <c r="B814" s="287"/>
      <c r="C814" s="287"/>
      <c r="D814" s="287"/>
      <c r="E814" s="287"/>
      <c r="F814" s="287"/>
      <c r="G814" s="403"/>
      <c r="H814" s="305"/>
      <c r="I814" s="305"/>
      <c r="J814" s="305"/>
      <c r="K814" s="287"/>
    </row>
    <row r="815" spans="1:11" x14ac:dyDescent="0.25">
      <c r="A815" s="287"/>
      <c r="B815" s="287"/>
      <c r="C815" s="287"/>
      <c r="D815" s="287"/>
      <c r="E815" s="287"/>
      <c r="F815" s="287"/>
      <c r="G815" s="403"/>
      <c r="H815" s="305"/>
      <c r="I815" s="305"/>
      <c r="J815" s="305"/>
      <c r="K815" s="287"/>
    </row>
    <row r="816" spans="1:11" x14ac:dyDescent="0.25">
      <c r="A816" s="287"/>
      <c r="B816" s="287"/>
      <c r="C816" s="287"/>
      <c r="D816" s="287"/>
      <c r="E816" s="287"/>
      <c r="F816" s="287"/>
      <c r="G816" s="403"/>
      <c r="H816" s="305"/>
      <c r="I816" s="305"/>
      <c r="J816" s="305"/>
      <c r="K816" s="287"/>
    </row>
    <row r="817" spans="1:11" x14ac:dyDescent="0.25">
      <c r="A817" s="287"/>
      <c r="B817" s="287"/>
      <c r="C817" s="287"/>
      <c r="D817" s="287"/>
      <c r="E817" s="287"/>
      <c r="F817" s="287"/>
      <c r="G817" s="403"/>
      <c r="H817" s="305"/>
      <c r="I817" s="305"/>
      <c r="J817" s="305"/>
      <c r="K817" s="287"/>
    </row>
    <row r="818" spans="1:11" x14ac:dyDescent="0.25">
      <c r="A818" s="287"/>
      <c r="B818" s="287"/>
      <c r="C818" s="287"/>
      <c r="D818" s="287"/>
      <c r="E818" s="287"/>
      <c r="F818" s="287"/>
      <c r="G818" s="403"/>
      <c r="H818" s="305"/>
      <c r="I818" s="305"/>
      <c r="J818" s="305"/>
      <c r="K818" s="287"/>
    </row>
    <row r="819" spans="1:11" x14ac:dyDescent="0.25">
      <c r="A819" s="287"/>
      <c r="B819" s="287"/>
      <c r="C819" s="287"/>
      <c r="D819" s="287"/>
      <c r="E819" s="287"/>
      <c r="F819" s="287"/>
      <c r="G819" s="403"/>
      <c r="H819" s="305"/>
      <c r="I819" s="305"/>
      <c r="J819" s="305"/>
      <c r="K819" s="287"/>
    </row>
    <row r="820" spans="1:11" x14ac:dyDescent="0.25">
      <c r="A820" s="287"/>
      <c r="B820" s="287"/>
      <c r="C820" s="287"/>
      <c r="D820" s="287"/>
      <c r="E820" s="287"/>
      <c r="F820" s="287"/>
      <c r="G820" s="403"/>
      <c r="H820" s="305"/>
      <c r="I820" s="305"/>
      <c r="J820" s="305"/>
      <c r="K820" s="287"/>
    </row>
    <row r="821" spans="1:11" x14ac:dyDescent="0.25">
      <c r="A821" s="287"/>
      <c r="B821" s="287"/>
      <c r="C821" s="287"/>
      <c r="D821" s="287"/>
      <c r="E821" s="287"/>
      <c r="F821" s="287"/>
      <c r="G821" s="403"/>
      <c r="H821" s="305"/>
      <c r="I821" s="305"/>
      <c r="J821" s="305"/>
      <c r="K821" s="287"/>
    </row>
    <row r="822" spans="1:11" x14ac:dyDescent="0.25">
      <c r="A822" s="287"/>
      <c r="B822" s="287"/>
      <c r="C822" s="287"/>
      <c r="D822" s="287"/>
      <c r="E822" s="287"/>
      <c r="F822" s="287"/>
      <c r="G822" s="403"/>
      <c r="H822" s="305"/>
      <c r="I822" s="305"/>
      <c r="J822" s="305"/>
      <c r="K822" s="287"/>
    </row>
    <row r="823" spans="1:11" x14ac:dyDescent="0.25">
      <c r="A823" s="287"/>
      <c r="B823" s="287"/>
      <c r="C823" s="287"/>
      <c r="D823" s="287"/>
      <c r="E823" s="287"/>
      <c r="F823" s="287"/>
      <c r="G823" s="403"/>
      <c r="H823" s="305"/>
      <c r="I823" s="305"/>
      <c r="J823" s="305"/>
      <c r="K823" s="287"/>
    </row>
    <row r="824" spans="1:11" x14ac:dyDescent="0.25">
      <c r="A824" s="287"/>
      <c r="B824" s="287"/>
      <c r="C824" s="287"/>
      <c r="D824" s="287"/>
      <c r="E824" s="287"/>
      <c r="F824" s="287"/>
      <c r="G824" s="403"/>
      <c r="H824" s="305"/>
      <c r="I824" s="305"/>
      <c r="J824" s="305"/>
      <c r="K824" s="287"/>
    </row>
    <row r="825" spans="1:11" x14ac:dyDescent="0.25">
      <c r="A825" s="287"/>
      <c r="B825" s="287"/>
      <c r="C825" s="287"/>
      <c r="D825" s="287"/>
      <c r="E825" s="287"/>
      <c r="F825" s="287"/>
      <c r="G825" s="403"/>
      <c r="H825" s="305"/>
      <c r="I825" s="305"/>
      <c r="J825" s="305"/>
      <c r="K825" s="287"/>
    </row>
    <row r="826" spans="1:11" x14ac:dyDescent="0.25">
      <c r="A826" s="287"/>
      <c r="B826" s="287"/>
      <c r="C826" s="287"/>
      <c r="D826" s="287"/>
      <c r="E826" s="287"/>
      <c r="F826" s="287"/>
      <c r="G826" s="403"/>
      <c r="H826" s="305"/>
      <c r="I826" s="305"/>
      <c r="J826" s="305"/>
      <c r="K826" s="287"/>
    </row>
    <row r="827" spans="1:11" x14ac:dyDescent="0.25">
      <c r="A827" s="287"/>
      <c r="B827" s="287"/>
      <c r="C827" s="287"/>
      <c r="D827" s="287"/>
      <c r="E827" s="287"/>
      <c r="F827" s="287"/>
      <c r="G827" s="403"/>
      <c r="H827" s="305"/>
      <c r="I827" s="305"/>
      <c r="J827" s="305"/>
      <c r="K827" s="287"/>
    </row>
    <row r="828" spans="1:11" x14ac:dyDescent="0.25">
      <c r="A828" s="287"/>
      <c r="B828" s="287"/>
      <c r="C828" s="287"/>
      <c r="D828" s="287"/>
      <c r="E828" s="287"/>
      <c r="F828" s="287"/>
      <c r="G828" s="403"/>
      <c r="H828" s="305"/>
      <c r="I828" s="305"/>
      <c r="J828" s="305"/>
      <c r="K828" s="287"/>
    </row>
    <row r="829" spans="1:11" x14ac:dyDescent="0.25">
      <c r="A829" s="287"/>
      <c r="B829" s="287"/>
      <c r="C829" s="287"/>
      <c r="D829" s="287"/>
      <c r="E829" s="287"/>
      <c r="F829" s="287"/>
      <c r="G829" s="403"/>
      <c r="H829" s="305"/>
      <c r="I829" s="305"/>
      <c r="J829" s="305"/>
      <c r="K829" s="287"/>
    </row>
    <row r="830" spans="1:11" x14ac:dyDescent="0.25">
      <c r="A830" s="287"/>
      <c r="B830" s="287"/>
      <c r="C830" s="287"/>
      <c r="D830" s="287"/>
      <c r="E830" s="287"/>
      <c r="F830" s="287"/>
      <c r="G830" s="403"/>
      <c r="H830" s="305"/>
      <c r="I830" s="305"/>
      <c r="J830" s="305"/>
      <c r="K830" s="287"/>
    </row>
    <row r="831" spans="1:11" x14ac:dyDescent="0.25">
      <c r="A831" s="287"/>
      <c r="B831" s="287"/>
      <c r="C831" s="287"/>
      <c r="D831" s="287"/>
      <c r="E831" s="287"/>
      <c r="F831" s="287"/>
      <c r="G831" s="403"/>
      <c r="H831" s="305"/>
      <c r="I831" s="305"/>
      <c r="J831" s="305"/>
      <c r="K831" s="287"/>
    </row>
    <row r="832" spans="1:11" x14ac:dyDescent="0.25">
      <c r="A832" s="287"/>
      <c r="B832" s="287"/>
      <c r="C832" s="287"/>
      <c r="D832" s="287"/>
      <c r="E832" s="287"/>
      <c r="F832" s="287"/>
      <c r="G832" s="403"/>
      <c r="H832" s="305"/>
      <c r="I832" s="305"/>
      <c r="J832" s="305"/>
      <c r="K832" s="287"/>
    </row>
    <row r="833" spans="1:11" x14ac:dyDescent="0.25">
      <c r="A833" s="287"/>
      <c r="B833" s="287"/>
      <c r="C833" s="287"/>
      <c r="D833" s="287"/>
      <c r="E833" s="287"/>
      <c r="F833" s="287"/>
      <c r="G833" s="403"/>
      <c r="H833" s="305"/>
      <c r="I833" s="305"/>
      <c r="J833" s="305"/>
      <c r="K833" s="287"/>
    </row>
    <row r="834" spans="1:11" x14ac:dyDescent="0.25">
      <c r="A834" s="287"/>
      <c r="B834" s="287"/>
      <c r="C834" s="287"/>
      <c r="D834" s="287"/>
      <c r="E834" s="287"/>
      <c r="F834" s="287"/>
      <c r="G834" s="403"/>
      <c r="H834" s="305"/>
      <c r="I834" s="305"/>
      <c r="J834" s="305"/>
      <c r="K834" s="287"/>
    </row>
    <row r="835" spans="1:11" x14ac:dyDescent="0.25">
      <c r="A835" s="287"/>
      <c r="B835" s="287"/>
      <c r="C835" s="287"/>
      <c r="D835" s="287"/>
      <c r="E835" s="287"/>
      <c r="F835" s="287"/>
      <c r="G835" s="403"/>
      <c r="H835" s="305"/>
      <c r="I835" s="305"/>
      <c r="J835" s="305"/>
      <c r="K835" s="287"/>
    </row>
    <row r="836" spans="1:11" x14ac:dyDescent="0.25">
      <c r="A836" s="287"/>
      <c r="B836" s="287"/>
      <c r="C836" s="287"/>
      <c r="D836" s="287"/>
      <c r="E836" s="287"/>
      <c r="F836" s="287"/>
      <c r="G836" s="403"/>
      <c r="H836" s="305"/>
      <c r="I836" s="305"/>
      <c r="J836" s="305"/>
      <c r="K836" s="287"/>
    </row>
    <row r="837" spans="1:11" x14ac:dyDescent="0.25">
      <c r="A837" s="287"/>
      <c r="B837" s="287"/>
      <c r="C837" s="287"/>
      <c r="D837" s="287"/>
      <c r="E837" s="287"/>
      <c r="F837" s="287"/>
      <c r="G837" s="403"/>
      <c r="H837" s="305"/>
      <c r="I837" s="305"/>
      <c r="J837" s="305"/>
      <c r="K837" s="287"/>
    </row>
    <row r="838" spans="1:11" x14ac:dyDescent="0.25">
      <c r="A838" s="287"/>
      <c r="B838" s="287"/>
      <c r="C838" s="287"/>
      <c r="D838" s="287"/>
      <c r="E838" s="287"/>
      <c r="F838" s="287"/>
      <c r="G838" s="403"/>
      <c r="H838" s="305"/>
      <c r="I838" s="305"/>
      <c r="J838" s="305"/>
      <c r="K838" s="287"/>
    </row>
    <row r="839" spans="1:11" x14ac:dyDescent="0.25">
      <c r="A839" s="287"/>
      <c r="B839" s="287"/>
      <c r="C839" s="287"/>
      <c r="D839" s="287"/>
      <c r="E839" s="287"/>
      <c r="F839" s="287"/>
      <c r="G839" s="403"/>
      <c r="H839" s="305"/>
      <c r="I839" s="305"/>
      <c r="J839" s="305"/>
      <c r="K839" s="287"/>
    </row>
    <row r="840" spans="1:11" x14ac:dyDescent="0.25">
      <c r="A840" s="287"/>
      <c r="B840" s="287"/>
      <c r="C840" s="287"/>
      <c r="D840" s="287"/>
      <c r="E840" s="287"/>
      <c r="F840" s="287"/>
      <c r="G840" s="403"/>
      <c r="H840" s="305"/>
      <c r="I840" s="305"/>
      <c r="J840" s="305"/>
      <c r="K840" s="287"/>
    </row>
    <row r="841" spans="1:11" x14ac:dyDescent="0.25">
      <c r="A841" s="287"/>
      <c r="B841" s="287"/>
      <c r="C841" s="287"/>
      <c r="D841" s="287"/>
      <c r="E841" s="287"/>
      <c r="F841" s="287"/>
      <c r="G841" s="403"/>
      <c r="H841" s="305"/>
      <c r="I841" s="305"/>
      <c r="J841" s="305"/>
      <c r="K841" s="287"/>
    </row>
    <row r="842" spans="1:11" x14ac:dyDescent="0.25">
      <c r="A842" s="287"/>
      <c r="B842" s="287"/>
      <c r="C842" s="287"/>
      <c r="D842" s="287"/>
      <c r="E842" s="287"/>
      <c r="F842" s="287"/>
      <c r="G842" s="403"/>
      <c r="H842" s="305"/>
      <c r="I842" s="305"/>
      <c r="J842" s="305"/>
      <c r="K842" s="287"/>
    </row>
    <row r="843" spans="1:11" x14ac:dyDescent="0.25">
      <c r="A843" s="287"/>
      <c r="B843" s="287"/>
      <c r="C843" s="287"/>
      <c r="D843" s="287"/>
      <c r="E843" s="287"/>
      <c r="F843" s="287"/>
      <c r="G843" s="403"/>
      <c r="H843" s="305"/>
      <c r="I843" s="305"/>
      <c r="J843" s="305"/>
      <c r="K843" s="287"/>
    </row>
    <row r="844" spans="1:11" x14ac:dyDescent="0.25">
      <c r="A844" s="287"/>
      <c r="B844" s="287"/>
      <c r="C844" s="287"/>
      <c r="D844" s="287"/>
      <c r="E844" s="287"/>
      <c r="F844" s="287"/>
      <c r="G844" s="403"/>
      <c r="H844" s="305"/>
      <c r="I844" s="305"/>
      <c r="J844" s="305"/>
      <c r="K844" s="287"/>
    </row>
    <row r="845" spans="1:11" x14ac:dyDescent="0.25">
      <c r="A845" s="287"/>
      <c r="B845" s="287"/>
      <c r="C845" s="287"/>
      <c r="D845" s="287"/>
      <c r="E845" s="287"/>
      <c r="F845" s="287"/>
      <c r="G845" s="403"/>
      <c r="H845" s="305"/>
      <c r="I845" s="305"/>
      <c r="J845" s="305"/>
      <c r="K845" s="287"/>
    </row>
    <row r="846" spans="1:11" x14ac:dyDescent="0.25">
      <c r="A846" s="287"/>
      <c r="B846" s="287"/>
      <c r="C846" s="287"/>
      <c r="D846" s="287"/>
      <c r="E846" s="287"/>
      <c r="F846" s="287"/>
      <c r="G846" s="403"/>
      <c r="H846" s="305"/>
      <c r="I846" s="305"/>
      <c r="J846" s="305"/>
      <c r="K846" s="287"/>
    </row>
    <row r="847" spans="1:11" x14ac:dyDescent="0.25">
      <c r="A847" s="287"/>
      <c r="B847" s="287"/>
      <c r="C847" s="287"/>
      <c r="D847" s="287"/>
      <c r="E847" s="287"/>
      <c r="F847" s="287"/>
      <c r="G847" s="403"/>
      <c r="H847" s="305"/>
      <c r="I847" s="305"/>
      <c r="J847" s="305"/>
      <c r="K847" s="287"/>
    </row>
    <row r="848" spans="1:11" x14ac:dyDescent="0.25">
      <c r="A848" s="287"/>
      <c r="B848" s="287"/>
      <c r="C848" s="287"/>
      <c r="D848" s="287"/>
      <c r="E848" s="287"/>
      <c r="F848" s="287"/>
      <c r="G848" s="403"/>
      <c r="H848" s="305"/>
      <c r="I848" s="305"/>
      <c r="J848" s="305"/>
      <c r="K848" s="287"/>
    </row>
    <row r="849" spans="1:11" x14ac:dyDescent="0.25">
      <c r="A849" s="287"/>
      <c r="B849" s="287"/>
      <c r="C849" s="287"/>
      <c r="D849" s="287"/>
      <c r="E849" s="287"/>
      <c r="F849" s="287"/>
      <c r="G849" s="403"/>
      <c r="H849" s="305"/>
      <c r="I849" s="305"/>
      <c r="J849" s="305"/>
      <c r="K849" s="287"/>
    </row>
    <row r="850" spans="1:11" x14ac:dyDescent="0.25">
      <c r="A850" s="287"/>
      <c r="B850" s="287"/>
      <c r="C850" s="287"/>
      <c r="D850" s="287"/>
      <c r="E850" s="287"/>
      <c r="F850" s="287"/>
      <c r="G850" s="403"/>
      <c r="H850" s="305"/>
      <c r="I850" s="305"/>
      <c r="J850" s="305"/>
      <c r="K850" s="287"/>
    </row>
    <row r="851" spans="1:11" x14ac:dyDescent="0.25">
      <c r="A851" s="287"/>
      <c r="B851" s="287"/>
      <c r="C851" s="287"/>
      <c r="D851" s="287"/>
      <c r="E851" s="287"/>
      <c r="F851" s="287"/>
      <c r="G851" s="403"/>
      <c r="H851" s="305"/>
      <c r="I851" s="305"/>
      <c r="J851" s="305"/>
      <c r="K851" s="287"/>
    </row>
    <row r="852" spans="1:11" x14ac:dyDescent="0.25">
      <c r="A852" s="287"/>
      <c r="B852" s="287"/>
      <c r="C852" s="287"/>
      <c r="D852" s="287"/>
      <c r="E852" s="287"/>
      <c r="F852" s="287"/>
      <c r="G852" s="403"/>
      <c r="H852" s="305"/>
      <c r="I852" s="305"/>
      <c r="J852" s="305"/>
      <c r="K852" s="287"/>
    </row>
    <row r="853" spans="1:11" x14ac:dyDescent="0.25">
      <c r="A853" s="287"/>
      <c r="B853" s="287"/>
      <c r="C853" s="287"/>
      <c r="D853" s="287"/>
      <c r="E853" s="287"/>
      <c r="F853" s="287"/>
      <c r="G853" s="403"/>
      <c r="H853" s="305"/>
      <c r="I853" s="305"/>
      <c r="J853" s="305"/>
      <c r="K853" s="287"/>
    </row>
    <row r="854" spans="1:11" x14ac:dyDescent="0.25">
      <c r="A854" s="287"/>
      <c r="B854" s="287"/>
      <c r="C854" s="287"/>
      <c r="D854" s="287"/>
      <c r="E854" s="287"/>
      <c r="F854" s="287"/>
      <c r="G854" s="403"/>
      <c r="H854" s="305"/>
      <c r="I854" s="305"/>
      <c r="J854" s="305"/>
      <c r="K854" s="287"/>
    </row>
    <row r="855" spans="1:11" x14ac:dyDescent="0.25">
      <c r="A855" s="287"/>
      <c r="B855" s="287"/>
      <c r="C855" s="287"/>
      <c r="D855" s="287"/>
      <c r="E855" s="287"/>
      <c r="F855" s="287"/>
      <c r="G855" s="403"/>
      <c r="H855" s="305"/>
      <c r="I855" s="305"/>
      <c r="J855" s="305"/>
      <c r="K855" s="287"/>
    </row>
    <row r="856" spans="1:11" x14ac:dyDescent="0.25">
      <c r="A856" s="287"/>
      <c r="B856" s="287"/>
      <c r="C856" s="287"/>
      <c r="D856" s="287"/>
      <c r="E856" s="287"/>
      <c r="F856" s="287"/>
      <c r="G856" s="403"/>
      <c r="H856" s="305"/>
      <c r="I856" s="305"/>
      <c r="J856" s="305"/>
      <c r="K856" s="287"/>
    </row>
    <row r="857" spans="1:11" x14ac:dyDescent="0.25">
      <c r="A857" s="287"/>
      <c r="B857" s="287"/>
      <c r="C857" s="287"/>
      <c r="D857" s="287"/>
      <c r="E857" s="287"/>
      <c r="F857" s="287"/>
      <c r="G857" s="403"/>
      <c r="H857" s="305"/>
      <c r="I857" s="305"/>
      <c r="J857" s="305"/>
      <c r="K857" s="287"/>
    </row>
    <row r="858" spans="1:11" x14ac:dyDescent="0.25">
      <c r="A858" s="287"/>
      <c r="B858" s="287"/>
      <c r="C858" s="287"/>
      <c r="D858" s="287"/>
      <c r="E858" s="287"/>
      <c r="F858" s="287"/>
      <c r="G858" s="403"/>
      <c r="H858" s="305"/>
      <c r="I858" s="305"/>
      <c r="J858" s="305"/>
      <c r="K858" s="287"/>
    </row>
    <row r="859" spans="1:11" x14ac:dyDescent="0.25">
      <c r="A859" s="287"/>
      <c r="B859" s="287"/>
      <c r="C859" s="287"/>
      <c r="D859" s="287"/>
      <c r="E859" s="287"/>
      <c r="F859" s="287"/>
      <c r="G859" s="403"/>
      <c r="H859" s="305"/>
      <c r="I859" s="305"/>
      <c r="J859" s="305"/>
      <c r="K859" s="287"/>
    </row>
    <row r="860" spans="1:11" x14ac:dyDescent="0.25">
      <c r="A860" s="287"/>
      <c r="B860" s="287"/>
      <c r="C860" s="287"/>
      <c r="D860" s="287"/>
      <c r="E860" s="287"/>
      <c r="F860" s="287"/>
      <c r="G860" s="403"/>
      <c r="H860" s="305"/>
      <c r="I860" s="305"/>
      <c r="J860" s="305"/>
      <c r="K860" s="287"/>
    </row>
    <row r="861" spans="1:11" x14ac:dyDescent="0.25">
      <c r="A861" s="287"/>
      <c r="B861" s="287"/>
      <c r="C861" s="287"/>
      <c r="D861" s="287"/>
      <c r="E861" s="287"/>
      <c r="F861" s="287"/>
      <c r="G861" s="403"/>
      <c r="H861" s="305"/>
      <c r="I861" s="305"/>
      <c r="J861" s="305"/>
      <c r="K861" s="287"/>
    </row>
    <row r="862" spans="1:11" x14ac:dyDescent="0.25">
      <c r="A862" s="287"/>
      <c r="B862" s="287"/>
      <c r="C862" s="287"/>
      <c r="D862" s="287"/>
      <c r="E862" s="287"/>
      <c r="F862" s="287"/>
      <c r="G862" s="403"/>
      <c r="H862" s="305"/>
      <c r="I862" s="305"/>
      <c r="J862" s="305"/>
      <c r="K862" s="287"/>
    </row>
    <row r="863" spans="1:11" x14ac:dyDescent="0.25">
      <c r="A863" s="287"/>
      <c r="B863" s="287"/>
      <c r="C863" s="287"/>
      <c r="D863" s="287"/>
      <c r="E863" s="287"/>
      <c r="F863" s="287"/>
      <c r="G863" s="403"/>
      <c r="H863" s="305"/>
      <c r="I863" s="305"/>
      <c r="J863" s="305"/>
      <c r="K863" s="287"/>
    </row>
    <row r="864" spans="1:11" x14ac:dyDescent="0.25">
      <c r="A864" s="287"/>
      <c r="B864" s="287"/>
      <c r="C864" s="287"/>
      <c r="D864" s="287"/>
      <c r="E864" s="287"/>
      <c r="F864" s="287"/>
      <c r="G864" s="403"/>
      <c r="H864" s="305"/>
      <c r="I864" s="305"/>
      <c r="J864" s="305"/>
      <c r="K864" s="287"/>
    </row>
    <row r="865" spans="1:11" x14ac:dyDescent="0.25">
      <c r="A865" s="287"/>
      <c r="B865" s="287"/>
      <c r="C865" s="287"/>
      <c r="D865" s="287"/>
      <c r="E865" s="287"/>
      <c r="F865" s="287"/>
      <c r="G865" s="403"/>
      <c r="H865" s="305"/>
      <c r="I865" s="305"/>
      <c r="J865" s="305"/>
      <c r="K865" s="287"/>
    </row>
    <row r="866" spans="1:11" x14ac:dyDescent="0.25">
      <c r="A866" s="287"/>
      <c r="B866" s="287"/>
      <c r="C866" s="287"/>
      <c r="D866" s="287"/>
      <c r="E866" s="287"/>
      <c r="F866" s="287"/>
      <c r="G866" s="403"/>
      <c r="H866" s="305"/>
      <c r="I866" s="305"/>
      <c r="J866" s="305"/>
      <c r="K866" s="287"/>
    </row>
    <row r="867" spans="1:11" x14ac:dyDescent="0.25">
      <c r="A867" s="287"/>
      <c r="B867" s="287"/>
      <c r="C867" s="287"/>
      <c r="D867" s="287"/>
      <c r="E867" s="287"/>
      <c r="F867" s="287"/>
      <c r="G867" s="403"/>
      <c r="H867" s="305"/>
      <c r="I867" s="305"/>
      <c r="J867" s="305"/>
      <c r="K867" s="287"/>
    </row>
    <row r="868" spans="1:11" x14ac:dyDescent="0.25">
      <c r="A868" s="287"/>
      <c r="B868" s="287"/>
      <c r="C868" s="287"/>
      <c r="D868" s="287"/>
      <c r="E868" s="287"/>
      <c r="F868" s="287"/>
      <c r="G868" s="403"/>
      <c r="H868" s="305"/>
      <c r="I868" s="305"/>
      <c r="J868" s="305"/>
      <c r="K868" s="287"/>
    </row>
    <row r="869" spans="1:11" x14ac:dyDescent="0.25">
      <c r="A869" s="287"/>
      <c r="B869" s="287"/>
      <c r="C869" s="287"/>
      <c r="D869" s="287"/>
      <c r="E869" s="287"/>
      <c r="F869" s="287"/>
      <c r="G869" s="403"/>
      <c r="H869" s="305"/>
      <c r="I869" s="305"/>
      <c r="J869" s="305"/>
      <c r="K869" s="287"/>
    </row>
    <row r="870" spans="1:11" x14ac:dyDescent="0.25">
      <c r="A870" s="287"/>
      <c r="B870" s="287"/>
      <c r="C870" s="287"/>
      <c r="D870" s="287"/>
      <c r="E870" s="287"/>
      <c r="F870" s="287"/>
      <c r="G870" s="403"/>
      <c r="H870" s="305"/>
      <c r="I870" s="305"/>
      <c r="J870" s="305"/>
      <c r="K870" s="287"/>
    </row>
    <row r="871" spans="1:11" x14ac:dyDescent="0.25">
      <c r="A871" s="287"/>
      <c r="B871" s="287"/>
      <c r="C871" s="287"/>
      <c r="D871" s="287"/>
      <c r="E871" s="287"/>
      <c r="F871" s="287"/>
      <c r="G871" s="403"/>
      <c r="H871" s="305"/>
      <c r="I871" s="305"/>
      <c r="J871" s="305"/>
      <c r="K871" s="287"/>
    </row>
    <row r="872" spans="1:11" x14ac:dyDescent="0.25">
      <c r="A872" s="287"/>
      <c r="B872" s="287"/>
      <c r="C872" s="287"/>
      <c r="D872" s="287"/>
      <c r="E872" s="287"/>
      <c r="F872" s="287"/>
      <c r="G872" s="403"/>
      <c r="H872" s="305"/>
      <c r="I872" s="305"/>
      <c r="J872" s="305"/>
      <c r="K872" s="287"/>
    </row>
    <row r="873" spans="1:11" x14ac:dyDescent="0.25">
      <c r="A873" s="287"/>
      <c r="B873" s="287"/>
      <c r="C873" s="287"/>
      <c r="D873" s="287"/>
      <c r="E873" s="287"/>
      <c r="F873" s="287"/>
      <c r="G873" s="403"/>
      <c r="H873" s="305"/>
      <c r="I873" s="305"/>
      <c r="J873" s="305"/>
      <c r="K873" s="287"/>
    </row>
    <row r="874" spans="1:11" x14ac:dyDescent="0.25">
      <c r="A874" s="287"/>
      <c r="B874" s="287"/>
      <c r="C874" s="287"/>
      <c r="D874" s="287"/>
      <c r="E874" s="287"/>
      <c r="F874" s="287"/>
      <c r="G874" s="403"/>
      <c r="H874" s="305"/>
      <c r="I874" s="305"/>
      <c r="J874" s="305"/>
      <c r="K874" s="287"/>
    </row>
    <row r="875" spans="1:11" x14ac:dyDescent="0.25">
      <c r="A875" s="287"/>
      <c r="B875" s="287"/>
      <c r="C875" s="287"/>
      <c r="D875" s="287"/>
      <c r="E875" s="287"/>
      <c r="F875" s="287"/>
      <c r="G875" s="403"/>
      <c r="H875" s="305"/>
      <c r="I875" s="305"/>
      <c r="J875" s="305"/>
      <c r="K875" s="287"/>
    </row>
    <row r="876" spans="1:11" x14ac:dyDescent="0.25">
      <c r="A876" s="287"/>
      <c r="B876" s="287"/>
      <c r="C876" s="287"/>
      <c r="D876" s="287"/>
      <c r="E876" s="287"/>
      <c r="F876" s="287"/>
      <c r="G876" s="403"/>
      <c r="H876" s="305"/>
      <c r="I876" s="305"/>
      <c r="J876" s="305"/>
      <c r="K876" s="287"/>
    </row>
    <row r="877" spans="1:11" x14ac:dyDescent="0.25">
      <c r="A877" s="287"/>
      <c r="B877" s="287"/>
      <c r="C877" s="287"/>
      <c r="D877" s="287"/>
      <c r="E877" s="287"/>
      <c r="F877" s="287"/>
      <c r="G877" s="403"/>
      <c r="H877" s="305"/>
      <c r="I877" s="305"/>
      <c r="J877" s="305"/>
      <c r="K877" s="287"/>
    </row>
    <row r="878" spans="1:11" x14ac:dyDescent="0.25">
      <c r="A878" s="287"/>
      <c r="B878" s="287"/>
      <c r="C878" s="287"/>
      <c r="D878" s="287"/>
      <c r="E878" s="287"/>
      <c r="F878" s="287"/>
      <c r="G878" s="403"/>
      <c r="H878" s="305"/>
      <c r="I878" s="305"/>
      <c r="J878" s="305"/>
      <c r="K878" s="287"/>
    </row>
    <row r="879" spans="1:11" x14ac:dyDescent="0.25">
      <c r="A879" s="287"/>
      <c r="B879" s="287"/>
      <c r="C879" s="287"/>
      <c r="D879" s="287"/>
      <c r="E879" s="287"/>
      <c r="F879" s="287"/>
      <c r="G879" s="403"/>
      <c r="H879" s="305"/>
      <c r="I879" s="305"/>
      <c r="J879" s="305"/>
      <c r="K879" s="287"/>
    </row>
    <row r="880" spans="1:11" x14ac:dyDescent="0.25">
      <c r="A880" s="287"/>
      <c r="B880" s="287"/>
      <c r="C880" s="287"/>
      <c r="D880" s="287"/>
      <c r="E880" s="287"/>
      <c r="F880" s="287"/>
      <c r="G880" s="403"/>
      <c r="H880" s="305"/>
      <c r="I880" s="305"/>
      <c r="J880" s="305"/>
      <c r="K880" s="287"/>
    </row>
    <row r="881" spans="1:11" x14ac:dyDescent="0.25">
      <c r="A881" s="287"/>
      <c r="B881" s="287"/>
      <c r="C881" s="287"/>
      <c r="D881" s="287"/>
      <c r="E881" s="287"/>
      <c r="F881" s="287"/>
      <c r="G881" s="403"/>
      <c r="H881" s="305"/>
      <c r="I881" s="305"/>
      <c r="J881" s="305"/>
      <c r="K881" s="287"/>
    </row>
    <row r="882" spans="1:11" x14ac:dyDescent="0.25">
      <c r="A882" s="287"/>
      <c r="B882" s="287"/>
      <c r="C882" s="287"/>
      <c r="D882" s="287"/>
      <c r="E882" s="287"/>
      <c r="F882" s="287"/>
      <c r="G882" s="403"/>
      <c r="H882" s="305"/>
      <c r="I882" s="305"/>
      <c r="J882" s="305"/>
      <c r="K882" s="287"/>
    </row>
    <row r="883" spans="1:11" x14ac:dyDescent="0.25">
      <c r="A883" s="287"/>
      <c r="B883" s="287"/>
      <c r="C883" s="287"/>
      <c r="D883" s="287"/>
      <c r="E883" s="287"/>
      <c r="F883" s="287"/>
      <c r="G883" s="403"/>
      <c r="H883" s="305"/>
      <c r="I883" s="305"/>
      <c r="J883" s="305"/>
      <c r="K883" s="287"/>
    </row>
    <row r="884" spans="1:11" x14ac:dyDescent="0.25">
      <c r="A884" s="287"/>
      <c r="B884" s="287"/>
      <c r="C884" s="287"/>
      <c r="D884" s="287"/>
      <c r="E884" s="287"/>
      <c r="F884" s="287"/>
      <c r="G884" s="403"/>
      <c r="H884" s="305"/>
      <c r="I884" s="305"/>
      <c r="J884" s="305"/>
      <c r="K884" s="287"/>
    </row>
    <row r="885" spans="1:11" x14ac:dyDescent="0.25">
      <c r="A885" s="287"/>
      <c r="B885" s="287"/>
      <c r="C885" s="287"/>
      <c r="D885" s="287"/>
      <c r="E885" s="287"/>
      <c r="F885" s="287"/>
      <c r="G885" s="403"/>
      <c r="H885" s="305"/>
      <c r="I885" s="305"/>
      <c r="J885" s="305"/>
      <c r="K885" s="287"/>
    </row>
    <row r="886" spans="1:11" x14ac:dyDescent="0.25">
      <c r="A886" s="287"/>
      <c r="B886" s="287"/>
      <c r="C886" s="287"/>
      <c r="D886" s="287"/>
      <c r="E886" s="287"/>
      <c r="F886" s="287"/>
      <c r="G886" s="403"/>
      <c r="H886" s="305"/>
      <c r="I886" s="305"/>
      <c r="J886" s="305"/>
      <c r="K886" s="287"/>
    </row>
    <row r="887" spans="1:11" x14ac:dyDescent="0.25">
      <c r="A887" s="287"/>
      <c r="B887" s="287"/>
      <c r="C887" s="287"/>
      <c r="D887" s="287"/>
      <c r="E887" s="287"/>
      <c r="F887" s="287"/>
      <c r="G887" s="403"/>
      <c r="H887" s="305"/>
      <c r="I887" s="305"/>
      <c r="J887" s="305"/>
      <c r="K887" s="287"/>
    </row>
    <row r="888" spans="1:11" x14ac:dyDescent="0.25">
      <c r="A888" s="287"/>
      <c r="B888" s="287"/>
      <c r="C888" s="287"/>
      <c r="D888" s="287"/>
      <c r="E888" s="287"/>
      <c r="F888" s="287"/>
      <c r="G888" s="403"/>
      <c r="H888" s="305"/>
      <c r="I888" s="305"/>
      <c r="J888" s="305"/>
      <c r="K888" s="287"/>
    </row>
    <row r="889" spans="1:11" x14ac:dyDescent="0.25">
      <c r="A889" s="287"/>
      <c r="B889" s="287"/>
      <c r="C889" s="287"/>
      <c r="D889" s="287"/>
      <c r="E889" s="287"/>
      <c r="F889" s="287"/>
      <c r="G889" s="403"/>
      <c r="H889" s="305"/>
      <c r="I889" s="305"/>
      <c r="J889" s="305"/>
      <c r="K889" s="287"/>
    </row>
    <row r="890" spans="1:11" x14ac:dyDescent="0.25">
      <c r="A890" s="287"/>
      <c r="B890" s="287"/>
      <c r="C890" s="287"/>
      <c r="D890" s="287"/>
      <c r="E890" s="287"/>
      <c r="F890" s="287"/>
      <c r="G890" s="403"/>
      <c r="H890" s="305"/>
      <c r="I890" s="305"/>
      <c r="J890" s="305"/>
      <c r="K890" s="287"/>
    </row>
    <row r="891" spans="1:11" x14ac:dyDescent="0.25">
      <c r="A891" s="287"/>
      <c r="B891" s="287"/>
      <c r="C891" s="287"/>
      <c r="D891" s="287"/>
      <c r="E891" s="287"/>
      <c r="F891" s="287"/>
      <c r="G891" s="403"/>
      <c r="H891" s="305"/>
      <c r="I891" s="305"/>
      <c r="J891" s="305"/>
      <c r="K891" s="287"/>
    </row>
    <row r="892" spans="1:11" x14ac:dyDescent="0.25">
      <c r="A892" s="287"/>
      <c r="B892" s="287"/>
      <c r="C892" s="287"/>
      <c r="D892" s="287"/>
      <c r="E892" s="287"/>
      <c r="F892" s="287"/>
      <c r="G892" s="403"/>
      <c r="H892" s="305"/>
      <c r="I892" s="305"/>
      <c r="J892" s="305"/>
      <c r="K892" s="287"/>
    </row>
    <row r="893" spans="1:11" x14ac:dyDescent="0.25">
      <c r="A893" s="287"/>
      <c r="B893" s="287"/>
      <c r="C893" s="287"/>
      <c r="D893" s="287"/>
      <c r="E893" s="287"/>
      <c r="F893" s="287"/>
      <c r="G893" s="403"/>
      <c r="H893" s="305"/>
      <c r="I893" s="305"/>
      <c r="J893" s="305"/>
      <c r="K893" s="287"/>
    </row>
    <row r="894" spans="1:11" x14ac:dyDescent="0.25">
      <c r="A894" s="287"/>
      <c r="B894" s="287"/>
      <c r="C894" s="287"/>
      <c r="D894" s="287"/>
      <c r="E894" s="287"/>
      <c r="F894" s="287"/>
      <c r="G894" s="403"/>
      <c r="H894" s="305"/>
      <c r="I894" s="305"/>
      <c r="J894" s="305"/>
      <c r="K894" s="287"/>
    </row>
    <row r="895" spans="1:11" x14ac:dyDescent="0.25">
      <c r="A895" s="287"/>
      <c r="B895" s="287"/>
      <c r="C895" s="287"/>
      <c r="D895" s="287"/>
      <c r="E895" s="287"/>
      <c r="F895" s="287"/>
      <c r="G895" s="403"/>
      <c r="H895" s="305"/>
      <c r="I895" s="305"/>
      <c r="J895" s="305"/>
      <c r="K895" s="287"/>
    </row>
    <row r="896" spans="1:11" x14ac:dyDescent="0.25">
      <c r="A896" s="287"/>
      <c r="B896" s="287"/>
      <c r="C896" s="287"/>
      <c r="D896" s="287"/>
      <c r="E896" s="287"/>
      <c r="F896" s="287"/>
      <c r="G896" s="403"/>
      <c r="H896" s="305"/>
      <c r="I896" s="305"/>
      <c r="J896" s="305"/>
      <c r="K896" s="287"/>
    </row>
    <row r="897" spans="1:11" x14ac:dyDescent="0.25">
      <c r="A897" s="287"/>
      <c r="B897" s="287"/>
      <c r="C897" s="287"/>
      <c r="D897" s="287"/>
      <c r="E897" s="287"/>
      <c r="F897" s="287"/>
      <c r="G897" s="403"/>
      <c r="H897" s="305"/>
      <c r="I897" s="305"/>
      <c r="J897" s="305"/>
      <c r="K897" s="287"/>
    </row>
    <row r="898" spans="1:11" x14ac:dyDescent="0.25">
      <c r="A898" s="287"/>
      <c r="B898" s="287"/>
      <c r="C898" s="287"/>
      <c r="D898" s="287"/>
      <c r="E898" s="287"/>
      <c r="F898" s="287"/>
      <c r="G898" s="403"/>
      <c r="H898" s="305"/>
      <c r="I898" s="305"/>
      <c r="J898" s="305"/>
      <c r="K898" s="287"/>
    </row>
    <row r="899" spans="1:11" x14ac:dyDescent="0.25">
      <c r="A899" s="287"/>
      <c r="B899" s="287"/>
      <c r="C899" s="287"/>
      <c r="D899" s="287"/>
      <c r="E899" s="287"/>
      <c r="F899" s="287"/>
      <c r="G899" s="403"/>
      <c r="H899" s="305"/>
      <c r="I899" s="305"/>
      <c r="J899" s="305"/>
      <c r="K899" s="287"/>
    </row>
    <row r="900" spans="1:11" x14ac:dyDescent="0.25">
      <c r="A900" s="287"/>
      <c r="B900" s="287"/>
      <c r="C900" s="287"/>
      <c r="D900" s="287"/>
      <c r="E900" s="287"/>
      <c r="F900" s="287"/>
      <c r="G900" s="403"/>
      <c r="H900" s="305"/>
      <c r="I900" s="305"/>
      <c r="J900" s="305"/>
      <c r="K900" s="287"/>
    </row>
    <row r="901" spans="1:11" x14ac:dyDescent="0.25">
      <c r="A901" s="287"/>
      <c r="B901" s="287"/>
      <c r="C901" s="287"/>
      <c r="D901" s="287"/>
      <c r="E901" s="287"/>
      <c r="F901" s="287"/>
      <c r="G901" s="403"/>
      <c r="H901" s="305"/>
      <c r="I901" s="305"/>
      <c r="J901" s="305"/>
      <c r="K901" s="287"/>
    </row>
    <row r="902" spans="1:11" x14ac:dyDescent="0.25">
      <c r="A902" s="287"/>
      <c r="B902" s="287"/>
      <c r="C902" s="287"/>
      <c r="D902" s="287"/>
      <c r="E902" s="287"/>
      <c r="F902" s="287"/>
      <c r="G902" s="403"/>
      <c r="H902" s="305"/>
      <c r="I902" s="305"/>
      <c r="J902" s="305"/>
      <c r="K902" s="287"/>
    </row>
    <row r="903" spans="1:11" x14ac:dyDescent="0.25">
      <c r="A903" s="287"/>
      <c r="B903" s="287"/>
      <c r="C903" s="287"/>
      <c r="D903" s="287"/>
      <c r="E903" s="287"/>
      <c r="F903" s="287"/>
      <c r="G903" s="403"/>
      <c r="H903" s="305"/>
      <c r="I903" s="305"/>
      <c r="J903" s="305"/>
      <c r="K903" s="287"/>
    </row>
    <row r="904" spans="1:11" x14ac:dyDescent="0.25">
      <c r="A904" s="287"/>
      <c r="B904" s="287"/>
      <c r="C904" s="287"/>
      <c r="D904" s="287"/>
      <c r="E904" s="287"/>
      <c r="F904" s="287"/>
      <c r="G904" s="403"/>
      <c r="H904" s="305"/>
      <c r="I904" s="305"/>
      <c r="J904" s="305"/>
      <c r="K904" s="287"/>
    </row>
    <row r="905" spans="1:11" x14ac:dyDescent="0.25">
      <c r="A905" s="287"/>
      <c r="B905" s="287"/>
      <c r="C905" s="287"/>
      <c r="D905" s="287"/>
      <c r="E905" s="287"/>
      <c r="F905" s="287"/>
      <c r="G905" s="403"/>
      <c r="H905" s="305"/>
      <c r="I905" s="305"/>
      <c r="J905" s="305"/>
      <c r="K905" s="287"/>
    </row>
    <row r="906" spans="1:11" x14ac:dyDescent="0.25">
      <c r="A906" s="287"/>
      <c r="B906" s="287"/>
      <c r="C906" s="287"/>
      <c r="D906" s="287"/>
      <c r="E906" s="287"/>
      <c r="F906" s="287"/>
      <c r="G906" s="403"/>
      <c r="H906" s="305"/>
      <c r="I906" s="305"/>
      <c r="J906" s="305"/>
      <c r="K906" s="287"/>
    </row>
    <row r="907" spans="1:11" x14ac:dyDescent="0.25">
      <c r="A907" s="287"/>
      <c r="B907" s="287"/>
      <c r="C907" s="287"/>
      <c r="D907" s="287"/>
      <c r="E907" s="287"/>
      <c r="F907" s="287"/>
      <c r="G907" s="403"/>
      <c r="H907" s="305"/>
      <c r="I907" s="305"/>
      <c r="J907" s="305"/>
      <c r="K907" s="287"/>
    </row>
    <row r="908" spans="1:11" x14ac:dyDescent="0.25">
      <c r="A908" s="287"/>
      <c r="B908" s="287"/>
      <c r="C908" s="287"/>
      <c r="D908" s="287"/>
      <c r="E908" s="287"/>
      <c r="F908" s="287"/>
      <c r="G908" s="403"/>
      <c r="H908" s="305"/>
      <c r="I908" s="305"/>
      <c r="J908" s="305"/>
      <c r="K908" s="287"/>
    </row>
    <row r="909" spans="1:11" x14ac:dyDescent="0.25">
      <c r="A909" s="287"/>
      <c r="B909" s="287"/>
      <c r="C909" s="287"/>
      <c r="D909" s="287"/>
      <c r="E909" s="287"/>
      <c r="F909" s="287"/>
      <c r="G909" s="403"/>
      <c r="H909" s="305"/>
      <c r="I909" s="305"/>
      <c r="J909" s="305"/>
      <c r="K909" s="287"/>
    </row>
    <row r="910" spans="1:11" x14ac:dyDescent="0.25">
      <c r="A910" s="287"/>
      <c r="B910" s="287"/>
      <c r="C910" s="287"/>
      <c r="D910" s="287"/>
      <c r="E910" s="287"/>
      <c r="F910" s="287"/>
      <c r="G910" s="403"/>
      <c r="H910" s="305"/>
      <c r="I910" s="305"/>
      <c r="J910" s="305"/>
      <c r="K910" s="287"/>
    </row>
    <row r="911" spans="1:11" x14ac:dyDescent="0.25">
      <c r="A911" s="287"/>
      <c r="B911" s="287"/>
      <c r="C911" s="287"/>
      <c r="D911" s="287"/>
      <c r="E911" s="287"/>
      <c r="F911" s="287"/>
      <c r="G911" s="403"/>
      <c r="H911" s="305"/>
      <c r="I911" s="305"/>
      <c r="J911" s="305"/>
      <c r="K911" s="287"/>
    </row>
    <row r="912" spans="1:11" x14ac:dyDescent="0.25">
      <c r="A912" s="287"/>
      <c r="B912" s="287"/>
      <c r="C912" s="287"/>
      <c r="D912" s="287"/>
      <c r="E912" s="287"/>
      <c r="F912" s="287"/>
      <c r="G912" s="403"/>
      <c r="H912" s="305"/>
      <c r="I912" s="305"/>
      <c r="J912" s="305"/>
      <c r="K912" s="287"/>
    </row>
    <row r="913" spans="1:11" x14ac:dyDescent="0.25">
      <c r="A913" s="287"/>
      <c r="B913" s="287"/>
      <c r="C913" s="287"/>
      <c r="D913" s="287"/>
      <c r="E913" s="287"/>
      <c r="F913" s="287"/>
      <c r="G913" s="403"/>
      <c r="H913" s="305"/>
      <c r="I913" s="305"/>
      <c r="J913" s="305"/>
      <c r="K913" s="287"/>
    </row>
    <row r="914" spans="1:11" x14ac:dyDescent="0.25">
      <c r="A914" s="287"/>
      <c r="B914" s="287"/>
      <c r="C914" s="287"/>
      <c r="D914" s="287"/>
      <c r="E914" s="287"/>
      <c r="F914" s="287"/>
      <c r="G914" s="403"/>
      <c r="H914" s="305"/>
      <c r="I914" s="305"/>
      <c r="J914" s="305"/>
      <c r="K914" s="287"/>
    </row>
    <row r="915" spans="1:11" x14ac:dyDescent="0.25">
      <c r="A915" s="287"/>
      <c r="B915" s="287"/>
      <c r="C915" s="287"/>
      <c r="D915" s="287"/>
      <c r="E915" s="287"/>
      <c r="F915" s="287"/>
      <c r="G915" s="403"/>
      <c r="H915" s="305"/>
      <c r="I915" s="305"/>
      <c r="J915" s="305"/>
      <c r="K915" s="287"/>
    </row>
    <row r="916" spans="1:11" x14ac:dyDescent="0.25">
      <c r="A916" s="287"/>
      <c r="B916" s="287"/>
      <c r="C916" s="287"/>
      <c r="D916" s="287"/>
      <c r="E916" s="287"/>
      <c r="F916" s="287"/>
      <c r="G916" s="403"/>
      <c r="H916" s="305"/>
      <c r="I916" s="305"/>
      <c r="J916" s="305"/>
      <c r="K916" s="287"/>
    </row>
    <row r="917" spans="1:11" x14ac:dyDescent="0.25">
      <c r="A917" s="287"/>
      <c r="B917" s="287"/>
      <c r="C917" s="287"/>
      <c r="D917" s="287"/>
      <c r="E917" s="287"/>
      <c r="F917" s="287"/>
      <c r="G917" s="403"/>
      <c r="H917" s="305"/>
      <c r="I917" s="305"/>
      <c r="J917" s="305"/>
      <c r="K917" s="287"/>
    </row>
    <row r="918" spans="1:11" x14ac:dyDescent="0.25">
      <c r="A918" s="287"/>
      <c r="B918" s="287"/>
      <c r="C918" s="287"/>
      <c r="D918" s="287"/>
      <c r="E918" s="287"/>
      <c r="F918" s="287"/>
      <c r="G918" s="403"/>
      <c r="H918" s="305"/>
      <c r="I918" s="305"/>
      <c r="J918" s="305"/>
      <c r="K918" s="287"/>
    </row>
    <row r="919" spans="1:11" x14ac:dyDescent="0.25">
      <c r="A919" s="287"/>
      <c r="B919" s="287"/>
      <c r="C919" s="287"/>
      <c r="D919" s="287"/>
      <c r="E919" s="287"/>
      <c r="F919" s="287"/>
      <c r="G919" s="403"/>
      <c r="H919" s="305"/>
      <c r="I919" s="305"/>
      <c r="J919" s="305"/>
      <c r="K919" s="287"/>
    </row>
    <row r="920" spans="1:11" x14ac:dyDescent="0.25">
      <c r="A920" s="287"/>
      <c r="B920" s="287"/>
      <c r="C920" s="287"/>
      <c r="D920" s="287"/>
      <c r="E920" s="287"/>
      <c r="F920" s="287"/>
      <c r="G920" s="403"/>
      <c r="H920" s="305"/>
      <c r="I920" s="305"/>
      <c r="J920" s="305"/>
      <c r="K920" s="287"/>
    </row>
    <row r="921" spans="1:11" x14ac:dyDescent="0.25">
      <c r="A921" s="287"/>
      <c r="B921" s="287"/>
      <c r="C921" s="287"/>
      <c r="D921" s="287"/>
      <c r="E921" s="287"/>
      <c r="F921" s="287"/>
      <c r="G921" s="403"/>
      <c r="H921" s="305"/>
      <c r="I921" s="305"/>
      <c r="J921" s="305"/>
      <c r="K921" s="287"/>
    </row>
    <row r="922" spans="1:11" x14ac:dyDescent="0.25">
      <c r="A922" s="287"/>
      <c r="B922" s="287"/>
      <c r="C922" s="287"/>
      <c r="D922" s="287"/>
      <c r="E922" s="287"/>
      <c r="F922" s="287"/>
      <c r="G922" s="403"/>
      <c r="H922" s="305"/>
      <c r="I922" s="305"/>
      <c r="J922" s="305"/>
      <c r="K922" s="287"/>
    </row>
    <row r="923" spans="1:11" x14ac:dyDescent="0.25">
      <c r="A923" s="287"/>
      <c r="B923" s="287"/>
      <c r="C923" s="287"/>
      <c r="D923" s="287"/>
      <c r="E923" s="287"/>
      <c r="F923" s="287"/>
      <c r="G923" s="403"/>
      <c r="H923" s="305"/>
      <c r="I923" s="305"/>
      <c r="J923" s="305"/>
      <c r="K923" s="287"/>
    </row>
    <row r="924" spans="1:11" x14ac:dyDescent="0.25">
      <c r="A924" s="287"/>
      <c r="B924" s="287"/>
      <c r="C924" s="287"/>
      <c r="D924" s="287"/>
      <c r="E924" s="287"/>
      <c r="F924" s="287"/>
      <c r="G924" s="403"/>
      <c r="H924" s="305"/>
      <c r="I924" s="305"/>
      <c r="J924" s="305"/>
      <c r="K924" s="287"/>
    </row>
  </sheetData>
  <sheetProtection sheet="1" objects="1" scenarios="1"/>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668</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772</v>
      </c>
      <c r="C6" s="421" t="str">
        <f>Results!$C$6</f>
        <v>SummitStone Health Partners</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13" t="s">
        <v>1</v>
      </c>
      <c r="C10" s="513"/>
      <c r="D10" s="151" t="s">
        <v>669</v>
      </c>
      <c r="E10" s="151" t="s">
        <v>670</v>
      </c>
      <c r="F10" s="151" t="s">
        <v>671</v>
      </c>
      <c r="G10" s="151" t="s">
        <v>778</v>
      </c>
      <c r="H10" s="151" t="s">
        <v>672</v>
      </c>
      <c r="I10" s="151" t="s">
        <v>673</v>
      </c>
      <c r="J10" s="151" t="s">
        <v>674</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509" t="s">
        <v>280</v>
      </c>
      <c r="B12" s="510"/>
      <c r="C12" s="510"/>
      <c r="D12" s="510"/>
      <c r="E12" s="510"/>
      <c r="F12" s="510"/>
      <c r="G12" s="510"/>
      <c r="H12" s="510"/>
      <c r="I12" s="510"/>
      <c r="J12" s="511"/>
      <c r="M12" s="128"/>
      <c r="N12" s="128"/>
      <c r="O12" s="128"/>
      <c r="P12" s="128"/>
      <c r="Q12" s="128"/>
      <c r="R12" s="128"/>
      <c r="S12" s="128"/>
    </row>
    <row r="13" spans="1:19" s="22" customFormat="1" x14ac:dyDescent="0.35">
      <c r="A13" s="155">
        <v>1</v>
      </c>
      <c r="B13" s="500" t="s">
        <v>458</v>
      </c>
      <c r="C13" s="502"/>
      <c r="D13" s="156">
        <f>'Schedule 1 Adjustments'!F13</f>
        <v>27</v>
      </c>
      <c r="E13" s="157">
        <f>'Schedule 1 Adjustments'!I13</f>
        <v>0</v>
      </c>
      <c r="F13" s="157">
        <f>'Schedule 1 Adjustments'!L13</f>
        <v>1550299.2113596662</v>
      </c>
      <c r="G13" s="157">
        <f>'Schedule 1 Adjustments'!O13</f>
        <v>1058119.9601404271</v>
      </c>
      <c r="H13" s="157">
        <f>'Schedule 1 Adjustments'!R13</f>
        <v>0</v>
      </c>
      <c r="I13" s="157">
        <f>'Schedule 1 Adjustments'!U13</f>
        <v>0</v>
      </c>
      <c r="J13" s="158">
        <f t="shared" ref="J13:J16" si="0">SUM(E13:I13)</f>
        <v>2608419.1715000933</v>
      </c>
      <c r="M13" s="140"/>
    </row>
    <row r="14" spans="1:19" s="22" customFormat="1" x14ac:dyDescent="0.35">
      <c r="A14" s="155">
        <v>2</v>
      </c>
      <c r="B14" s="500" t="s">
        <v>291</v>
      </c>
      <c r="C14" s="502"/>
      <c r="D14" s="156">
        <f>'Schedule 1 Adjustments'!F14</f>
        <v>165</v>
      </c>
      <c r="E14" s="157">
        <f>'Schedule 1 Adjustments'!I14</f>
        <v>348955.41944444447</v>
      </c>
      <c r="F14" s="157">
        <f>'Schedule 1 Adjustments'!L14</f>
        <v>8034680.2525774837</v>
      </c>
      <c r="G14" s="157">
        <f>'Schedule 1 Adjustments'!O14</f>
        <v>2882638.3891203627</v>
      </c>
      <c r="H14" s="157">
        <f>'Schedule 1 Adjustments'!R14</f>
        <v>342558.02300000004</v>
      </c>
      <c r="I14" s="157">
        <f>'Schedule 1 Adjustments'!U14</f>
        <v>0</v>
      </c>
      <c r="J14" s="158">
        <f t="shared" si="0"/>
        <v>11608832.084142292</v>
      </c>
      <c r="M14" s="140"/>
    </row>
    <row r="15" spans="1:19" s="22" customFormat="1" x14ac:dyDescent="0.35">
      <c r="A15" s="155">
        <v>3</v>
      </c>
      <c r="B15" s="500" t="s">
        <v>301</v>
      </c>
      <c r="C15" s="502"/>
      <c r="D15" s="156">
        <f>'Schedule 1 Adjustments'!F15</f>
        <v>379</v>
      </c>
      <c r="E15" s="157">
        <f>'Schedule 1 Adjustments'!I15</f>
        <v>106740.48059091484</v>
      </c>
      <c r="F15" s="157">
        <f>'Schedule 1 Adjustments'!L15</f>
        <v>15811681.123346426</v>
      </c>
      <c r="G15" s="157">
        <f>'Schedule 1 Adjustments'!O15</f>
        <v>9314172.8591906223</v>
      </c>
      <c r="H15" s="157">
        <f>'Schedule 1 Adjustments'!R15</f>
        <v>688187.94547899917</v>
      </c>
      <c r="I15" s="157">
        <f>'Schedule 1 Adjustments'!U15</f>
        <v>1381.1614072661337</v>
      </c>
      <c r="J15" s="158">
        <f t="shared" si="0"/>
        <v>25922163.570014227</v>
      </c>
      <c r="M15" s="140"/>
    </row>
    <row r="16" spans="1:19" s="22" customFormat="1" x14ac:dyDescent="0.35">
      <c r="A16" s="155">
        <v>4</v>
      </c>
      <c r="B16" s="506" t="s">
        <v>290</v>
      </c>
      <c r="C16" s="508"/>
      <c r="D16" s="159">
        <f t="shared" ref="D16:I16" si="1">SUM(D13:D15)</f>
        <v>571</v>
      </c>
      <c r="E16" s="160">
        <f t="shared" si="1"/>
        <v>455695.90003535931</v>
      </c>
      <c r="F16" s="160">
        <f t="shared" si="1"/>
        <v>25396660.587283574</v>
      </c>
      <c r="G16" s="160">
        <f t="shared" si="1"/>
        <v>13254931.208451413</v>
      </c>
      <c r="H16" s="160">
        <f t="shared" si="1"/>
        <v>1030745.9684789992</v>
      </c>
      <c r="I16" s="160">
        <f t="shared" si="1"/>
        <v>1381.1614072661337</v>
      </c>
      <c r="J16" s="160">
        <f t="shared" si="0"/>
        <v>40139414.825656615</v>
      </c>
      <c r="M16" s="140"/>
    </row>
    <row r="17" spans="1:13" s="22" customFormat="1" x14ac:dyDescent="0.35">
      <c r="A17" s="161"/>
      <c r="B17" s="162"/>
      <c r="C17" s="162"/>
      <c r="D17" s="163"/>
      <c r="E17" s="164"/>
      <c r="F17" s="164"/>
      <c r="G17" s="164"/>
      <c r="H17" s="164"/>
      <c r="I17" s="164"/>
      <c r="J17" s="164"/>
      <c r="M17" s="140"/>
    </row>
    <row r="18" spans="1:13" s="22" customFormat="1" x14ac:dyDescent="0.35">
      <c r="A18" s="509" t="s">
        <v>281</v>
      </c>
      <c r="B18" s="510"/>
      <c r="C18" s="510"/>
      <c r="D18" s="510"/>
      <c r="E18" s="510"/>
      <c r="F18" s="510"/>
      <c r="G18" s="510"/>
      <c r="H18" s="510"/>
      <c r="I18" s="510"/>
      <c r="J18" s="511"/>
      <c r="M18" s="140"/>
    </row>
    <row r="19" spans="1:13" s="22" customFormat="1" x14ac:dyDescent="0.35">
      <c r="A19" s="155">
        <v>5</v>
      </c>
      <c r="B19" s="500" t="s">
        <v>221</v>
      </c>
      <c r="C19" s="502"/>
      <c r="D19" s="156">
        <f>'Schedule 1 Adjustments'!F19</f>
        <v>7</v>
      </c>
      <c r="E19" s="157">
        <f>'Schedule 1 Adjustments'!I19</f>
        <v>1034863.8272727272</v>
      </c>
      <c r="F19" s="157">
        <f>'Schedule 1 Adjustments'!L19</f>
        <v>0</v>
      </c>
      <c r="G19" s="157">
        <f>'Schedule 1 Adjustments'!O19</f>
        <v>117720.43061825319</v>
      </c>
      <c r="H19" s="157">
        <f>'Schedule 1 Adjustments'!R19</f>
        <v>0</v>
      </c>
      <c r="I19" s="157">
        <f>'Schedule 1 Adjustments'!U19</f>
        <v>0</v>
      </c>
      <c r="J19" s="158">
        <f>SUM(E19:I19)</f>
        <v>1152584.2578909802</v>
      </c>
      <c r="M19" s="140"/>
    </row>
    <row r="20" spans="1:13" s="22" customFormat="1" x14ac:dyDescent="0.35">
      <c r="A20" s="155">
        <v>6</v>
      </c>
      <c r="B20" s="500" t="s">
        <v>293</v>
      </c>
      <c r="C20" s="502"/>
      <c r="D20" s="156">
        <f>'Schedule 1 Adjustments'!F20</f>
        <v>179</v>
      </c>
      <c r="E20" s="157">
        <f>'Schedule 1 Adjustments'!I20</f>
        <v>6146774.1722475821</v>
      </c>
      <c r="F20" s="157">
        <f>'Schedule 1 Adjustments'!L20</f>
        <v>3213428.031145276</v>
      </c>
      <c r="G20" s="157">
        <f>'Schedule 1 Adjustments'!O20</f>
        <v>2764454.3291391227</v>
      </c>
      <c r="H20" s="157">
        <f>'Schedule 1 Adjustments'!R20</f>
        <v>106304.95161237271</v>
      </c>
      <c r="I20" s="157">
        <f>'Schedule 1 Adjustments'!U20</f>
        <v>35850.252308054827</v>
      </c>
      <c r="J20" s="158">
        <f>SUM(E20:I20)</f>
        <v>12266811.736452408</v>
      </c>
      <c r="M20" s="140"/>
    </row>
    <row r="21" spans="1:13" s="22" customFormat="1" x14ac:dyDescent="0.35">
      <c r="A21" s="155">
        <v>7</v>
      </c>
      <c r="B21" s="506" t="s">
        <v>220</v>
      </c>
      <c r="C21" s="508"/>
      <c r="D21" s="159">
        <f t="shared" ref="D21:I21" si="2">SUM(D19:D20)</f>
        <v>186</v>
      </c>
      <c r="E21" s="160">
        <f t="shared" si="2"/>
        <v>7181637.9995203093</v>
      </c>
      <c r="F21" s="160">
        <f t="shared" si="2"/>
        <v>3213428.031145276</v>
      </c>
      <c r="G21" s="160">
        <f t="shared" si="2"/>
        <v>2882174.7597573758</v>
      </c>
      <c r="H21" s="160">
        <f t="shared" si="2"/>
        <v>106304.95161237271</v>
      </c>
      <c r="I21" s="160">
        <f t="shared" si="2"/>
        <v>35850.252308054827</v>
      </c>
      <c r="J21" s="160">
        <f>SUM(E21:I21)</f>
        <v>13419395.994343389</v>
      </c>
      <c r="M21" s="140"/>
    </row>
    <row r="22" spans="1:13" s="22" customFormat="1" x14ac:dyDescent="0.35">
      <c r="A22" s="161"/>
      <c r="B22" s="162"/>
      <c r="C22" s="162"/>
      <c r="D22" s="163"/>
      <c r="E22" s="164"/>
      <c r="F22" s="164"/>
      <c r="G22" s="164"/>
      <c r="H22" s="164"/>
      <c r="I22" s="164"/>
      <c r="J22" s="164"/>
      <c r="M22" s="140"/>
    </row>
    <row r="23" spans="1:13" s="22" customFormat="1" x14ac:dyDescent="0.35">
      <c r="A23" s="509" t="s">
        <v>275</v>
      </c>
      <c r="B23" s="510"/>
      <c r="C23" s="510"/>
      <c r="D23" s="510"/>
      <c r="E23" s="510"/>
      <c r="F23" s="510"/>
      <c r="G23" s="510"/>
      <c r="H23" s="510"/>
      <c r="I23" s="510"/>
      <c r="J23" s="511"/>
      <c r="M23" s="140"/>
    </row>
    <row r="24" spans="1:13" s="22" customFormat="1" x14ac:dyDescent="0.35">
      <c r="A24" s="155">
        <v>8</v>
      </c>
      <c r="B24" s="500" t="s">
        <v>276</v>
      </c>
      <c r="C24" s="501"/>
      <c r="D24" s="502"/>
      <c r="E24" s="165">
        <f>'Schedule 1 Adjustments'!I24</f>
        <v>-562.47999999998137</v>
      </c>
      <c r="F24" s="165">
        <f>'Schedule 1 Adjustments'!L24</f>
        <v>0</v>
      </c>
      <c r="G24" s="165">
        <f>'Schedule 1 Adjustments'!O24</f>
        <v>0</v>
      </c>
      <c r="H24" s="165">
        <f>'Schedule 1 Adjustments'!R24</f>
        <v>0</v>
      </c>
      <c r="I24" s="165">
        <f>-SUM(E24:H24)</f>
        <v>562.47999999998137</v>
      </c>
      <c r="J24" s="158">
        <f>SUM(E24:I24)</f>
        <v>0</v>
      </c>
      <c r="M24" s="140"/>
    </row>
    <row r="25" spans="1:13" s="22" customFormat="1" x14ac:dyDescent="0.35">
      <c r="A25" s="155">
        <v>9</v>
      </c>
      <c r="B25" s="506" t="s">
        <v>222</v>
      </c>
      <c r="C25" s="507"/>
      <c r="D25" s="508"/>
      <c r="E25" s="160">
        <f>SUM(E24:E24)</f>
        <v>-562.47999999998137</v>
      </c>
      <c r="F25" s="160">
        <f>SUM(F24:F24)</f>
        <v>0</v>
      </c>
      <c r="G25" s="160">
        <f>SUM(G24:G24)</f>
        <v>0</v>
      </c>
      <c r="H25" s="160">
        <f>SUM(H24:H24)</f>
        <v>0</v>
      </c>
      <c r="I25" s="160">
        <f>SUM(I24:I24)</f>
        <v>562.47999999998137</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509" t="s">
        <v>235</v>
      </c>
      <c r="B27" s="510"/>
      <c r="C27" s="510"/>
      <c r="D27" s="510"/>
      <c r="E27" s="510"/>
      <c r="F27" s="510"/>
      <c r="G27" s="510"/>
      <c r="H27" s="510"/>
      <c r="I27" s="510"/>
      <c r="J27" s="511"/>
      <c r="M27" s="140"/>
    </row>
    <row r="28" spans="1:13" s="22" customFormat="1" x14ac:dyDescent="0.35">
      <c r="A28" s="155">
        <v>10</v>
      </c>
      <c r="B28" s="500" t="s">
        <v>224</v>
      </c>
      <c r="C28" s="501"/>
      <c r="D28" s="502"/>
      <c r="E28" s="157">
        <f>'Schedule 1 Adjustments'!I28</f>
        <v>169904.88937450296</v>
      </c>
      <c r="F28" s="157">
        <f>'Schedule 1 Adjustments'!L28</f>
        <v>99968.794191569221</v>
      </c>
      <c r="G28" s="157">
        <f>'Schedule 1 Adjustments'!O28</f>
        <v>115991.18391467171</v>
      </c>
      <c r="H28" s="157">
        <f>'Schedule 1 Adjustments'!R28</f>
        <v>105.59089238187383</v>
      </c>
      <c r="I28" s="157">
        <f>'Schedule 1 Adjustments'!U28</f>
        <v>10.751626874208988</v>
      </c>
      <c r="J28" s="158">
        <f>SUM(E28:I28)</f>
        <v>385981.20999999996</v>
      </c>
      <c r="M28" s="140"/>
    </row>
    <row r="29" spans="1:13" s="22" customFormat="1" x14ac:dyDescent="0.35">
      <c r="A29" s="155">
        <v>11</v>
      </c>
      <c r="B29" s="173" t="s">
        <v>223</v>
      </c>
      <c r="C29" s="167"/>
      <c r="D29" s="168"/>
      <c r="E29" s="157">
        <f>'Schedule 1 Adjustments'!I29</f>
        <v>1638654.2306221719</v>
      </c>
      <c r="F29" s="157">
        <f>'Schedule 1 Adjustments'!L29</f>
        <v>7831092.198568563</v>
      </c>
      <c r="G29" s="157">
        <f>'Schedule 1 Adjustments'!O29</f>
        <v>3973672.796284101</v>
      </c>
      <c r="H29" s="157">
        <f>'Schedule 1 Adjustments'!R29</f>
        <v>261573.35891180689</v>
      </c>
      <c r="I29" s="157">
        <f>'Schedule 1 Adjustments'!U29</f>
        <v>20912.955613357975</v>
      </c>
      <c r="J29" s="158">
        <f>SUM(E29:I29)</f>
        <v>13725905.539999999</v>
      </c>
      <c r="K29" s="128"/>
      <c r="M29" s="140"/>
    </row>
    <row r="30" spans="1:13" s="22" customFormat="1" x14ac:dyDescent="0.35">
      <c r="A30" s="155">
        <v>12</v>
      </c>
      <c r="B30" s="500" t="s">
        <v>300</v>
      </c>
      <c r="C30" s="501"/>
      <c r="D30" s="502"/>
      <c r="E30" s="157">
        <f>'Schedule 1 Adjustments'!I30</f>
        <v>131933.43048601737</v>
      </c>
      <c r="F30" s="157">
        <f>'Schedule 1 Adjustments'!L30</f>
        <v>31516.408420863543</v>
      </c>
      <c r="G30" s="157">
        <f>'Schedule 1 Adjustments'!O30</f>
        <v>17601.674433396482</v>
      </c>
      <c r="H30" s="157">
        <f>'Schedule 1 Adjustments'!R30</f>
        <v>509.4935184288488</v>
      </c>
      <c r="I30" s="157">
        <f>'Schedule 1 Adjustments'!U30</f>
        <v>31.843141293753799</v>
      </c>
      <c r="J30" s="158">
        <f t="shared" ref="J30" si="3">SUM(E30:I30)</f>
        <v>181592.85</v>
      </c>
      <c r="M30" s="140"/>
    </row>
    <row r="31" spans="1:13" s="22" customFormat="1" x14ac:dyDescent="0.35">
      <c r="A31" s="155">
        <v>13</v>
      </c>
      <c r="B31" s="506" t="s">
        <v>225</v>
      </c>
      <c r="C31" s="507"/>
      <c r="D31" s="508"/>
      <c r="E31" s="160">
        <f>SUM(E28:E30)</f>
        <v>1940492.5504826922</v>
      </c>
      <c r="F31" s="160">
        <f>SUM(F28:F30)</f>
        <v>7962577.4011809956</v>
      </c>
      <c r="G31" s="160">
        <f>SUM(G28:G30)</f>
        <v>4107265.6546321693</v>
      </c>
      <c r="H31" s="160">
        <f>SUM(H28:H30)</f>
        <v>262188.44332261762</v>
      </c>
      <c r="I31" s="160">
        <f>SUM(I28:I30)</f>
        <v>20955.550381525936</v>
      </c>
      <c r="J31" s="160">
        <f>SUM(E31:I31)</f>
        <v>14293479.600000001</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506" t="s">
        <v>228</v>
      </c>
      <c r="C33" s="507"/>
      <c r="D33" s="508"/>
      <c r="E33" s="160">
        <f>E31+E25+E21+E16</f>
        <v>9577263.97003836</v>
      </c>
      <c r="F33" s="160">
        <f>F31+F25+F21+F16</f>
        <v>36572666.019609846</v>
      </c>
      <c r="G33" s="160">
        <f>G31+G25+G21+G16</f>
        <v>20244371.622840956</v>
      </c>
      <c r="H33" s="160">
        <f>H31+H25+H21+H16</f>
        <v>1399239.3634139895</v>
      </c>
      <c r="I33" s="160">
        <f>I31+I25+I21+I16</f>
        <v>58749.444096846877</v>
      </c>
      <c r="J33" s="160">
        <f t="shared" ref="J33" si="4">SUM(E33:I33)</f>
        <v>67852290.420000002</v>
      </c>
      <c r="M33" s="140"/>
    </row>
    <row r="34" spans="1:13" s="22" customFormat="1" x14ac:dyDescent="0.35">
      <c r="A34" s="161"/>
      <c r="B34" s="162"/>
      <c r="C34" s="162"/>
      <c r="D34" s="163"/>
      <c r="E34" s="164"/>
      <c r="F34" s="164"/>
      <c r="G34" s="164"/>
      <c r="H34" s="164"/>
      <c r="I34" s="164"/>
      <c r="J34" s="164"/>
      <c r="M34" s="140"/>
    </row>
    <row r="35" spans="1:13" s="22" customFormat="1" x14ac:dyDescent="0.35">
      <c r="A35" s="509" t="s">
        <v>234</v>
      </c>
      <c r="B35" s="510"/>
      <c r="C35" s="510"/>
      <c r="D35" s="510"/>
      <c r="E35" s="510"/>
      <c r="F35" s="510"/>
      <c r="G35" s="510"/>
      <c r="H35" s="510"/>
      <c r="I35" s="510"/>
      <c r="J35" s="511"/>
      <c r="M35" s="140"/>
    </row>
    <row r="36" spans="1:13" s="22" customFormat="1" x14ac:dyDescent="0.35">
      <c r="A36" s="155">
        <v>15</v>
      </c>
      <c r="B36" s="500" t="s">
        <v>292</v>
      </c>
      <c r="C36" s="501"/>
      <c r="D36" s="502"/>
      <c r="E36" s="157">
        <f>'Schedule 1 Adjustments'!I36</f>
        <v>0</v>
      </c>
      <c r="F36" s="157">
        <f>'Schedule 1 Adjustments'!L36</f>
        <v>538168.99</v>
      </c>
      <c r="G36" s="157">
        <f>'Schedule 1 Adjustments'!O36</f>
        <v>670662.36</v>
      </c>
      <c r="H36" s="157">
        <f>'Schedule 1 Adjustments'!R36</f>
        <v>121851.1</v>
      </c>
      <c r="I36" s="157">
        <f>'Schedule 1 Adjustments'!U36</f>
        <v>0</v>
      </c>
      <c r="J36" s="158">
        <f>SUM(E36:I36)</f>
        <v>1330682.4500000002</v>
      </c>
      <c r="M36" s="140"/>
    </row>
    <row r="37" spans="1:13" s="22" customFormat="1" x14ac:dyDescent="0.35">
      <c r="A37" s="155">
        <v>16</v>
      </c>
      <c r="B37" s="500" t="s">
        <v>227</v>
      </c>
      <c r="C37" s="501"/>
      <c r="D37" s="502"/>
      <c r="E37" s="157">
        <f>'Schedule 1 Adjustments'!I37</f>
        <v>0</v>
      </c>
      <c r="F37" s="157">
        <f>'Schedule 1 Adjustments'!L37</f>
        <v>0</v>
      </c>
      <c r="G37" s="157">
        <f>'Schedule 1 Adjustments'!O37</f>
        <v>0</v>
      </c>
      <c r="H37" s="157">
        <f>'Schedule 1 Adjustments'!R37</f>
        <v>0</v>
      </c>
      <c r="I37" s="157">
        <f>'Schedule 1 Adjustments'!U37</f>
        <v>0</v>
      </c>
      <c r="J37" s="158">
        <f>SUM(E37:I37)</f>
        <v>0</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506" t="s">
        <v>226</v>
      </c>
      <c r="C39" s="507"/>
      <c r="D39" s="508"/>
      <c r="E39" s="160">
        <f>SUM(E36:E38)</f>
        <v>0</v>
      </c>
      <c r="F39" s="160">
        <f t="shared" ref="F39:I39" si="5">SUM(F36:F38)</f>
        <v>538168.99</v>
      </c>
      <c r="G39" s="160">
        <f t="shared" si="5"/>
        <v>670662.36</v>
      </c>
      <c r="H39" s="160">
        <f t="shared" si="5"/>
        <v>121851.1</v>
      </c>
      <c r="I39" s="160">
        <f t="shared" si="5"/>
        <v>0</v>
      </c>
      <c r="J39" s="160">
        <f>SUM(E39:I39)</f>
        <v>1330682.4500000002</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506" t="s">
        <v>229</v>
      </c>
      <c r="C41" s="507"/>
      <c r="D41" s="508"/>
      <c r="E41" s="160">
        <f>E39+E33</f>
        <v>9577263.97003836</v>
      </c>
      <c r="F41" s="160">
        <f>F39+F33</f>
        <v>37110835.009609848</v>
      </c>
      <c r="G41" s="160">
        <f>G39+G33</f>
        <v>20915033.982840955</v>
      </c>
      <c r="H41" s="160">
        <f>H39+H33</f>
        <v>1521090.4634139896</v>
      </c>
      <c r="I41" s="160">
        <f>I39+I33</f>
        <v>58749.444096846877</v>
      </c>
      <c r="J41" s="160">
        <f>SUM(E41:I41)</f>
        <v>69182972.86999999</v>
      </c>
      <c r="M41" s="140"/>
    </row>
    <row r="42" spans="1:13" s="22" customFormat="1" x14ac:dyDescent="0.35">
      <c r="A42" s="161"/>
      <c r="B42" s="162"/>
      <c r="C42" s="162"/>
      <c r="D42" s="163"/>
      <c r="E42" s="164"/>
      <c r="F42" s="164"/>
      <c r="G42" s="164"/>
      <c r="H42" s="164"/>
      <c r="I42" s="164"/>
      <c r="J42" s="164"/>
      <c r="M42" s="140"/>
    </row>
    <row r="43" spans="1:13" s="22" customFormat="1" x14ac:dyDescent="0.35">
      <c r="A43" s="509" t="s">
        <v>487</v>
      </c>
      <c r="B43" s="510"/>
      <c r="C43" s="510"/>
      <c r="D43" s="510"/>
      <c r="E43" s="510"/>
      <c r="F43" s="510"/>
      <c r="G43" s="510"/>
      <c r="H43" s="510"/>
      <c r="I43" s="510"/>
      <c r="J43" s="511"/>
      <c r="M43" s="140"/>
    </row>
    <row r="44" spans="1:13" s="22" customFormat="1" x14ac:dyDescent="0.35">
      <c r="A44" s="155">
        <v>20</v>
      </c>
      <c r="B44" s="500" t="s">
        <v>283</v>
      </c>
      <c r="C44" s="501"/>
      <c r="D44" s="502"/>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500" t="s">
        <v>230</v>
      </c>
      <c r="C45" s="501"/>
      <c r="D45" s="502"/>
      <c r="E45" s="157">
        <f>'Schedule 1 Adjustments'!I45</f>
        <v>106.94999999999999</v>
      </c>
      <c r="F45" s="157">
        <f>'Schedule 1 Adjustments'!L45</f>
        <v>4041.0710474650041</v>
      </c>
      <c r="G45" s="157">
        <f>'Schedule 1 Adjustments'!O45</f>
        <v>18540.489999999998</v>
      </c>
      <c r="H45" s="157">
        <f>'Schedule 1 Adjustments'!R45</f>
        <v>15350.916776312124</v>
      </c>
      <c r="I45" s="157">
        <f>'Schedule 1 Adjustments'!U45</f>
        <v>324.22217622286945</v>
      </c>
      <c r="J45" s="158">
        <f t="shared" ref="J45:J50" si="6">SUM(E45:I45)</f>
        <v>38363.65</v>
      </c>
      <c r="M45" s="140"/>
    </row>
    <row r="46" spans="1:13" s="22" customFormat="1" x14ac:dyDescent="0.35">
      <c r="A46" s="155">
        <v>22</v>
      </c>
      <c r="B46" s="500" t="s">
        <v>288</v>
      </c>
      <c r="C46" s="501"/>
      <c r="D46" s="502"/>
      <c r="E46" s="157">
        <f>'Schedule 1 Adjustments'!I46</f>
        <v>2150.8972817955109</v>
      </c>
      <c r="F46" s="157">
        <f>'Schedule 1 Adjustments'!L46</f>
        <v>13571.425085153032</v>
      </c>
      <c r="G46" s="157">
        <f>'Schedule 1 Adjustments'!O46</f>
        <v>179315.68273855164</v>
      </c>
      <c r="H46" s="157">
        <f>'Schedule 1 Adjustments'!R46</f>
        <v>2.4894499805130255E-2</v>
      </c>
      <c r="I46" s="157">
        <f>'Schedule 1 Adjustments'!U46</f>
        <v>0</v>
      </c>
      <c r="J46" s="158">
        <f t="shared" si="6"/>
        <v>195038.02999999997</v>
      </c>
      <c r="M46" s="140"/>
    </row>
    <row r="47" spans="1:13" s="22" customFormat="1" x14ac:dyDescent="0.35">
      <c r="A47" s="155">
        <v>23</v>
      </c>
      <c r="B47" s="500" t="s">
        <v>284</v>
      </c>
      <c r="C47" s="501"/>
      <c r="D47" s="502"/>
      <c r="E47" s="157">
        <f>'Schedule 1 Adjustments'!I47</f>
        <v>60231.036273029102</v>
      </c>
      <c r="F47" s="157">
        <f>'Schedule 1 Adjustments'!L47</f>
        <v>33750.967077300527</v>
      </c>
      <c r="G47" s="157">
        <f>'Schedule 1 Adjustments'!O47</f>
        <v>11598.90121033443</v>
      </c>
      <c r="H47" s="157">
        <f>'Schedule 1 Adjustments'!R47</f>
        <v>822.29940375503202</v>
      </c>
      <c r="I47" s="157">
        <f>'Schedule 1 Adjustments'!U47</f>
        <v>102.27603558092649</v>
      </c>
      <c r="J47" s="158">
        <f t="shared" si="6"/>
        <v>106505.48000000003</v>
      </c>
      <c r="M47" s="140"/>
    </row>
    <row r="48" spans="1:13" s="22" customFormat="1" x14ac:dyDescent="0.35">
      <c r="A48" s="155">
        <v>24</v>
      </c>
      <c r="B48" s="500" t="s">
        <v>314</v>
      </c>
      <c r="C48" s="501"/>
      <c r="D48" s="502"/>
      <c r="E48" s="157">
        <f>'Schedule 1 Adjustments'!I48</f>
        <v>0</v>
      </c>
      <c r="F48" s="157">
        <f>'Schedule 1 Adjustments'!L48</f>
        <v>57688.430044896086</v>
      </c>
      <c r="G48" s="157">
        <f>'Schedule 1 Adjustments'!O48</f>
        <v>48336.188008050085</v>
      </c>
      <c r="H48" s="157">
        <f>'Schedule 1 Adjustments'!R48</f>
        <v>222319.47843435366</v>
      </c>
      <c r="I48" s="157">
        <f>'Schedule 1 Adjustments'!U48</f>
        <v>193.5335127002125</v>
      </c>
      <c r="J48" s="158">
        <f t="shared" si="6"/>
        <v>328537.63000000006</v>
      </c>
      <c r="M48" s="140"/>
    </row>
    <row r="49" spans="1:13" s="22" customFormat="1" x14ac:dyDescent="0.35">
      <c r="A49" s="155">
        <v>25</v>
      </c>
      <c r="B49" s="500" t="s">
        <v>774</v>
      </c>
      <c r="C49" s="501"/>
      <c r="D49" s="502"/>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500" t="s">
        <v>452</v>
      </c>
      <c r="C50" s="501"/>
      <c r="D50" s="502"/>
      <c r="E50" s="157">
        <f>'Schedule 1 Adjustments'!I50</f>
        <v>3934.953601171731</v>
      </c>
      <c r="F50" s="157">
        <f>'Schedule 1 Adjustments'!L50</f>
        <v>150500.5555513436</v>
      </c>
      <c r="G50" s="157">
        <f>'Schedule 1 Adjustments'!O50</f>
        <v>203008.01984016993</v>
      </c>
      <c r="H50" s="157">
        <f>'Schedule 1 Adjustments'!R50</f>
        <v>178335.13771550811</v>
      </c>
      <c r="I50" s="157">
        <f>'Schedule 1 Adjustments'!U50</f>
        <v>6573.693291806554</v>
      </c>
      <c r="J50" s="158">
        <f t="shared" si="6"/>
        <v>542352.35999999987</v>
      </c>
      <c r="M50" s="140"/>
    </row>
    <row r="51" spans="1:13" s="22" customFormat="1" x14ac:dyDescent="0.35">
      <c r="A51" s="155">
        <v>27</v>
      </c>
      <c r="B51" s="506" t="s">
        <v>238</v>
      </c>
      <c r="C51" s="507"/>
      <c r="D51" s="508"/>
      <c r="E51" s="160">
        <f>SUM(E44:E50)</f>
        <v>66423.837155996342</v>
      </c>
      <c r="F51" s="160">
        <f>SUM(F44:F50)</f>
        <v>259552.44880615824</v>
      </c>
      <c r="G51" s="160">
        <f>SUM(G44:G50)</f>
        <v>460799.28179710609</v>
      </c>
      <c r="H51" s="160">
        <f>SUM(H44:H50)</f>
        <v>416827.85722442874</v>
      </c>
      <c r="I51" s="160">
        <f>SUM(I44:I50)</f>
        <v>7193.7250163105628</v>
      </c>
      <c r="J51" s="160">
        <f>SUM(E51:I51)</f>
        <v>1210797.1499999999</v>
      </c>
      <c r="M51" s="140"/>
    </row>
    <row r="52" spans="1:13" s="22" customFormat="1" x14ac:dyDescent="0.35">
      <c r="A52" s="161"/>
      <c r="B52" s="512"/>
      <c r="C52" s="512"/>
      <c r="D52" s="512"/>
      <c r="E52" s="512"/>
      <c r="F52" s="512"/>
      <c r="G52" s="512"/>
      <c r="H52" s="164"/>
      <c r="I52" s="164"/>
      <c r="J52" s="164"/>
      <c r="M52" s="140"/>
    </row>
    <row r="53" spans="1:13" s="22" customFormat="1" x14ac:dyDescent="0.35">
      <c r="A53" s="509" t="s">
        <v>233</v>
      </c>
      <c r="B53" s="510"/>
      <c r="C53" s="510"/>
      <c r="D53" s="510"/>
      <c r="E53" s="510"/>
      <c r="F53" s="510"/>
      <c r="G53" s="510"/>
      <c r="H53" s="510"/>
      <c r="I53" s="510"/>
      <c r="J53" s="511"/>
      <c r="M53" s="140"/>
    </row>
    <row r="54" spans="1:13" s="22" customFormat="1" x14ac:dyDescent="0.35">
      <c r="A54" s="155">
        <v>28</v>
      </c>
      <c r="B54" s="500" t="s">
        <v>282</v>
      </c>
      <c r="C54" s="501"/>
      <c r="D54" s="502"/>
      <c r="E54" s="157">
        <f>'Schedule 1 Adjustments'!I54</f>
        <v>1132342.7959024683</v>
      </c>
      <c r="F54" s="157">
        <f>'Schedule 1 Adjustments'!L54</f>
        <v>1035656.0521178794</v>
      </c>
      <c r="G54" s="157">
        <f>'Schedule 1 Adjustments'!O54</f>
        <v>520169.96661511762</v>
      </c>
      <c r="H54" s="157">
        <f>'Schedule 1 Adjustments'!R54</f>
        <v>42314.645294989532</v>
      </c>
      <c r="I54" s="157">
        <f>'Schedule 1 Adjustments'!U54</f>
        <v>5153.3400695453793</v>
      </c>
      <c r="J54" s="158">
        <f>SUM(E54:I54)</f>
        <v>2735636.8000000003</v>
      </c>
      <c r="M54" s="140"/>
    </row>
    <row r="55" spans="1:13" s="22" customFormat="1" x14ac:dyDescent="0.35">
      <c r="A55" s="155">
        <v>29</v>
      </c>
      <c r="B55" s="500" t="s">
        <v>294</v>
      </c>
      <c r="C55" s="501"/>
      <c r="D55" s="502"/>
      <c r="E55" s="157">
        <f>'Schedule 1 Adjustments'!I55</f>
        <v>102927.98</v>
      </c>
      <c r="F55" s="157">
        <f>'Schedule 1 Adjustments'!L55</f>
        <v>220992.91659381989</v>
      </c>
      <c r="G55" s="157">
        <f>'Schedule 1 Adjustments'!O55</f>
        <v>94742.58247674421</v>
      </c>
      <c r="H55" s="157">
        <f>'Schedule 1 Adjustments'!R55</f>
        <v>128326.47199652347</v>
      </c>
      <c r="I55" s="157">
        <f>'Schedule 1 Adjustments'!U55</f>
        <v>1095.5389329125264</v>
      </c>
      <c r="J55" s="158">
        <f>SUM(E55:I55)</f>
        <v>548085.49000000011</v>
      </c>
      <c r="M55" s="140"/>
    </row>
    <row r="56" spans="1:13" s="22" customFormat="1" x14ac:dyDescent="0.35">
      <c r="A56" s="155">
        <v>30</v>
      </c>
      <c r="B56" s="500" t="s">
        <v>295</v>
      </c>
      <c r="C56" s="501"/>
      <c r="D56" s="502"/>
      <c r="E56" s="157">
        <f>'Schedule 1 Adjustments'!I56</f>
        <v>89725.697701762867</v>
      </c>
      <c r="F56" s="157">
        <f>'Schedule 1 Adjustments'!L56</f>
        <v>392855.38880094467</v>
      </c>
      <c r="G56" s="157">
        <f>'Schedule 1 Adjustments'!O56</f>
        <v>70991.031089708064</v>
      </c>
      <c r="H56" s="157">
        <f>'Schedule 1 Adjustments'!R56</f>
        <v>8381.9048241900582</v>
      </c>
      <c r="I56" s="157">
        <f>'Schedule 1 Adjustments'!U56</f>
        <v>755.26758339429512</v>
      </c>
      <c r="J56" s="158">
        <f t="shared" ref="J56:J58" si="8">SUM(E56:I56)</f>
        <v>562709.29</v>
      </c>
      <c r="M56" s="140"/>
    </row>
    <row r="57" spans="1:13" s="22" customFormat="1" x14ac:dyDescent="0.35">
      <c r="A57" s="155">
        <v>31</v>
      </c>
      <c r="B57" s="500" t="s">
        <v>296</v>
      </c>
      <c r="C57" s="501"/>
      <c r="D57" s="502"/>
      <c r="E57" s="157">
        <f>'Schedule 1 Adjustments'!I57</f>
        <v>0</v>
      </c>
      <c r="F57" s="157">
        <f>'Schedule 1 Adjustments'!L57</f>
        <v>0</v>
      </c>
      <c r="G57" s="157">
        <f>'Schedule 1 Adjustments'!O57</f>
        <v>0</v>
      </c>
      <c r="H57" s="157">
        <f>'Schedule 1 Adjustments'!R57</f>
        <v>0</v>
      </c>
      <c r="I57" s="157">
        <f>'Schedule 1 Adjustments'!U57</f>
        <v>0</v>
      </c>
      <c r="J57" s="158">
        <f t="shared" si="8"/>
        <v>0</v>
      </c>
      <c r="M57" s="140"/>
    </row>
    <row r="58" spans="1:13" s="22" customFormat="1" x14ac:dyDescent="0.35">
      <c r="A58" s="155">
        <v>32</v>
      </c>
      <c r="B58" s="506" t="s">
        <v>231</v>
      </c>
      <c r="C58" s="507"/>
      <c r="D58" s="508"/>
      <c r="E58" s="160">
        <f>SUM(E54:E57)</f>
        <v>1324996.4736042311</v>
      </c>
      <c r="F58" s="160">
        <f>SUM(F54:F57)</f>
        <v>1649504.357512644</v>
      </c>
      <c r="G58" s="160">
        <f>SUM(G54:G57)</f>
        <v>685903.58018156991</v>
      </c>
      <c r="H58" s="160">
        <f>SUM(H54:H57)</f>
        <v>179023.02211570306</v>
      </c>
      <c r="I58" s="160">
        <f>SUM(I54:I57)</f>
        <v>7004.1465858522006</v>
      </c>
      <c r="J58" s="160">
        <f t="shared" si="8"/>
        <v>3846431.5800000005</v>
      </c>
      <c r="M58" s="140"/>
    </row>
    <row r="59" spans="1:13" s="22" customFormat="1" x14ac:dyDescent="0.35">
      <c r="A59" s="161"/>
      <c r="B59" s="162"/>
      <c r="C59" s="162"/>
      <c r="D59" s="163"/>
      <c r="E59" s="164"/>
      <c r="F59" s="164"/>
      <c r="G59" s="164"/>
      <c r="H59" s="164"/>
      <c r="I59" s="164"/>
      <c r="J59" s="164"/>
      <c r="M59" s="140"/>
    </row>
    <row r="60" spans="1:13" s="22" customFormat="1" x14ac:dyDescent="0.35">
      <c r="A60" s="509" t="s">
        <v>232</v>
      </c>
      <c r="B60" s="510"/>
      <c r="C60" s="510"/>
      <c r="D60" s="510"/>
      <c r="E60" s="510"/>
      <c r="F60" s="510"/>
      <c r="G60" s="510"/>
      <c r="H60" s="510"/>
      <c r="I60" s="510"/>
      <c r="J60" s="511"/>
      <c r="M60" s="140"/>
    </row>
    <row r="61" spans="1:13" s="22" customFormat="1" x14ac:dyDescent="0.35">
      <c r="A61" s="155">
        <v>33</v>
      </c>
      <c r="B61" s="500" t="s">
        <v>297</v>
      </c>
      <c r="C61" s="501"/>
      <c r="D61" s="502"/>
      <c r="E61" s="157">
        <f>'Schedule 1 Adjustments'!I61</f>
        <v>389280.09574980754</v>
      </c>
      <c r="F61" s="157">
        <f>'Schedule 1 Adjustments'!L61</f>
        <v>1029855.8377591793</v>
      </c>
      <c r="G61" s="157">
        <f>'Schedule 1 Adjustments'!O61</f>
        <v>422527.72471364896</v>
      </c>
      <c r="H61" s="157">
        <f>'Schedule 1 Adjustments'!R61</f>
        <v>24156.012102536319</v>
      </c>
      <c r="I61" s="157">
        <f>'Schedule 1 Adjustments'!U61</f>
        <v>45579.796470110305</v>
      </c>
      <c r="J61" s="158">
        <f>SUM(E61:I61)</f>
        <v>1911399.4667952824</v>
      </c>
      <c r="M61" s="140"/>
    </row>
    <row r="62" spans="1:13" s="22" customFormat="1" x14ac:dyDescent="0.35">
      <c r="A62" s="155">
        <v>34</v>
      </c>
      <c r="B62" s="500" t="s">
        <v>298</v>
      </c>
      <c r="C62" s="501"/>
      <c r="D62" s="502"/>
      <c r="E62" s="157">
        <f>'Schedule 1 Adjustments'!I62</f>
        <v>-85968.649689069905</v>
      </c>
      <c r="F62" s="157">
        <f>'Schedule 1 Adjustments'!L62</f>
        <v>943632.18709327432</v>
      </c>
      <c r="G62" s="157">
        <f>'Schedule 1 Adjustments'!O62</f>
        <v>214775.93384222774</v>
      </c>
      <c r="H62" s="157">
        <f>'Schedule 1 Adjustments'!R62</f>
        <v>26785.866361437664</v>
      </c>
      <c r="I62" s="157">
        <f>'Schedule 1 Adjustments'!U62</f>
        <v>188445.92027686717</v>
      </c>
      <c r="J62" s="158">
        <f t="shared" ref="J62:J68" si="9">SUM(E62:I62)</f>
        <v>1287671.2578847369</v>
      </c>
      <c r="M62" s="140"/>
    </row>
    <row r="63" spans="1:13" s="22" customFormat="1" x14ac:dyDescent="0.35">
      <c r="A63" s="155">
        <v>35</v>
      </c>
      <c r="B63" s="500" t="s">
        <v>302</v>
      </c>
      <c r="C63" s="501"/>
      <c r="D63" s="502"/>
      <c r="E63" s="157">
        <f>'Schedule 1 Adjustments'!I63</f>
        <v>0</v>
      </c>
      <c r="F63" s="157">
        <f>'Schedule 1 Adjustments'!L63</f>
        <v>0</v>
      </c>
      <c r="G63" s="157">
        <f>'Schedule 1 Adjustments'!O63</f>
        <v>0</v>
      </c>
      <c r="H63" s="157">
        <f>'Schedule 1 Adjustments'!R63</f>
        <v>0</v>
      </c>
      <c r="I63" s="157">
        <f>'Schedule 1 Adjustments'!U63</f>
        <v>258293.81</v>
      </c>
      <c r="J63" s="158">
        <f t="shared" si="9"/>
        <v>258293.81</v>
      </c>
      <c r="M63" s="140"/>
    </row>
    <row r="64" spans="1:13" s="22" customFormat="1" x14ac:dyDescent="0.35">
      <c r="A64" s="155">
        <v>36</v>
      </c>
      <c r="B64" s="500" t="s">
        <v>315</v>
      </c>
      <c r="C64" s="501"/>
      <c r="D64" s="502"/>
      <c r="E64" s="157">
        <f>'Schedule 1 Adjustments'!I64</f>
        <v>28961.630476953756</v>
      </c>
      <c r="F64" s="157">
        <f>'Schedule 1 Adjustments'!L64</f>
        <v>148572.83554642796</v>
      </c>
      <c r="G64" s="157">
        <f>'Schedule 1 Adjustments'!O64</f>
        <v>26406.798169708305</v>
      </c>
      <c r="H64" s="157">
        <f>'Schedule 1 Adjustments'!R64</f>
        <v>1770.9730898990431</v>
      </c>
      <c r="I64" s="157">
        <f>'Schedule 1 Adjustments'!U64</f>
        <v>196.96271701098246</v>
      </c>
      <c r="J64" s="158">
        <f t="shared" si="9"/>
        <v>205909.20000000007</v>
      </c>
      <c r="M64" s="140"/>
    </row>
    <row r="65" spans="1:13" s="22" customFormat="1" x14ac:dyDescent="0.35">
      <c r="A65" s="155">
        <v>37</v>
      </c>
      <c r="B65" s="500" t="s">
        <v>316</v>
      </c>
      <c r="C65" s="501"/>
      <c r="D65" s="502"/>
      <c r="E65" s="157">
        <f>'Schedule 1 Adjustments'!I65</f>
        <v>15229.817230442308</v>
      </c>
      <c r="F65" s="157">
        <f>'Schedule 1 Adjustments'!L65</f>
        <v>163777.39080615784</v>
      </c>
      <c r="G65" s="157">
        <f>'Schedule 1 Adjustments'!O65</f>
        <v>50296.615826921632</v>
      </c>
      <c r="H65" s="157">
        <f>'Schedule 1 Adjustments'!R65</f>
        <v>2284.8102817627932</v>
      </c>
      <c r="I65" s="157">
        <f>'Schedule 1 Adjustments'!U65</f>
        <v>398.99585471542343</v>
      </c>
      <c r="J65" s="158">
        <f t="shared" si="9"/>
        <v>231987.62999999998</v>
      </c>
      <c r="M65" s="140"/>
    </row>
    <row r="66" spans="1:13" s="22" customFormat="1" x14ac:dyDescent="0.35">
      <c r="A66" s="155">
        <v>38</v>
      </c>
      <c r="B66" s="500" t="s">
        <v>317</v>
      </c>
      <c r="C66" s="501"/>
      <c r="D66" s="502"/>
      <c r="E66" s="157">
        <f>'Schedule 1 Adjustments'!I66</f>
        <v>24437.496594164386</v>
      </c>
      <c r="F66" s="157">
        <f>'Schedule 1 Adjustments'!L66</f>
        <v>54001.397744079353</v>
      </c>
      <c r="G66" s="157">
        <f>'Schedule 1 Adjustments'!O66</f>
        <v>9115.5096629485506</v>
      </c>
      <c r="H66" s="157">
        <f>'Schedule 1 Adjustments'!R66</f>
        <v>2099.8249734391356</v>
      </c>
      <c r="I66" s="157">
        <f>'Schedule 1 Adjustments'!U66</f>
        <v>596.50102536857401</v>
      </c>
      <c r="J66" s="158">
        <f t="shared" si="9"/>
        <v>90250.73000000001</v>
      </c>
      <c r="M66" s="140"/>
    </row>
    <row r="67" spans="1:13" s="22" customFormat="1" x14ac:dyDescent="0.35">
      <c r="A67" s="155">
        <v>39</v>
      </c>
      <c r="B67" s="500" t="s">
        <v>299</v>
      </c>
      <c r="C67" s="501"/>
      <c r="D67" s="502"/>
      <c r="E67" s="157">
        <f>'Schedule 1 Adjustments'!I67</f>
        <v>161204.40053435488</v>
      </c>
      <c r="F67" s="157">
        <f>'Schedule 1 Adjustments'!L67</f>
        <v>414356.6968436758</v>
      </c>
      <c r="G67" s="157">
        <f>'Schedule 1 Adjustments'!O67</f>
        <v>227372.12486090709</v>
      </c>
      <c r="H67" s="157">
        <f>'Schedule 1 Adjustments'!R67</f>
        <v>201283.38798099893</v>
      </c>
      <c r="I67" s="157">
        <f>'Schedule 1 Adjustments'!U67</f>
        <v>76171.189780063287</v>
      </c>
      <c r="J67" s="158">
        <f t="shared" si="9"/>
        <v>1080387.8</v>
      </c>
      <c r="M67" s="140"/>
    </row>
    <row r="68" spans="1:13" s="22" customFormat="1" x14ac:dyDescent="0.35">
      <c r="A68" s="155">
        <v>40</v>
      </c>
      <c r="B68" s="506" t="s">
        <v>237</v>
      </c>
      <c r="C68" s="507"/>
      <c r="D68" s="508"/>
      <c r="E68" s="160">
        <f>SUM(E61:E67)</f>
        <v>533144.79089665296</v>
      </c>
      <c r="F68" s="160">
        <f>SUM(F61:F67)</f>
        <v>2754196.3457927941</v>
      </c>
      <c r="G68" s="160">
        <f>SUM(G61:G67)</f>
        <v>950494.70707636233</v>
      </c>
      <c r="H68" s="160">
        <f>SUM(H61:H67)</f>
        <v>258380.8747900739</v>
      </c>
      <c r="I68" s="160">
        <f>SUM(I61:I67)</f>
        <v>569683.17612413573</v>
      </c>
      <c r="J68" s="160">
        <f t="shared" si="9"/>
        <v>5065899.8946800195</v>
      </c>
      <c r="M68" s="140"/>
    </row>
    <row r="69" spans="1:13" s="22" customFormat="1" x14ac:dyDescent="0.35">
      <c r="A69" s="161"/>
      <c r="B69" s="162"/>
      <c r="C69" s="162"/>
      <c r="D69" s="163"/>
      <c r="E69" s="164"/>
      <c r="F69" s="164"/>
      <c r="G69" s="164"/>
      <c r="H69" s="164"/>
      <c r="I69" s="164"/>
      <c r="J69" s="164"/>
      <c r="M69" s="140"/>
    </row>
    <row r="70" spans="1:13" s="22" customFormat="1" x14ac:dyDescent="0.35">
      <c r="A70" s="509" t="s">
        <v>236</v>
      </c>
      <c r="B70" s="510"/>
      <c r="C70" s="510"/>
      <c r="D70" s="510"/>
      <c r="E70" s="510"/>
      <c r="F70" s="510"/>
      <c r="G70" s="510"/>
      <c r="H70" s="510"/>
      <c r="I70" s="510"/>
      <c r="J70" s="511"/>
      <c r="M70" s="140"/>
    </row>
    <row r="71" spans="1:13" s="22" customFormat="1" x14ac:dyDescent="0.35">
      <c r="A71" s="155">
        <v>41</v>
      </c>
      <c r="B71" s="500" t="s">
        <v>239</v>
      </c>
      <c r="C71" s="501"/>
      <c r="D71" s="502"/>
      <c r="E71" s="157">
        <f>'Schedule 1 Adjustments'!I71</f>
        <v>169863.0643441329</v>
      </c>
      <c r="F71" s="157">
        <f>'Schedule 1 Adjustments'!L71</f>
        <v>299988.16634360765</v>
      </c>
      <c r="G71" s="157">
        <f>'Schedule 1 Adjustments'!O71</f>
        <v>71951.540656279205</v>
      </c>
      <c r="H71" s="157">
        <f>'Schedule 1 Adjustments'!R71</f>
        <v>15611.437563530104</v>
      </c>
      <c r="I71" s="157">
        <f>'Schedule 1 Adjustments'!U71</f>
        <v>3145.2310924502394</v>
      </c>
      <c r="J71" s="158">
        <f t="shared" ref="J71:J74" si="10">SUM(E71:I71)</f>
        <v>560559.44000000006</v>
      </c>
      <c r="M71" s="140"/>
    </row>
    <row r="72" spans="1:13" s="22" customFormat="1" x14ac:dyDescent="0.35">
      <c r="A72" s="155">
        <v>42</v>
      </c>
      <c r="B72" s="500" t="s">
        <v>289</v>
      </c>
      <c r="C72" s="501"/>
      <c r="D72" s="502"/>
      <c r="E72" s="157">
        <f>'Schedule 1 Adjustments'!I72</f>
        <v>52802.883588716111</v>
      </c>
      <c r="F72" s="157">
        <f>'Schedule 1 Adjustments'!L72</f>
        <v>180033.43465533337</v>
      </c>
      <c r="G72" s="157">
        <f>'Schedule 1 Adjustments'!O72</f>
        <v>26734.017215666026</v>
      </c>
      <c r="H72" s="157">
        <f>'Schedule 1 Adjustments'!R72</f>
        <v>3118.0574128060662</v>
      </c>
      <c r="I72" s="157">
        <f>'Schedule 1 Adjustments'!U72</f>
        <v>456.59712747842002</v>
      </c>
      <c r="J72" s="158">
        <f t="shared" si="10"/>
        <v>263144.99</v>
      </c>
      <c r="M72" s="140"/>
    </row>
    <row r="73" spans="1:13" s="22" customFormat="1" x14ac:dyDescent="0.35">
      <c r="A73" s="155">
        <v>43</v>
      </c>
      <c r="B73" s="500" t="s">
        <v>240</v>
      </c>
      <c r="C73" s="501"/>
      <c r="D73" s="502"/>
      <c r="E73" s="157">
        <f>'Schedule 1 Adjustments'!I73</f>
        <v>2281</v>
      </c>
      <c r="F73" s="157">
        <f>'Schedule 1 Adjustments'!L73</f>
        <v>177817.13017621773</v>
      </c>
      <c r="G73" s="157">
        <f>'Schedule 1 Adjustments'!O73</f>
        <v>36722.012850626132</v>
      </c>
      <c r="H73" s="157">
        <f>'Schedule 1 Adjustments'!R73</f>
        <v>7182.2254660066601</v>
      </c>
      <c r="I73" s="157">
        <f>'Schedule 1 Adjustments'!U73</f>
        <v>881.50150714952463</v>
      </c>
      <c r="J73" s="158">
        <f t="shared" si="10"/>
        <v>224883.87000000005</v>
      </c>
      <c r="M73" s="140"/>
    </row>
    <row r="74" spans="1:13" s="22" customFormat="1" x14ac:dyDescent="0.35">
      <c r="A74" s="155">
        <v>44</v>
      </c>
      <c r="B74" s="500" t="s">
        <v>308</v>
      </c>
      <c r="C74" s="501"/>
      <c r="D74" s="502"/>
      <c r="E74" s="157">
        <f>'Schedule 1 Adjustments'!I74</f>
        <v>139998.65</v>
      </c>
      <c r="F74" s="157">
        <f>'Schedule 1 Adjustments'!L74</f>
        <v>1897.3718379780248</v>
      </c>
      <c r="G74" s="157">
        <f>'Schedule 1 Adjustments'!O74</f>
        <v>255.14982110912348</v>
      </c>
      <c r="H74" s="157">
        <f>'Schedule 1 Adjustments'!R74</f>
        <v>554.67698002869054</v>
      </c>
      <c r="I74" s="157">
        <f>'Schedule 1 Adjustments'!U74</f>
        <v>1.8013608841616648</v>
      </c>
      <c r="J74" s="158">
        <f t="shared" si="10"/>
        <v>142707.64999999997</v>
      </c>
      <c r="M74" s="140"/>
    </row>
    <row r="75" spans="1:13" s="22" customFormat="1" x14ac:dyDescent="0.35">
      <c r="A75" s="155">
        <v>45</v>
      </c>
      <c r="B75" s="500" t="s">
        <v>286</v>
      </c>
      <c r="C75" s="501"/>
      <c r="D75" s="502"/>
      <c r="E75" s="157">
        <f>'Schedule 1 Adjustments'!I75</f>
        <v>9816.0199999999986</v>
      </c>
      <c r="F75" s="157">
        <f>'Schedule 1 Adjustments'!L75</f>
        <v>3117.3421325032223</v>
      </c>
      <c r="G75" s="157">
        <f>'Schedule 1 Adjustments'!O75</f>
        <v>1021.5707137745976</v>
      </c>
      <c r="H75" s="157">
        <f>'Schedule 1 Adjustments'!R75</f>
        <v>666.80021998783468</v>
      </c>
      <c r="I75" s="157">
        <f>'Schedule 1 Adjustments'!U75</f>
        <v>212970.14693373436</v>
      </c>
      <c r="J75" s="158">
        <f>SUM(E75:I75)</f>
        <v>227591.88</v>
      </c>
      <c r="M75" s="140"/>
    </row>
    <row r="76" spans="1:13" s="22" customFormat="1" x14ac:dyDescent="0.35">
      <c r="A76" s="155">
        <v>46</v>
      </c>
      <c r="B76" s="500" t="s">
        <v>287</v>
      </c>
      <c r="C76" s="501"/>
      <c r="D76" s="502"/>
      <c r="E76" s="157">
        <f>'Schedule 1 Adjustments'!I76</f>
        <v>1075539.8438788152</v>
      </c>
      <c r="F76" s="157">
        <f>'Schedule 1 Adjustments'!L76</f>
        <v>676384.8691305489</v>
      </c>
      <c r="G76" s="157">
        <f>'Schedule 1 Adjustments'!O76</f>
        <v>171022.47768132656</v>
      </c>
      <c r="H76" s="157">
        <f>'Schedule 1 Adjustments'!R76</f>
        <v>49088.742899246026</v>
      </c>
      <c r="I76" s="157">
        <f>'Schedule 1 Adjustments'!U76</f>
        <v>1707.6264100632163</v>
      </c>
      <c r="J76" s="158">
        <f t="shared" ref="J76:J79" si="11">SUM(E76:I76)</f>
        <v>1973743.5599999998</v>
      </c>
      <c r="M76" s="140"/>
    </row>
    <row r="77" spans="1:13" s="22" customFormat="1" x14ac:dyDescent="0.35">
      <c r="A77" s="155">
        <v>47</v>
      </c>
      <c r="B77" s="500" t="s">
        <v>318</v>
      </c>
      <c r="C77" s="501"/>
      <c r="D77" s="502"/>
      <c r="E77" s="157">
        <f>'Schedule 1 Adjustments'!I77</f>
        <v>43639.327786502377</v>
      </c>
      <c r="F77" s="157">
        <f>'Schedule 1 Adjustments'!L77</f>
        <v>235212.09174743597</v>
      </c>
      <c r="G77" s="157">
        <f>'Schedule 1 Adjustments'!O77</f>
        <v>94446.463520172198</v>
      </c>
      <c r="H77" s="157">
        <f>'Schedule 1 Adjustments'!R77</f>
        <v>9563.0285779741425</v>
      </c>
      <c r="I77" s="157">
        <f>'Schedule 1 Adjustments'!U77</f>
        <v>1176.3083679153713</v>
      </c>
      <c r="J77" s="158">
        <f t="shared" si="11"/>
        <v>384037.22000000009</v>
      </c>
      <c r="M77" s="140"/>
    </row>
    <row r="78" spans="1:13" s="22" customFormat="1" x14ac:dyDescent="0.35">
      <c r="A78" s="155">
        <v>48</v>
      </c>
      <c r="B78" s="500" t="s">
        <v>285</v>
      </c>
      <c r="C78" s="501"/>
      <c r="D78" s="502"/>
      <c r="E78" s="157">
        <f>'Schedule 1 Adjustments'!I78</f>
        <v>119217.88716926175</v>
      </c>
      <c r="F78" s="157">
        <f>'Schedule 1 Adjustments'!L78</f>
        <v>207586.80505976084</v>
      </c>
      <c r="G78" s="157">
        <f>'Schedule 1 Adjustments'!O78</f>
        <v>216054.0429247125</v>
      </c>
      <c r="H78" s="157">
        <f>'Schedule 1 Adjustments'!R78</f>
        <v>35510.729050683069</v>
      </c>
      <c r="I78" s="157">
        <f>'Schedule 1 Adjustments'!U78</f>
        <v>4735076.7257955829</v>
      </c>
      <c r="J78" s="158">
        <f t="shared" si="11"/>
        <v>5313446.1900000013</v>
      </c>
      <c r="M78" s="140"/>
    </row>
    <row r="79" spans="1:13" s="22" customFormat="1" x14ac:dyDescent="0.35">
      <c r="A79" s="155">
        <v>49</v>
      </c>
      <c r="B79" s="506" t="s">
        <v>279</v>
      </c>
      <c r="C79" s="507"/>
      <c r="D79" s="508"/>
      <c r="E79" s="160">
        <f>SUM(E71:E78)</f>
        <v>1613158.6767674282</v>
      </c>
      <c r="F79" s="160">
        <f t="shared" ref="F79:I79" si="12">SUM(F71:F78)</f>
        <v>1782037.2110833856</v>
      </c>
      <c r="G79" s="160">
        <f t="shared" si="12"/>
        <v>618207.27538366639</v>
      </c>
      <c r="H79" s="160">
        <f t="shared" si="12"/>
        <v>121295.69817026259</v>
      </c>
      <c r="I79" s="160">
        <f t="shared" si="12"/>
        <v>4955415.9385952577</v>
      </c>
      <c r="J79" s="160">
        <f t="shared" si="11"/>
        <v>9090114.8000000007</v>
      </c>
      <c r="M79" s="140"/>
    </row>
    <row r="80" spans="1:13" s="22" customFormat="1" x14ac:dyDescent="0.35">
      <c r="A80" s="161"/>
      <c r="B80" s="162"/>
      <c r="C80" s="162"/>
      <c r="D80" s="163"/>
      <c r="E80" s="164"/>
      <c r="F80" s="164"/>
      <c r="G80" s="164"/>
      <c r="H80" s="164"/>
      <c r="I80" s="164"/>
      <c r="J80" s="164"/>
      <c r="M80" s="140"/>
    </row>
    <row r="81" spans="1:13" s="22" customFormat="1" x14ac:dyDescent="0.35">
      <c r="A81" s="509" t="s">
        <v>303</v>
      </c>
      <c r="B81" s="510"/>
      <c r="C81" s="510"/>
      <c r="D81" s="510"/>
      <c r="E81" s="510"/>
      <c r="F81" s="510"/>
      <c r="G81" s="510"/>
      <c r="H81" s="510"/>
      <c r="I81" s="510"/>
      <c r="J81" s="511"/>
      <c r="M81" s="140"/>
    </row>
    <row r="82" spans="1:13" s="22" customFormat="1" x14ac:dyDescent="0.35">
      <c r="A82" s="155">
        <v>50</v>
      </c>
      <c r="B82" s="500" t="s">
        <v>304</v>
      </c>
      <c r="C82" s="501"/>
      <c r="D82" s="502"/>
      <c r="E82" s="98"/>
      <c r="F82" s="98"/>
      <c r="G82" s="98"/>
      <c r="H82" s="98"/>
      <c r="I82" s="157">
        <f>'Schedule 1 Adjustments'!U82</f>
        <v>0</v>
      </c>
      <c r="J82" s="158">
        <f>I82</f>
        <v>0</v>
      </c>
      <c r="M82" s="140"/>
    </row>
    <row r="83" spans="1:13" s="22" customFormat="1" x14ac:dyDescent="0.35">
      <c r="A83" s="155">
        <v>51</v>
      </c>
      <c r="B83" s="500" t="s">
        <v>309</v>
      </c>
      <c r="C83" s="501"/>
      <c r="D83" s="502"/>
      <c r="E83" s="98"/>
      <c r="F83" s="98"/>
      <c r="G83" s="98"/>
      <c r="H83" s="98"/>
      <c r="I83" s="157">
        <f>'Schedule 1 Adjustments'!U83</f>
        <v>0</v>
      </c>
      <c r="J83" s="158">
        <f>I83</f>
        <v>0</v>
      </c>
      <c r="M83" s="140"/>
    </row>
    <row r="84" spans="1:13" s="22" customFormat="1" x14ac:dyDescent="0.35">
      <c r="A84" s="155">
        <v>52</v>
      </c>
      <c r="B84" s="500" t="s">
        <v>310</v>
      </c>
      <c r="C84" s="501"/>
      <c r="D84" s="502"/>
      <c r="E84" s="98"/>
      <c r="F84" s="98"/>
      <c r="G84" s="98"/>
      <c r="H84" s="98"/>
      <c r="I84" s="157">
        <f>'Schedule 1 Adjustments'!U84</f>
        <v>237371.90999999997</v>
      </c>
      <c r="J84" s="158">
        <f t="shared" ref="J84:J85" si="13">I84</f>
        <v>237371.90999999997</v>
      </c>
      <c r="M84" s="140"/>
    </row>
    <row r="85" spans="1:13" s="22" customFormat="1" x14ac:dyDescent="0.35">
      <c r="A85" s="155">
        <v>53</v>
      </c>
      <c r="B85" s="500" t="s">
        <v>305</v>
      </c>
      <c r="C85" s="501"/>
      <c r="D85" s="502"/>
      <c r="E85" s="98"/>
      <c r="F85" s="98"/>
      <c r="G85" s="98"/>
      <c r="H85" s="98"/>
      <c r="I85" s="157">
        <f>'Schedule 1 Adjustments'!U85</f>
        <v>-14822.39</v>
      </c>
      <c r="J85" s="158">
        <f t="shared" si="13"/>
        <v>-14822.39</v>
      </c>
      <c r="M85" s="140"/>
    </row>
    <row r="86" spans="1:13" s="22" customFormat="1" x14ac:dyDescent="0.35">
      <c r="A86" s="155">
        <v>54</v>
      </c>
      <c r="B86" s="506" t="s">
        <v>306</v>
      </c>
      <c r="C86" s="507"/>
      <c r="D86" s="508"/>
      <c r="E86" s="160">
        <v>0</v>
      </c>
      <c r="F86" s="160">
        <v>0</v>
      </c>
      <c r="G86" s="160">
        <v>0</v>
      </c>
      <c r="H86" s="160">
        <v>0</v>
      </c>
      <c r="I86" s="160">
        <f>SUM(I82:I85)</f>
        <v>222549.51999999996</v>
      </c>
      <c r="J86" s="160">
        <f t="shared" ref="J86" si="14">SUM(E86:I86)</f>
        <v>222549.51999999996</v>
      </c>
      <c r="M86" s="140"/>
    </row>
    <row r="87" spans="1:13" s="22" customFormat="1" x14ac:dyDescent="0.35">
      <c r="A87" s="161"/>
      <c r="B87" s="162"/>
      <c r="C87" s="162"/>
      <c r="D87" s="163"/>
      <c r="E87" s="164"/>
      <c r="F87" s="164"/>
      <c r="G87" s="164"/>
      <c r="H87" s="164"/>
      <c r="I87" s="164"/>
      <c r="J87" s="164"/>
      <c r="M87" s="140"/>
    </row>
    <row r="88" spans="1:13" s="22" customFormat="1" x14ac:dyDescent="0.35">
      <c r="A88" s="509" t="s">
        <v>273</v>
      </c>
      <c r="B88" s="510"/>
      <c r="C88" s="510"/>
      <c r="D88" s="510"/>
      <c r="E88" s="510"/>
      <c r="F88" s="510"/>
      <c r="G88" s="510"/>
      <c r="H88" s="510"/>
      <c r="I88" s="510"/>
      <c r="J88" s="511"/>
      <c r="M88" s="140"/>
    </row>
    <row r="89" spans="1:13" s="22" customFormat="1" x14ac:dyDescent="0.35">
      <c r="A89" s="155">
        <v>55</v>
      </c>
      <c r="B89" s="500" t="s">
        <v>274</v>
      </c>
      <c r="C89" s="501"/>
      <c r="D89" s="502"/>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506" t="s">
        <v>270</v>
      </c>
      <c r="C90" s="507"/>
      <c r="D90" s="508"/>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506" t="s">
        <v>241</v>
      </c>
      <c r="C92" s="507"/>
      <c r="D92" s="508"/>
      <c r="E92" s="160">
        <f>E79+E68+E58+E51+E41+E90+E86</f>
        <v>13114987.74846267</v>
      </c>
      <c r="F92" s="160">
        <f>F79+F68+F58+F51+F41+F90+F86</f>
        <v>43556125.372804828</v>
      </c>
      <c r="G92" s="160">
        <f>G79+G68+G58+G51+G41+G90+G86</f>
        <v>23630438.827279661</v>
      </c>
      <c r="H92" s="160">
        <f>H79+H68+H58+H51+H41+H90+H86</f>
        <v>2496617.9157144576</v>
      </c>
      <c r="I92" s="160">
        <f>I79+I68+I58+I51+I41+I90+I86</f>
        <v>5820595.9504184024</v>
      </c>
      <c r="J92" s="160">
        <f t="shared" ref="J92:J96" si="16">SUM(E92:I92)</f>
        <v>88618765.81468001</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500" t="s">
        <v>2</v>
      </c>
      <c r="C94" s="501"/>
      <c r="D94" s="502"/>
      <c r="E94" s="158">
        <f>E92*-1</f>
        <v>-13114987.74846267</v>
      </c>
      <c r="F94" s="157">
        <f>'Schedule 1 Adjustments'!L94</f>
        <v>7565376.9628743492</v>
      </c>
      <c r="G94" s="157">
        <f>'Schedule 1 Adjustments'!O94</f>
        <v>4104433.4261844815</v>
      </c>
      <c r="H94" s="157">
        <f>'Schedule 1 Adjustments'!R94</f>
        <v>433644.19469850307</v>
      </c>
      <c r="I94" s="157">
        <f>'Schedule 1 Adjustments'!U94</f>
        <v>1011535.2364137776</v>
      </c>
      <c r="J94" s="160">
        <f t="shared" si="16"/>
        <v>2.0717084417119622</v>
      </c>
      <c r="K94" s="33" t="str">
        <f>IF(ABS(J94)&gt;3,"Error - This row should sum to 0.","")</f>
        <v/>
      </c>
      <c r="L94" s="472"/>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503" t="s">
        <v>242</v>
      </c>
      <c r="C96" s="504"/>
      <c r="D96" s="505"/>
      <c r="E96" s="169">
        <f>E94+E92</f>
        <v>0</v>
      </c>
      <c r="F96" s="169">
        <f t="shared" ref="F96:I96" si="17">F94+F92</f>
        <v>51121502.335679173</v>
      </c>
      <c r="G96" s="169">
        <f t="shared" si="17"/>
        <v>27734872.253464144</v>
      </c>
      <c r="H96" s="169">
        <f t="shared" si="17"/>
        <v>2930262.1104129609</v>
      </c>
      <c r="I96" s="169">
        <f t="shared" si="17"/>
        <v>6832131.1868321802</v>
      </c>
      <c r="J96" s="169">
        <f t="shared" si="16"/>
        <v>88618767.886388451</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99" t="s">
        <v>4</v>
      </c>
      <c r="C98" s="499"/>
      <c r="D98" s="170"/>
      <c r="E98" s="170"/>
      <c r="F98" s="150">
        <f>'Schedule 1 Adjustments'!L98</f>
        <v>11345</v>
      </c>
      <c r="G98" s="170"/>
      <c r="H98" s="170"/>
      <c r="I98" s="170"/>
      <c r="J98" s="170"/>
      <c r="M98" s="140"/>
    </row>
    <row r="99" spans="1:13" s="22" customFormat="1" x14ac:dyDescent="0.35">
      <c r="A99" s="155">
        <v>61</v>
      </c>
      <c r="B99" s="499" t="s">
        <v>5</v>
      </c>
      <c r="C99" s="499"/>
      <c r="D99" s="170"/>
      <c r="E99" s="170"/>
      <c r="F99" s="158">
        <f>IFERROR(F96/F98,"")</f>
        <v>4506.0821803154849</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99" t="s">
        <v>307</v>
      </c>
      <c r="C101" s="499"/>
      <c r="D101" s="170"/>
      <c r="E101" s="170"/>
      <c r="F101" s="170"/>
      <c r="G101" s="170"/>
      <c r="H101" s="170"/>
      <c r="I101" s="170"/>
      <c r="J101" s="157">
        <f>'Schedule 1 Adjustments'!X101</f>
        <v>0</v>
      </c>
      <c r="M101" s="140"/>
    </row>
    <row r="102" spans="1:13" s="22" customFormat="1" x14ac:dyDescent="0.35">
      <c r="A102" s="155">
        <v>63</v>
      </c>
      <c r="B102" s="499" t="s">
        <v>10</v>
      </c>
      <c r="C102" s="499"/>
      <c r="D102" s="170"/>
      <c r="E102" s="170"/>
      <c r="F102" s="170"/>
      <c r="G102" s="170"/>
      <c r="H102" s="170"/>
      <c r="I102" s="170"/>
      <c r="J102" s="158">
        <f>ROUND(J96-J101,0)</f>
        <v>88618768</v>
      </c>
      <c r="K102" s="33" t="str">
        <f>IF(ABS(J102)&gt;1,"Error - This variance should be 0.","")</f>
        <v>Error - This variance should be 0.</v>
      </c>
      <c r="M102" s="140"/>
    </row>
    <row r="103" spans="1:13" x14ac:dyDescent="0.35">
      <c r="A103" s="100"/>
      <c r="B103" s="100"/>
      <c r="C103" s="100"/>
      <c r="D103" s="100"/>
      <c r="E103" s="100"/>
      <c r="F103" s="100"/>
      <c r="G103" s="100"/>
      <c r="H103" s="100"/>
      <c r="I103" s="100"/>
      <c r="J103" s="100"/>
    </row>
    <row r="104" spans="1:13" x14ac:dyDescent="0.35">
      <c r="A104" s="155">
        <v>64</v>
      </c>
      <c r="B104" s="499" t="s">
        <v>202</v>
      </c>
      <c r="C104" s="499"/>
      <c r="D104" s="100"/>
      <c r="E104" s="172">
        <f>IFERROR(E92/SUM(F92:I92),"")</f>
        <v>0.17369975495743714</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15" t="s">
        <v>675</v>
      </c>
      <c r="B3" s="515"/>
      <c r="C3" s="515"/>
      <c r="D3" s="515"/>
      <c r="E3" s="515"/>
      <c r="F3" s="515"/>
      <c r="G3" s="515"/>
      <c r="H3" s="515"/>
      <c r="I3" s="515"/>
      <c r="J3" s="515"/>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772</v>
      </c>
      <c r="C6" s="421" t="str">
        <f>Results!$C$6</f>
        <v>SummitStone Health Partners</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516" t="s">
        <v>488</v>
      </c>
      <c r="B14" s="516"/>
      <c r="C14" s="516"/>
      <c r="D14" s="516"/>
      <c r="E14" s="516"/>
      <c r="F14" s="516"/>
      <c r="G14" s="516"/>
      <c r="H14" s="516"/>
      <c r="I14" s="79"/>
      <c r="J14" s="62"/>
    </row>
    <row r="15" spans="1:12" ht="15" customHeight="1" x14ac:dyDescent="0.35">
      <c r="A15" s="516"/>
      <c r="B15" s="516"/>
      <c r="C15" s="516"/>
      <c r="D15" s="516"/>
      <c r="E15" s="516"/>
      <c r="F15" s="516"/>
      <c r="G15" s="516"/>
      <c r="H15" s="516"/>
      <c r="I15" s="79"/>
      <c r="J15" s="62"/>
    </row>
    <row r="16" spans="1:12" ht="15" customHeight="1" x14ac:dyDescent="0.35">
      <c r="A16" s="516"/>
      <c r="B16" s="516"/>
      <c r="C16" s="516"/>
      <c r="D16" s="516"/>
      <c r="E16" s="516"/>
      <c r="F16" s="516"/>
      <c r="G16" s="516"/>
      <c r="H16" s="516"/>
      <c r="I16" s="79"/>
      <c r="J16" s="62"/>
    </row>
    <row r="17" spans="1:9" x14ac:dyDescent="0.35">
      <c r="A17" s="516"/>
      <c r="B17" s="516"/>
      <c r="C17" s="516"/>
      <c r="D17" s="516"/>
      <c r="E17" s="516"/>
      <c r="F17" s="516"/>
      <c r="G17" s="516"/>
      <c r="H17" s="516"/>
      <c r="I17" s="62"/>
    </row>
    <row r="18" spans="1:9" x14ac:dyDescent="0.35">
      <c r="A18" s="174"/>
      <c r="B18" s="174"/>
      <c r="C18" s="174"/>
      <c r="D18" s="174"/>
      <c r="E18" s="174"/>
      <c r="F18" s="174"/>
      <c r="G18" s="174"/>
      <c r="H18" s="174"/>
      <c r="I18" s="127"/>
    </row>
    <row r="19" spans="1:9" x14ac:dyDescent="0.35">
      <c r="A19" s="174"/>
      <c r="B19" s="517">
        <v>1</v>
      </c>
      <c r="C19" s="518"/>
      <c r="D19" s="175">
        <v>2</v>
      </c>
      <c r="E19" s="175">
        <v>3</v>
      </c>
      <c r="F19" s="175">
        <v>4</v>
      </c>
      <c r="G19" s="175">
        <v>5</v>
      </c>
      <c r="H19" s="175">
        <v>6</v>
      </c>
      <c r="I19" s="127"/>
    </row>
    <row r="20" spans="1:9" s="4" customFormat="1" ht="58" x14ac:dyDescent="0.35">
      <c r="A20" s="176"/>
      <c r="B20" s="519" t="s">
        <v>598</v>
      </c>
      <c r="C20" s="519"/>
      <c r="D20" s="151" t="s">
        <v>718</v>
      </c>
      <c r="E20" s="151" t="s">
        <v>719</v>
      </c>
      <c r="F20" s="151" t="s">
        <v>720</v>
      </c>
      <c r="G20" s="151" t="s">
        <v>676</v>
      </c>
      <c r="H20" s="151" t="s">
        <v>677</v>
      </c>
      <c r="I20" s="36"/>
    </row>
    <row r="21" spans="1:9" x14ac:dyDescent="0.35">
      <c r="A21" s="177">
        <v>1</v>
      </c>
      <c r="B21" s="514" t="str">
        <f>'Schedule 1A Adjustments'!B20:C20</f>
        <v>Chief Executive Officer</v>
      </c>
      <c r="C21" s="514"/>
      <c r="D21" s="178">
        <f>'Schedule 1A Adjustments'!D20</f>
        <v>2</v>
      </c>
      <c r="E21" s="179">
        <f>'Schedule 1A Adjustments'!E20</f>
        <v>12</v>
      </c>
      <c r="F21" s="179">
        <f>'Schedule 1A Adjustments'!F20</f>
        <v>1</v>
      </c>
      <c r="G21" s="180">
        <f>'Schedule 1A Adjustments'!I20</f>
        <v>333412.47999999998</v>
      </c>
      <c r="H21" s="181">
        <f>IF(G21-$D$9&gt;0,G21-$D$9,0)</f>
        <v>562.47999999998137</v>
      </c>
      <c r="I21" s="36"/>
    </row>
    <row r="22" spans="1:9" x14ac:dyDescent="0.35">
      <c r="A22" s="177">
        <f>A21+1</f>
        <v>2</v>
      </c>
      <c r="B22" s="514" t="str">
        <f>'Schedule 1A Adjustments'!B21:C21</f>
        <v>Chief Financial Officer</v>
      </c>
      <c r="C22" s="514"/>
      <c r="D22" s="178">
        <f>'Schedule 1A Adjustments'!D21</f>
        <v>2</v>
      </c>
      <c r="E22" s="179">
        <f>'Schedule 1A Adjustments'!E21</f>
        <v>11</v>
      </c>
      <c r="F22" s="179">
        <f>'Schedule 1A Adjustments'!F21</f>
        <v>1</v>
      </c>
      <c r="G22" s="180">
        <f>'Schedule 1A Adjustments'!I21</f>
        <v>209558.48</v>
      </c>
      <c r="H22" s="181">
        <f>IF(G22-$D$9&gt;0,G22-$D$9,0)</f>
        <v>0</v>
      </c>
      <c r="I22" s="48"/>
    </row>
    <row r="23" spans="1:9" x14ac:dyDescent="0.35">
      <c r="A23" s="177">
        <f t="shared" ref="A23:A31" si="0">A22+1</f>
        <v>3</v>
      </c>
      <c r="B23" s="514" t="str">
        <f>'Schedule 1A Adjustments'!B22:C22</f>
        <v>Chief Culture Officer</v>
      </c>
      <c r="C23" s="514"/>
      <c r="D23" s="178">
        <f>'Schedule 1A Adjustments'!D22</f>
        <v>2</v>
      </c>
      <c r="E23" s="179">
        <f>'Schedule 1A Adjustments'!E22</f>
        <v>12</v>
      </c>
      <c r="F23" s="179">
        <f>'Schedule 1A Adjustments'!F22</f>
        <v>1</v>
      </c>
      <c r="G23" s="180">
        <f>'Schedule 1A Adjustments'!I22</f>
        <v>204564.38</v>
      </c>
      <c r="H23" s="181">
        <f>IF(G23-$D$9&gt;0,G23-$D$9,0)</f>
        <v>0</v>
      </c>
      <c r="I23" s="48"/>
    </row>
    <row r="24" spans="1:9" x14ac:dyDescent="0.35">
      <c r="A24" s="177">
        <f t="shared" si="0"/>
        <v>4</v>
      </c>
      <c r="B24" s="514" t="str">
        <f>'Schedule 1A Adjustments'!B23:C23</f>
        <v>Chief Clinical Officer</v>
      </c>
      <c r="C24" s="514"/>
      <c r="D24" s="178">
        <f>'Schedule 1A Adjustments'!D23</f>
        <v>2</v>
      </c>
      <c r="E24" s="179">
        <f>'Schedule 1A Adjustments'!E23</f>
        <v>12</v>
      </c>
      <c r="F24" s="179">
        <f>'Schedule 1A Adjustments'!F23</f>
        <v>1</v>
      </c>
      <c r="G24" s="180">
        <f>'Schedule 1A Adjustments'!I23</f>
        <v>202803.82</v>
      </c>
      <c r="H24" s="181">
        <f>IF(G24-$D$9&gt;0,G24-$D$9,0)</f>
        <v>0</v>
      </c>
      <c r="I24" s="48"/>
    </row>
    <row r="25" spans="1:9" x14ac:dyDescent="0.35">
      <c r="A25" s="177">
        <f t="shared" si="0"/>
        <v>5</v>
      </c>
      <c r="B25" s="514" t="str">
        <f>'Schedule 1A Adjustments'!B24:C24</f>
        <v>Chief Operations Officer</v>
      </c>
      <c r="C25" s="514"/>
      <c r="D25" s="178">
        <f>'Schedule 1A Adjustments'!D24</f>
        <v>2</v>
      </c>
      <c r="E25" s="179">
        <f>'Schedule 1A Adjustments'!E24</f>
        <v>12</v>
      </c>
      <c r="F25" s="179">
        <f>'Schedule 1A Adjustments'!F24</f>
        <v>1</v>
      </c>
      <c r="G25" s="180">
        <f>'Schedule 1A Adjustments'!I24</f>
        <v>175520.85</v>
      </c>
      <c r="H25" s="181">
        <f>IF(G25-$D$9&gt;0,G25-$D$9,0)</f>
        <v>0</v>
      </c>
    </row>
    <row r="26" spans="1:9" x14ac:dyDescent="0.35">
      <c r="A26" s="182">
        <f t="shared" si="0"/>
        <v>6</v>
      </c>
      <c r="B26" s="318" t="s">
        <v>597</v>
      </c>
      <c r="C26" s="100"/>
      <c r="D26" s="100"/>
      <c r="E26" s="100"/>
      <c r="F26" s="100"/>
      <c r="G26" s="100"/>
      <c r="H26" s="183">
        <f>SUM(H21:H25)</f>
        <v>562.47999999998137</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562.47999999998137</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72"/>
  <sheetViews>
    <sheetView workbookViewId="0">
      <selection activeCell="J61" sqref="J61"/>
    </sheetView>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678</v>
      </c>
    </row>
    <row r="4" spans="1:4" ht="25" customHeight="1" x14ac:dyDescent="0.5">
      <c r="A4" s="243" t="str">
        <f>Results!A4</f>
        <v>Final Adjustments</v>
      </c>
    </row>
    <row r="6" spans="1:4" x14ac:dyDescent="0.35">
      <c r="A6" s="1" t="s">
        <v>772</v>
      </c>
      <c r="C6" s="421" t="str">
        <f>Results!$C$6</f>
        <v>SummitStone Health Partners</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21" t="str">
        <f>'As-Filed Schedule 1B'!B10</f>
        <v>Identify any expenses that are not associated with a particular team. Distribute them evenly to Buildings to be distributed to Revenue Centers at a later point. 
Note: Steps progress through the "Dataset" tab</v>
      </c>
      <c r="C11" s="521"/>
      <c r="D11" s="521"/>
    </row>
    <row r="12" spans="1:4" ht="15" customHeight="1" x14ac:dyDescent="0.35">
      <c r="B12" s="521"/>
      <c r="C12" s="521"/>
      <c r="D12" s="521"/>
    </row>
    <row r="13" spans="1:4" x14ac:dyDescent="0.35">
      <c r="B13" s="521"/>
      <c r="C13" s="521"/>
      <c r="D13" s="521"/>
    </row>
    <row r="14" spans="1:4" x14ac:dyDescent="0.35">
      <c r="B14" s="521"/>
      <c r="C14" s="521"/>
      <c r="D14" s="521"/>
    </row>
    <row r="16" spans="1:4" ht="15" customHeight="1" x14ac:dyDescent="0.35">
      <c r="A16" t="s">
        <v>245</v>
      </c>
      <c r="B16" s="522" t="str">
        <f>'As-Filed Schedule 1B'!B15</f>
        <v>Identify any teams or buildings that have expenses but are do not operate independently of other locations and move them to the most appropriate team or building to be distributed in the same manner.</v>
      </c>
      <c r="C16" s="522"/>
      <c r="D16" s="522"/>
    </row>
    <row r="17" spans="1:4" ht="15" customHeight="1" x14ac:dyDescent="0.35">
      <c r="B17" s="522"/>
      <c r="C17" s="522"/>
      <c r="D17" s="522"/>
    </row>
    <row r="18" spans="1:4" x14ac:dyDescent="0.35">
      <c r="B18" s="522"/>
      <c r="C18" s="522"/>
      <c r="D18" s="522"/>
    </row>
    <row r="19" spans="1:4" x14ac:dyDescent="0.35">
      <c r="B19" s="522"/>
      <c r="C19" s="522"/>
      <c r="D19" s="522"/>
    </row>
    <row r="21" spans="1:4" ht="15" customHeight="1" x14ac:dyDescent="0.35">
      <c r="A21" t="s">
        <v>246</v>
      </c>
      <c r="B21" s="522" t="str">
        <f>'As-Filed Schedule 1B'!B20</f>
        <v>Identify any teams that have expenses but are no longer considered "Active" and move them to the largest building (185) to be distributed to Revenue Centers.</v>
      </c>
      <c r="C21" s="522"/>
      <c r="D21" s="522"/>
    </row>
    <row r="22" spans="1:4" ht="15" customHeight="1" x14ac:dyDescent="0.35">
      <c r="B22" s="522"/>
      <c r="C22" s="522"/>
      <c r="D22" s="522"/>
    </row>
    <row r="23" spans="1:4" x14ac:dyDescent="0.35">
      <c r="B23" s="522"/>
      <c r="C23" s="522"/>
      <c r="D23" s="522"/>
    </row>
    <row r="24" spans="1:4" x14ac:dyDescent="0.35">
      <c r="B24" s="522"/>
      <c r="C24" s="522"/>
      <c r="D24" s="522"/>
    </row>
    <row r="26" spans="1:4" ht="15" customHeight="1" x14ac:dyDescent="0.35">
      <c r="A26" t="s">
        <v>247</v>
      </c>
      <c r="B26" s="522" t="str">
        <f>'As-Filed Schedule 1B'!B25</f>
        <v>Distribute team 1000 Corporate to Revenue Centers based on Headcount, Clinical Headcount, building usage, and targeted account usage.</v>
      </c>
      <c r="C26" s="522"/>
      <c r="D26" s="522"/>
    </row>
    <row r="27" spans="1:4" ht="15" customHeight="1" x14ac:dyDescent="0.35">
      <c r="B27" s="522"/>
      <c r="C27" s="522"/>
      <c r="D27" s="522"/>
    </row>
    <row r="28" spans="1:4" x14ac:dyDescent="0.35">
      <c r="B28" s="522"/>
      <c r="C28" s="522"/>
      <c r="D28" s="522"/>
    </row>
    <row r="29" spans="1:4" x14ac:dyDescent="0.35">
      <c r="B29" s="522"/>
      <c r="C29" s="522"/>
      <c r="D29" s="522"/>
    </row>
    <row r="31" spans="1:4" ht="15" customHeight="1" x14ac:dyDescent="0.35">
      <c r="A31" t="s">
        <v>248</v>
      </c>
      <c r="B31" s="522" t="str">
        <f>'As-Filed Schedule 1B'!B30</f>
        <v>Distribute 1906 Facilities to active buildings evenly.</v>
      </c>
      <c r="C31" s="522"/>
      <c r="D31" s="522"/>
    </row>
    <row r="32" spans="1:4" ht="15" customHeight="1" x14ac:dyDescent="0.35">
      <c r="B32" s="522"/>
      <c r="C32" s="522"/>
      <c r="D32" s="522"/>
    </row>
    <row r="33" spans="1:4" x14ac:dyDescent="0.35">
      <c r="B33" s="522"/>
      <c r="C33" s="522"/>
      <c r="D33" s="522"/>
    </row>
    <row r="34" spans="1:4" x14ac:dyDescent="0.35">
      <c r="B34" s="522"/>
      <c r="C34" s="522"/>
      <c r="D34" s="522"/>
    </row>
    <row r="36" spans="1:4" ht="15" customHeight="1" x14ac:dyDescent="0.35">
      <c r="A36" t="s">
        <v>942</v>
      </c>
      <c r="B36" s="521" t="str">
        <f>'As-Filed Schedule 1B'!B35</f>
        <v>Distribute active buildings to Revenue Centers based on building usage.</v>
      </c>
      <c r="C36" s="521"/>
      <c r="D36" s="521"/>
    </row>
    <row r="37" spans="1:4" ht="15" customHeight="1" x14ac:dyDescent="0.35">
      <c r="B37" s="521"/>
      <c r="C37" s="521"/>
      <c r="D37" s="521"/>
    </row>
    <row r="38" spans="1:4" x14ac:dyDescent="0.35">
      <c r="B38" s="521"/>
      <c r="C38" s="521"/>
      <c r="D38" s="521"/>
    </row>
    <row r="39" spans="1:4" x14ac:dyDescent="0.35">
      <c r="B39" s="521"/>
      <c r="C39" s="521"/>
      <c r="D39" s="521"/>
    </row>
    <row r="41" spans="1:4" ht="15" customHeight="1" x14ac:dyDescent="0.35">
      <c r="A41" t="s">
        <v>944</v>
      </c>
      <c r="B41" s="522" t="str">
        <f>'As-Filed Schedule 1B'!B40</f>
        <v>Distribute Clinical Teams to Revenue Centers based on Clinical FTE percentages.</v>
      </c>
      <c r="C41" s="522"/>
      <c r="D41" s="522"/>
    </row>
    <row r="42" spans="1:4" ht="15" customHeight="1" x14ac:dyDescent="0.35">
      <c r="B42" s="522"/>
      <c r="C42" s="522"/>
      <c r="D42" s="522"/>
    </row>
    <row r="43" spans="1:4" x14ac:dyDescent="0.35">
      <c r="B43" s="522"/>
      <c r="C43" s="522"/>
      <c r="D43" s="522"/>
    </row>
    <row r="44" spans="1:4" x14ac:dyDescent="0.35">
      <c r="B44" s="522"/>
      <c r="C44" s="522"/>
      <c r="D44" s="522"/>
    </row>
    <row r="46" spans="1:4" ht="15" customHeight="1" x14ac:dyDescent="0.35">
      <c r="A46" t="s">
        <v>946</v>
      </c>
      <c r="B46" s="522" t="str">
        <f>'As-Filed Schedule 1B'!B45</f>
        <v>Consolidate all Indirect Teams (largely those teams with codes under 3000) into one "Indirect" team.</v>
      </c>
      <c r="C46" s="522"/>
      <c r="D46" s="522"/>
    </row>
    <row r="47" spans="1:4" ht="15" customHeight="1" x14ac:dyDescent="0.35">
      <c r="B47" s="522"/>
      <c r="C47" s="522"/>
      <c r="D47" s="522"/>
    </row>
    <row r="48" spans="1:4" x14ac:dyDescent="0.35">
      <c r="B48" s="522"/>
      <c r="C48" s="522"/>
      <c r="D48" s="522"/>
    </row>
    <row r="49" spans="1:4" x14ac:dyDescent="0.35">
      <c r="B49" s="522"/>
      <c r="C49" s="522"/>
      <c r="D49" s="522"/>
    </row>
    <row r="51" spans="1:4" ht="15" customHeight="1" x14ac:dyDescent="0.35">
      <c r="A51" t="s">
        <v>948</v>
      </c>
      <c r="B51" s="522" t="str">
        <f>'As-Filed Schedule 1B'!B50</f>
        <v>Distribute all expenses for all remaining teams into appropriate columns and rows based on Time Studies identifying FTE effort.</v>
      </c>
      <c r="C51" s="522"/>
      <c r="D51" s="522"/>
    </row>
    <row r="52" spans="1:4" ht="15" customHeight="1" x14ac:dyDescent="0.35">
      <c r="B52" s="522"/>
      <c r="C52" s="522"/>
      <c r="D52" s="522"/>
    </row>
    <row r="53" spans="1:4" x14ac:dyDescent="0.35">
      <c r="B53" s="522"/>
      <c r="C53" s="522"/>
      <c r="D53" s="522"/>
    </row>
    <row r="54" spans="1:4" x14ac:dyDescent="0.35">
      <c r="B54" s="522"/>
      <c r="C54" s="522"/>
      <c r="D54" s="522"/>
    </row>
    <row r="56" spans="1:4" ht="15" customHeight="1" x14ac:dyDescent="0.35">
      <c r="A56" t="s">
        <v>950</v>
      </c>
      <c r="B56" s="520" t="str">
        <f>'As-Filed Schedule 1B'!B55</f>
        <v>Based on prior submission audits (notes 200.1a and 200.8 from SummitStone submission FY21-22), identify expenses and accounts that should be classified as unallowable and move them accordingly (specifically, 83810 Public Relations/Marketing, 88600 Indirect Fundraising, 81910 Moving Expense, 81140 Building Interest, and a portion of 81110, 81111, 81150, and 85120 in compliance with prior years)</v>
      </c>
      <c r="C56" s="520"/>
      <c r="D56" s="520"/>
    </row>
    <row r="57" spans="1:4" ht="15" customHeight="1" x14ac:dyDescent="0.35">
      <c r="B57" s="520"/>
      <c r="C57" s="520"/>
      <c r="D57" s="520"/>
    </row>
    <row r="58" spans="1:4" ht="15" customHeight="1" x14ac:dyDescent="0.35">
      <c r="B58" s="520"/>
      <c r="C58" s="520"/>
      <c r="D58" s="520"/>
    </row>
    <row r="59" spans="1:4" ht="15" customHeight="1" x14ac:dyDescent="0.35">
      <c r="B59" s="520"/>
      <c r="C59" s="520"/>
      <c r="D59" s="520"/>
    </row>
    <row r="60" spans="1:4" x14ac:dyDescent="0.35">
      <c r="B60" s="520"/>
      <c r="C60" s="520"/>
      <c r="D60" s="520"/>
    </row>
    <row r="61" spans="1:4" x14ac:dyDescent="0.35">
      <c r="B61" s="520"/>
      <c r="C61" s="520"/>
      <c r="D61" s="520"/>
    </row>
    <row r="63" spans="1:4" x14ac:dyDescent="0.35">
      <c r="A63" t="s">
        <v>205</v>
      </c>
      <c r="D63" s="118" t="str">
        <f>'As-Filed Schedule 1B'!D62</f>
        <v>No</v>
      </c>
    </row>
    <row r="65" spans="1:4" x14ac:dyDescent="0.35">
      <c r="A65" t="s">
        <v>206</v>
      </c>
    </row>
    <row r="66" spans="1:4" x14ac:dyDescent="0.35">
      <c r="A66" s="520" t="str">
        <f>'As-Filed Schedule 1B'!A65</f>
        <v>The methodology largely remains the same with a few small adjustments. To begin, certain buildings (namely building 145) was identified as being significantly similar to location 151. As a result of building 145 having no attributable FTEs to distribute and acting largely as a storage facility, its expenses were attributed to the larger 151 to be distributed in a similar manner.
Additionally, in the FY22-23 submission, post hoc adjustments were needed that did not take place for the FY23-24 submission. As a result of this, the steps associated with the later adjustments have been removed from the list above.</v>
      </c>
      <c r="B66" s="520"/>
      <c r="C66" s="520"/>
      <c r="D66" s="520"/>
    </row>
    <row r="67" spans="1:4" x14ac:dyDescent="0.35">
      <c r="A67" s="520"/>
      <c r="B67" s="520"/>
      <c r="C67" s="520"/>
      <c r="D67" s="520"/>
    </row>
    <row r="68" spans="1:4" x14ac:dyDescent="0.35">
      <c r="A68" s="520"/>
      <c r="B68" s="520"/>
      <c r="C68" s="520"/>
      <c r="D68" s="520"/>
    </row>
    <row r="69" spans="1:4" x14ac:dyDescent="0.35">
      <c r="A69" s="520"/>
      <c r="B69" s="520"/>
      <c r="C69" s="520"/>
      <c r="D69" s="520"/>
    </row>
    <row r="70" spans="1:4" x14ac:dyDescent="0.35">
      <c r="A70" s="520"/>
      <c r="B70" s="520"/>
      <c r="C70" s="520"/>
      <c r="D70" s="520"/>
    </row>
    <row r="71" spans="1:4" x14ac:dyDescent="0.35">
      <c r="A71" s="520"/>
      <c r="B71" s="520"/>
      <c r="C71" s="520"/>
      <c r="D71" s="520"/>
    </row>
    <row r="72" spans="1:4" x14ac:dyDescent="0.35">
      <c r="A72" s="520"/>
      <c r="B72" s="520"/>
      <c r="C72" s="520"/>
      <c r="D72" s="52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11">
    <mergeCell ref="A66:D72"/>
    <mergeCell ref="B11:D14"/>
    <mergeCell ref="B16:D19"/>
    <mergeCell ref="B21:D24"/>
    <mergeCell ref="B26:D29"/>
    <mergeCell ref="B31:D34"/>
    <mergeCell ref="B36:D39"/>
    <mergeCell ref="B41:D44"/>
    <mergeCell ref="B46:D49"/>
    <mergeCell ref="B51:D54"/>
    <mergeCell ref="B56:D61"/>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679</v>
      </c>
    </row>
    <row r="4" spans="1:24" ht="25" customHeight="1" x14ac:dyDescent="0.5">
      <c r="A4" s="243" t="str">
        <f>Results!A4</f>
        <v>Final Adjustments</v>
      </c>
    </row>
    <row r="6" spans="1:24" x14ac:dyDescent="0.35">
      <c r="A6" s="1" t="s">
        <v>772</v>
      </c>
      <c r="C6" s="421" t="str">
        <f>Results!$C$6</f>
        <v>SummitStone Health Partners</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24" t="s">
        <v>921</v>
      </c>
      <c r="B10" s="524"/>
      <c r="C10" s="524"/>
      <c r="D10" s="524"/>
      <c r="E10" s="524"/>
      <c r="F10" s="524"/>
      <c r="G10" s="524"/>
      <c r="H10" s="524"/>
      <c r="I10" s="524"/>
      <c r="J10" s="64"/>
      <c r="K10" s="40"/>
      <c r="L10" s="40"/>
      <c r="M10" s="40"/>
      <c r="T10" s="65"/>
      <c r="U10" s="65"/>
      <c r="V10" s="65"/>
      <c r="W10" s="65"/>
      <c r="X10" s="65"/>
    </row>
    <row r="11" spans="1:24" ht="15" customHeight="1" x14ac:dyDescent="0.35">
      <c r="A11" s="524"/>
      <c r="B11" s="524"/>
      <c r="C11" s="524"/>
      <c r="D11" s="524"/>
      <c r="E11" s="524"/>
      <c r="F11" s="524"/>
      <c r="G11" s="524"/>
      <c r="H11" s="524"/>
      <c r="I11" s="524"/>
      <c r="J11" s="64"/>
      <c r="K11" s="40"/>
      <c r="L11" s="40"/>
      <c r="M11" s="40"/>
      <c r="T11" s="65"/>
      <c r="U11" s="65"/>
      <c r="V11" s="65"/>
      <c r="W11" s="65"/>
      <c r="X11" s="65"/>
    </row>
    <row r="12" spans="1:24" x14ac:dyDescent="0.35">
      <c r="A12" s="524"/>
      <c r="B12" s="524"/>
      <c r="C12" s="524"/>
      <c r="D12" s="524"/>
      <c r="E12" s="524"/>
      <c r="F12" s="524"/>
      <c r="G12" s="524"/>
      <c r="H12" s="524"/>
      <c r="I12" s="524"/>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25">
        <v>1</v>
      </c>
      <c r="C14" s="525"/>
      <c r="D14" s="175">
        <v>2</v>
      </c>
      <c r="E14" s="175">
        <v>3</v>
      </c>
      <c r="F14" s="175">
        <v>4</v>
      </c>
      <c r="G14" s="175">
        <v>5</v>
      </c>
      <c r="H14" s="175">
        <v>6</v>
      </c>
      <c r="I14" s="175">
        <v>7</v>
      </c>
      <c r="J14" s="64"/>
      <c r="T14" s="65"/>
      <c r="U14" s="65"/>
      <c r="V14" s="65"/>
      <c r="W14" s="65"/>
      <c r="X14" s="65"/>
    </row>
    <row r="15" spans="1:24" s="4" customFormat="1" ht="72.5" x14ac:dyDescent="0.35">
      <c r="A15" s="191"/>
      <c r="B15" s="519" t="s">
        <v>590</v>
      </c>
      <c r="C15" s="526"/>
      <c r="D15" s="151" t="s">
        <v>779</v>
      </c>
      <c r="E15" s="192" t="s">
        <v>682</v>
      </c>
      <c r="F15" s="151" t="s">
        <v>783</v>
      </c>
      <c r="G15" s="193" t="s">
        <v>683</v>
      </c>
      <c r="H15" s="192" t="s">
        <v>684</v>
      </c>
      <c r="I15" s="151" t="s">
        <v>685</v>
      </c>
      <c r="J15" s="66"/>
      <c r="T15" s="67"/>
      <c r="U15" s="67"/>
      <c r="V15" s="67"/>
      <c r="W15" s="67"/>
      <c r="X15" s="67"/>
    </row>
    <row r="16" spans="1:24" s="4" customFormat="1" ht="15" customHeight="1" x14ac:dyDescent="0.35">
      <c r="A16" s="182">
        <v>1</v>
      </c>
      <c r="B16" s="514" t="str">
        <f>'Schedule 1C Adjustments'!B15:C15</f>
        <v/>
      </c>
      <c r="C16" s="514"/>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514" t="str">
        <f>'Schedule 1C Adjustments'!B16:C16</f>
        <v/>
      </c>
      <c r="C17" s="514"/>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14" t="str">
        <f>'Schedule 1C Adjustments'!B17:C17</f>
        <v/>
      </c>
      <c r="C18" s="514"/>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14" t="str">
        <f>'Schedule 1C Adjustments'!B18:C18</f>
        <v/>
      </c>
      <c r="C19" s="514"/>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14" t="str">
        <f>'Schedule 1C Adjustments'!B19:C19</f>
        <v/>
      </c>
      <c r="C20" s="514"/>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14" t="str">
        <f>'Schedule 1C Adjustments'!B20:C20</f>
        <v/>
      </c>
      <c r="C21" s="514"/>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14" t="str">
        <f>'Schedule 1C Adjustments'!B21:C21</f>
        <v/>
      </c>
      <c r="C22" s="514"/>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14" t="str">
        <f>'Schedule 1C Adjustments'!B22:C22</f>
        <v/>
      </c>
      <c r="C23" s="514"/>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14" t="str">
        <f>'Schedule 1C Adjustments'!B23:C23</f>
        <v/>
      </c>
      <c r="C24" s="514"/>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14" t="str">
        <f>'Schedule 1C Adjustments'!B24:C24</f>
        <v/>
      </c>
      <c r="C25" s="514"/>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597</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0</v>
      </c>
      <c r="G28" s="191"/>
      <c r="H28" s="100"/>
      <c r="I28" s="100"/>
    </row>
    <row r="29" spans="1:24" x14ac:dyDescent="0.35">
      <c r="A29" s="182">
        <v>13</v>
      </c>
      <c r="B29" s="100"/>
      <c r="C29" s="100"/>
      <c r="D29" s="100"/>
      <c r="E29" s="184" t="s">
        <v>182</v>
      </c>
      <c r="F29" s="185">
        <f>SUMIF($G$16:$G$25,3,$F$16:$F$25)</f>
        <v>0</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23" t="s">
        <v>922</v>
      </c>
      <c r="B35" s="523"/>
      <c r="C35" s="523"/>
      <c r="D35" s="523"/>
      <c r="E35" s="523"/>
      <c r="F35" s="523"/>
      <c r="G35" s="523"/>
      <c r="H35" s="523"/>
      <c r="I35" s="523"/>
      <c r="J35" s="64"/>
      <c r="T35" s="65"/>
      <c r="U35" s="65"/>
      <c r="V35" s="65"/>
      <c r="W35" s="65"/>
      <c r="X35" s="65"/>
    </row>
    <row r="36" spans="1:24" x14ac:dyDescent="0.35">
      <c r="A36" s="523"/>
      <c r="B36" s="523"/>
      <c r="C36" s="523"/>
      <c r="D36" s="523"/>
      <c r="E36" s="523"/>
      <c r="F36" s="523"/>
      <c r="G36" s="523"/>
      <c r="H36" s="523"/>
      <c r="I36" s="523"/>
      <c r="J36" s="64"/>
      <c r="T36" s="65"/>
      <c r="U36" s="65"/>
      <c r="V36" s="65"/>
      <c r="W36" s="65"/>
      <c r="X36" s="65"/>
    </row>
    <row r="37" spans="1:24" x14ac:dyDescent="0.35">
      <c r="A37" s="523"/>
      <c r="B37" s="523"/>
      <c r="C37" s="523"/>
      <c r="D37" s="523"/>
      <c r="E37" s="523"/>
      <c r="F37" s="523"/>
      <c r="G37" s="523"/>
      <c r="H37" s="523"/>
      <c r="I37" s="523"/>
      <c r="J37" s="64"/>
      <c r="T37" s="65"/>
      <c r="U37" s="65"/>
      <c r="V37" s="65"/>
      <c r="W37" s="65"/>
      <c r="X37" s="65"/>
    </row>
    <row r="38" spans="1:24" x14ac:dyDescent="0.35">
      <c r="A38" s="523"/>
      <c r="B38" s="523"/>
      <c r="C38" s="523"/>
      <c r="D38" s="523"/>
      <c r="E38" s="523"/>
      <c r="F38" s="523"/>
      <c r="G38" s="523"/>
      <c r="H38" s="523"/>
      <c r="I38" s="523"/>
      <c r="J38" s="64"/>
      <c r="T38" s="65"/>
      <c r="U38" s="65"/>
      <c r="V38" s="65"/>
      <c r="W38" s="65"/>
      <c r="X38" s="65"/>
    </row>
    <row r="39" spans="1:24" x14ac:dyDescent="0.35">
      <c r="A39" s="523"/>
      <c r="B39" s="523"/>
      <c r="C39" s="523"/>
      <c r="D39" s="523"/>
      <c r="E39" s="523"/>
      <c r="F39" s="523"/>
      <c r="G39" s="523"/>
      <c r="H39" s="523"/>
      <c r="I39" s="523"/>
      <c r="J39" s="64"/>
      <c r="T39" s="65"/>
      <c r="U39" s="65"/>
      <c r="V39" s="65"/>
      <c r="W39" s="65"/>
      <c r="X39" s="65"/>
    </row>
    <row r="40" spans="1:24" x14ac:dyDescent="0.35">
      <c r="A40" s="523"/>
      <c r="B40" s="523"/>
      <c r="C40" s="523"/>
      <c r="D40" s="523"/>
      <c r="E40" s="523"/>
      <c r="F40" s="523"/>
      <c r="G40" s="523"/>
      <c r="H40" s="523"/>
      <c r="I40" s="523"/>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773</v>
      </c>
    </row>
    <row r="2" spans="1:10" ht="21" x14ac:dyDescent="0.5">
      <c r="A2" s="2" t="s">
        <v>771</v>
      </c>
    </row>
    <row r="3" spans="1:10" ht="25" customHeight="1" x14ac:dyDescent="0.5">
      <c r="A3" s="515" t="s">
        <v>680</v>
      </c>
      <c r="B3" s="515"/>
      <c r="C3" s="515"/>
      <c r="D3" s="515"/>
      <c r="E3" s="515"/>
      <c r="F3" s="515"/>
      <c r="G3" s="515"/>
      <c r="H3" s="515"/>
      <c r="I3" s="515"/>
      <c r="J3" s="515"/>
    </row>
    <row r="4" spans="1:10" ht="25" customHeight="1" x14ac:dyDescent="0.5">
      <c r="A4" s="243" t="str">
        <f>Results!A4</f>
        <v>Final Adjustments</v>
      </c>
      <c r="B4" s="361"/>
      <c r="C4" s="361"/>
      <c r="D4" s="361"/>
      <c r="E4" s="361"/>
      <c r="F4" s="361"/>
      <c r="G4" s="361"/>
      <c r="H4" s="361"/>
      <c r="I4" s="361"/>
      <c r="J4" s="361"/>
    </row>
    <row r="6" spans="1:10" x14ac:dyDescent="0.35">
      <c r="A6" s="1" t="s">
        <v>772</v>
      </c>
      <c r="C6" s="421" t="str">
        <f>Results!$C$6</f>
        <v>SummitStone Health Partners</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30">
        <v>1</v>
      </c>
      <c r="C11" s="530"/>
      <c r="D11" s="23">
        <v>2</v>
      </c>
      <c r="E11" s="23">
        <v>3</v>
      </c>
      <c r="F11" s="23">
        <v>4</v>
      </c>
      <c r="G11" s="23">
        <v>5</v>
      </c>
      <c r="H11" s="23">
        <v>6</v>
      </c>
      <c r="I11" s="23">
        <v>7</v>
      </c>
    </row>
    <row r="12" spans="1:10" x14ac:dyDescent="0.35">
      <c r="B12" s="531" t="s">
        <v>178</v>
      </c>
      <c r="C12" s="531"/>
      <c r="D12" s="532" t="s">
        <v>180</v>
      </c>
      <c r="E12" s="533" t="s">
        <v>207</v>
      </c>
      <c r="F12" s="534"/>
      <c r="G12" s="533" t="s">
        <v>210</v>
      </c>
      <c r="H12" s="534"/>
      <c r="I12" s="531" t="s">
        <v>218</v>
      </c>
    </row>
    <row r="13" spans="1:10" ht="30" customHeight="1" x14ac:dyDescent="0.35">
      <c r="B13" s="531"/>
      <c r="C13" s="531"/>
      <c r="D13" s="532"/>
      <c r="E13" s="10" t="s">
        <v>686</v>
      </c>
      <c r="F13" s="10" t="s">
        <v>687</v>
      </c>
      <c r="G13" s="10" t="s">
        <v>686</v>
      </c>
      <c r="H13" s="10" t="s">
        <v>687</v>
      </c>
      <c r="I13" s="531"/>
    </row>
    <row r="14" spans="1:10" x14ac:dyDescent="0.35">
      <c r="A14" s="425" t="s">
        <v>837</v>
      </c>
      <c r="B14" s="204"/>
      <c r="C14" s="204"/>
      <c r="D14" s="204"/>
      <c r="E14" s="204"/>
      <c r="F14" s="204"/>
      <c r="G14" s="204"/>
      <c r="H14" s="204"/>
      <c r="I14" s="204"/>
    </row>
    <row r="15" spans="1:10" x14ac:dyDescent="0.35">
      <c r="A15" s="24">
        <v>1</v>
      </c>
      <c r="B15" s="527" t="s">
        <v>211</v>
      </c>
      <c r="C15" s="527"/>
      <c r="D15" s="24" t="s">
        <v>12</v>
      </c>
      <c r="E15" s="26">
        <f>'Adjusted Schedule 2A'!F74</f>
        <v>4587427.8517988548</v>
      </c>
      <c r="F15" s="26">
        <f>'Adjusted Schedule 2A'!G74</f>
        <v>796835.09374238329</v>
      </c>
      <c r="G15" s="26">
        <f>'Adjusted Schedule 2A'!J74</f>
        <v>1229726.7831089431</v>
      </c>
      <c r="H15" s="26">
        <f>'Adjusted Schedule 2A'!K74</f>
        <v>213603.24089062092</v>
      </c>
      <c r="I15" s="68">
        <f>SUM(E15:H15)</f>
        <v>6827592.9695408028</v>
      </c>
    </row>
    <row r="16" spans="1:10" x14ac:dyDescent="0.35">
      <c r="A16" s="24">
        <v>2</v>
      </c>
      <c r="B16" s="527" t="s">
        <v>213</v>
      </c>
      <c r="C16" s="527"/>
      <c r="D16" s="24" t="s">
        <v>13</v>
      </c>
      <c r="E16" s="26">
        <f>'Adjusted Schedule 2B'!$F$74</f>
        <v>488176.80867608322</v>
      </c>
      <c r="F16" s="26">
        <f>'Adjusted Schedule 2B'!G74</f>
        <v>84796.192042939307</v>
      </c>
      <c r="G16" s="26">
        <f>'Adjusted Schedule 2B'!$J$74</f>
        <v>35452.708000000006</v>
      </c>
      <c r="H16" s="26">
        <f>'Adjusted Schedule 2B'!K74</f>
        <v>6158.1266921775723</v>
      </c>
      <c r="I16" s="68">
        <f>SUM(E16:H16)</f>
        <v>614583.83541120007</v>
      </c>
    </row>
    <row r="17" spans="1:11" x14ac:dyDescent="0.35">
      <c r="A17" s="24">
        <v>3</v>
      </c>
      <c r="B17" s="527" t="s">
        <v>201</v>
      </c>
      <c r="C17" s="527"/>
      <c r="D17" s="24" t="s">
        <v>14</v>
      </c>
      <c r="E17" s="26">
        <f>'Adjusted Schedule 2C'!$F$74</f>
        <v>29667106.662869897</v>
      </c>
      <c r="F17" s="26">
        <f>'Adjusted Schedule 2C'!G74</f>
        <v>5153169.1576366518</v>
      </c>
      <c r="G17" s="26">
        <f>'Adjusted Schedule 2C'!$J$74</f>
        <v>1231439.6582742685</v>
      </c>
      <c r="H17" s="26">
        <f>'Adjusted Schedule 2C'!K74</f>
        <v>213900.7668871106</v>
      </c>
      <c r="I17" s="68">
        <f>SUM(E17:H17)</f>
        <v>36265616.245667934</v>
      </c>
      <c r="K17" s="48"/>
    </row>
    <row r="18" spans="1:11" x14ac:dyDescent="0.35">
      <c r="A18" s="24">
        <v>4</v>
      </c>
      <c r="B18" s="527" t="s">
        <v>212</v>
      </c>
      <c r="C18" s="527"/>
      <c r="D18" s="24" t="s">
        <v>179</v>
      </c>
      <c r="E18" s="26">
        <f>'Adjusted Schedule 2D'!$F$74</f>
        <v>8813412.1387506947</v>
      </c>
      <c r="F18" s="26">
        <f>'Adjusted Schedule 2D'!G74</f>
        <v>1530887.5288398976</v>
      </c>
      <c r="G18" s="26">
        <f>'Adjusted Schedule 2D'!$J$74</f>
        <v>0</v>
      </c>
      <c r="H18" s="26">
        <f>'Adjusted Schedule 2D'!K74</f>
        <v>0</v>
      </c>
      <c r="I18" s="68">
        <f>SUM(E18:H18)</f>
        <v>10344299.667590592</v>
      </c>
    </row>
    <row r="19" spans="1:11" x14ac:dyDescent="0.35">
      <c r="A19" s="425" t="s">
        <v>790</v>
      </c>
      <c r="B19" s="204"/>
      <c r="C19" s="204"/>
      <c r="D19" s="204"/>
      <c r="E19" s="204"/>
      <c r="F19" s="204"/>
      <c r="G19" s="204"/>
      <c r="H19" s="204"/>
      <c r="I19" s="204"/>
      <c r="J19" s="100"/>
      <c r="K19" s="48"/>
    </row>
    <row r="20" spans="1:11" x14ac:dyDescent="0.35">
      <c r="A20" s="155">
        <v>5</v>
      </c>
      <c r="B20" s="528" t="s">
        <v>791</v>
      </c>
      <c r="C20" s="528"/>
      <c r="D20" s="155" t="s">
        <v>792</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28" t="s">
        <v>793</v>
      </c>
      <c r="C21" s="528"/>
      <c r="D21" s="155" t="s">
        <v>794</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28" t="s">
        <v>795</v>
      </c>
      <c r="C22" s="528"/>
      <c r="D22" s="155" t="s">
        <v>796</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28" t="s">
        <v>797</v>
      </c>
      <c r="C23" s="528"/>
      <c r="D23" s="155" t="s">
        <v>798</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28" t="s">
        <v>799</v>
      </c>
      <c r="C24" s="528"/>
      <c r="D24" s="155" t="s">
        <v>800</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28" t="s">
        <v>801</v>
      </c>
      <c r="C25" s="528"/>
      <c r="D25" s="155" t="s">
        <v>802</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28" t="s">
        <v>803</v>
      </c>
      <c r="C26" s="528"/>
      <c r="D26" s="155" t="s">
        <v>804</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28" t="s">
        <v>805</v>
      </c>
      <c r="C27" s="528"/>
      <c r="D27" s="155" t="s">
        <v>806</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29" t="s">
        <v>807</v>
      </c>
      <c r="C28" s="529"/>
      <c r="D28" s="155" t="s">
        <v>808</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43556123.462095529</v>
      </c>
      <c r="F29" s="18">
        <f t="shared" ref="F29:H29" si="1">SUM(F15:F28)</f>
        <v>7565687.9722618721</v>
      </c>
      <c r="G29" s="18">
        <f>SUM(G15:G28)</f>
        <v>2496619.1493832115</v>
      </c>
      <c r="H29" s="18">
        <f t="shared" si="1"/>
        <v>433662.13446990913</v>
      </c>
    </row>
    <row r="30" spans="1:11" s="57" customFormat="1" ht="12" x14ac:dyDescent="0.3">
      <c r="D30" s="76" t="s">
        <v>216</v>
      </c>
      <c r="E30" s="58">
        <f>'Adjusted Schedule 1'!F92</f>
        <v>43556125.372804828</v>
      </c>
      <c r="G30" s="58">
        <f>'Adjusted Schedule 1'!H92</f>
        <v>2496617.9157144576</v>
      </c>
    </row>
    <row r="31" spans="1:11" s="57" customFormat="1" ht="12" x14ac:dyDescent="0.3">
      <c r="D31" s="76" t="s">
        <v>10</v>
      </c>
      <c r="E31" s="59">
        <f>E29-E30</f>
        <v>-1.9107092991471291</v>
      </c>
      <c r="G31" s="59">
        <f>G29-G30</f>
        <v>1.2336687538772821</v>
      </c>
    </row>
    <row r="32" spans="1:11" s="57" customFormat="1" ht="12" x14ac:dyDescent="0.3">
      <c r="D32" s="76"/>
      <c r="E32" s="59"/>
      <c r="G32" s="59"/>
    </row>
    <row r="34" spans="1:10" x14ac:dyDescent="0.35">
      <c r="E34" s="10" t="s">
        <v>218</v>
      </c>
    </row>
    <row r="35" spans="1:10" x14ac:dyDescent="0.35">
      <c r="A35" s="24">
        <v>6</v>
      </c>
      <c r="B35" s="527" t="s">
        <v>219</v>
      </c>
      <c r="C35" s="527"/>
      <c r="D35" s="24" t="s">
        <v>110</v>
      </c>
      <c r="E35" s="26">
        <f>'Adjusted Schedule 3'!M168</f>
        <v>27734871.75441527</v>
      </c>
      <c r="I35" s="18">
        <f>SUM(I15:I28)+E35</f>
        <v>81786964.472625807</v>
      </c>
      <c r="J35" s="71" t="s">
        <v>3</v>
      </c>
    </row>
    <row r="36" spans="1:10" ht="12.75" customHeight="1" x14ac:dyDescent="0.35">
      <c r="D36" s="76" t="s">
        <v>217</v>
      </c>
      <c r="E36" s="58">
        <f>'Adjusted Schedule 1'!G96</f>
        <v>27734872.253464144</v>
      </c>
    </row>
    <row r="37" spans="1:10" ht="12.75" customHeight="1" x14ac:dyDescent="0.35">
      <c r="D37" s="76" t="s">
        <v>10</v>
      </c>
      <c r="E37" s="59">
        <f>E35-E36</f>
        <v>-0.4990488737821579</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15" t="s">
        <v>681</v>
      </c>
      <c r="B3" s="515"/>
      <c r="C3" s="515"/>
      <c r="D3" s="515"/>
      <c r="E3" s="515"/>
      <c r="F3" s="515"/>
    </row>
    <row r="4" spans="1:19" ht="25" customHeight="1" x14ac:dyDescent="0.5">
      <c r="A4" s="243" t="str">
        <f>Results!A4</f>
        <v>Final Adjustments</v>
      </c>
      <c r="B4" s="361"/>
      <c r="C4" s="361"/>
      <c r="D4" s="361"/>
      <c r="E4" s="361"/>
      <c r="F4" s="361"/>
    </row>
    <row r="5" spans="1:19" x14ac:dyDescent="0.35">
      <c r="A5" s="48"/>
    </row>
    <row r="6" spans="1:19" x14ac:dyDescent="0.35">
      <c r="A6" s="1" t="s">
        <v>772</v>
      </c>
      <c r="C6" s="421" t="str">
        <f>Results!$C$6</f>
        <v>SummitStone Health Partners</v>
      </c>
    </row>
    <row r="7" spans="1:19" x14ac:dyDescent="0.35">
      <c r="A7" s="1" t="s">
        <v>0</v>
      </c>
      <c r="C7" s="35">
        <f>Results!$C$7</f>
        <v>45473</v>
      </c>
      <c r="F7" s="35"/>
      <c r="N7" s="130"/>
      <c r="O7" s="130"/>
      <c r="P7" s="130"/>
    </row>
    <row r="8" spans="1:19" x14ac:dyDescent="0.35">
      <c r="N8" s="40"/>
      <c r="O8" s="40"/>
      <c r="P8" s="40"/>
    </row>
    <row r="9" spans="1:19" x14ac:dyDescent="0.35">
      <c r="A9" s="1" t="s">
        <v>253</v>
      </c>
      <c r="B9" s="1" t="s">
        <v>749</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8" t="s">
        <v>597</v>
      </c>
      <c r="C12" s="1"/>
      <c r="N12" s="40"/>
      <c r="O12" s="40"/>
      <c r="P12" s="40"/>
    </row>
    <row r="13" spans="1:19" x14ac:dyDescent="0.35">
      <c r="B13" s="530">
        <v>1</v>
      </c>
      <c r="C13" s="530"/>
      <c r="D13" s="530"/>
      <c r="F13" s="23">
        <v>2</v>
      </c>
      <c r="G13" s="23">
        <v>3</v>
      </c>
      <c r="H13" s="23">
        <v>4</v>
      </c>
      <c r="J13" s="23">
        <v>5</v>
      </c>
      <c r="K13" s="23">
        <v>6</v>
      </c>
      <c r="L13" s="23">
        <v>7</v>
      </c>
      <c r="N13" s="23">
        <v>8</v>
      </c>
      <c r="O13" s="23">
        <v>9</v>
      </c>
      <c r="Q13" s="40"/>
      <c r="R13" s="40"/>
      <c r="S13" s="40"/>
    </row>
    <row r="14" spans="1:19" x14ac:dyDescent="0.35">
      <c r="B14" s="539" t="s">
        <v>611</v>
      </c>
      <c r="C14" s="540"/>
      <c r="D14" s="541"/>
      <c r="F14" s="533" t="s">
        <v>261</v>
      </c>
      <c r="G14" s="538"/>
      <c r="H14" s="534"/>
      <c r="J14" s="533" t="s">
        <v>262</v>
      </c>
      <c r="K14" s="538"/>
      <c r="L14" s="534"/>
      <c r="N14" s="536" t="s">
        <v>691</v>
      </c>
      <c r="O14" s="536" t="s">
        <v>692</v>
      </c>
      <c r="Q14" s="40"/>
      <c r="R14" s="40"/>
      <c r="S14" s="40"/>
    </row>
    <row r="15" spans="1:19" ht="56.25" customHeight="1" x14ac:dyDescent="0.35">
      <c r="B15" s="542"/>
      <c r="C15" s="543"/>
      <c r="D15" s="544"/>
      <c r="F15" s="10" t="s">
        <v>688</v>
      </c>
      <c r="G15" s="151" t="s">
        <v>689</v>
      </c>
      <c r="H15" s="151" t="s">
        <v>690</v>
      </c>
      <c r="I15" s="100"/>
      <c r="J15" s="10" t="s">
        <v>688</v>
      </c>
      <c r="K15" s="151" t="s">
        <v>689</v>
      </c>
      <c r="L15" s="151" t="s">
        <v>690</v>
      </c>
      <c r="N15" s="537"/>
      <c r="O15" s="537"/>
    </row>
    <row r="16" spans="1:19" x14ac:dyDescent="0.35">
      <c r="A16" s="24">
        <v>1</v>
      </c>
      <c r="B16" s="535" t="str">
        <f>'Schedule 2A Adjustments'!B15:D15</f>
        <v>8802 Behavioral Health Urgent Care</v>
      </c>
      <c r="C16" s="535"/>
      <c r="D16" s="535"/>
      <c r="F16" s="117">
        <f>'Schedule 2A Adjustments'!H15</f>
        <v>1255736.4277585468</v>
      </c>
      <c r="G16" s="68">
        <f>'Schedule 2A Adjustments'!J15</f>
        <v>218121.10979278703</v>
      </c>
      <c r="H16" s="68">
        <f>SUM(F16:G16)</f>
        <v>1473857.5375513339</v>
      </c>
      <c r="J16" s="117">
        <f>'Schedule 2A Adjustments'!P15</f>
        <v>0</v>
      </c>
      <c r="K16" s="68">
        <f>'Schedule 2A Adjustments'!R15</f>
        <v>0</v>
      </c>
      <c r="L16" s="68">
        <f>SUM(J16:K16)</f>
        <v>0</v>
      </c>
      <c r="N16" s="120">
        <f>'Schedule 2A Adjustments'!X15</f>
        <v>15.5</v>
      </c>
      <c r="O16" s="120">
        <f>'Schedule 2A Adjustments'!AA15</f>
        <v>4796</v>
      </c>
    </row>
    <row r="17" spans="1:15" x14ac:dyDescent="0.35">
      <c r="A17" s="24">
        <v>2</v>
      </c>
      <c r="B17" s="535" t="str">
        <f>'Schedule 2A Adjustments'!B16:D16</f>
        <v>8803 Mobile Crisis</v>
      </c>
      <c r="C17" s="535"/>
      <c r="D17" s="535"/>
      <c r="F17" s="117">
        <f>'Schedule 2A Adjustments'!H16</f>
        <v>1196156.1740377727</v>
      </c>
      <c r="G17" s="68">
        <f>'Schedule 2A Adjustments'!J16</f>
        <v>207772.03432118666</v>
      </c>
      <c r="H17" s="68">
        <f t="shared" ref="H17:H73" si="0">SUM(F17:G17)</f>
        <v>1403928.2083589593</v>
      </c>
      <c r="J17" s="117">
        <f>'Schedule 2A Adjustments'!P16</f>
        <v>0</v>
      </c>
      <c r="K17" s="68">
        <f>'Schedule 2A Adjustments'!R16</f>
        <v>0</v>
      </c>
      <c r="L17" s="68">
        <f t="shared" ref="L17:L73" si="1">SUM(J17:K17)</f>
        <v>0</v>
      </c>
      <c r="N17" s="120">
        <f>'Schedule 2A Adjustments'!X16</f>
        <v>10</v>
      </c>
      <c r="O17" s="120">
        <f>'Schedule 2A Adjustments'!AA16</f>
        <v>1011</v>
      </c>
    </row>
    <row r="18" spans="1:15" x14ac:dyDescent="0.35">
      <c r="A18" s="24">
        <v>3</v>
      </c>
      <c r="B18" s="535" t="str">
        <f>'Schedule 2A Adjustments'!B17:D17</f>
        <v>8806 Co-Responder</v>
      </c>
      <c r="C18" s="535"/>
      <c r="D18" s="535"/>
      <c r="F18" s="117">
        <f>'Schedule 2A Adjustments'!H17</f>
        <v>2133679.5110936062</v>
      </c>
      <c r="G18" s="68">
        <f>'Schedule 2A Adjustments'!J17</f>
        <v>370619.60823466367</v>
      </c>
      <c r="H18" s="68">
        <f t="shared" si="0"/>
        <v>2504299.1193282697</v>
      </c>
      <c r="J18" s="117">
        <f>'Schedule 2A Adjustments'!P17</f>
        <v>0</v>
      </c>
      <c r="K18" s="68">
        <f>'Schedule 2A Adjustments'!R17</f>
        <v>0</v>
      </c>
      <c r="L18" s="68">
        <f t="shared" si="1"/>
        <v>0</v>
      </c>
      <c r="N18" s="120">
        <f>'Schedule 2A Adjustments'!X17</f>
        <v>19</v>
      </c>
      <c r="O18" s="120">
        <f>'Schedule 2A Adjustments'!AA17</f>
        <v>2387</v>
      </c>
    </row>
    <row r="19" spans="1:15" x14ac:dyDescent="0.35">
      <c r="A19" s="24">
        <v>4</v>
      </c>
      <c r="B19" s="535" t="str">
        <f>'Schedule 2A Adjustments'!B18:D18</f>
        <v>5150 CYMHTA - Child M.H. Treatment</v>
      </c>
      <c r="C19" s="535"/>
      <c r="D19" s="535"/>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35" t="str">
        <f>'Schedule 2A Adjustments'!B19:D19</f>
        <v>8830 Pharmacy</v>
      </c>
      <c r="C20" s="535"/>
      <c r="D20" s="535"/>
      <c r="F20" s="117">
        <f>'Schedule 2A Adjustments'!H19</f>
        <v>5.3345356835052371E-2</v>
      </c>
      <c r="G20" s="68">
        <f>'Schedule 2A Adjustments'!J19</f>
        <v>9.2660754103656411E-3</v>
      </c>
      <c r="H20" s="68">
        <f t="shared" si="0"/>
        <v>6.2611432245418014E-2</v>
      </c>
      <c r="J20" s="117">
        <f>'Schedule 2A Adjustments'!P19</f>
        <v>789505.56686597492</v>
      </c>
      <c r="K20" s="68">
        <f>'Schedule 2A Adjustments'!R19</f>
        <v>137136.92350215235</v>
      </c>
      <c r="L20" s="68">
        <f t="shared" si="1"/>
        <v>926642.49036812724</v>
      </c>
      <c r="N20" s="120">
        <f>'Schedule 2A Adjustments'!X19</f>
        <v>3</v>
      </c>
      <c r="O20" s="120">
        <f>'Schedule 2A Adjustments'!AA19</f>
        <v>0</v>
      </c>
    </row>
    <row r="21" spans="1:15" x14ac:dyDescent="0.35">
      <c r="A21" s="24">
        <v>6</v>
      </c>
      <c r="B21" s="535" t="str">
        <f>'Schedule 2A Adjustments'!B20:D20</f>
        <v>8835 Lab</v>
      </c>
      <c r="C21" s="535"/>
      <c r="D21" s="535"/>
      <c r="F21" s="117">
        <f>'Schedule 2A Adjustments'!H20</f>
        <v>3.5563571203965694E-2</v>
      </c>
      <c r="G21" s="68">
        <f>'Schedule 2A Adjustments'!J20</f>
        <v>6.177383603540209E-3</v>
      </c>
      <c r="H21" s="68">
        <f t="shared" si="0"/>
        <v>4.1740954807505906E-2</v>
      </c>
      <c r="J21" s="117">
        <f>'Schedule 2A Adjustments'!P20</f>
        <v>440221.21624296834</v>
      </c>
      <c r="K21" s="68">
        <f>'Schedule 2A Adjustments'!R20</f>
        <v>76466.317388468553</v>
      </c>
      <c r="L21" s="68">
        <f t="shared" si="1"/>
        <v>516687.53363143688</v>
      </c>
      <c r="N21" s="120">
        <f>'Schedule 2A Adjustments'!X20</f>
        <v>2</v>
      </c>
      <c r="O21" s="120">
        <f>'Schedule 2A Adjustments'!AA20</f>
        <v>0</v>
      </c>
    </row>
    <row r="22" spans="1:15" x14ac:dyDescent="0.35">
      <c r="A22" s="24">
        <v>7</v>
      </c>
      <c r="B22" s="535" t="str">
        <f>'Schedule 2A Adjustments'!B21:D21</f>
        <v>9212 Garcia House Pharmacy</v>
      </c>
      <c r="C22" s="535"/>
      <c r="D22" s="535"/>
      <c r="F22" s="117">
        <f>'Schedule 2A Adjustments'!H21</f>
        <v>1855.6499999999999</v>
      </c>
      <c r="G22" s="68">
        <f>'Schedule 2A Adjustments'!J21</f>
        <v>322.3259502867682</v>
      </c>
      <c r="H22" s="68">
        <f t="shared" si="0"/>
        <v>2177.9759502867682</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35" t="str">
        <f>'Schedule 2A Adjustments'!B22:D22</f>
        <v/>
      </c>
      <c r="C23" s="535"/>
      <c r="D23" s="535"/>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35" t="str">
        <f>'Schedule 2A Adjustments'!B23:D23</f>
        <v/>
      </c>
      <c r="C24" s="535"/>
      <c r="D24" s="535"/>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35" t="str">
        <f>'Schedule 2A Adjustments'!B24:D24</f>
        <v/>
      </c>
      <c r="C25" s="535"/>
      <c r="D25" s="535"/>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35" t="str">
        <f>'Schedule 2A Adjustments'!B25:D25</f>
        <v/>
      </c>
      <c r="C26" s="535"/>
      <c r="D26" s="535"/>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35" t="str">
        <f>'Schedule 2A Adjustments'!B26:D26</f>
        <v/>
      </c>
      <c r="C27" s="535"/>
      <c r="D27" s="535"/>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35" t="str">
        <f>'Schedule 2A Adjustments'!B27:D27</f>
        <v/>
      </c>
      <c r="C28" s="535"/>
      <c r="D28" s="535"/>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35" t="str">
        <f>'Schedule 2A Adjustments'!B28:D28</f>
        <v/>
      </c>
      <c r="C29" s="535"/>
      <c r="D29" s="535"/>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35" t="str">
        <f>'Schedule 2A Adjustments'!B29:D29</f>
        <v/>
      </c>
      <c r="C30" s="535"/>
      <c r="D30" s="535"/>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35" t="str">
        <f>'Schedule 2A Adjustments'!B30:D30</f>
        <v/>
      </c>
      <c r="C31" s="535"/>
      <c r="D31" s="535"/>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35" t="str">
        <f>'Schedule 2A Adjustments'!B31:D31</f>
        <v/>
      </c>
      <c r="C32" s="535"/>
      <c r="D32" s="535"/>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35" t="str">
        <f>'Schedule 2A Adjustments'!B32:D32</f>
        <v/>
      </c>
      <c r="C33" s="535"/>
      <c r="D33" s="535"/>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35" t="str">
        <f>'Schedule 2A Adjustments'!B33:D33</f>
        <v/>
      </c>
      <c r="C34" s="535"/>
      <c r="D34" s="535"/>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35" t="str">
        <f>'Schedule 2A Adjustments'!B34:D34</f>
        <v/>
      </c>
      <c r="C35" s="535"/>
      <c r="D35" s="535"/>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35" t="str">
        <f>'Schedule 2A Adjustments'!B35:D35</f>
        <v/>
      </c>
      <c r="C36" s="535"/>
      <c r="D36" s="535"/>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35" t="str">
        <f>'Schedule 2A Adjustments'!B36:D36</f>
        <v/>
      </c>
      <c r="C37" s="535"/>
      <c r="D37" s="535"/>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35" t="str">
        <f>'Schedule 2A Adjustments'!B37:D37</f>
        <v/>
      </c>
      <c r="C38" s="535"/>
      <c r="D38" s="535"/>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35" t="str">
        <f>'Schedule 2A Adjustments'!B38:D38</f>
        <v/>
      </c>
      <c r="C39" s="535"/>
      <c r="D39" s="535"/>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35" t="str">
        <f>'Schedule 2A Adjustments'!B39:D39</f>
        <v/>
      </c>
      <c r="C40" s="535"/>
      <c r="D40" s="535"/>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35" t="str">
        <f>'Schedule 2A Adjustments'!B40:D40</f>
        <v/>
      </c>
      <c r="C41" s="535"/>
      <c r="D41" s="535"/>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35" t="str">
        <f>'Schedule 2A Adjustments'!B41:D41</f>
        <v/>
      </c>
      <c r="C42" s="535"/>
      <c r="D42" s="535"/>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35" t="str">
        <f>'Schedule 2A Adjustments'!B42:D42</f>
        <v/>
      </c>
      <c r="C43" s="535"/>
      <c r="D43" s="535"/>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35" t="str">
        <f>'Schedule 2A Adjustments'!B43:D43</f>
        <v/>
      </c>
      <c r="C44" s="535"/>
      <c r="D44" s="535"/>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35" t="str">
        <f>'Schedule 2A Adjustments'!B44:D44</f>
        <v/>
      </c>
      <c r="C45" s="535"/>
      <c r="D45" s="535"/>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35" t="str">
        <f>'Schedule 2A Adjustments'!B45:D45</f>
        <v/>
      </c>
      <c r="C46" s="535"/>
      <c r="D46" s="535"/>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35" t="str">
        <f>'Schedule 2A Adjustments'!B46:D46</f>
        <v/>
      </c>
      <c r="C47" s="535"/>
      <c r="D47" s="535"/>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35" t="str">
        <f>'Schedule 2A Adjustments'!B47:D47</f>
        <v/>
      </c>
      <c r="C48" s="535"/>
      <c r="D48" s="535"/>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35" t="str">
        <f>'Schedule 2A Adjustments'!B48:D48</f>
        <v/>
      </c>
      <c r="C49" s="535"/>
      <c r="D49" s="535"/>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35" t="str">
        <f>'Schedule 2A Adjustments'!B49:D49</f>
        <v/>
      </c>
      <c r="C50" s="535"/>
      <c r="D50" s="535"/>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35" t="str">
        <f>'Schedule 2A Adjustments'!B50:D50</f>
        <v/>
      </c>
      <c r="C51" s="535"/>
      <c r="D51" s="535"/>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35" t="str">
        <f>'Schedule 2A Adjustments'!B51:D51</f>
        <v/>
      </c>
      <c r="C52" s="535"/>
      <c r="D52" s="535"/>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35" t="str">
        <f>'Schedule 2A Adjustments'!B52:D52</f>
        <v/>
      </c>
      <c r="C53" s="535"/>
      <c r="D53" s="535"/>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35" t="str">
        <f>'Schedule 2A Adjustments'!B53:D53</f>
        <v/>
      </c>
      <c r="C54" s="535"/>
      <c r="D54" s="535"/>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35" t="str">
        <f>'Schedule 2A Adjustments'!B54:D54</f>
        <v/>
      </c>
      <c r="C55" s="535"/>
      <c r="D55" s="535"/>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35" t="str">
        <f>'Schedule 2A Adjustments'!B55:D55</f>
        <v/>
      </c>
      <c r="C56" s="535"/>
      <c r="D56" s="535"/>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35" t="str">
        <f>'Schedule 2A Adjustments'!B56:D56</f>
        <v/>
      </c>
      <c r="C57" s="535"/>
      <c r="D57" s="535"/>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35" t="str">
        <f>'Schedule 2A Adjustments'!B57:D57</f>
        <v/>
      </c>
      <c r="C58" s="535"/>
      <c r="D58" s="535"/>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35" t="str">
        <f>'Schedule 2A Adjustments'!B58:D58</f>
        <v/>
      </c>
      <c r="C59" s="535"/>
      <c r="D59" s="535"/>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35" t="str">
        <f>'Schedule 2A Adjustments'!B59:D59</f>
        <v/>
      </c>
      <c r="C60" s="535"/>
      <c r="D60" s="535"/>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35" t="str">
        <f>'Schedule 2A Adjustments'!B60:D60</f>
        <v/>
      </c>
      <c r="C61" s="535"/>
      <c r="D61" s="535"/>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35" t="str">
        <f>'Schedule 2A Adjustments'!B61:D61</f>
        <v/>
      </c>
      <c r="C62" s="535"/>
      <c r="D62" s="535"/>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35" t="str">
        <f>'Schedule 2A Adjustments'!B62:D62</f>
        <v/>
      </c>
      <c r="C63" s="535"/>
      <c r="D63" s="535"/>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35" t="str">
        <f>'Schedule 2A Adjustments'!B63:D63</f>
        <v/>
      </c>
      <c r="C64" s="535"/>
      <c r="D64" s="535"/>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35" t="str">
        <f>'Schedule 2A Adjustments'!B64:D64</f>
        <v/>
      </c>
      <c r="C65" s="535"/>
      <c r="D65" s="535"/>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35" t="str">
        <f>'Schedule 2A Adjustments'!B65:D65</f>
        <v/>
      </c>
      <c r="C66" s="535"/>
      <c r="D66" s="535"/>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35" t="str">
        <f>'Schedule 2A Adjustments'!B66:D66</f>
        <v/>
      </c>
      <c r="C67" s="535"/>
      <c r="D67" s="535"/>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35" t="str">
        <f>'Schedule 2A Adjustments'!B67:D67</f>
        <v/>
      </c>
      <c r="C68" s="535"/>
      <c r="D68" s="535"/>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35" t="str">
        <f>'Schedule 2A Adjustments'!B68:D68</f>
        <v/>
      </c>
      <c r="C69" s="535"/>
      <c r="D69" s="535"/>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35" t="str">
        <f>'Schedule 2A Adjustments'!B69:D69</f>
        <v/>
      </c>
      <c r="C70" s="535"/>
      <c r="D70" s="535"/>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35" t="str">
        <f>'Schedule 2A Adjustments'!B70:D70</f>
        <v/>
      </c>
      <c r="C71" s="535"/>
      <c r="D71" s="535"/>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35" t="str">
        <f>'Schedule 2A Adjustments'!B71:D71</f>
        <v/>
      </c>
      <c r="C72" s="535"/>
      <c r="D72" s="535"/>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35" t="str">
        <f>'Schedule 2A Adjustments'!B72:D72</f>
        <v/>
      </c>
      <c r="C73" s="535"/>
      <c r="D73" s="535"/>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4587427.8517988548</v>
      </c>
      <c r="G74" s="18">
        <f t="shared" ref="G74" si="2">SUM(G16:G73)</f>
        <v>796835.09374238329</v>
      </c>
      <c r="H74" s="18">
        <f>SUM(H16:H73)</f>
        <v>5384262.9455412365</v>
      </c>
      <c r="J74" s="18">
        <f>SUM(J16:J73)</f>
        <v>1229726.7831089431</v>
      </c>
      <c r="K74" s="18">
        <f t="shared" ref="K74:L74" si="3">SUM(K16:K73)</f>
        <v>213603.24089062092</v>
      </c>
      <c r="L74" s="18">
        <f t="shared" si="3"/>
        <v>1443330.0239995641</v>
      </c>
      <c r="O74" s="83" t="s">
        <v>313</v>
      </c>
    </row>
    <row r="75" spans="1:15" ht="15" thickBot="1" x14ac:dyDescent="0.4">
      <c r="H75" s="37" t="s">
        <v>257</v>
      </c>
      <c r="L75" s="37" t="s">
        <v>258</v>
      </c>
    </row>
    <row r="76" spans="1:15" ht="16" thickBot="1" x14ac:dyDescent="0.4">
      <c r="A76" s="24">
        <v>60</v>
      </c>
      <c r="B76" s="143" t="s">
        <v>463</v>
      </c>
      <c r="C76" s="72"/>
      <c r="E76" s="72"/>
      <c r="F76" s="75">
        <f>H74+L74</f>
        <v>6827592.9695408009</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773</v>
      </c>
    </row>
    <row r="2" spans="1:15" ht="21" x14ac:dyDescent="0.5">
      <c r="A2" s="2" t="s">
        <v>771</v>
      </c>
    </row>
    <row r="3" spans="1:15" ht="25" customHeight="1" x14ac:dyDescent="0.5">
      <c r="A3" s="515" t="s">
        <v>693</v>
      </c>
      <c r="B3" s="515"/>
      <c r="C3" s="515"/>
      <c r="D3" s="515"/>
      <c r="E3" s="515"/>
      <c r="F3" s="515"/>
      <c r="G3" s="515"/>
      <c r="H3" s="51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750</v>
      </c>
      <c r="C9" s="1"/>
      <c r="F9" s="119" t="str">
        <f>'Schedule 2B Adjustments'!F8</f>
        <v>Yes</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2B Adjustments'!B15:D15</f>
        <v>3650 L.C. Criminal Justice Services</v>
      </c>
      <c r="C16" s="535"/>
      <c r="D16" s="535"/>
      <c r="F16" s="117">
        <f>'Schedule 2B Adjustments'!H15</f>
        <v>131868.09736595655</v>
      </c>
      <c r="G16" s="181">
        <f>'Schedule 2B Adjustments'!J15</f>
        <v>22905.456199170116</v>
      </c>
      <c r="H16" s="181">
        <f>SUM(F16:G16)</f>
        <v>154773.55356512667</v>
      </c>
      <c r="I16" s="100"/>
      <c r="J16" s="180">
        <f>'Schedule 2B Adjustments'!P15</f>
        <v>0</v>
      </c>
      <c r="K16" s="181">
        <f>'Schedule 2B Adjustments'!R15</f>
        <v>0</v>
      </c>
      <c r="L16" s="68">
        <f>SUM(J16:K16)</f>
        <v>0</v>
      </c>
      <c r="N16" s="120">
        <f>'Schedule 2B Adjustments'!X15</f>
        <v>1</v>
      </c>
      <c r="O16" s="120">
        <f>'Schedule 2B Adjustments'!AA15</f>
        <v>125</v>
      </c>
    </row>
    <row r="17" spans="1:15" x14ac:dyDescent="0.35">
      <c r="A17" s="24">
        <v>2</v>
      </c>
      <c r="B17" s="535" t="str">
        <f>'Schedule 2B Adjustments'!B16:D16</f>
        <v>4712 Recovery Support Services -- Payeeships, Zero Suicide</v>
      </c>
      <c r="C17" s="535"/>
      <c r="D17" s="535"/>
      <c r="F17" s="117">
        <f>'Schedule 2B Adjustments'!H16</f>
        <v>47321.697354236756</v>
      </c>
      <c r="G17" s="181">
        <f>'Schedule 2B Adjustments'!J16</f>
        <v>8219.7672346009258</v>
      </c>
      <c r="H17" s="68">
        <f t="shared" ref="H17:H73" si="0">SUM(F17:G17)</f>
        <v>55541.464588837684</v>
      </c>
      <c r="J17" s="180">
        <f>'Schedule 2B Adjustments'!P16</f>
        <v>0</v>
      </c>
      <c r="K17" s="181">
        <f>'Schedule 2B Adjustments'!R16</f>
        <v>0</v>
      </c>
      <c r="L17" s="68">
        <f t="shared" ref="L17:L73" si="1">SUM(J17:K17)</f>
        <v>0</v>
      </c>
      <c r="N17" s="120">
        <f>'Schedule 2B Adjustments'!X16</f>
        <v>1</v>
      </c>
      <c r="O17" s="120">
        <f>'Schedule 2B Adjustments'!AA16</f>
        <v>478</v>
      </c>
    </row>
    <row r="18" spans="1:15" x14ac:dyDescent="0.35">
      <c r="A18" s="24">
        <v>3</v>
      </c>
      <c r="B18" s="535" t="str">
        <f>'Schedule 2B Adjustments'!B17:D17</f>
        <v>4750 Competency Restoration</v>
      </c>
      <c r="C18" s="535"/>
      <c r="D18" s="535"/>
      <c r="F18" s="117">
        <f>'Schedule 2B Adjustments'!H17</f>
        <v>138989.39337600995</v>
      </c>
      <c r="G18" s="181">
        <f>'Schedule 2B Adjustments'!J17</f>
        <v>24142.423571095766</v>
      </c>
      <c r="H18" s="68">
        <f t="shared" si="0"/>
        <v>163131.81694710572</v>
      </c>
      <c r="J18" s="180">
        <f>'Schedule 2B Adjustments'!P17</f>
        <v>0</v>
      </c>
      <c r="K18" s="181">
        <f>'Schedule 2B Adjustments'!R17</f>
        <v>0</v>
      </c>
      <c r="L18" s="68">
        <f t="shared" si="1"/>
        <v>0</v>
      </c>
      <c r="N18" s="120">
        <f>'Schedule 2B Adjustments'!X17</f>
        <v>0</v>
      </c>
      <c r="O18" s="120">
        <f>'Schedule 2B Adjustments'!AA17</f>
        <v>48</v>
      </c>
    </row>
    <row r="19" spans="1:15" x14ac:dyDescent="0.35">
      <c r="A19" s="24">
        <v>4</v>
      </c>
      <c r="B19" s="535" t="str">
        <f>'Schedule 2B Adjustments'!B18:D18</f>
        <v>9110 SAMHSA Grant</v>
      </c>
      <c r="C19" s="535"/>
      <c r="D19" s="535"/>
      <c r="F19" s="117">
        <f>'Schedule 2B Adjustments'!H18</f>
        <v>141810.83200000002</v>
      </c>
      <c r="G19" s="181">
        <f>'Schedule 2B Adjustments'!J18</f>
        <v>24632.506768710289</v>
      </c>
      <c r="H19" s="68">
        <f t="shared" si="0"/>
        <v>166443.33876871032</v>
      </c>
      <c r="J19" s="180">
        <f>'Schedule 2B Adjustments'!P18</f>
        <v>35452.708000000006</v>
      </c>
      <c r="K19" s="181">
        <f>'Schedule 2B Adjustments'!R18</f>
        <v>6158.1266921775723</v>
      </c>
      <c r="L19" s="68">
        <f t="shared" si="1"/>
        <v>41610.834692177581</v>
      </c>
      <c r="N19" s="120">
        <f>'Schedule 2B Adjustments'!X18</f>
        <v>0</v>
      </c>
      <c r="O19" s="120">
        <f>'Schedule 2B Adjustments'!AA18</f>
        <v>237</v>
      </c>
    </row>
    <row r="20" spans="1:15" x14ac:dyDescent="0.35">
      <c r="A20" s="24">
        <v>5</v>
      </c>
      <c r="B20" s="535" t="str">
        <f>'Schedule 2B Adjustments'!B19:D19</f>
        <v>5103 School Based Mental Health Specialist</v>
      </c>
      <c r="C20" s="535"/>
      <c r="D20" s="535"/>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35" t="str">
        <f>'Schedule 2B Adjustments'!B20:D20</f>
        <v>1990 Trauma Focused Cognitive BH</v>
      </c>
      <c r="C21" s="535"/>
      <c r="D21" s="535"/>
      <c r="F21" s="117">
        <f>'Schedule 2B Adjustments'!H20</f>
        <v>26845.08</v>
      </c>
      <c r="G21" s="181">
        <f>'Schedule 2B Adjustments'!J20</f>
        <v>4662.9838178127966</v>
      </c>
      <c r="H21" s="68">
        <f t="shared" si="0"/>
        <v>31508.063817812799</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35" t="str">
        <f>'Schedule 2B Adjustments'!B21:D21</f>
        <v>4708 Specialized Treatment Services</v>
      </c>
      <c r="C22" s="535"/>
      <c r="D22" s="535"/>
      <c r="F22" s="117">
        <f>'Schedule 2B Adjustments'!H21</f>
        <v>954.8</v>
      </c>
      <c r="G22" s="181">
        <f>'Schedule 2B Adjustments'!J21</f>
        <v>165.84852603336097</v>
      </c>
      <c r="H22" s="68">
        <f t="shared" si="0"/>
        <v>1120.6485260333609</v>
      </c>
      <c r="J22" s="180">
        <f>'Schedule 2B Adjustments'!P21</f>
        <v>0</v>
      </c>
      <c r="K22" s="181">
        <f>'Schedule 2B Adjustments'!R21</f>
        <v>0</v>
      </c>
      <c r="L22" s="68">
        <f t="shared" si="1"/>
        <v>0</v>
      </c>
      <c r="N22" s="120">
        <f>'Schedule 2B Adjustments'!X21</f>
        <v>3</v>
      </c>
      <c r="O22" s="120">
        <f>'Schedule 2B Adjustments'!AA21</f>
        <v>0</v>
      </c>
    </row>
    <row r="23" spans="1:15" x14ac:dyDescent="0.35">
      <c r="A23" s="24">
        <v>8</v>
      </c>
      <c r="B23" s="535" t="str">
        <f>'Schedule 2B Adjustments'!B22:D22</f>
        <v>5114 FFT Functional Family Therapy</v>
      </c>
      <c r="C23" s="535"/>
      <c r="D23" s="535"/>
      <c r="F23" s="117">
        <f>'Schedule 2B Adjustments'!H22</f>
        <v>-80.66</v>
      </c>
      <c r="G23" s="181">
        <f>'Schedule 2B Adjustments'!J22</f>
        <v>-14.010622234866879</v>
      </c>
      <c r="H23" s="68">
        <f t="shared" si="0"/>
        <v>-94.670622234866869</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35" t="str">
        <f>'Schedule 2B Adjustments'!B23:D23</f>
        <v>5120 LIFE PROGRAM</v>
      </c>
      <c r="C24" s="535"/>
      <c r="D24" s="535"/>
      <c r="F24" s="117">
        <f>'Schedule 2B Adjustments'!H23</f>
        <v>-0.42142012010299368</v>
      </c>
      <c r="G24" s="181">
        <f>'Schedule 2B Adjustments'!J23</f>
        <v>-7.3200571596023736E-2</v>
      </c>
      <c r="H24" s="68">
        <f t="shared" si="0"/>
        <v>-0.4946206916990174</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35" t="str">
        <f>'Schedule 2B Adjustments'!B24:D24</f>
        <v>9000 ACCESS</v>
      </c>
      <c r="C25" s="535"/>
      <c r="D25" s="535"/>
      <c r="F25" s="117">
        <f>'Schedule 2B Adjustments'!H24</f>
        <v>467.99</v>
      </c>
      <c r="G25" s="181">
        <f>'Schedule 2B Adjustments'!J24</f>
        <v>81.289748322531011</v>
      </c>
      <c r="H25" s="68">
        <f t="shared" si="0"/>
        <v>549.27974832253108</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35" t="str">
        <f>'Schedule 2B Adjustments'!B25:D25</f>
        <v/>
      </c>
      <c r="C26" s="535"/>
      <c r="D26" s="535"/>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35" t="str">
        <f>'Schedule 2B Adjustments'!B26:D26</f>
        <v/>
      </c>
      <c r="C27" s="535"/>
      <c r="D27" s="535"/>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35" t="str">
        <f>'Schedule 2B Adjustments'!B27:D27</f>
        <v/>
      </c>
      <c r="C28" s="535"/>
      <c r="D28" s="535"/>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35" t="str">
        <f>'Schedule 2B Adjustments'!B28:D28</f>
        <v/>
      </c>
      <c r="C29" s="535"/>
      <c r="D29" s="535"/>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35" t="str">
        <f>'Schedule 2B Adjustments'!B29:D29</f>
        <v/>
      </c>
      <c r="C30" s="535"/>
      <c r="D30" s="535"/>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35" t="str">
        <f>'Schedule 2B Adjustments'!B30:D30</f>
        <v/>
      </c>
      <c r="C31" s="535"/>
      <c r="D31" s="535"/>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35" t="str">
        <f>'Schedule 2B Adjustments'!B31:D31</f>
        <v/>
      </c>
      <c r="C32" s="535"/>
      <c r="D32" s="535"/>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35" t="str">
        <f>'Schedule 2B Adjustments'!B32:D32</f>
        <v/>
      </c>
      <c r="C33" s="535"/>
      <c r="D33" s="535"/>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35" t="str">
        <f>'Schedule 2B Adjustments'!B33:D33</f>
        <v/>
      </c>
      <c r="C34" s="535"/>
      <c r="D34" s="535"/>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35" t="str">
        <f>'Schedule 2B Adjustments'!B34:D34</f>
        <v/>
      </c>
      <c r="C35" s="535"/>
      <c r="D35" s="535"/>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35" t="str">
        <f>'Schedule 2B Adjustments'!B35:D35</f>
        <v/>
      </c>
      <c r="C36" s="535"/>
      <c r="D36" s="535"/>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35" t="str">
        <f>'Schedule 2B Adjustments'!B36:D36</f>
        <v/>
      </c>
      <c r="C37" s="535"/>
      <c r="D37" s="535"/>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35" t="str">
        <f>'Schedule 2B Adjustments'!B37:D37</f>
        <v/>
      </c>
      <c r="C38" s="535"/>
      <c r="D38" s="535"/>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35" t="str">
        <f>'Schedule 2B Adjustments'!B38:D38</f>
        <v/>
      </c>
      <c r="C39" s="535"/>
      <c r="D39" s="535"/>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35" t="str">
        <f>'Schedule 2B Adjustments'!B39:D39</f>
        <v/>
      </c>
      <c r="C40" s="535"/>
      <c r="D40" s="535"/>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35" t="str">
        <f>'Schedule 2B Adjustments'!B40:D40</f>
        <v/>
      </c>
      <c r="C41" s="535"/>
      <c r="D41" s="535"/>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35" t="str">
        <f>'Schedule 2B Adjustments'!B41:D41</f>
        <v/>
      </c>
      <c r="C42" s="535"/>
      <c r="D42" s="535"/>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35" t="str">
        <f>'Schedule 2B Adjustments'!B42:D42</f>
        <v/>
      </c>
      <c r="C43" s="535"/>
      <c r="D43" s="535"/>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35" t="str">
        <f>'Schedule 2B Adjustments'!B43:D43</f>
        <v/>
      </c>
      <c r="C44" s="535"/>
      <c r="D44" s="535"/>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35" t="str">
        <f>'Schedule 2B Adjustments'!B44:D44</f>
        <v/>
      </c>
      <c r="C45" s="535"/>
      <c r="D45" s="535"/>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35" t="str">
        <f>'Schedule 2B Adjustments'!B45:D45</f>
        <v/>
      </c>
      <c r="C46" s="535"/>
      <c r="D46" s="535"/>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35" t="str">
        <f>'Schedule 2B Adjustments'!B46:D46</f>
        <v/>
      </c>
      <c r="C47" s="535"/>
      <c r="D47" s="535"/>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35" t="str">
        <f>'Schedule 2B Adjustments'!B47:D47</f>
        <v/>
      </c>
      <c r="C48" s="535"/>
      <c r="D48" s="535"/>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35" t="str">
        <f>'Schedule 2B Adjustments'!B48:D48</f>
        <v/>
      </c>
      <c r="C49" s="535"/>
      <c r="D49" s="535"/>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35" t="str">
        <f>'Schedule 2B Adjustments'!B49:D49</f>
        <v/>
      </c>
      <c r="C50" s="535"/>
      <c r="D50" s="535"/>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35" t="str">
        <f>'Schedule 2B Adjustments'!B50:D50</f>
        <v/>
      </c>
      <c r="C51" s="535"/>
      <c r="D51" s="535"/>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35" t="str">
        <f>'Schedule 2B Adjustments'!B51:D51</f>
        <v/>
      </c>
      <c r="C52" s="535"/>
      <c r="D52" s="535"/>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35" t="str">
        <f>'Schedule 2B Adjustments'!B52:D52</f>
        <v/>
      </c>
      <c r="C53" s="535"/>
      <c r="D53" s="535"/>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35" t="str">
        <f>'Schedule 2B Adjustments'!B53:D53</f>
        <v/>
      </c>
      <c r="C54" s="535"/>
      <c r="D54" s="535"/>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35" t="str">
        <f>'Schedule 2B Adjustments'!B54:D54</f>
        <v/>
      </c>
      <c r="C55" s="535"/>
      <c r="D55" s="535"/>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35" t="str">
        <f>'Schedule 2B Adjustments'!B55:D55</f>
        <v/>
      </c>
      <c r="C56" s="535"/>
      <c r="D56" s="535"/>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35" t="str">
        <f>'Schedule 2B Adjustments'!B56:D56</f>
        <v/>
      </c>
      <c r="C57" s="535"/>
      <c r="D57" s="535"/>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35" t="str">
        <f>'Schedule 2B Adjustments'!B57:D57</f>
        <v/>
      </c>
      <c r="C58" s="535"/>
      <c r="D58" s="535"/>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35" t="str">
        <f>'Schedule 2B Adjustments'!B58:D58</f>
        <v/>
      </c>
      <c r="C59" s="535"/>
      <c r="D59" s="535"/>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35" t="str">
        <f>'Schedule 2B Adjustments'!B59:D59</f>
        <v/>
      </c>
      <c r="C60" s="535"/>
      <c r="D60" s="535"/>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35" t="str">
        <f>'Schedule 2B Adjustments'!B60:D60</f>
        <v/>
      </c>
      <c r="C61" s="535"/>
      <c r="D61" s="535"/>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35" t="str">
        <f>'Schedule 2B Adjustments'!B61:D61</f>
        <v/>
      </c>
      <c r="C62" s="535"/>
      <c r="D62" s="535"/>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35" t="str">
        <f>'Schedule 2B Adjustments'!B62:D62</f>
        <v/>
      </c>
      <c r="C63" s="535"/>
      <c r="D63" s="535"/>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35" t="str">
        <f>'Schedule 2B Adjustments'!B63:D63</f>
        <v/>
      </c>
      <c r="C64" s="535"/>
      <c r="D64" s="535"/>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35" t="str">
        <f>'Schedule 2B Adjustments'!B64:D64</f>
        <v/>
      </c>
      <c r="C65" s="535"/>
      <c r="D65" s="535"/>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35" t="str">
        <f>'Schedule 2B Adjustments'!B65:D65</f>
        <v/>
      </c>
      <c r="C66" s="535"/>
      <c r="D66" s="535"/>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35" t="str">
        <f>'Schedule 2B Adjustments'!B66:D66</f>
        <v/>
      </c>
      <c r="C67" s="535"/>
      <c r="D67" s="535"/>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35" t="str">
        <f>'Schedule 2B Adjustments'!B67:D67</f>
        <v/>
      </c>
      <c r="C68" s="535"/>
      <c r="D68" s="535"/>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35" t="str">
        <f>'Schedule 2B Adjustments'!B68:D68</f>
        <v/>
      </c>
      <c r="C69" s="535"/>
      <c r="D69" s="535"/>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35" t="str">
        <f>'Schedule 2B Adjustments'!B69:D69</f>
        <v/>
      </c>
      <c r="C70" s="535"/>
      <c r="D70" s="535"/>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35" t="str">
        <f>'Schedule 2B Adjustments'!B70:D70</f>
        <v/>
      </c>
      <c r="C71" s="535"/>
      <c r="D71" s="535"/>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35" t="str">
        <f>'Schedule 2B Adjustments'!B71:D71</f>
        <v/>
      </c>
      <c r="C72" s="535"/>
      <c r="D72" s="535"/>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35" t="str">
        <f>'Schedule 2B Adjustments'!B72:D72</f>
        <v/>
      </c>
      <c r="C73" s="535"/>
      <c r="D73" s="535"/>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488176.80867608322</v>
      </c>
      <c r="G74" s="18">
        <f t="shared" ref="G74:H74" si="2">SUM(G16:G73)</f>
        <v>84796.192042939307</v>
      </c>
      <c r="H74" s="18">
        <f t="shared" si="2"/>
        <v>572973.0007190227</v>
      </c>
      <c r="J74" s="18">
        <f>SUM(J16:J73)</f>
        <v>35452.708000000006</v>
      </c>
      <c r="K74" s="18">
        <f t="shared" ref="K74:L74" si="3">SUM(K16:K73)</f>
        <v>6158.1266921775723</v>
      </c>
      <c r="L74" s="18">
        <f t="shared" si="3"/>
        <v>41610.834692177581</v>
      </c>
      <c r="O74" s="83" t="s">
        <v>313</v>
      </c>
    </row>
    <row r="75" spans="1:15" ht="15" thickBot="1" x14ac:dyDescent="0.4">
      <c r="H75" s="37" t="s">
        <v>257</v>
      </c>
      <c r="L75" s="37" t="s">
        <v>258</v>
      </c>
    </row>
    <row r="76" spans="1:15" s="72" customFormat="1" ht="16" thickBot="1" x14ac:dyDescent="0.4">
      <c r="A76" s="24">
        <v>60</v>
      </c>
      <c r="B76" s="73" t="s">
        <v>460</v>
      </c>
      <c r="F76" s="75">
        <f>H74+L74</f>
        <v>614583.8354112003</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773</v>
      </c>
    </row>
    <row r="2" spans="1:15" ht="21" x14ac:dyDescent="0.5">
      <c r="A2" s="2" t="s">
        <v>771</v>
      </c>
    </row>
    <row r="3" spans="1:15" ht="25" customHeight="1" x14ac:dyDescent="0.5">
      <c r="A3" s="515" t="s">
        <v>694</v>
      </c>
      <c r="B3" s="515"/>
      <c r="C3" s="515"/>
      <c r="D3" s="515"/>
      <c r="E3" s="515"/>
      <c r="F3" s="515"/>
      <c r="G3" s="515"/>
      <c r="H3" s="51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751</v>
      </c>
      <c r="C9" s="1"/>
      <c r="D9" s="119" t="str">
        <f>'Schedule 2C Adjustments'!D8</f>
        <v>Yes</v>
      </c>
      <c r="E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2C Adjustments'!B15:D15</f>
        <v>3000 Medical Services</v>
      </c>
      <c r="C16" s="535"/>
      <c r="D16" s="535"/>
      <c r="F16" s="117">
        <f>'Schedule 2C Adjustments'!H15</f>
        <v>6276952.2700817408</v>
      </c>
      <c r="G16" s="68">
        <f>'Schedule 2C Adjustments'!J15</f>
        <v>1090305.0711927272</v>
      </c>
      <c r="H16" s="68">
        <f>SUM(F16:G16)</f>
        <v>7367257.3412744682</v>
      </c>
      <c r="J16" s="117">
        <f>'Schedule 2C Adjustments'!P15</f>
        <v>0</v>
      </c>
      <c r="K16" s="68">
        <f>'Schedule 2C Adjustments'!R15</f>
        <v>0</v>
      </c>
      <c r="L16" s="68">
        <f>SUM(J16:K16)</f>
        <v>0</v>
      </c>
      <c r="N16" s="120">
        <f>'Schedule 2C Adjustments'!X15</f>
        <v>38.099999999999994</v>
      </c>
      <c r="O16" s="120">
        <f>'Schedule 2C Adjustments'!AA15</f>
        <v>8299</v>
      </c>
    </row>
    <row r="17" spans="1:15" x14ac:dyDescent="0.35">
      <c r="A17" s="24">
        <v>2</v>
      </c>
      <c r="B17" s="535" t="str">
        <f>'Schedule 2C Adjustments'!B16:D16</f>
        <v>3050 Access Team</v>
      </c>
      <c r="C17" s="535"/>
      <c r="D17" s="535"/>
      <c r="F17" s="117">
        <f>'Schedule 2C Adjustments'!H16</f>
        <v>2659720.5485525425</v>
      </c>
      <c r="G17" s="68">
        <f>'Schedule 2C Adjustments'!J16</f>
        <v>461992.8075388369</v>
      </c>
      <c r="H17" s="68">
        <f t="shared" ref="H17:H73" si="0">SUM(F17:G17)</f>
        <v>3121713.3560913792</v>
      </c>
      <c r="J17" s="117">
        <f>'Schedule 2C Adjustments'!P16</f>
        <v>0</v>
      </c>
      <c r="K17" s="68">
        <f>'Schedule 2C Adjustments'!R16</f>
        <v>0</v>
      </c>
      <c r="L17" s="68">
        <f t="shared" ref="L17:L73" si="1">SUM(J17:K17)</f>
        <v>0</v>
      </c>
      <c r="N17" s="120">
        <f>'Schedule 2C Adjustments'!X16</f>
        <v>28.25</v>
      </c>
      <c r="O17" s="120">
        <f>'Schedule 2C Adjustments'!AA16</f>
        <v>2400</v>
      </c>
    </row>
    <row r="18" spans="1:15" x14ac:dyDescent="0.35">
      <c r="A18" s="24">
        <v>3</v>
      </c>
      <c r="B18" s="535" t="str">
        <f>'Schedule 2C Adjustments'!B17:D17</f>
        <v>3400 Homebound</v>
      </c>
      <c r="C18" s="535"/>
      <c r="D18" s="535"/>
      <c r="F18" s="117">
        <f>'Schedule 2C Adjustments'!H17</f>
        <v>455447.4512426221</v>
      </c>
      <c r="G18" s="68">
        <f>'Schedule 2C Adjustments'!J17</f>
        <v>79111.110676832759</v>
      </c>
      <c r="H18" s="68">
        <f t="shared" si="0"/>
        <v>534558.56191945483</v>
      </c>
      <c r="J18" s="117">
        <f>'Schedule 2C Adjustments'!P17</f>
        <v>0</v>
      </c>
      <c r="K18" s="68">
        <f>'Schedule 2C Adjustments'!R17</f>
        <v>0</v>
      </c>
      <c r="L18" s="68">
        <f t="shared" si="1"/>
        <v>0</v>
      </c>
      <c r="N18" s="120">
        <f>'Schedule 2C Adjustments'!X17</f>
        <v>7.5</v>
      </c>
      <c r="O18" s="120">
        <f>'Schedule 2C Adjustments'!AA17</f>
        <v>759</v>
      </c>
    </row>
    <row r="19" spans="1:15" x14ac:dyDescent="0.35">
      <c r="A19" s="24">
        <v>4</v>
      </c>
      <c r="B19" s="535" t="str">
        <f>'Schedule 2C Adjustments'!B18:D18</f>
        <v>3410 Foothills Gateway</v>
      </c>
      <c r="C19" s="535"/>
      <c r="D19" s="535"/>
      <c r="F19" s="117">
        <f>'Schedule 2C Adjustments'!H18</f>
        <v>322511.63680755458</v>
      </c>
      <c r="G19" s="68">
        <f>'Schedule 2C Adjustments'!J18</f>
        <v>56020.192284394194</v>
      </c>
      <c r="H19" s="68">
        <f t="shared" si="0"/>
        <v>378531.82909194875</v>
      </c>
      <c r="J19" s="117">
        <f>'Schedule 2C Adjustments'!P18</f>
        <v>0</v>
      </c>
      <c r="K19" s="68">
        <f>'Schedule 2C Adjustments'!R18</f>
        <v>0</v>
      </c>
      <c r="L19" s="68">
        <f t="shared" si="1"/>
        <v>0</v>
      </c>
      <c r="N19" s="120">
        <f>'Schedule 2C Adjustments'!X18</f>
        <v>2</v>
      </c>
      <c r="O19" s="120">
        <f>'Schedule 2C Adjustments'!AA18</f>
        <v>1494</v>
      </c>
    </row>
    <row r="20" spans="1:15" x14ac:dyDescent="0.35">
      <c r="A20" s="24">
        <v>5</v>
      </c>
      <c r="B20" s="535" t="str">
        <f>'Schedule 2C Adjustments'!B19:D19</f>
        <v>3500 Bristlecone Outpatient</v>
      </c>
      <c r="C20" s="535"/>
      <c r="D20" s="535"/>
      <c r="F20" s="117">
        <f>'Schedule 2C Adjustments'!H19</f>
        <v>2473934.9064316326</v>
      </c>
      <c r="G20" s="68">
        <f>'Schedule 2C Adjustments'!J19</f>
        <v>429721.88702782476</v>
      </c>
      <c r="H20" s="68">
        <f t="shared" si="0"/>
        <v>2903656.7934594573</v>
      </c>
      <c r="J20" s="117">
        <f>'Schedule 2C Adjustments'!P19</f>
        <v>0</v>
      </c>
      <c r="K20" s="68">
        <f>'Schedule 2C Adjustments'!R19</f>
        <v>0</v>
      </c>
      <c r="L20" s="68">
        <f t="shared" si="1"/>
        <v>0</v>
      </c>
      <c r="N20" s="120">
        <f>'Schedule 2C Adjustments'!X19</f>
        <v>20.05</v>
      </c>
      <c r="O20" s="120">
        <f>'Schedule 2C Adjustments'!AA19</f>
        <v>8180</v>
      </c>
    </row>
    <row r="21" spans="1:15" x14ac:dyDescent="0.35">
      <c r="A21" s="24">
        <v>6</v>
      </c>
      <c r="B21" s="535" t="str">
        <f>'Schedule 2C Adjustments'!B20:D20</f>
        <v>3510 Estes Park Outpatient</v>
      </c>
      <c r="C21" s="535"/>
      <c r="D21" s="535"/>
      <c r="F21" s="117">
        <f>'Schedule 2C Adjustments'!H20</f>
        <v>281007.91305065749</v>
      </c>
      <c r="G21" s="68">
        <f>'Schedule 2C Adjustments'!J20</f>
        <v>48811.00563800001</v>
      </c>
      <c r="H21" s="68">
        <f t="shared" si="0"/>
        <v>329818.91868865752</v>
      </c>
      <c r="J21" s="117">
        <f>'Schedule 2C Adjustments'!P20</f>
        <v>0</v>
      </c>
      <c r="K21" s="68">
        <f>'Schedule 2C Adjustments'!R20</f>
        <v>0</v>
      </c>
      <c r="L21" s="68">
        <f t="shared" si="1"/>
        <v>0</v>
      </c>
      <c r="N21" s="120">
        <f>'Schedule 2C Adjustments'!X20</f>
        <v>1.6</v>
      </c>
      <c r="O21" s="120">
        <f>'Schedule 2C Adjustments'!AA20</f>
        <v>881</v>
      </c>
    </row>
    <row r="22" spans="1:15" x14ac:dyDescent="0.35">
      <c r="A22" s="24">
        <v>7</v>
      </c>
      <c r="B22" s="535" t="str">
        <f>'Schedule 2C Adjustments'!B21:D21</f>
        <v>3520 Wilson Outpatient</v>
      </c>
      <c r="C22" s="535"/>
      <c r="D22" s="535"/>
      <c r="F22" s="117">
        <f>'Schedule 2C Adjustments'!H21</f>
        <v>3064859.7650057347</v>
      </c>
      <c r="G22" s="68">
        <f>'Schedule 2C Adjustments'!J21</f>
        <v>532365.39016040449</v>
      </c>
      <c r="H22" s="68">
        <f t="shared" si="0"/>
        <v>3597225.1551661394</v>
      </c>
      <c r="J22" s="117">
        <f>'Schedule 2C Adjustments'!P21</f>
        <v>0</v>
      </c>
      <c r="K22" s="68">
        <f>'Schedule 2C Adjustments'!R21</f>
        <v>0</v>
      </c>
      <c r="L22" s="68">
        <f t="shared" si="1"/>
        <v>0</v>
      </c>
      <c r="N22" s="120">
        <f>'Schedule 2C Adjustments'!X21</f>
        <v>26.5</v>
      </c>
      <c r="O22" s="120">
        <f>'Schedule 2C Adjustments'!AA21</f>
        <v>8026</v>
      </c>
    </row>
    <row r="23" spans="1:15" x14ac:dyDescent="0.35">
      <c r="A23" s="24">
        <v>8</v>
      </c>
      <c r="B23" s="535" t="str">
        <f>'Schedule 2C Adjustments'!B22:D22</f>
        <v>3525 Orchards Outpatient</v>
      </c>
      <c r="C23" s="535"/>
      <c r="D23" s="535"/>
      <c r="F23" s="117">
        <f>'Schedule 2C Adjustments'!H22</f>
        <v>1378793.5807165918</v>
      </c>
      <c r="G23" s="68">
        <f>'Schedule 2C Adjustments'!J22</f>
        <v>239496.10710735933</v>
      </c>
      <c r="H23" s="68">
        <f t="shared" si="0"/>
        <v>1618289.6878239512</v>
      </c>
      <c r="J23" s="117">
        <f>'Schedule 2C Adjustments'!P22</f>
        <v>0</v>
      </c>
      <c r="K23" s="68">
        <f>'Schedule 2C Adjustments'!R22</f>
        <v>0</v>
      </c>
      <c r="L23" s="68">
        <f t="shared" si="1"/>
        <v>0</v>
      </c>
      <c r="N23" s="120">
        <f>'Schedule 2C Adjustments'!X22</f>
        <v>11</v>
      </c>
      <c r="O23" s="120">
        <f>'Schedule 2C Adjustments'!AA22</f>
        <v>3605</v>
      </c>
    </row>
    <row r="24" spans="1:15" x14ac:dyDescent="0.35">
      <c r="A24" s="24">
        <v>9</v>
      </c>
      <c r="B24" s="535" t="str">
        <f>'Schedule 2C Adjustments'!B23:D23</f>
        <v>3527 First Step Clinic</v>
      </c>
      <c r="C24" s="535"/>
      <c r="D24" s="535"/>
      <c r="F24" s="117">
        <f>'Schedule 2C Adjustments'!H23</f>
        <v>742368.63501686754</v>
      </c>
      <c r="G24" s="68">
        <f>'Schedule 2C Adjustments'!J23</f>
        <v>128949.24999051698</v>
      </c>
      <c r="H24" s="68">
        <f t="shared" si="0"/>
        <v>871317.88500738447</v>
      </c>
      <c r="J24" s="117">
        <f>'Schedule 2C Adjustments'!P23</f>
        <v>0</v>
      </c>
      <c r="K24" s="68">
        <f>'Schedule 2C Adjustments'!R23</f>
        <v>0</v>
      </c>
      <c r="L24" s="68">
        <f t="shared" si="1"/>
        <v>0</v>
      </c>
      <c r="N24" s="120">
        <f>'Schedule 2C Adjustments'!X23</f>
        <v>6</v>
      </c>
      <c r="O24" s="120">
        <f>'Schedule 2C Adjustments'!AA23</f>
        <v>1787</v>
      </c>
    </row>
    <row r="25" spans="1:15" x14ac:dyDescent="0.35">
      <c r="A25" s="24">
        <v>10</v>
      </c>
      <c r="B25" s="535" t="str">
        <f>'Schedule 2C Adjustments'!B24:D24</f>
        <v>3540 Commercial Clinic</v>
      </c>
      <c r="C25" s="535"/>
      <c r="D25" s="535"/>
      <c r="F25" s="117">
        <f>'Schedule 2C Adjustments'!H24</f>
        <v>117111.25411807009</v>
      </c>
      <c r="G25" s="68">
        <f>'Schedule 2C Adjustments'!J24</f>
        <v>20342.196143066925</v>
      </c>
      <c r="H25" s="68">
        <f t="shared" si="0"/>
        <v>137453.45026113701</v>
      </c>
      <c r="J25" s="117">
        <f>'Schedule 2C Adjustments'!P24</f>
        <v>0</v>
      </c>
      <c r="K25" s="68">
        <f>'Schedule 2C Adjustments'!R24</f>
        <v>0</v>
      </c>
      <c r="L25" s="68">
        <f t="shared" si="1"/>
        <v>0</v>
      </c>
      <c r="N25" s="120">
        <f>'Schedule 2C Adjustments'!X24</f>
        <v>1</v>
      </c>
      <c r="O25" s="120">
        <f>'Schedule 2C Adjustments'!AA24</f>
        <v>276</v>
      </c>
    </row>
    <row r="26" spans="1:15" x14ac:dyDescent="0.35">
      <c r="A26" s="24">
        <v>11</v>
      </c>
      <c r="B26" s="535" t="str">
        <f>'Schedule 2C Adjustments'!B25:D25</f>
        <v>3600 Medicare Clinic</v>
      </c>
      <c r="C26" s="535"/>
      <c r="D26" s="535"/>
      <c r="F26" s="117">
        <f>'Schedule 2C Adjustments'!H25</f>
        <v>145699.66411807013</v>
      </c>
      <c r="G26" s="68">
        <f>'Schedule 2C Adjustments'!J25</f>
        <v>25307.995954689679</v>
      </c>
      <c r="H26" s="68">
        <f t="shared" si="0"/>
        <v>171007.66007275981</v>
      </c>
      <c r="J26" s="117">
        <f>'Schedule 2C Adjustments'!P25</f>
        <v>0</v>
      </c>
      <c r="K26" s="68">
        <f>'Schedule 2C Adjustments'!R25</f>
        <v>0</v>
      </c>
      <c r="L26" s="68">
        <f t="shared" si="1"/>
        <v>0</v>
      </c>
      <c r="N26" s="120">
        <f>'Schedule 2C Adjustments'!X25</f>
        <v>1</v>
      </c>
      <c r="O26" s="120">
        <f>'Schedule 2C Adjustments'!AA25</f>
        <v>466</v>
      </c>
    </row>
    <row r="27" spans="1:15" x14ac:dyDescent="0.35">
      <c r="A27" s="24">
        <v>12</v>
      </c>
      <c r="B27" s="535" t="str">
        <f>'Schedule 2C Adjustments'!B26:D26</f>
        <v>3651 LC CIS Competency Support Svcs</v>
      </c>
      <c r="C27" s="535"/>
      <c r="D27" s="535"/>
      <c r="F27" s="117">
        <f>'Schedule 2C Adjustments'!H26</f>
        <v>845871.53415467276</v>
      </c>
      <c r="G27" s="68">
        <f>'Schedule 2C Adjustments'!J26</f>
        <v>146927.67820813807</v>
      </c>
      <c r="H27" s="68">
        <f t="shared" si="0"/>
        <v>992799.21236281085</v>
      </c>
      <c r="J27" s="117">
        <f>'Schedule 2C Adjustments'!P26</f>
        <v>0</v>
      </c>
      <c r="K27" s="68">
        <f>'Schedule 2C Adjustments'!R26</f>
        <v>0</v>
      </c>
      <c r="L27" s="68">
        <f t="shared" si="1"/>
        <v>0</v>
      </c>
      <c r="N27" s="120">
        <f>'Schedule 2C Adjustments'!X26</f>
        <v>9.15</v>
      </c>
      <c r="O27" s="120">
        <f>'Schedule 2C Adjustments'!AA26</f>
        <v>457</v>
      </c>
    </row>
    <row r="28" spans="1:15" x14ac:dyDescent="0.35">
      <c r="A28" s="24">
        <v>13</v>
      </c>
      <c r="B28" s="535" t="str">
        <f>'Schedule 2C Adjustments'!B27:D27</f>
        <v>3703 IPS</v>
      </c>
      <c r="C28" s="535"/>
      <c r="D28" s="535"/>
      <c r="F28" s="117">
        <f>'Schedule 2C Adjustments'!H27</f>
        <v>593656.37362110964</v>
      </c>
      <c r="G28" s="68">
        <f>'Schedule 2C Adjustments'!J27</f>
        <v>103117.9666269075</v>
      </c>
      <c r="H28" s="68">
        <f t="shared" si="0"/>
        <v>696774.34024801711</v>
      </c>
      <c r="J28" s="117">
        <f>'Schedule 2C Adjustments'!P27</f>
        <v>0</v>
      </c>
      <c r="K28" s="68">
        <f>'Schedule 2C Adjustments'!R27</f>
        <v>0</v>
      </c>
      <c r="L28" s="68">
        <f t="shared" si="1"/>
        <v>0</v>
      </c>
      <c r="N28" s="120">
        <f>'Schedule 2C Adjustments'!X27</f>
        <v>3.75</v>
      </c>
      <c r="O28" s="120">
        <f>'Schedule 2C Adjustments'!AA27</f>
        <v>645</v>
      </c>
    </row>
    <row r="29" spans="1:15" x14ac:dyDescent="0.35">
      <c r="A29" s="24">
        <v>14</v>
      </c>
      <c r="B29" s="535" t="str">
        <f>'Schedule 2C Adjustments'!B28:D28</f>
        <v>3800 MAT</v>
      </c>
      <c r="C29" s="535"/>
      <c r="D29" s="535"/>
      <c r="F29" s="117">
        <f>'Schedule 2C Adjustments'!H28</f>
        <v>525017.95221965271</v>
      </c>
      <c r="G29" s="68">
        <f>'Schedule 2C Adjustments'!J28</f>
        <v>91195.489648809118</v>
      </c>
      <c r="H29" s="68">
        <f t="shared" si="0"/>
        <v>616213.44186846178</v>
      </c>
      <c r="J29" s="117">
        <f>'Schedule 2C Adjustments'!P28</f>
        <v>0</v>
      </c>
      <c r="K29" s="68">
        <f>'Schedule 2C Adjustments'!R28</f>
        <v>0</v>
      </c>
      <c r="L29" s="68">
        <f t="shared" si="1"/>
        <v>0</v>
      </c>
      <c r="N29" s="120">
        <f>'Schedule 2C Adjustments'!X28</f>
        <v>4</v>
      </c>
      <c r="O29" s="120">
        <f>'Schedule 2C Adjustments'!AA28</f>
        <v>1351</v>
      </c>
    </row>
    <row r="30" spans="1:15" x14ac:dyDescent="0.35">
      <c r="A30" s="24">
        <v>15</v>
      </c>
      <c r="B30" s="535" t="str">
        <f>'Schedule 2C Adjustments'!B29:D29</f>
        <v>3810 MAT North County</v>
      </c>
      <c r="C30" s="535"/>
      <c r="D30" s="535"/>
      <c r="F30" s="117">
        <f>'Schedule 2C Adjustments'!H29</f>
        <v>1555037.6973484256</v>
      </c>
      <c r="G30" s="68">
        <f>'Schedule 2C Adjustments'!J29</f>
        <v>270109.66697899881</v>
      </c>
      <c r="H30" s="68">
        <f t="shared" si="0"/>
        <v>1825147.3643274244</v>
      </c>
      <c r="J30" s="117">
        <f>'Schedule 2C Adjustments'!P29</f>
        <v>0</v>
      </c>
      <c r="K30" s="68">
        <f>'Schedule 2C Adjustments'!R29</f>
        <v>0</v>
      </c>
      <c r="L30" s="68">
        <f t="shared" si="1"/>
        <v>0</v>
      </c>
      <c r="N30" s="120">
        <f>'Schedule 2C Adjustments'!X29</f>
        <v>12.200000000000001</v>
      </c>
      <c r="O30" s="120">
        <f>'Schedule 2C Adjustments'!AA29</f>
        <v>1358</v>
      </c>
    </row>
    <row r="31" spans="1:15" x14ac:dyDescent="0.35">
      <c r="A31" s="24">
        <v>16</v>
      </c>
      <c r="B31" s="535" t="str">
        <f>'Schedule 2C Adjustments'!B30:D30</f>
        <v>3850 Community Action</v>
      </c>
      <c r="C31" s="535"/>
      <c r="D31" s="535"/>
      <c r="F31" s="117">
        <f>'Schedule 2C Adjustments'!H30</f>
        <v>711384.42379261425</v>
      </c>
      <c r="G31" s="68">
        <f>'Schedule 2C Adjustments'!J30</f>
        <v>123567.30009331471</v>
      </c>
      <c r="H31" s="68">
        <f t="shared" si="0"/>
        <v>834951.72388592898</v>
      </c>
      <c r="J31" s="117">
        <f>'Schedule 2C Adjustments'!P30</f>
        <v>0</v>
      </c>
      <c r="K31" s="68">
        <f>'Schedule 2C Adjustments'!R30</f>
        <v>0</v>
      </c>
      <c r="L31" s="68">
        <f t="shared" si="1"/>
        <v>0</v>
      </c>
      <c r="N31" s="120">
        <f>'Schedule 2C Adjustments'!X30</f>
        <v>8.8000000000000007</v>
      </c>
      <c r="O31" s="120">
        <f>'Schedule 2C Adjustments'!AA30</f>
        <v>1290</v>
      </c>
    </row>
    <row r="32" spans="1:15" x14ac:dyDescent="0.35">
      <c r="A32" s="24">
        <v>17</v>
      </c>
      <c r="B32" s="535" t="str">
        <f>'Schedule 2C Adjustments'!B31:D31</f>
        <v>3870 202 Expansion and RSS</v>
      </c>
      <c r="C32" s="535"/>
      <c r="D32" s="535"/>
      <c r="F32" s="117">
        <f>'Schedule 2C Adjustments'!H31</f>
        <v>289558.12980445602</v>
      </c>
      <c r="G32" s="68">
        <f>'Schedule 2C Adjustments'!J31</f>
        <v>50296.176192967789</v>
      </c>
      <c r="H32" s="68">
        <f t="shared" si="0"/>
        <v>339854.30599742383</v>
      </c>
      <c r="J32" s="117">
        <f>'Schedule 2C Adjustments'!P31</f>
        <v>0</v>
      </c>
      <c r="K32" s="68">
        <f>'Schedule 2C Adjustments'!R31</f>
        <v>0</v>
      </c>
      <c r="L32" s="68">
        <f t="shared" si="1"/>
        <v>0</v>
      </c>
      <c r="N32" s="120">
        <f>'Schedule 2C Adjustments'!X31</f>
        <v>2.5</v>
      </c>
      <c r="O32" s="120">
        <f>'Schedule 2C Adjustments'!AA31</f>
        <v>180</v>
      </c>
    </row>
    <row r="33" spans="1:15" x14ac:dyDescent="0.35">
      <c r="A33" s="24">
        <v>18</v>
      </c>
      <c r="B33" s="535" t="str">
        <f>'Schedule 2C Adjustments'!B32:D32</f>
        <v>4704 Housing including vouchers and Redtail Ponds</v>
      </c>
      <c r="C33" s="535"/>
      <c r="D33" s="535"/>
      <c r="F33" s="117">
        <f>'Schedule 2C Adjustments'!H32</f>
        <v>197964.42267766772</v>
      </c>
      <c r="G33" s="68">
        <f>'Schedule 2C Adjustments'!J32</f>
        <v>34386.371709401399</v>
      </c>
      <c r="H33" s="68">
        <f t="shared" si="0"/>
        <v>232350.79438706912</v>
      </c>
      <c r="J33" s="117">
        <f>'Schedule 2C Adjustments'!P32</f>
        <v>106596.22759566719</v>
      </c>
      <c r="K33" s="68">
        <f>'Schedule 2C Adjustments'!R32</f>
        <v>18515.738612754591</v>
      </c>
      <c r="L33" s="68">
        <f t="shared" si="1"/>
        <v>125111.96620842179</v>
      </c>
      <c r="N33" s="120">
        <f>'Schedule 2C Adjustments'!X32</f>
        <v>1</v>
      </c>
      <c r="O33" s="120">
        <f>'Schedule 2C Adjustments'!AA32</f>
        <v>243</v>
      </c>
    </row>
    <row r="34" spans="1:15" x14ac:dyDescent="0.35">
      <c r="A34" s="24">
        <v>19</v>
      </c>
      <c r="B34" s="535" t="str">
        <f>'Schedule 2C Adjustments'!B33:D33</f>
        <v>4705 Loveland Apartments</v>
      </c>
      <c r="C34" s="535"/>
      <c r="D34" s="535"/>
      <c r="F34" s="117">
        <f>'Schedule 2C Adjustments'!H33</f>
        <v>196796.86577199507</v>
      </c>
      <c r="G34" s="68">
        <f>'Schedule 2C Adjustments'!J33</f>
        <v>34183.567360987196</v>
      </c>
      <c r="H34" s="68">
        <f t="shared" si="0"/>
        <v>230980.43313298226</v>
      </c>
      <c r="J34" s="117">
        <f>'Schedule 2C Adjustments'!P33</f>
        <v>0</v>
      </c>
      <c r="K34" s="68">
        <f>'Schedule 2C Adjustments'!R33</f>
        <v>0</v>
      </c>
      <c r="L34" s="68">
        <f t="shared" si="1"/>
        <v>0</v>
      </c>
      <c r="N34" s="120">
        <f>'Schedule 2C Adjustments'!X33</f>
        <v>3</v>
      </c>
      <c r="O34" s="120">
        <f>'Schedule 2C Adjustments'!AA33</f>
        <v>27</v>
      </c>
    </row>
    <row r="35" spans="1:15" x14ac:dyDescent="0.35">
      <c r="A35" s="24">
        <v>20</v>
      </c>
      <c r="B35" s="535" t="str">
        <f>'Schedule 2C Adjustments'!B34:D34</f>
        <v>4715 JBBS Jail Based Behavioral Health Services</v>
      </c>
      <c r="C35" s="535"/>
      <c r="D35" s="535"/>
      <c r="F35" s="117">
        <f>'Schedule 2C Adjustments'!H34</f>
        <v>785919.81696958421</v>
      </c>
      <c r="G35" s="68">
        <f>'Schedule 2C Adjustments'!J34</f>
        <v>136514.07962381063</v>
      </c>
      <c r="H35" s="68">
        <f t="shared" si="0"/>
        <v>922433.89659339481</v>
      </c>
      <c r="J35" s="117">
        <f>'Schedule 2C Adjustments'!P34</f>
        <v>0</v>
      </c>
      <c r="K35" s="68">
        <f>'Schedule 2C Adjustments'!R34</f>
        <v>0</v>
      </c>
      <c r="L35" s="68">
        <f t="shared" si="1"/>
        <v>0</v>
      </c>
      <c r="N35" s="120">
        <f>'Schedule 2C Adjustments'!X34</f>
        <v>11</v>
      </c>
      <c r="O35" s="120">
        <f>'Schedule 2C Adjustments'!AA34</f>
        <v>575</v>
      </c>
    </row>
    <row r="36" spans="1:15" x14ac:dyDescent="0.35">
      <c r="A36" s="24">
        <v>21</v>
      </c>
      <c r="B36" s="535" t="str">
        <f>'Schedule 2C Adjustments'!B35:D35</f>
        <v>4725 Peer Specialists</v>
      </c>
      <c r="C36" s="535"/>
      <c r="D36" s="535"/>
      <c r="F36" s="117">
        <f>'Schedule 2C Adjustments'!H35</f>
        <v>36075.285473946227</v>
      </c>
      <c r="G36" s="68">
        <f>'Schedule 2C Adjustments'!J35</f>
        <v>6266.2682468440516</v>
      </c>
      <c r="H36" s="68">
        <f t="shared" si="0"/>
        <v>42341.553720790282</v>
      </c>
      <c r="J36" s="117">
        <f>'Schedule 2C Adjustments'!P35</f>
        <v>0</v>
      </c>
      <c r="K36" s="68">
        <f>'Schedule 2C Adjustments'!R35</f>
        <v>0</v>
      </c>
      <c r="L36" s="68">
        <f t="shared" si="1"/>
        <v>0</v>
      </c>
      <c r="N36" s="120">
        <f>'Schedule 2C Adjustments'!X35</f>
        <v>0</v>
      </c>
      <c r="O36" s="120">
        <f>'Schedule 2C Adjustments'!AA35</f>
        <v>581</v>
      </c>
    </row>
    <row r="37" spans="1:15" x14ac:dyDescent="0.35">
      <c r="A37" s="24">
        <v>22</v>
      </c>
      <c r="B37" s="535" t="str">
        <f>'Schedule 2C Adjustments'!B36:D36</f>
        <v>4800 MH Diversion</v>
      </c>
      <c r="C37" s="535"/>
      <c r="D37" s="535"/>
      <c r="F37" s="117">
        <f>'Schedule 2C Adjustments'!H36</f>
        <v>110486.80037542932</v>
      </c>
      <c r="G37" s="68">
        <f>'Schedule 2C Adjustments'!J36</f>
        <v>19191.530151243347</v>
      </c>
      <c r="H37" s="68">
        <f t="shared" si="0"/>
        <v>129678.33052667267</v>
      </c>
      <c r="J37" s="117">
        <f>'Schedule 2C Adjustments'!P36</f>
        <v>0</v>
      </c>
      <c r="K37" s="68">
        <f>'Schedule 2C Adjustments'!R36</f>
        <v>0</v>
      </c>
      <c r="L37" s="68">
        <f t="shared" si="1"/>
        <v>0</v>
      </c>
      <c r="N37" s="120">
        <f>'Schedule 2C Adjustments'!X36</f>
        <v>2</v>
      </c>
      <c r="O37" s="120">
        <f>'Schedule 2C Adjustments'!AA36</f>
        <v>111</v>
      </c>
    </row>
    <row r="38" spans="1:15" x14ac:dyDescent="0.35">
      <c r="A38" s="24">
        <v>23</v>
      </c>
      <c r="B38" s="535" t="str">
        <f>'Schedule 2C Adjustments'!B37:D37</f>
        <v>5100 Centre Outpatient</v>
      </c>
      <c r="C38" s="535"/>
      <c r="D38" s="535"/>
      <c r="F38" s="117">
        <f>'Schedule 2C Adjustments'!H37</f>
        <v>2946249.9456382389</v>
      </c>
      <c r="G38" s="68">
        <f>'Schedule 2C Adjustments'!J37</f>
        <v>511762.89360072458</v>
      </c>
      <c r="H38" s="68">
        <f t="shared" si="0"/>
        <v>3458012.8392389636</v>
      </c>
      <c r="J38" s="117">
        <f>'Schedule 2C Adjustments'!P37</f>
        <v>0</v>
      </c>
      <c r="K38" s="68">
        <f>'Schedule 2C Adjustments'!R37</f>
        <v>0</v>
      </c>
      <c r="L38" s="68">
        <f t="shared" si="1"/>
        <v>0</v>
      </c>
      <c r="N38" s="120">
        <f>'Schedule 2C Adjustments'!X37</f>
        <v>30</v>
      </c>
      <c r="O38" s="120">
        <f>'Schedule 2C Adjustments'!AA37</f>
        <v>7881</v>
      </c>
    </row>
    <row r="39" spans="1:15" x14ac:dyDescent="0.35">
      <c r="A39" s="24">
        <v>24</v>
      </c>
      <c r="B39" s="535" t="str">
        <f>'Schedule 2C Adjustments'!B38:D38</f>
        <v>6100 Integrated Care</v>
      </c>
      <c r="C39" s="535"/>
      <c r="D39" s="535"/>
      <c r="F39" s="117">
        <f>'Schedule 2C Adjustments'!H38</f>
        <v>479286.14150171744</v>
      </c>
      <c r="G39" s="68">
        <f>'Schedule 2C Adjustments'!J38</f>
        <v>83251.88533334386</v>
      </c>
      <c r="H39" s="68">
        <f t="shared" si="0"/>
        <v>562538.02683506126</v>
      </c>
      <c r="J39" s="117">
        <f>'Schedule 2C Adjustments'!P38</f>
        <v>0</v>
      </c>
      <c r="K39" s="68">
        <f>'Schedule 2C Adjustments'!R38</f>
        <v>0</v>
      </c>
      <c r="L39" s="68">
        <f t="shared" si="1"/>
        <v>0</v>
      </c>
      <c r="N39" s="120">
        <f>'Schedule 2C Adjustments'!X38</f>
        <v>8</v>
      </c>
      <c r="O39" s="120">
        <f>'Schedule 2C Adjustments'!AA38</f>
        <v>792</v>
      </c>
    </row>
    <row r="40" spans="1:15" x14ac:dyDescent="0.35">
      <c r="A40" s="24">
        <v>25</v>
      </c>
      <c r="B40" s="535" t="str">
        <f>'Schedule 2C Adjustments'!B39:D39</f>
        <v>6101 MACC</v>
      </c>
      <c r="C40" s="535"/>
      <c r="D40" s="535"/>
      <c r="F40" s="117">
        <f>'Schedule 2C Adjustments'!H39</f>
        <v>594140.35788660857</v>
      </c>
      <c r="G40" s="68">
        <f>'Schedule 2C Adjustments'!J39</f>
        <v>103202.03457522791</v>
      </c>
      <c r="H40" s="68">
        <f t="shared" si="0"/>
        <v>697342.39246183645</v>
      </c>
      <c r="J40" s="117">
        <f>'Schedule 2C Adjustments'!P39</f>
        <v>0</v>
      </c>
      <c r="K40" s="68">
        <f>'Schedule 2C Adjustments'!R39</f>
        <v>0</v>
      </c>
      <c r="L40" s="68">
        <f t="shared" si="1"/>
        <v>0</v>
      </c>
      <c r="N40" s="120">
        <f>'Schedule 2C Adjustments'!X39</f>
        <v>4</v>
      </c>
      <c r="O40" s="120">
        <f>'Schedule 2C Adjustments'!AA39</f>
        <v>0</v>
      </c>
    </row>
    <row r="41" spans="1:15" x14ac:dyDescent="0.35">
      <c r="A41" s="24">
        <v>26</v>
      </c>
      <c r="B41" s="535" t="str">
        <f>'Schedule 2C Adjustments'!B40:D40</f>
        <v>6102 School Based Health Center</v>
      </c>
      <c r="C41" s="535"/>
      <c r="D41" s="535"/>
      <c r="F41" s="117">
        <f>'Schedule 2C Adjustments'!H40</f>
        <v>122557.97697165211</v>
      </c>
      <c r="G41" s="68">
        <f>'Schedule 2C Adjustments'!J40</f>
        <v>21288.290568055196</v>
      </c>
      <c r="H41" s="68">
        <f t="shared" si="0"/>
        <v>143846.2675397073</v>
      </c>
      <c r="J41" s="117">
        <f>'Schedule 2C Adjustments'!P40</f>
        <v>0</v>
      </c>
      <c r="K41" s="68">
        <f>'Schedule 2C Adjustments'!R40</f>
        <v>0</v>
      </c>
      <c r="L41" s="68">
        <f t="shared" si="1"/>
        <v>0</v>
      </c>
      <c r="N41" s="120">
        <f>'Schedule 2C Adjustments'!X40</f>
        <v>1</v>
      </c>
      <c r="O41" s="120">
        <f>'Schedule 2C Adjustments'!AA40</f>
        <v>264</v>
      </c>
    </row>
    <row r="42" spans="1:15" x14ac:dyDescent="0.35">
      <c r="A42" s="24">
        <v>27</v>
      </c>
      <c r="B42" s="535" t="str">
        <f>'Schedule 2C Adjustments'!B41:D41</f>
        <v xml:space="preserve">7000 Specialized Women Services </v>
      </c>
      <c r="C42" s="535"/>
      <c r="D42" s="535"/>
      <c r="F42" s="117">
        <f>'Schedule 2C Adjustments'!H41</f>
        <v>24331.475564369761</v>
      </c>
      <c r="G42" s="68">
        <f>'Schedule 2C Adjustments'!J41</f>
        <v>4226.3713432838967</v>
      </c>
      <c r="H42" s="68">
        <f t="shared" si="0"/>
        <v>28557.846907653657</v>
      </c>
      <c r="J42" s="117">
        <f>'Schedule 2C Adjustments'!P41</f>
        <v>0</v>
      </c>
      <c r="K42" s="68">
        <f>'Schedule 2C Adjustments'!R41</f>
        <v>0</v>
      </c>
      <c r="L42" s="68">
        <f t="shared" si="1"/>
        <v>0</v>
      </c>
      <c r="N42" s="120">
        <f>'Schedule 2C Adjustments'!X41</f>
        <v>0</v>
      </c>
      <c r="O42" s="120">
        <f>'Schedule 2C Adjustments'!AA41</f>
        <v>324</v>
      </c>
    </row>
    <row r="43" spans="1:15" x14ac:dyDescent="0.35">
      <c r="A43" s="24">
        <v>28</v>
      </c>
      <c r="B43" s="535" t="str">
        <f>'Schedule 2C Adjustments'!B42:D42</f>
        <v>7051 DUI</v>
      </c>
      <c r="C43" s="535"/>
      <c r="D43" s="535"/>
      <c r="F43" s="117">
        <f>'Schedule 2C Adjustments'!H42</f>
        <v>145264.90402331797</v>
      </c>
      <c r="G43" s="68">
        <f>'Schedule 2C Adjustments'!J42</f>
        <v>25232.478232765956</v>
      </c>
      <c r="H43" s="68">
        <f t="shared" si="0"/>
        <v>170497.38225608392</v>
      </c>
      <c r="J43" s="117">
        <f>'Schedule 2C Adjustments'!P42</f>
        <v>0</v>
      </c>
      <c r="K43" s="68">
        <f>'Schedule 2C Adjustments'!R42</f>
        <v>0</v>
      </c>
      <c r="L43" s="68">
        <f t="shared" si="1"/>
        <v>0</v>
      </c>
      <c r="N43" s="120">
        <f>'Schedule 2C Adjustments'!X42</f>
        <v>1</v>
      </c>
      <c r="O43" s="120">
        <f>'Schedule 2C Adjustments'!AA42</f>
        <v>605</v>
      </c>
    </row>
    <row r="44" spans="1:15" x14ac:dyDescent="0.35">
      <c r="A44" s="24">
        <v>29</v>
      </c>
      <c r="B44" s="535" t="str">
        <f>'Schedule 2C Adjustments'!B43:D43</f>
        <v>9113 CCBHC</v>
      </c>
      <c r="C44" s="535"/>
      <c r="D44" s="535"/>
      <c r="F44" s="117">
        <f>'Schedule 2C Adjustments'!H43</f>
        <v>980905.2554272319</v>
      </c>
      <c r="G44" s="68">
        <f>'Schedule 2C Adjustments'!J43</f>
        <v>170383.00250417247</v>
      </c>
      <c r="H44" s="68">
        <f t="shared" si="0"/>
        <v>1151288.2579314043</v>
      </c>
      <c r="J44" s="117">
        <f>'Schedule 2C Adjustments'!P43</f>
        <v>143776.31271684286</v>
      </c>
      <c r="K44" s="68">
        <f>'Schedule 2C Adjustments'!R43</f>
        <v>24973.910287599458</v>
      </c>
      <c r="L44" s="68">
        <f t="shared" si="1"/>
        <v>168750.22300444232</v>
      </c>
      <c r="N44" s="120">
        <f>'Schedule 2C Adjustments'!X43</f>
        <v>4</v>
      </c>
      <c r="O44" s="120">
        <f>'Schedule 2C Adjustments'!AA43</f>
        <v>366</v>
      </c>
    </row>
    <row r="45" spans="1:15" x14ac:dyDescent="0.35">
      <c r="A45" s="24">
        <v>30</v>
      </c>
      <c r="B45" s="535" t="str">
        <f>'Schedule 2C Adjustments'!B44:D44</f>
        <v>3880 Jail AUD</v>
      </c>
      <c r="C45" s="535"/>
      <c r="D45" s="535"/>
      <c r="F45" s="117">
        <f>'Schedule 2C Adjustments'!H44</f>
        <v>321919.76037542935</v>
      </c>
      <c r="G45" s="68">
        <f>'Schedule 2C Adjustments'!J44</f>
        <v>55917.383493168963</v>
      </c>
      <c r="H45" s="68">
        <f t="shared" si="0"/>
        <v>377837.14386859833</v>
      </c>
      <c r="J45" s="117">
        <f>'Schedule 2C Adjustments'!P44</f>
        <v>0</v>
      </c>
      <c r="K45" s="68">
        <f>'Schedule 2C Adjustments'!R44</f>
        <v>0</v>
      </c>
      <c r="L45" s="68">
        <f t="shared" si="1"/>
        <v>0</v>
      </c>
      <c r="N45" s="120">
        <f>'Schedule 2C Adjustments'!X44</f>
        <v>2</v>
      </c>
      <c r="O45" s="120">
        <f>'Schedule 2C Adjustments'!AA44</f>
        <v>33</v>
      </c>
    </row>
    <row r="46" spans="1:15" x14ac:dyDescent="0.35">
      <c r="A46" s="24">
        <v>31</v>
      </c>
      <c r="B46" s="535" t="str">
        <f>'Schedule 2C Adjustments'!B45:D45</f>
        <v>8800 After Hours/On-Call</v>
      </c>
      <c r="C46" s="535"/>
      <c r="D46" s="535"/>
      <c r="F46" s="117">
        <f>'Schedule 2C Adjustments'!H45</f>
        <v>-2156.8599999999997</v>
      </c>
      <c r="G46" s="68">
        <f>'Schedule 2C Adjustments'!J45</f>
        <v>-374.64605347749784</v>
      </c>
      <c r="H46" s="68">
        <f t="shared" si="0"/>
        <v>-2531.5060534774975</v>
      </c>
      <c r="J46" s="117">
        <f>'Schedule 2C Adjustments'!P45</f>
        <v>0</v>
      </c>
      <c r="K46" s="68">
        <f>'Schedule 2C Adjustments'!R45</f>
        <v>0</v>
      </c>
      <c r="L46" s="68">
        <f t="shared" si="1"/>
        <v>0</v>
      </c>
      <c r="N46" s="120">
        <f>'Schedule 2C Adjustments'!X45</f>
        <v>0</v>
      </c>
      <c r="O46" s="120">
        <f>'Schedule 2C Adjustments'!AA45</f>
        <v>5</v>
      </c>
    </row>
    <row r="47" spans="1:15" x14ac:dyDescent="0.35">
      <c r="A47" s="24">
        <v>32</v>
      </c>
      <c r="B47" s="535" t="str">
        <f>'Schedule 2C Adjustments'!B46:D46</f>
        <v>5102 Grandfamilies</v>
      </c>
      <c r="C47" s="535"/>
      <c r="D47" s="535"/>
      <c r="F47" s="117">
        <f>'Schedule 2C Adjustments'!H46</f>
        <v>0</v>
      </c>
      <c r="G47" s="68">
        <f>'Schedule 2C Adjustments'!J46</f>
        <v>0</v>
      </c>
      <c r="H47" s="68">
        <f t="shared" si="0"/>
        <v>0</v>
      </c>
      <c r="J47" s="117">
        <f>'Schedule 2C Adjustments'!P46</f>
        <v>188137.47968749428</v>
      </c>
      <c r="K47" s="68">
        <f>'Schedule 2C Adjustments'!R46</f>
        <v>32679.434120027563</v>
      </c>
      <c r="L47" s="68">
        <f t="shared" si="1"/>
        <v>220816.91380752184</v>
      </c>
      <c r="N47" s="120">
        <f>'Schedule 2C Adjustments'!X46</f>
        <v>2</v>
      </c>
      <c r="O47" s="120">
        <f>'Schedule 2C Adjustments'!AA46</f>
        <v>0</v>
      </c>
    </row>
    <row r="48" spans="1:15" x14ac:dyDescent="0.35">
      <c r="A48" s="24">
        <v>33</v>
      </c>
      <c r="B48" s="535" t="str">
        <f>'Schedule 2C Adjustments'!B47:D47</f>
        <v>4706 Housing Case Mgmt</v>
      </c>
      <c r="C48" s="535"/>
      <c r="D48" s="535"/>
      <c r="F48" s="117">
        <f>'Schedule 2C Adjustments'!H47</f>
        <v>226391.55355673598</v>
      </c>
      <c r="G48" s="68">
        <f>'Schedule 2C Adjustments'!J47</f>
        <v>39324.157377238545</v>
      </c>
      <c r="H48" s="68">
        <f t="shared" si="0"/>
        <v>265715.71093397454</v>
      </c>
      <c r="J48" s="117">
        <f>'Schedule 2C Adjustments'!P47</f>
        <v>0</v>
      </c>
      <c r="K48" s="68">
        <f>'Schedule 2C Adjustments'!R47</f>
        <v>0</v>
      </c>
      <c r="L48" s="68">
        <f t="shared" si="1"/>
        <v>0</v>
      </c>
      <c r="N48" s="120">
        <f>'Schedule 2C Adjustments'!X47</f>
        <v>2.5</v>
      </c>
      <c r="O48" s="120">
        <f>'Schedule 2C Adjustments'!AA47</f>
        <v>11</v>
      </c>
    </row>
    <row r="49" spans="1:15" x14ac:dyDescent="0.35">
      <c r="A49" s="24">
        <v>34</v>
      </c>
      <c r="B49" s="535" t="str">
        <f>'Schedule 2C Adjustments'!B48:D48</f>
        <v>3010 Murphy Center</v>
      </c>
      <c r="C49" s="535"/>
      <c r="D49" s="535"/>
      <c r="F49" s="117">
        <f>'Schedule 2C Adjustments'!H48</f>
        <v>62039.224572960229</v>
      </c>
      <c r="G49" s="68">
        <f>'Schedule 2C Adjustments'!J48</f>
        <v>10776.198106072605</v>
      </c>
      <c r="H49" s="68">
        <f t="shared" si="0"/>
        <v>72815.422679032839</v>
      </c>
      <c r="J49" s="117">
        <f>'Schedule 2C Adjustments'!P48</f>
        <v>34391.309274141015</v>
      </c>
      <c r="K49" s="68">
        <f>'Schedule 2C Adjustments'!R48</f>
        <v>5973.7619935837292</v>
      </c>
      <c r="L49" s="68">
        <f t="shared" si="1"/>
        <v>40365.071267724743</v>
      </c>
      <c r="N49" s="120">
        <f>'Schedule 2C Adjustments'!X48</f>
        <v>5.5</v>
      </c>
      <c r="O49" s="120">
        <f>'Schedule 2C Adjustments'!AA48</f>
        <v>256</v>
      </c>
    </row>
    <row r="50" spans="1:15" x14ac:dyDescent="0.35">
      <c r="A50" s="24">
        <v>35</v>
      </c>
      <c r="B50" s="535" t="str">
        <f>'Schedule 2C Adjustments'!B49:D49</f>
        <v>8807 Harm Reduction Grant</v>
      </c>
      <c r="C50" s="535"/>
      <c r="D50" s="535"/>
      <c r="F50" s="117">
        <f>'Schedule 2C Adjustments'!H49</f>
        <v>0</v>
      </c>
      <c r="G50" s="68">
        <f>'Schedule 2C Adjustments'!J49</f>
        <v>0</v>
      </c>
      <c r="H50" s="68">
        <f t="shared" si="0"/>
        <v>0</v>
      </c>
      <c r="J50" s="117">
        <f>'Schedule 2C Adjustments'!P49</f>
        <v>317805.96538704436</v>
      </c>
      <c r="K50" s="68">
        <f>'Schedule 2C Adjustments'!R49</f>
        <v>55202.818311741357</v>
      </c>
      <c r="L50" s="68">
        <f t="shared" si="1"/>
        <v>373008.7836987857</v>
      </c>
      <c r="N50" s="120">
        <f>'Schedule 2C Adjustments'!X49</f>
        <v>3</v>
      </c>
      <c r="O50" s="120">
        <f>'Schedule 2C Adjustments'!AA49</f>
        <v>0</v>
      </c>
    </row>
    <row r="51" spans="1:15" x14ac:dyDescent="0.35">
      <c r="A51" s="24">
        <v>36</v>
      </c>
      <c r="B51" s="535" t="str">
        <f>'Schedule 2C Adjustments'!B50:D50</f>
        <v>8808 Community Investment Grant</v>
      </c>
      <c r="C51" s="535"/>
      <c r="D51" s="535"/>
      <c r="F51" s="117">
        <f>'Schedule 2C Adjustments'!H50</f>
        <v>0</v>
      </c>
      <c r="G51" s="68">
        <f>'Schedule 2C Adjustments'!J50</f>
        <v>0</v>
      </c>
      <c r="H51" s="68">
        <f t="shared" si="0"/>
        <v>0</v>
      </c>
      <c r="J51" s="117">
        <f>'Schedule 2C Adjustments'!P50</f>
        <v>440732.36361307884</v>
      </c>
      <c r="K51" s="68">
        <f>'Schedule 2C Adjustments'!R50</f>
        <v>76555.103561403885</v>
      </c>
      <c r="L51" s="68">
        <f t="shared" si="1"/>
        <v>517287.46717448271</v>
      </c>
      <c r="N51" s="120">
        <f>'Schedule 2C Adjustments'!X50</f>
        <v>4</v>
      </c>
      <c r="O51" s="120">
        <f>'Schedule 2C Adjustments'!AA50</f>
        <v>0</v>
      </c>
    </row>
    <row r="52" spans="1:15" x14ac:dyDescent="0.35">
      <c r="A52" s="24">
        <v>37</v>
      </c>
      <c r="B52" s="535" t="str">
        <f>'Schedule 2C Adjustments'!B51:D51</f>
        <v/>
      </c>
      <c r="C52" s="535"/>
      <c r="D52" s="535"/>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35" t="str">
        <f>'Schedule 2C Adjustments'!B52:D52</f>
        <v/>
      </c>
      <c r="C53" s="535"/>
      <c r="D53" s="535"/>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35" t="str">
        <f>'Schedule 2C Adjustments'!B53:D53</f>
        <v/>
      </c>
      <c r="C54" s="535"/>
      <c r="D54" s="535"/>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35" t="str">
        <f>'Schedule 2C Adjustments'!B54:D54</f>
        <v/>
      </c>
      <c r="C55" s="535"/>
      <c r="D55" s="535"/>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35" t="str">
        <f>'Schedule 2C Adjustments'!B55:D55</f>
        <v/>
      </c>
      <c r="C56" s="535"/>
      <c r="D56" s="535"/>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35" t="str">
        <f>'Schedule 2C Adjustments'!B56:D56</f>
        <v/>
      </c>
      <c r="C57" s="535"/>
      <c r="D57" s="535"/>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35" t="str">
        <f>'Schedule 2C Adjustments'!B57:D57</f>
        <v/>
      </c>
      <c r="C58" s="535"/>
      <c r="D58" s="535"/>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35" t="str">
        <f>'Schedule 2C Adjustments'!B58:D58</f>
        <v/>
      </c>
      <c r="C59" s="535"/>
      <c r="D59" s="535"/>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35" t="str">
        <f>'Schedule 2C Adjustments'!B59:D59</f>
        <v/>
      </c>
      <c r="C60" s="535"/>
      <c r="D60" s="535"/>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35" t="str">
        <f>'Schedule 2C Adjustments'!B60:D60</f>
        <v/>
      </c>
      <c r="C61" s="535"/>
      <c r="D61" s="535"/>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35" t="str">
        <f>'Schedule 2C Adjustments'!B61:D61</f>
        <v/>
      </c>
      <c r="C62" s="535"/>
      <c r="D62" s="535"/>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35" t="str">
        <f>'Schedule 2C Adjustments'!B62:D62</f>
        <v/>
      </c>
      <c r="C63" s="535"/>
      <c r="D63" s="535"/>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35" t="str">
        <f>'Schedule 2C Adjustments'!B63:D63</f>
        <v/>
      </c>
      <c r="C64" s="535"/>
      <c r="D64" s="535"/>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35" t="str">
        <f>'Schedule 2C Adjustments'!B64:D64</f>
        <v/>
      </c>
      <c r="C65" s="535"/>
      <c r="D65" s="535"/>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35" t="str">
        <f>'Schedule 2C Adjustments'!B65:D65</f>
        <v/>
      </c>
      <c r="C66" s="535"/>
      <c r="D66" s="535"/>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35" t="str">
        <f>'Schedule 2C Adjustments'!B66:D66</f>
        <v/>
      </c>
      <c r="C67" s="535"/>
      <c r="D67" s="535"/>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35" t="str">
        <f>'Schedule 2C Adjustments'!B67:D67</f>
        <v/>
      </c>
      <c r="C68" s="535"/>
      <c r="D68" s="535"/>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35" t="str">
        <f>'Schedule 2C Adjustments'!B68:D68</f>
        <v/>
      </c>
      <c r="C69" s="535"/>
      <c r="D69" s="535"/>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35" t="str">
        <f>'Schedule 2C Adjustments'!B69:D69</f>
        <v/>
      </c>
      <c r="C70" s="535"/>
      <c r="D70" s="535"/>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35" t="str">
        <f>'Schedule 2C Adjustments'!B70:D70</f>
        <v/>
      </c>
      <c r="C71" s="535"/>
      <c r="D71" s="535"/>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35" t="str">
        <f>'Schedule 2C Adjustments'!B71:D71</f>
        <v/>
      </c>
      <c r="C72" s="535"/>
      <c r="D72" s="535"/>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35" t="str">
        <f>'Schedule 2C Adjustments'!B72:D72</f>
        <v/>
      </c>
      <c r="C73" s="535"/>
      <c r="D73" s="535"/>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29667106.662869897</v>
      </c>
      <c r="G74" s="18">
        <f t="shared" ref="G74:H74" si="2">SUM(G16:G73)</f>
        <v>5153169.1576366518</v>
      </c>
      <c r="H74" s="18">
        <f t="shared" si="2"/>
        <v>34820275.82050655</v>
      </c>
      <c r="J74" s="18">
        <f>SUM(J16:J73)</f>
        <v>1231439.6582742685</v>
      </c>
      <c r="K74" s="18">
        <f>SUM(K16:K73)</f>
        <v>213900.7668871106</v>
      </c>
      <c r="L74" s="18">
        <f>SUM(L16:L73)</f>
        <v>1445340.4251613792</v>
      </c>
      <c r="O74" s="83" t="s">
        <v>313</v>
      </c>
    </row>
    <row r="75" spans="1:15" ht="15" thickBot="1" x14ac:dyDescent="0.4">
      <c r="H75" s="37" t="s">
        <v>257</v>
      </c>
      <c r="L75" s="37" t="s">
        <v>258</v>
      </c>
    </row>
    <row r="76" spans="1:15" s="72" customFormat="1" ht="16" thickBot="1" x14ac:dyDescent="0.4">
      <c r="A76" s="24">
        <v>60</v>
      </c>
      <c r="B76" s="73" t="s">
        <v>461</v>
      </c>
      <c r="F76" s="75">
        <f>H74+L74</f>
        <v>36265616.245667927</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5" t="s">
        <v>695</v>
      </c>
      <c r="B3" s="515"/>
      <c r="C3" s="515"/>
      <c r="D3" s="515"/>
      <c r="E3" s="515"/>
      <c r="F3" s="515"/>
      <c r="G3" s="515"/>
      <c r="H3" s="51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627</v>
      </c>
      <c r="C9" s="1"/>
      <c r="F9" s="119" t="str">
        <f>'Schedule 2D Adjustments'!F8</f>
        <v>Yes</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2D Adjustments'!B15:D15</f>
        <v>3700 PATH</v>
      </c>
      <c r="C16" s="535"/>
      <c r="D16" s="535"/>
      <c r="F16" s="117">
        <f>'Schedule 2D Adjustments'!H15</f>
        <v>808629.20879499672</v>
      </c>
      <c r="G16" s="68">
        <f>'Schedule 2D Adjustments'!J15</f>
        <v>140458.6954191172</v>
      </c>
      <c r="H16" s="68">
        <f>SUM(F16:G16)</f>
        <v>949087.90421411395</v>
      </c>
      <c r="J16" s="117">
        <f>'Schedule 2D Adjustments'!P15</f>
        <v>0</v>
      </c>
      <c r="K16" s="68">
        <f>'Schedule 2D Adjustments'!R15</f>
        <v>0</v>
      </c>
      <c r="L16" s="68">
        <f>SUM(J16:K16)</f>
        <v>0</v>
      </c>
      <c r="N16" s="120">
        <f>'Schedule 2D Adjustments'!X15</f>
        <v>9.75</v>
      </c>
      <c r="O16" s="120">
        <f>'Schedule 2D Adjustments'!AA15</f>
        <v>1233</v>
      </c>
    </row>
    <row r="17" spans="1:15" x14ac:dyDescent="0.35">
      <c r="A17" s="24">
        <v>2</v>
      </c>
      <c r="B17" s="535" t="str">
        <f>'Schedule 2D Adjustments'!B16:D16</f>
        <v>3701 Spirit Crossing</v>
      </c>
      <c r="C17" s="535"/>
      <c r="D17" s="535"/>
      <c r="F17" s="117">
        <f>'Schedule 2D Adjustments'!H16</f>
        <v>847830.21024123393</v>
      </c>
      <c r="G17" s="68">
        <f>'Schedule 2D Adjustments'!J16</f>
        <v>147267.89976441476</v>
      </c>
      <c r="H17" s="68">
        <f t="shared" ref="H17:H73" si="0">SUM(F17:G17)</f>
        <v>995098.11000564869</v>
      </c>
      <c r="J17" s="117">
        <f>'Schedule 2D Adjustments'!P16</f>
        <v>0</v>
      </c>
      <c r="K17" s="68">
        <f>'Schedule 2D Adjustments'!R16</f>
        <v>0</v>
      </c>
      <c r="L17" s="68">
        <f t="shared" ref="L17:L73" si="1">SUM(J17:K17)</f>
        <v>0</v>
      </c>
      <c r="N17" s="120">
        <f>'Schedule 2D Adjustments'!X16</f>
        <v>7.7</v>
      </c>
      <c r="O17" s="120">
        <f>'Schedule 2D Adjustments'!AA16</f>
        <v>1036</v>
      </c>
    </row>
    <row r="18" spans="1:15" x14ac:dyDescent="0.35">
      <c r="A18" s="24">
        <v>3</v>
      </c>
      <c r="B18" s="535" t="str">
        <f>'Schedule 2D Adjustments'!B17:D17</f>
        <v>3820 eIOP</v>
      </c>
      <c r="C18" s="535"/>
      <c r="D18" s="535"/>
      <c r="F18" s="117">
        <f>'Schedule 2D Adjustments'!H17</f>
        <v>54125.01997315987</v>
      </c>
      <c r="G18" s="68">
        <f>'Schedule 2D Adjustments'!J17</f>
        <v>9401.5027064042606</v>
      </c>
      <c r="H18" s="68">
        <f t="shared" si="0"/>
        <v>63526.522679564128</v>
      </c>
      <c r="J18" s="117">
        <f>'Schedule 2D Adjustments'!P17</f>
        <v>0</v>
      </c>
      <c r="K18" s="68">
        <f>'Schedule 2D Adjustments'!R17</f>
        <v>0</v>
      </c>
      <c r="L18" s="68">
        <f t="shared" si="1"/>
        <v>0</v>
      </c>
      <c r="N18" s="120">
        <f>'Schedule 2D Adjustments'!X17</f>
        <v>2</v>
      </c>
      <c r="O18" s="120">
        <f>'Schedule 2D Adjustments'!AA17</f>
        <v>48</v>
      </c>
    </row>
    <row r="19" spans="1:15" x14ac:dyDescent="0.35">
      <c r="A19" s="24">
        <v>4</v>
      </c>
      <c r="B19" s="535" t="str">
        <f>'Schedule 2D Adjustments'!B18:D18</f>
        <v>4205 Care Coordinations</v>
      </c>
      <c r="C19" s="535"/>
      <c r="D19" s="535"/>
      <c r="F19" s="117">
        <f>'Schedule 2D Adjustments'!H18</f>
        <v>301622.30394330411</v>
      </c>
      <c r="G19" s="68">
        <f>'Schedule 2D Adjustments'!J18</f>
        <v>52391.720284649549</v>
      </c>
      <c r="H19" s="68">
        <f t="shared" si="0"/>
        <v>354014.02422795363</v>
      </c>
      <c r="J19" s="117">
        <f>'Schedule 2D Adjustments'!P18</f>
        <v>0</v>
      </c>
      <c r="K19" s="68">
        <f>'Schedule 2D Adjustments'!R18</f>
        <v>0</v>
      </c>
      <c r="L19" s="68">
        <f t="shared" si="1"/>
        <v>0</v>
      </c>
      <c r="N19" s="120">
        <f>'Schedule 2D Adjustments'!X18</f>
        <v>2</v>
      </c>
      <c r="O19" s="120">
        <f>'Schedule 2D Adjustments'!AA18</f>
        <v>343</v>
      </c>
    </row>
    <row r="20" spans="1:15" x14ac:dyDescent="0.35">
      <c r="A20" s="24">
        <v>5</v>
      </c>
      <c r="B20" s="535" t="str">
        <f>'Schedule 2D Adjustments'!B19:D19</f>
        <v>4600 FEP</v>
      </c>
      <c r="C20" s="535"/>
      <c r="D20" s="535"/>
      <c r="F20" s="117">
        <f>'Schedule 2D Adjustments'!H19</f>
        <v>434869.2257208309</v>
      </c>
      <c r="G20" s="68">
        <f>'Schedule 2D Adjustments'!J19</f>
        <v>75536.677946238749</v>
      </c>
      <c r="H20" s="68">
        <f t="shared" si="0"/>
        <v>510405.90366706962</v>
      </c>
      <c r="J20" s="117">
        <f>'Schedule 2D Adjustments'!P19</f>
        <v>0</v>
      </c>
      <c r="K20" s="68">
        <f>'Schedule 2D Adjustments'!R19</f>
        <v>0</v>
      </c>
      <c r="L20" s="68">
        <f t="shared" si="1"/>
        <v>0</v>
      </c>
      <c r="N20" s="120">
        <f>'Schedule 2D Adjustments'!X19</f>
        <v>3.2</v>
      </c>
      <c r="O20" s="120">
        <f>'Schedule 2D Adjustments'!AA19</f>
        <v>184</v>
      </c>
    </row>
    <row r="21" spans="1:15" x14ac:dyDescent="0.35">
      <c r="A21" s="24">
        <v>6</v>
      </c>
      <c r="B21" s="535" t="str">
        <f>'Schedule 2D Adjustments'!B20:D20</f>
        <v>4710 ACT</v>
      </c>
      <c r="C21" s="535"/>
      <c r="D21" s="535"/>
      <c r="F21" s="117">
        <f>'Schedule 2D Adjustments'!H20</f>
        <v>1098720.2860331039</v>
      </c>
      <c r="G21" s="68">
        <f>'Schedule 2D Adjustments'!J20</f>
        <v>190847.44445071541</v>
      </c>
      <c r="H21" s="68">
        <f t="shared" si="0"/>
        <v>1289567.7304838193</v>
      </c>
      <c r="J21" s="117">
        <f>'Schedule 2D Adjustments'!P20</f>
        <v>0</v>
      </c>
      <c r="K21" s="68">
        <f>'Schedule 2D Adjustments'!R20</f>
        <v>0</v>
      </c>
      <c r="L21" s="68">
        <f t="shared" si="1"/>
        <v>0</v>
      </c>
      <c r="N21" s="120">
        <f>'Schedule 2D Adjustments'!X20</f>
        <v>23.5</v>
      </c>
      <c r="O21" s="120">
        <f>'Schedule 2D Adjustments'!AA20</f>
        <v>512</v>
      </c>
    </row>
    <row r="22" spans="1:15" x14ac:dyDescent="0.35">
      <c r="A22" s="24">
        <v>7</v>
      </c>
      <c r="B22" s="535" t="str">
        <f>'Schedule 2D Adjustments'!B21:D21</f>
        <v>4717 CDDT/ICM</v>
      </c>
      <c r="C22" s="535"/>
      <c r="D22" s="535"/>
      <c r="F22" s="117">
        <f>'Schedule 2D Adjustments'!H21</f>
        <v>901537.30464408221</v>
      </c>
      <c r="G22" s="68">
        <f>'Schedule 2D Adjustments'!J21</f>
        <v>156596.80890166544</v>
      </c>
      <c r="H22" s="68">
        <f t="shared" si="0"/>
        <v>1058134.1135457477</v>
      </c>
      <c r="J22" s="117">
        <f>'Schedule 2D Adjustments'!P21</f>
        <v>0</v>
      </c>
      <c r="K22" s="68">
        <f>'Schedule 2D Adjustments'!R21</f>
        <v>0</v>
      </c>
      <c r="L22" s="68">
        <f t="shared" si="1"/>
        <v>0</v>
      </c>
      <c r="N22" s="120">
        <f>'Schedule 2D Adjustments'!X21</f>
        <v>6</v>
      </c>
      <c r="O22" s="120">
        <f>'Schedule 2D Adjustments'!AA21</f>
        <v>673</v>
      </c>
    </row>
    <row r="23" spans="1:15" x14ac:dyDescent="0.35">
      <c r="A23" s="24">
        <v>8</v>
      </c>
      <c r="B23" s="535" t="str">
        <f>'Schedule 2D Adjustments'!B22:D22</f>
        <v>5118 CBS Kids</v>
      </c>
      <c r="C23" s="535"/>
      <c r="D23" s="535"/>
      <c r="F23" s="117">
        <f>'Schedule 2D Adjustments'!H22</f>
        <v>1351262.5764587852</v>
      </c>
      <c r="G23" s="68">
        <f>'Schedule 2D Adjustments'!J22</f>
        <v>234713.97841404617</v>
      </c>
      <c r="H23" s="68">
        <f t="shared" si="0"/>
        <v>1585976.5548728313</v>
      </c>
      <c r="J23" s="117">
        <f>'Schedule 2D Adjustments'!P22</f>
        <v>0</v>
      </c>
      <c r="K23" s="68">
        <f>'Schedule 2D Adjustments'!R22</f>
        <v>0</v>
      </c>
      <c r="L23" s="68">
        <f t="shared" si="1"/>
        <v>0</v>
      </c>
      <c r="N23" s="120">
        <f>'Schedule 2D Adjustments'!X22</f>
        <v>13.5</v>
      </c>
      <c r="O23" s="120">
        <f>'Schedule 2D Adjustments'!AA22</f>
        <v>633</v>
      </c>
    </row>
    <row r="24" spans="1:15" x14ac:dyDescent="0.35">
      <c r="A24" s="24">
        <v>9</v>
      </c>
      <c r="B24" s="535" t="str">
        <f>'Schedule 2D Adjustments'!B23:D23</f>
        <v>4716 AIIM</v>
      </c>
      <c r="C24" s="535"/>
      <c r="D24" s="535"/>
      <c r="F24" s="117">
        <f>'Schedule 2D Adjustments'!H23</f>
        <v>1142191.8355112185</v>
      </c>
      <c r="G24" s="68">
        <f>'Schedule 2D Adjustments'!J23</f>
        <v>198398.441942684</v>
      </c>
      <c r="H24" s="68">
        <f t="shared" si="0"/>
        <v>1340590.2774539026</v>
      </c>
      <c r="J24" s="117">
        <f>'Schedule 2D Adjustments'!P23</f>
        <v>0</v>
      </c>
      <c r="K24" s="68">
        <f>'Schedule 2D Adjustments'!R23</f>
        <v>0</v>
      </c>
      <c r="L24" s="68">
        <f t="shared" si="1"/>
        <v>0</v>
      </c>
      <c r="N24" s="120">
        <f>'Schedule 2D Adjustments'!X23</f>
        <v>13</v>
      </c>
      <c r="O24" s="120">
        <f>'Schedule 2D Adjustments'!AA23</f>
        <v>1496</v>
      </c>
    </row>
    <row r="25" spans="1:15" x14ac:dyDescent="0.35">
      <c r="A25" s="24">
        <v>10</v>
      </c>
      <c r="B25" s="535" t="str">
        <f>'Schedule 2D Adjustments'!B24:D24</f>
        <v>3725 FUSE</v>
      </c>
      <c r="C25" s="535"/>
      <c r="D25" s="535"/>
      <c r="F25" s="117">
        <f>'Schedule 2D Adjustments'!H24</f>
        <v>277707.29545747821</v>
      </c>
      <c r="G25" s="68">
        <f>'Schedule 2D Adjustments'!J24</f>
        <v>48237.68917085656</v>
      </c>
      <c r="H25" s="68">
        <f t="shared" si="0"/>
        <v>325944.98462833476</v>
      </c>
      <c r="J25" s="117">
        <f>'Schedule 2D Adjustments'!P24</f>
        <v>0</v>
      </c>
      <c r="K25" s="68">
        <f>'Schedule 2D Adjustments'!R24</f>
        <v>0</v>
      </c>
      <c r="L25" s="68">
        <f t="shared" si="1"/>
        <v>0</v>
      </c>
      <c r="N25" s="120">
        <f>'Schedule 2D Adjustments'!X24</f>
        <v>1.5</v>
      </c>
      <c r="O25" s="120">
        <f>'Schedule 2D Adjustments'!AA24</f>
        <v>211</v>
      </c>
    </row>
    <row r="26" spans="1:15" x14ac:dyDescent="0.35">
      <c r="A26" s="24">
        <v>11</v>
      </c>
      <c r="B26" s="535" t="str">
        <f>'Schedule 2D Adjustments'!B25:D25</f>
        <v>5119 High Intensty Youth</v>
      </c>
      <c r="C26" s="535"/>
      <c r="D26" s="535"/>
      <c r="F26" s="117">
        <f>'Schedule 2D Adjustments'!H25</f>
        <v>1594916.8719724999</v>
      </c>
      <c r="G26" s="68">
        <f>'Schedule 2D Adjustments'!J25</f>
        <v>277036.66983910539</v>
      </c>
      <c r="H26" s="68">
        <f t="shared" si="0"/>
        <v>1871953.5418116052</v>
      </c>
      <c r="J26" s="117">
        <f>'Schedule 2D Adjustments'!P25</f>
        <v>0</v>
      </c>
      <c r="K26" s="68">
        <f>'Schedule 2D Adjustments'!R25</f>
        <v>0</v>
      </c>
      <c r="L26" s="68">
        <f t="shared" si="1"/>
        <v>0</v>
      </c>
      <c r="N26" s="120">
        <f>'Schedule 2D Adjustments'!X25</f>
        <v>12.4</v>
      </c>
      <c r="O26" s="120">
        <f>'Schedule 2D Adjustments'!AA25</f>
        <v>462</v>
      </c>
    </row>
    <row r="27" spans="1:15" x14ac:dyDescent="0.35">
      <c r="A27" s="24">
        <v>12</v>
      </c>
      <c r="B27" s="535" t="str">
        <f>'Schedule 2D Adjustments'!B26:D26</f>
        <v/>
      </c>
      <c r="C27" s="535"/>
      <c r="D27" s="535"/>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35" t="str">
        <f>'Schedule 2D Adjustments'!B27:D27</f>
        <v/>
      </c>
      <c r="C28" s="535"/>
      <c r="D28" s="535"/>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35" t="str">
        <f>'Schedule 2D Adjustments'!B28:D28</f>
        <v/>
      </c>
      <c r="C29" s="535"/>
      <c r="D29" s="535"/>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35" t="str">
        <f>'Schedule 2D Adjustments'!B29:D29</f>
        <v/>
      </c>
      <c r="C30" s="535"/>
      <c r="D30" s="535"/>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35" t="str">
        <f>'Schedule 2D Adjustments'!B30:D30</f>
        <v/>
      </c>
      <c r="C31" s="535"/>
      <c r="D31" s="535"/>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35" t="str">
        <f>'Schedule 2D Adjustments'!B31:D31</f>
        <v/>
      </c>
      <c r="C32" s="535"/>
      <c r="D32" s="535"/>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35" t="str">
        <f>'Schedule 2D Adjustments'!B32:D32</f>
        <v/>
      </c>
      <c r="C33" s="535"/>
      <c r="D33" s="535"/>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35" t="str">
        <f>'Schedule 2D Adjustments'!B33:D33</f>
        <v/>
      </c>
      <c r="C34" s="535"/>
      <c r="D34" s="535"/>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35" t="str">
        <f>'Schedule 2D Adjustments'!B34:D34</f>
        <v/>
      </c>
      <c r="C35" s="535"/>
      <c r="D35" s="535"/>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35" t="str">
        <f>'Schedule 2D Adjustments'!B35:D35</f>
        <v/>
      </c>
      <c r="C36" s="535"/>
      <c r="D36" s="535"/>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35" t="str">
        <f>'Schedule 2D Adjustments'!B36:D36</f>
        <v/>
      </c>
      <c r="C37" s="535"/>
      <c r="D37" s="535"/>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35" t="str">
        <f>'Schedule 2D Adjustments'!B37:D37</f>
        <v/>
      </c>
      <c r="C38" s="535"/>
      <c r="D38" s="535"/>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35" t="str">
        <f>'Schedule 2D Adjustments'!B38:D38</f>
        <v/>
      </c>
      <c r="C39" s="535"/>
      <c r="D39" s="535"/>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35" t="str">
        <f>'Schedule 2D Adjustments'!B39:D39</f>
        <v/>
      </c>
      <c r="C40" s="535"/>
      <c r="D40" s="535"/>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35" t="str">
        <f>'Schedule 2D Adjustments'!B40:D40</f>
        <v/>
      </c>
      <c r="C41" s="535"/>
      <c r="D41" s="535"/>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35" t="str">
        <f>'Schedule 2D Adjustments'!B41:D41</f>
        <v/>
      </c>
      <c r="C42" s="535"/>
      <c r="D42" s="535"/>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35" t="str">
        <f>'Schedule 2D Adjustments'!B42:D42</f>
        <v/>
      </c>
      <c r="C43" s="535"/>
      <c r="D43" s="535"/>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35" t="str">
        <f>'Schedule 2D Adjustments'!B43:D43</f>
        <v/>
      </c>
      <c r="C44" s="535"/>
      <c r="D44" s="535"/>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35" t="str">
        <f>'Schedule 2D Adjustments'!B44:D44</f>
        <v/>
      </c>
      <c r="C45" s="535"/>
      <c r="D45" s="535"/>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35" t="str">
        <f>'Schedule 2D Adjustments'!B45:D45</f>
        <v/>
      </c>
      <c r="C46" s="535"/>
      <c r="D46" s="535"/>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35" t="str">
        <f>'Schedule 2D Adjustments'!B46:D46</f>
        <v/>
      </c>
      <c r="C47" s="535"/>
      <c r="D47" s="535"/>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35" t="str">
        <f>'Schedule 2D Adjustments'!B47:D47</f>
        <v/>
      </c>
      <c r="C48" s="535"/>
      <c r="D48" s="535"/>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35" t="str">
        <f>'Schedule 2D Adjustments'!B48:D48</f>
        <v/>
      </c>
      <c r="C49" s="535"/>
      <c r="D49" s="535"/>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35" t="str">
        <f>'Schedule 2D Adjustments'!B49:D49</f>
        <v/>
      </c>
      <c r="C50" s="535"/>
      <c r="D50" s="535"/>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35" t="str">
        <f>'Schedule 2D Adjustments'!B50:D50</f>
        <v/>
      </c>
      <c r="C51" s="535"/>
      <c r="D51" s="535"/>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35" t="str">
        <f>'Schedule 2D Adjustments'!B51:D51</f>
        <v/>
      </c>
      <c r="C52" s="535"/>
      <c r="D52" s="535"/>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35" t="str">
        <f>'Schedule 2D Adjustments'!B52:D52</f>
        <v/>
      </c>
      <c r="C53" s="535"/>
      <c r="D53" s="535"/>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35" t="str">
        <f>'Schedule 2D Adjustments'!B53:D53</f>
        <v/>
      </c>
      <c r="C54" s="535"/>
      <c r="D54" s="535"/>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35" t="str">
        <f>'Schedule 2D Adjustments'!B54:D54</f>
        <v/>
      </c>
      <c r="C55" s="535"/>
      <c r="D55" s="535"/>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35" t="str">
        <f>'Schedule 2D Adjustments'!B55:D55</f>
        <v/>
      </c>
      <c r="C56" s="535"/>
      <c r="D56" s="535"/>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35" t="str">
        <f>'Schedule 2D Adjustments'!B56:D56</f>
        <v/>
      </c>
      <c r="C57" s="535"/>
      <c r="D57" s="535"/>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35" t="str">
        <f>'Schedule 2D Adjustments'!B57:D57</f>
        <v/>
      </c>
      <c r="C58" s="535"/>
      <c r="D58" s="535"/>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35" t="str">
        <f>'Schedule 2D Adjustments'!B58:D58</f>
        <v/>
      </c>
      <c r="C59" s="535"/>
      <c r="D59" s="535"/>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35" t="str">
        <f>'Schedule 2D Adjustments'!B59:D59</f>
        <v/>
      </c>
      <c r="C60" s="535"/>
      <c r="D60" s="535"/>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35" t="str">
        <f>'Schedule 2D Adjustments'!B60:D60</f>
        <v/>
      </c>
      <c r="C61" s="535"/>
      <c r="D61" s="535"/>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35" t="str">
        <f>'Schedule 2D Adjustments'!B61:D61</f>
        <v/>
      </c>
      <c r="C62" s="535"/>
      <c r="D62" s="535"/>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35" t="str">
        <f>'Schedule 2D Adjustments'!B62:D62</f>
        <v/>
      </c>
      <c r="C63" s="535"/>
      <c r="D63" s="535"/>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35" t="str">
        <f>'Schedule 2D Adjustments'!B63:D63</f>
        <v/>
      </c>
      <c r="C64" s="535"/>
      <c r="D64" s="535"/>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35" t="str">
        <f>'Schedule 2D Adjustments'!B64:D64</f>
        <v/>
      </c>
      <c r="C65" s="535"/>
      <c r="D65" s="535"/>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35" t="str">
        <f>'Schedule 2D Adjustments'!B65:D65</f>
        <v/>
      </c>
      <c r="C66" s="535"/>
      <c r="D66" s="535"/>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35" t="str">
        <f>'Schedule 2D Adjustments'!B66:D66</f>
        <v/>
      </c>
      <c r="C67" s="535"/>
      <c r="D67" s="535"/>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35" t="str">
        <f>'Schedule 2D Adjustments'!B67:D67</f>
        <v/>
      </c>
      <c r="C68" s="535"/>
      <c r="D68" s="535"/>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35" t="str">
        <f>'Schedule 2D Adjustments'!B68:D68</f>
        <v/>
      </c>
      <c r="C69" s="535"/>
      <c r="D69" s="535"/>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35" t="str">
        <f>'Schedule 2D Adjustments'!B69:D69</f>
        <v/>
      </c>
      <c r="C70" s="535"/>
      <c r="D70" s="535"/>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35" t="str">
        <f>'Schedule 2D Adjustments'!B70:D70</f>
        <v/>
      </c>
      <c r="C71" s="535"/>
      <c r="D71" s="535"/>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35" t="str">
        <f>'Schedule 2D Adjustments'!B71:D71</f>
        <v/>
      </c>
      <c r="C72" s="535"/>
      <c r="D72" s="535"/>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35" t="str">
        <f>'Schedule 2D Adjustments'!B72:D72</f>
        <v/>
      </c>
      <c r="C73" s="535"/>
      <c r="D73" s="535"/>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8813412.1387506947</v>
      </c>
      <c r="G74" s="18">
        <f t="shared" ref="G74:H74" si="2">SUM(G16:G73)</f>
        <v>1530887.5288398976</v>
      </c>
      <c r="H74" s="18">
        <f t="shared" si="2"/>
        <v>10344299.667590592</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10344299.667590592</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847</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809</v>
      </c>
      <c r="C9" s="1"/>
      <c r="F9" s="119" t="str">
        <f>'Schedule 2E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2E Adjustments'!B15:D15</f>
        <v/>
      </c>
      <c r="C16" s="535"/>
      <c r="D16" s="535"/>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35" t="str">
        <f>'Schedule 2E Adjustments'!B16:D16</f>
        <v/>
      </c>
      <c r="C17" s="535"/>
      <c r="D17" s="535"/>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35" t="str">
        <f>'Schedule 2E Adjustments'!B17:D17</f>
        <v/>
      </c>
      <c r="C18" s="535"/>
      <c r="D18" s="535"/>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35" t="str">
        <f>'Schedule 2E Adjustments'!B18:D18</f>
        <v/>
      </c>
      <c r="C19" s="535"/>
      <c r="D19" s="535"/>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35" t="str">
        <f>'Schedule 2E Adjustments'!B19:D19</f>
        <v/>
      </c>
      <c r="C20" s="535"/>
      <c r="D20" s="535"/>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35" t="str">
        <f>'Schedule 2E Adjustments'!B20:D20</f>
        <v/>
      </c>
      <c r="C21" s="535"/>
      <c r="D21" s="535"/>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35" t="str">
        <f>'Schedule 2E Adjustments'!B21:D21</f>
        <v/>
      </c>
      <c r="C22" s="535"/>
      <c r="D22" s="535"/>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35" t="str">
        <f>'Schedule 2E Adjustments'!B22:D22</f>
        <v/>
      </c>
      <c r="C23" s="535"/>
      <c r="D23" s="535"/>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35" t="str">
        <f>'Schedule 2E Adjustments'!B23:D23</f>
        <v/>
      </c>
      <c r="C24" s="535"/>
      <c r="D24" s="535"/>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35" t="str">
        <f>'Schedule 2E Adjustments'!B24:D24</f>
        <v/>
      </c>
      <c r="C25" s="535"/>
      <c r="D25" s="535"/>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35" t="str">
        <f>'Schedule 2E Adjustments'!B25:D25</f>
        <v/>
      </c>
      <c r="C26" s="535"/>
      <c r="D26" s="535"/>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35" t="str">
        <f>'Schedule 2E Adjustments'!B26:D26</f>
        <v/>
      </c>
      <c r="C27" s="535"/>
      <c r="D27" s="535"/>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35" t="str">
        <f>'Schedule 2E Adjustments'!B27:D27</f>
        <v/>
      </c>
      <c r="C28" s="535"/>
      <c r="D28" s="535"/>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35" t="str">
        <f>'Schedule 2E Adjustments'!B28:D28</f>
        <v/>
      </c>
      <c r="C29" s="535"/>
      <c r="D29" s="535"/>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35" t="str">
        <f>'Schedule 2E Adjustments'!B29:D29</f>
        <v/>
      </c>
      <c r="C30" s="535"/>
      <c r="D30" s="535"/>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35" t="str">
        <f>'Schedule 2E Adjustments'!B30:D30</f>
        <v/>
      </c>
      <c r="C31" s="535"/>
      <c r="D31" s="535"/>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35" t="str">
        <f>'Schedule 2E Adjustments'!B31:D31</f>
        <v/>
      </c>
      <c r="C32" s="535"/>
      <c r="D32" s="535"/>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35" t="str">
        <f>'Schedule 2E Adjustments'!B32:D32</f>
        <v/>
      </c>
      <c r="C33" s="535"/>
      <c r="D33" s="535"/>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35" t="str">
        <f>'Schedule 2E Adjustments'!B33:D33</f>
        <v/>
      </c>
      <c r="C34" s="535"/>
      <c r="D34" s="535"/>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35" t="str">
        <f>'Schedule 2E Adjustments'!B34:D34</f>
        <v/>
      </c>
      <c r="C35" s="535"/>
      <c r="D35" s="535"/>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35" t="str">
        <f>'Schedule 2E Adjustments'!B35:D35</f>
        <v/>
      </c>
      <c r="C36" s="535"/>
      <c r="D36" s="535"/>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35" t="str">
        <f>'Schedule 2E Adjustments'!B36:D36</f>
        <v/>
      </c>
      <c r="C37" s="535"/>
      <c r="D37" s="535"/>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35" t="str">
        <f>'Schedule 2E Adjustments'!B37:D37</f>
        <v/>
      </c>
      <c r="C38" s="535"/>
      <c r="D38" s="535"/>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35" t="str">
        <f>'Schedule 2E Adjustments'!B38:D38</f>
        <v/>
      </c>
      <c r="C39" s="535"/>
      <c r="D39" s="535"/>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35" t="str">
        <f>'Schedule 2E Adjustments'!B39:D39</f>
        <v/>
      </c>
      <c r="C40" s="535"/>
      <c r="D40" s="535"/>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35" t="str">
        <f>'Schedule 2E Adjustments'!B40:D40</f>
        <v/>
      </c>
      <c r="C41" s="535"/>
      <c r="D41" s="535"/>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35" t="str">
        <f>'Schedule 2E Adjustments'!B41:D41</f>
        <v/>
      </c>
      <c r="C42" s="535"/>
      <c r="D42" s="535"/>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35" t="str">
        <f>'Schedule 2E Adjustments'!B42:D42</f>
        <v/>
      </c>
      <c r="C43" s="535"/>
      <c r="D43" s="535"/>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35" t="str">
        <f>'Schedule 2E Adjustments'!B43:D43</f>
        <v/>
      </c>
      <c r="C44" s="535"/>
      <c r="D44" s="535"/>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35" t="str">
        <f>'Schedule 2E Adjustments'!B44:D44</f>
        <v/>
      </c>
      <c r="C45" s="535"/>
      <c r="D45" s="535"/>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35" t="str">
        <f>'Schedule 2E Adjustments'!B45:D45</f>
        <v/>
      </c>
      <c r="C46" s="535"/>
      <c r="D46" s="535"/>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35" t="str">
        <f>'Schedule 2E Adjustments'!B46:D46</f>
        <v/>
      </c>
      <c r="C47" s="535"/>
      <c r="D47" s="535"/>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35" t="str">
        <f>'Schedule 2E Adjustments'!B47:D47</f>
        <v/>
      </c>
      <c r="C48" s="535"/>
      <c r="D48" s="535"/>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35" t="str">
        <f>'Schedule 2E Adjustments'!B48:D48</f>
        <v/>
      </c>
      <c r="C49" s="535"/>
      <c r="D49" s="535"/>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35" t="str">
        <f>'Schedule 2E Adjustments'!B49:D49</f>
        <v/>
      </c>
      <c r="C50" s="535"/>
      <c r="D50" s="535"/>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35" t="str">
        <f>'Schedule 2E Adjustments'!B50:D50</f>
        <v/>
      </c>
      <c r="C51" s="535"/>
      <c r="D51" s="535"/>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35" t="str">
        <f>'Schedule 2E Adjustments'!B51:D51</f>
        <v/>
      </c>
      <c r="C52" s="535"/>
      <c r="D52" s="535"/>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35" t="str">
        <f>'Schedule 2E Adjustments'!B52:D52</f>
        <v/>
      </c>
      <c r="C53" s="535"/>
      <c r="D53" s="535"/>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35" t="str">
        <f>'Schedule 2E Adjustments'!B53:D53</f>
        <v/>
      </c>
      <c r="C54" s="535"/>
      <c r="D54" s="535"/>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35" t="str">
        <f>'Schedule 2E Adjustments'!B54:D54</f>
        <v/>
      </c>
      <c r="C55" s="535"/>
      <c r="D55" s="535"/>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35" t="str">
        <f>'Schedule 2E Adjustments'!B55:D55</f>
        <v/>
      </c>
      <c r="C56" s="535"/>
      <c r="D56" s="535"/>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35" t="str">
        <f>'Schedule 2E Adjustments'!B56:D56</f>
        <v/>
      </c>
      <c r="C57" s="535"/>
      <c r="D57" s="535"/>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35" t="str">
        <f>'Schedule 2E Adjustments'!B57:D57</f>
        <v/>
      </c>
      <c r="C58" s="535"/>
      <c r="D58" s="535"/>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35" t="str">
        <f>'Schedule 2E Adjustments'!B58:D58</f>
        <v/>
      </c>
      <c r="C59" s="535"/>
      <c r="D59" s="535"/>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35" t="str">
        <f>'Schedule 2E Adjustments'!B59:D59</f>
        <v/>
      </c>
      <c r="C60" s="535"/>
      <c r="D60" s="535"/>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35" t="str">
        <f>'Schedule 2E Adjustments'!B60:D60</f>
        <v/>
      </c>
      <c r="C61" s="535"/>
      <c r="D61" s="535"/>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35" t="str">
        <f>'Schedule 2E Adjustments'!B61:D61</f>
        <v/>
      </c>
      <c r="C62" s="535"/>
      <c r="D62" s="535"/>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35" t="str">
        <f>'Schedule 2E Adjustments'!B62:D62</f>
        <v/>
      </c>
      <c r="C63" s="535"/>
      <c r="D63" s="535"/>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35" t="str">
        <f>'Schedule 2E Adjustments'!B63:D63</f>
        <v/>
      </c>
      <c r="C64" s="535"/>
      <c r="D64" s="535"/>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35" t="str">
        <f>'Schedule 2E Adjustments'!B64:D64</f>
        <v/>
      </c>
      <c r="C65" s="535"/>
      <c r="D65" s="535"/>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35" t="str">
        <f>'Schedule 2E Adjustments'!B65:D65</f>
        <v/>
      </c>
      <c r="C66" s="535"/>
      <c r="D66" s="535"/>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35" t="str">
        <f>'Schedule 2E Adjustments'!B66:D66</f>
        <v/>
      </c>
      <c r="C67" s="535"/>
      <c r="D67" s="535"/>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35" t="str">
        <f>'Schedule 2E Adjustments'!B67:D67</f>
        <v/>
      </c>
      <c r="C68" s="535"/>
      <c r="D68" s="535"/>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35" t="str">
        <f>'Schedule 2E Adjustments'!B68:D68</f>
        <v/>
      </c>
      <c r="C69" s="535"/>
      <c r="D69" s="535"/>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35" t="str">
        <f>'Schedule 2E Adjustments'!B69:D69</f>
        <v/>
      </c>
      <c r="C70" s="535"/>
      <c r="D70" s="535"/>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35" t="str">
        <f>'Schedule 2E Adjustments'!B70:D70</f>
        <v/>
      </c>
      <c r="C71" s="535"/>
      <c r="D71" s="535"/>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35" t="str">
        <f>'Schedule 2E Adjustments'!B71:D71</f>
        <v/>
      </c>
      <c r="C72" s="535"/>
      <c r="D72" s="535"/>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35" t="str">
        <f>'Schedule 2E Adjustments'!B72:D72</f>
        <v/>
      </c>
      <c r="C73" s="535"/>
      <c r="D73" s="535"/>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812</v>
      </c>
      <c r="C9" s="1"/>
      <c r="F9" s="119" t="str">
        <f>'Schedule 2F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2F Adjustments'!B15:D15</f>
        <v/>
      </c>
      <c r="C16" s="535"/>
      <c r="D16" s="535"/>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35" t="str">
        <f>'Schedule 2F Adjustments'!B16:D16</f>
        <v/>
      </c>
      <c r="C17" s="535"/>
      <c r="D17" s="535"/>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35" t="str">
        <f>'Schedule 2F Adjustments'!B17:D17</f>
        <v/>
      </c>
      <c r="C18" s="535"/>
      <c r="D18" s="535"/>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35" t="str">
        <f>'Schedule 2F Adjustments'!B18:D18</f>
        <v/>
      </c>
      <c r="C19" s="535"/>
      <c r="D19" s="535"/>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35" t="str">
        <f>'Schedule 2F Adjustments'!B19:D19</f>
        <v/>
      </c>
      <c r="C20" s="535"/>
      <c r="D20" s="535"/>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35" t="str">
        <f>'Schedule 2F Adjustments'!B20:D20</f>
        <v/>
      </c>
      <c r="C21" s="535"/>
      <c r="D21" s="535"/>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35" t="str">
        <f>'Schedule 2F Adjustments'!B21:D21</f>
        <v/>
      </c>
      <c r="C22" s="535"/>
      <c r="D22" s="535"/>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35" t="str">
        <f>'Schedule 2F Adjustments'!B22:D22</f>
        <v/>
      </c>
      <c r="C23" s="535"/>
      <c r="D23" s="535"/>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35" t="str">
        <f>'Schedule 2F Adjustments'!B23:D23</f>
        <v/>
      </c>
      <c r="C24" s="535"/>
      <c r="D24" s="535"/>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35" t="str">
        <f>'Schedule 2F Adjustments'!B24:D24</f>
        <v/>
      </c>
      <c r="C25" s="535"/>
      <c r="D25" s="535"/>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35" t="str">
        <f>'Schedule 2F Adjustments'!B25:D25</f>
        <v/>
      </c>
      <c r="C26" s="535"/>
      <c r="D26" s="535"/>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35" t="str">
        <f>'Schedule 2F Adjustments'!B26:D26</f>
        <v/>
      </c>
      <c r="C27" s="535"/>
      <c r="D27" s="535"/>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35" t="str">
        <f>'Schedule 2F Adjustments'!B27:D27</f>
        <v/>
      </c>
      <c r="C28" s="535"/>
      <c r="D28" s="535"/>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35" t="str">
        <f>'Schedule 2F Adjustments'!B28:D28</f>
        <v/>
      </c>
      <c r="C29" s="535"/>
      <c r="D29" s="535"/>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35" t="str">
        <f>'Schedule 2F Adjustments'!B29:D29</f>
        <v/>
      </c>
      <c r="C30" s="535"/>
      <c r="D30" s="535"/>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35" t="str">
        <f>'Schedule 2F Adjustments'!B30:D30</f>
        <v/>
      </c>
      <c r="C31" s="535"/>
      <c r="D31" s="535"/>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35" t="str">
        <f>'Schedule 2F Adjustments'!B31:D31</f>
        <v/>
      </c>
      <c r="C32" s="535"/>
      <c r="D32" s="535"/>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35" t="str">
        <f>'Schedule 2F Adjustments'!B32:D32</f>
        <v/>
      </c>
      <c r="C33" s="535"/>
      <c r="D33" s="535"/>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35" t="str">
        <f>'Schedule 2F Adjustments'!B33:D33</f>
        <v/>
      </c>
      <c r="C34" s="535"/>
      <c r="D34" s="535"/>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35" t="str">
        <f>'Schedule 2F Adjustments'!B34:D34</f>
        <v/>
      </c>
      <c r="C35" s="535"/>
      <c r="D35" s="535"/>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35" t="str">
        <f>'Schedule 2F Adjustments'!B35:D35</f>
        <v/>
      </c>
      <c r="C36" s="535"/>
      <c r="D36" s="535"/>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35" t="str">
        <f>'Schedule 2F Adjustments'!B36:D36</f>
        <v/>
      </c>
      <c r="C37" s="535"/>
      <c r="D37" s="535"/>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35" t="str">
        <f>'Schedule 2F Adjustments'!B37:D37</f>
        <v/>
      </c>
      <c r="C38" s="535"/>
      <c r="D38" s="535"/>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35" t="str">
        <f>'Schedule 2F Adjustments'!B38:D38</f>
        <v/>
      </c>
      <c r="C39" s="535"/>
      <c r="D39" s="535"/>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35" t="str">
        <f>'Schedule 2F Adjustments'!B39:D39</f>
        <v/>
      </c>
      <c r="C40" s="535"/>
      <c r="D40" s="535"/>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35" t="str">
        <f>'Schedule 2F Adjustments'!B40:D40</f>
        <v/>
      </c>
      <c r="C41" s="535"/>
      <c r="D41" s="535"/>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35" t="str">
        <f>'Schedule 2F Adjustments'!B41:D41</f>
        <v/>
      </c>
      <c r="C42" s="535"/>
      <c r="D42" s="535"/>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35" t="str">
        <f>'Schedule 2F Adjustments'!B42:D42</f>
        <v/>
      </c>
      <c r="C43" s="535"/>
      <c r="D43" s="535"/>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35" t="str">
        <f>'Schedule 2F Adjustments'!B43:D43</f>
        <v/>
      </c>
      <c r="C44" s="535"/>
      <c r="D44" s="535"/>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35" t="str">
        <f>'Schedule 2F Adjustments'!B44:D44</f>
        <v/>
      </c>
      <c r="C45" s="535"/>
      <c r="D45" s="535"/>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35" t="str">
        <f>'Schedule 2F Adjustments'!B45:D45</f>
        <v/>
      </c>
      <c r="C46" s="535"/>
      <c r="D46" s="535"/>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35" t="str">
        <f>'Schedule 2F Adjustments'!B46:D46</f>
        <v/>
      </c>
      <c r="C47" s="535"/>
      <c r="D47" s="535"/>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35" t="str">
        <f>'Schedule 2F Adjustments'!B47:D47</f>
        <v/>
      </c>
      <c r="C48" s="535"/>
      <c r="D48" s="535"/>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35" t="str">
        <f>'Schedule 2F Adjustments'!B48:D48</f>
        <v/>
      </c>
      <c r="C49" s="535"/>
      <c r="D49" s="535"/>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35" t="str">
        <f>'Schedule 2F Adjustments'!B49:D49</f>
        <v/>
      </c>
      <c r="C50" s="535"/>
      <c r="D50" s="535"/>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35" t="str">
        <f>'Schedule 2F Adjustments'!B50:D50</f>
        <v/>
      </c>
      <c r="C51" s="535"/>
      <c r="D51" s="535"/>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35" t="str">
        <f>'Schedule 2F Adjustments'!B51:D51</f>
        <v/>
      </c>
      <c r="C52" s="535"/>
      <c r="D52" s="535"/>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35" t="str">
        <f>'Schedule 2F Adjustments'!B52:D52</f>
        <v/>
      </c>
      <c r="C53" s="535"/>
      <c r="D53" s="535"/>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35" t="str">
        <f>'Schedule 2F Adjustments'!B53:D53</f>
        <v/>
      </c>
      <c r="C54" s="535"/>
      <c r="D54" s="535"/>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35" t="str">
        <f>'Schedule 2F Adjustments'!B54:D54</f>
        <v/>
      </c>
      <c r="C55" s="535"/>
      <c r="D55" s="535"/>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35" t="str">
        <f>'Schedule 2F Adjustments'!B55:D55</f>
        <v/>
      </c>
      <c r="C56" s="535"/>
      <c r="D56" s="535"/>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35" t="str">
        <f>'Schedule 2F Adjustments'!B56:D56</f>
        <v/>
      </c>
      <c r="C57" s="535"/>
      <c r="D57" s="535"/>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35" t="str">
        <f>'Schedule 2F Adjustments'!B57:D57</f>
        <v/>
      </c>
      <c r="C58" s="535"/>
      <c r="D58" s="535"/>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35" t="str">
        <f>'Schedule 2F Adjustments'!B58:D58</f>
        <v/>
      </c>
      <c r="C59" s="535"/>
      <c r="D59" s="535"/>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35" t="str">
        <f>'Schedule 2F Adjustments'!B59:D59</f>
        <v/>
      </c>
      <c r="C60" s="535"/>
      <c r="D60" s="535"/>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35" t="str">
        <f>'Schedule 2F Adjustments'!B60:D60</f>
        <v/>
      </c>
      <c r="C61" s="535"/>
      <c r="D61" s="535"/>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35" t="str">
        <f>'Schedule 2F Adjustments'!B61:D61</f>
        <v/>
      </c>
      <c r="C62" s="535"/>
      <c r="D62" s="535"/>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35" t="str">
        <f>'Schedule 2F Adjustments'!B62:D62</f>
        <v/>
      </c>
      <c r="C63" s="535"/>
      <c r="D63" s="535"/>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35" t="str">
        <f>'Schedule 2F Adjustments'!B63:D63</f>
        <v/>
      </c>
      <c r="C64" s="535"/>
      <c r="D64" s="535"/>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35" t="str">
        <f>'Schedule 2F Adjustments'!B64:D64</f>
        <v/>
      </c>
      <c r="C65" s="535"/>
      <c r="D65" s="535"/>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35" t="str">
        <f>'Schedule 2F Adjustments'!B65:D65</f>
        <v/>
      </c>
      <c r="C66" s="535"/>
      <c r="D66" s="535"/>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35" t="str">
        <f>'Schedule 2F Adjustments'!B66:D66</f>
        <v/>
      </c>
      <c r="C67" s="535"/>
      <c r="D67" s="535"/>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35" t="str">
        <f>'Schedule 2F Adjustments'!B67:D67</f>
        <v/>
      </c>
      <c r="C68" s="535"/>
      <c r="D68" s="535"/>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35" t="str">
        <f>'Schedule 2F Adjustments'!B68:D68</f>
        <v/>
      </c>
      <c r="C69" s="535"/>
      <c r="D69" s="535"/>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35" t="str">
        <f>'Schedule 2F Adjustments'!B69:D69</f>
        <v/>
      </c>
      <c r="C70" s="535"/>
      <c r="D70" s="535"/>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35" t="str">
        <f>'Schedule 2F Adjustments'!B70:D70</f>
        <v/>
      </c>
      <c r="C71" s="535"/>
      <c r="D71" s="535"/>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35" t="str">
        <f>'Schedule 2F Adjustments'!B71:D71</f>
        <v/>
      </c>
      <c r="C72" s="535"/>
      <c r="D72" s="535"/>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35" t="str">
        <f>'Schedule 2F Adjustments'!B72:D72</f>
        <v/>
      </c>
      <c r="C73" s="535"/>
      <c r="D73" s="535"/>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815</v>
      </c>
      <c r="C9" s="1"/>
      <c r="F9" s="119" t="str">
        <f>'Schedule 2G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2G Adjustments'!B15:D15</f>
        <v/>
      </c>
      <c r="C16" s="535"/>
      <c r="D16" s="535"/>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35" t="str">
        <f>'Schedule 2G Adjustments'!B16:D16</f>
        <v/>
      </c>
      <c r="C17" s="535"/>
      <c r="D17" s="535"/>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35" t="str">
        <f>'Schedule 2G Adjustments'!B17:D17</f>
        <v/>
      </c>
      <c r="C18" s="535"/>
      <c r="D18" s="535"/>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35" t="str">
        <f>'Schedule 2G Adjustments'!B18:D18</f>
        <v/>
      </c>
      <c r="C19" s="535"/>
      <c r="D19" s="535"/>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35" t="str">
        <f>'Schedule 2G Adjustments'!B19:D19</f>
        <v/>
      </c>
      <c r="C20" s="535"/>
      <c r="D20" s="535"/>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35" t="str">
        <f>'Schedule 2G Adjustments'!B20:D20</f>
        <v/>
      </c>
      <c r="C21" s="535"/>
      <c r="D21" s="535"/>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35" t="str">
        <f>'Schedule 2G Adjustments'!B21:D21</f>
        <v/>
      </c>
      <c r="C22" s="535"/>
      <c r="D22" s="535"/>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35" t="str">
        <f>'Schedule 2G Adjustments'!B22:D22</f>
        <v/>
      </c>
      <c r="C23" s="535"/>
      <c r="D23" s="535"/>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35" t="str">
        <f>'Schedule 2G Adjustments'!B23:D23</f>
        <v/>
      </c>
      <c r="C24" s="535"/>
      <c r="D24" s="535"/>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35" t="str">
        <f>'Schedule 2G Adjustments'!B24:D24</f>
        <v/>
      </c>
      <c r="C25" s="535"/>
      <c r="D25" s="535"/>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35" t="str">
        <f>'Schedule 2G Adjustments'!B25:D25</f>
        <v/>
      </c>
      <c r="C26" s="535"/>
      <c r="D26" s="535"/>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35" t="str">
        <f>'Schedule 2G Adjustments'!B26:D26</f>
        <v/>
      </c>
      <c r="C27" s="535"/>
      <c r="D27" s="535"/>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35" t="str">
        <f>'Schedule 2G Adjustments'!B27:D27</f>
        <v/>
      </c>
      <c r="C28" s="535"/>
      <c r="D28" s="535"/>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35" t="str">
        <f>'Schedule 2G Adjustments'!B28:D28</f>
        <v/>
      </c>
      <c r="C29" s="535"/>
      <c r="D29" s="535"/>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35" t="str">
        <f>'Schedule 2G Adjustments'!B29:D29</f>
        <v/>
      </c>
      <c r="C30" s="535"/>
      <c r="D30" s="535"/>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35" t="str">
        <f>'Schedule 2G Adjustments'!B30:D30</f>
        <v/>
      </c>
      <c r="C31" s="535"/>
      <c r="D31" s="535"/>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35" t="str">
        <f>'Schedule 2G Adjustments'!B31:D31</f>
        <v/>
      </c>
      <c r="C32" s="535"/>
      <c r="D32" s="535"/>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35" t="str">
        <f>'Schedule 2G Adjustments'!B32:D32</f>
        <v/>
      </c>
      <c r="C33" s="535"/>
      <c r="D33" s="535"/>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35" t="str">
        <f>'Schedule 2G Adjustments'!B33:D33</f>
        <v/>
      </c>
      <c r="C34" s="535"/>
      <c r="D34" s="535"/>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35" t="str">
        <f>'Schedule 2G Adjustments'!B34:D34</f>
        <v/>
      </c>
      <c r="C35" s="535"/>
      <c r="D35" s="535"/>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35" t="str">
        <f>'Schedule 2G Adjustments'!B35:D35</f>
        <v/>
      </c>
      <c r="C36" s="535"/>
      <c r="D36" s="535"/>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35" t="str">
        <f>'Schedule 2G Adjustments'!B36:D36</f>
        <v/>
      </c>
      <c r="C37" s="535"/>
      <c r="D37" s="535"/>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35" t="str">
        <f>'Schedule 2G Adjustments'!B37:D37</f>
        <v/>
      </c>
      <c r="C38" s="535"/>
      <c r="D38" s="535"/>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35" t="str">
        <f>'Schedule 2G Adjustments'!B38:D38</f>
        <v/>
      </c>
      <c r="C39" s="535"/>
      <c r="D39" s="535"/>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35" t="str">
        <f>'Schedule 2G Adjustments'!B39:D39</f>
        <v/>
      </c>
      <c r="C40" s="535"/>
      <c r="D40" s="535"/>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35" t="str">
        <f>'Schedule 2G Adjustments'!B40:D40</f>
        <v/>
      </c>
      <c r="C41" s="535"/>
      <c r="D41" s="535"/>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35" t="str">
        <f>'Schedule 2G Adjustments'!B41:D41</f>
        <v/>
      </c>
      <c r="C42" s="535"/>
      <c r="D42" s="535"/>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35" t="str">
        <f>'Schedule 2G Adjustments'!B42:D42</f>
        <v/>
      </c>
      <c r="C43" s="535"/>
      <c r="D43" s="535"/>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35" t="str">
        <f>'Schedule 2G Adjustments'!B43:D43</f>
        <v/>
      </c>
      <c r="C44" s="535"/>
      <c r="D44" s="535"/>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35" t="str">
        <f>'Schedule 2G Adjustments'!B44:D44</f>
        <v/>
      </c>
      <c r="C45" s="535"/>
      <c r="D45" s="535"/>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35" t="str">
        <f>'Schedule 2G Adjustments'!B45:D45</f>
        <v/>
      </c>
      <c r="C46" s="535"/>
      <c r="D46" s="535"/>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35" t="str">
        <f>'Schedule 2G Adjustments'!B46:D46</f>
        <v/>
      </c>
      <c r="C47" s="535"/>
      <c r="D47" s="535"/>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35" t="str">
        <f>'Schedule 2G Adjustments'!B47:D47</f>
        <v/>
      </c>
      <c r="C48" s="535"/>
      <c r="D48" s="535"/>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35" t="str">
        <f>'Schedule 2G Adjustments'!B48:D48</f>
        <v/>
      </c>
      <c r="C49" s="535"/>
      <c r="D49" s="535"/>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35" t="str">
        <f>'Schedule 2G Adjustments'!B49:D49</f>
        <v/>
      </c>
      <c r="C50" s="535"/>
      <c r="D50" s="535"/>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35" t="str">
        <f>'Schedule 2G Adjustments'!B50:D50</f>
        <v/>
      </c>
      <c r="C51" s="535"/>
      <c r="D51" s="535"/>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35" t="str">
        <f>'Schedule 2G Adjustments'!B51:D51</f>
        <v/>
      </c>
      <c r="C52" s="535"/>
      <c r="D52" s="535"/>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35" t="str">
        <f>'Schedule 2G Adjustments'!B52:D52</f>
        <v/>
      </c>
      <c r="C53" s="535"/>
      <c r="D53" s="535"/>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35" t="str">
        <f>'Schedule 2G Adjustments'!B53:D53</f>
        <v/>
      </c>
      <c r="C54" s="535"/>
      <c r="D54" s="535"/>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35" t="str">
        <f>'Schedule 2G Adjustments'!B54:D54</f>
        <v/>
      </c>
      <c r="C55" s="535"/>
      <c r="D55" s="535"/>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35" t="str">
        <f>'Schedule 2G Adjustments'!B55:D55</f>
        <v/>
      </c>
      <c r="C56" s="535"/>
      <c r="D56" s="535"/>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35" t="str">
        <f>'Schedule 2G Adjustments'!B56:D56</f>
        <v/>
      </c>
      <c r="C57" s="535"/>
      <c r="D57" s="535"/>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35" t="str">
        <f>'Schedule 2G Adjustments'!B57:D57</f>
        <v/>
      </c>
      <c r="C58" s="535"/>
      <c r="D58" s="535"/>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35" t="str">
        <f>'Schedule 2G Adjustments'!B58:D58</f>
        <v/>
      </c>
      <c r="C59" s="535"/>
      <c r="D59" s="535"/>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35" t="str">
        <f>'Schedule 2G Adjustments'!B59:D59</f>
        <v/>
      </c>
      <c r="C60" s="535"/>
      <c r="D60" s="535"/>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35" t="str">
        <f>'Schedule 2G Adjustments'!B60:D60</f>
        <v/>
      </c>
      <c r="C61" s="535"/>
      <c r="D61" s="535"/>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35" t="str">
        <f>'Schedule 2G Adjustments'!B61:D61</f>
        <v/>
      </c>
      <c r="C62" s="535"/>
      <c r="D62" s="535"/>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35" t="str">
        <f>'Schedule 2G Adjustments'!B62:D62</f>
        <v/>
      </c>
      <c r="C63" s="535"/>
      <c r="D63" s="535"/>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35" t="str">
        <f>'Schedule 2G Adjustments'!B63:D63</f>
        <v/>
      </c>
      <c r="C64" s="535"/>
      <c r="D64" s="535"/>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35" t="str">
        <f>'Schedule 2G Adjustments'!B64:D64</f>
        <v/>
      </c>
      <c r="C65" s="535"/>
      <c r="D65" s="535"/>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35" t="str">
        <f>'Schedule 2G Adjustments'!B65:D65</f>
        <v/>
      </c>
      <c r="C66" s="535"/>
      <c r="D66" s="535"/>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35" t="str">
        <f>'Schedule 2G Adjustments'!B66:D66</f>
        <v/>
      </c>
      <c r="C67" s="535"/>
      <c r="D67" s="535"/>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35" t="str">
        <f>'Schedule 2G Adjustments'!B67:D67</f>
        <v/>
      </c>
      <c r="C68" s="535"/>
      <c r="D68" s="535"/>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35" t="str">
        <f>'Schedule 2G Adjustments'!B68:D68</f>
        <v/>
      </c>
      <c r="C69" s="535"/>
      <c r="D69" s="535"/>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35" t="str">
        <f>'Schedule 2G Adjustments'!B69:D69</f>
        <v/>
      </c>
      <c r="C70" s="535"/>
      <c r="D70" s="535"/>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35" t="str">
        <f>'Schedule 2G Adjustments'!B70:D70</f>
        <v/>
      </c>
      <c r="C71" s="535"/>
      <c r="D71" s="535"/>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35" t="str">
        <f>'Schedule 2G Adjustments'!B71:D71</f>
        <v/>
      </c>
      <c r="C72" s="535"/>
      <c r="D72" s="535"/>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35" t="str">
        <f>'Schedule 2G Adjustments'!B72:D72</f>
        <v/>
      </c>
      <c r="C73" s="535"/>
      <c r="D73" s="535"/>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818</v>
      </c>
      <c r="C9" s="1"/>
      <c r="F9" s="119" t="str">
        <f>'Schedule 2H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2H Adjustments'!B15:D15</f>
        <v/>
      </c>
      <c r="C16" s="535"/>
      <c r="D16" s="535"/>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35" t="str">
        <f>'Schedule 2H Adjustments'!B16:D16</f>
        <v/>
      </c>
      <c r="C17" s="535"/>
      <c r="D17" s="535"/>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35" t="str">
        <f>'Schedule 2H Adjustments'!B17:D17</f>
        <v/>
      </c>
      <c r="C18" s="535"/>
      <c r="D18" s="535"/>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35" t="str">
        <f>'Schedule 2H Adjustments'!B18:D18</f>
        <v/>
      </c>
      <c r="C19" s="535"/>
      <c r="D19" s="535"/>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35" t="str">
        <f>'Schedule 2H Adjustments'!B19:D19</f>
        <v/>
      </c>
      <c r="C20" s="535"/>
      <c r="D20" s="535"/>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35" t="str">
        <f>'Schedule 2H Adjustments'!B20:D20</f>
        <v/>
      </c>
      <c r="C21" s="535"/>
      <c r="D21" s="535"/>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35" t="str">
        <f>'Schedule 2H Adjustments'!B21:D21</f>
        <v/>
      </c>
      <c r="C22" s="535"/>
      <c r="D22" s="535"/>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35" t="str">
        <f>'Schedule 2H Adjustments'!B22:D22</f>
        <v/>
      </c>
      <c r="C23" s="535"/>
      <c r="D23" s="535"/>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35" t="str">
        <f>'Schedule 2H Adjustments'!B23:D23</f>
        <v/>
      </c>
      <c r="C24" s="535"/>
      <c r="D24" s="535"/>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35" t="str">
        <f>'Schedule 2H Adjustments'!B24:D24</f>
        <v/>
      </c>
      <c r="C25" s="535"/>
      <c r="D25" s="535"/>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35" t="str">
        <f>'Schedule 2H Adjustments'!B25:D25</f>
        <v/>
      </c>
      <c r="C26" s="535"/>
      <c r="D26" s="535"/>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35" t="str">
        <f>'Schedule 2H Adjustments'!B26:D26</f>
        <v/>
      </c>
      <c r="C27" s="535"/>
      <c r="D27" s="535"/>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35" t="str">
        <f>'Schedule 2H Adjustments'!B27:D27</f>
        <v/>
      </c>
      <c r="C28" s="535"/>
      <c r="D28" s="535"/>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35" t="str">
        <f>'Schedule 2H Adjustments'!B28:D28</f>
        <v/>
      </c>
      <c r="C29" s="535"/>
      <c r="D29" s="535"/>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35" t="str">
        <f>'Schedule 2H Adjustments'!B29:D29</f>
        <v/>
      </c>
      <c r="C30" s="535"/>
      <c r="D30" s="535"/>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35" t="str">
        <f>'Schedule 2H Adjustments'!B30:D30</f>
        <v/>
      </c>
      <c r="C31" s="535"/>
      <c r="D31" s="535"/>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35" t="str">
        <f>'Schedule 2H Adjustments'!B31:D31</f>
        <v/>
      </c>
      <c r="C32" s="535"/>
      <c r="D32" s="535"/>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35" t="str">
        <f>'Schedule 2H Adjustments'!B32:D32</f>
        <v/>
      </c>
      <c r="C33" s="535"/>
      <c r="D33" s="535"/>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35" t="str">
        <f>'Schedule 2H Adjustments'!B33:D33</f>
        <v/>
      </c>
      <c r="C34" s="535"/>
      <c r="D34" s="535"/>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35" t="str">
        <f>'Schedule 2H Adjustments'!B34:D34</f>
        <v/>
      </c>
      <c r="C35" s="535"/>
      <c r="D35" s="535"/>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35" t="str">
        <f>'Schedule 2H Adjustments'!B35:D35</f>
        <v/>
      </c>
      <c r="C36" s="535"/>
      <c r="D36" s="535"/>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35" t="str">
        <f>'Schedule 2H Adjustments'!B36:D36</f>
        <v/>
      </c>
      <c r="C37" s="535"/>
      <c r="D37" s="535"/>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35" t="str">
        <f>'Schedule 2H Adjustments'!B37:D37</f>
        <v/>
      </c>
      <c r="C38" s="535"/>
      <c r="D38" s="535"/>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35" t="str">
        <f>'Schedule 2H Adjustments'!B38:D38</f>
        <v/>
      </c>
      <c r="C39" s="535"/>
      <c r="D39" s="535"/>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35" t="str">
        <f>'Schedule 2H Adjustments'!B39:D39</f>
        <v/>
      </c>
      <c r="C40" s="535"/>
      <c r="D40" s="535"/>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35" t="str">
        <f>'Schedule 2H Adjustments'!B40:D40</f>
        <v/>
      </c>
      <c r="C41" s="535"/>
      <c r="D41" s="535"/>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35" t="str">
        <f>'Schedule 2H Adjustments'!B41:D41</f>
        <v/>
      </c>
      <c r="C42" s="535"/>
      <c r="D42" s="535"/>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35" t="str">
        <f>'Schedule 2H Adjustments'!B42:D42</f>
        <v/>
      </c>
      <c r="C43" s="535"/>
      <c r="D43" s="535"/>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35" t="str">
        <f>'Schedule 2H Adjustments'!B43:D43</f>
        <v/>
      </c>
      <c r="C44" s="535"/>
      <c r="D44" s="535"/>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35" t="str">
        <f>'Schedule 2H Adjustments'!B44:D44</f>
        <v/>
      </c>
      <c r="C45" s="535"/>
      <c r="D45" s="535"/>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35" t="str">
        <f>'Schedule 2H Adjustments'!B45:D45</f>
        <v/>
      </c>
      <c r="C46" s="535"/>
      <c r="D46" s="535"/>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35" t="str">
        <f>'Schedule 2H Adjustments'!B46:D46</f>
        <v/>
      </c>
      <c r="C47" s="535"/>
      <c r="D47" s="535"/>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35" t="str">
        <f>'Schedule 2H Adjustments'!B47:D47</f>
        <v/>
      </c>
      <c r="C48" s="535"/>
      <c r="D48" s="535"/>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35" t="str">
        <f>'Schedule 2H Adjustments'!B48:D48</f>
        <v/>
      </c>
      <c r="C49" s="535"/>
      <c r="D49" s="535"/>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35" t="str">
        <f>'Schedule 2H Adjustments'!B49:D49</f>
        <v/>
      </c>
      <c r="C50" s="535"/>
      <c r="D50" s="535"/>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35" t="str">
        <f>'Schedule 2H Adjustments'!B50:D50</f>
        <v/>
      </c>
      <c r="C51" s="535"/>
      <c r="D51" s="535"/>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35" t="str">
        <f>'Schedule 2H Adjustments'!B51:D51</f>
        <v/>
      </c>
      <c r="C52" s="535"/>
      <c r="D52" s="535"/>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35" t="str">
        <f>'Schedule 2H Adjustments'!B52:D52</f>
        <v/>
      </c>
      <c r="C53" s="535"/>
      <c r="D53" s="535"/>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35" t="str">
        <f>'Schedule 2H Adjustments'!B53:D53</f>
        <v/>
      </c>
      <c r="C54" s="535"/>
      <c r="D54" s="535"/>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35" t="str">
        <f>'Schedule 2H Adjustments'!B54:D54</f>
        <v/>
      </c>
      <c r="C55" s="535"/>
      <c r="D55" s="535"/>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35" t="str">
        <f>'Schedule 2H Adjustments'!B55:D55</f>
        <v/>
      </c>
      <c r="C56" s="535"/>
      <c r="D56" s="535"/>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35" t="str">
        <f>'Schedule 2H Adjustments'!B56:D56</f>
        <v/>
      </c>
      <c r="C57" s="535"/>
      <c r="D57" s="535"/>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35" t="str">
        <f>'Schedule 2H Adjustments'!B57:D57</f>
        <v/>
      </c>
      <c r="C58" s="535"/>
      <c r="D58" s="535"/>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35" t="str">
        <f>'Schedule 2H Adjustments'!B58:D58</f>
        <v/>
      </c>
      <c r="C59" s="535"/>
      <c r="D59" s="535"/>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35" t="str">
        <f>'Schedule 2H Adjustments'!B59:D59</f>
        <v/>
      </c>
      <c r="C60" s="535"/>
      <c r="D60" s="535"/>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35" t="str">
        <f>'Schedule 2H Adjustments'!B60:D60</f>
        <v/>
      </c>
      <c r="C61" s="535"/>
      <c r="D61" s="535"/>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35" t="str">
        <f>'Schedule 2H Adjustments'!B61:D61</f>
        <v/>
      </c>
      <c r="C62" s="535"/>
      <c r="D62" s="535"/>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35" t="str">
        <f>'Schedule 2H Adjustments'!B62:D62</f>
        <v/>
      </c>
      <c r="C63" s="535"/>
      <c r="D63" s="535"/>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35" t="str">
        <f>'Schedule 2H Adjustments'!B63:D63</f>
        <v/>
      </c>
      <c r="C64" s="535"/>
      <c r="D64" s="535"/>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35" t="str">
        <f>'Schedule 2H Adjustments'!B64:D64</f>
        <v/>
      </c>
      <c r="C65" s="535"/>
      <c r="D65" s="535"/>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35" t="str">
        <f>'Schedule 2H Adjustments'!B65:D65</f>
        <v/>
      </c>
      <c r="C66" s="535"/>
      <c r="D66" s="535"/>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35" t="str">
        <f>'Schedule 2H Adjustments'!B66:D66</f>
        <v/>
      </c>
      <c r="C67" s="535"/>
      <c r="D67" s="535"/>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35" t="str">
        <f>'Schedule 2H Adjustments'!B67:D67</f>
        <v/>
      </c>
      <c r="C68" s="535"/>
      <c r="D68" s="535"/>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35" t="str">
        <f>'Schedule 2H Adjustments'!B68:D68</f>
        <v/>
      </c>
      <c r="C69" s="535"/>
      <c r="D69" s="535"/>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35" t="str">
        <f>'Schedule 2H Adjustments'!B69:D69</f>
        <v/>
      </c>
      <c r="C70" s="535"/>
      <c r="D70" s="535"/>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35" t="str">
        <f>'Schedule 2H Adjustments'!B70:D70</f>
        <v/>
      </c>
      <c r="C71" s="535"/>
      <c r="D71" s="535"/>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35" t="str">
        <f>'Schedule 2H Adjustments'!B71:D71</f>
        <v/>
      </c>
      <c r="C72" s="535"/>
      <c r="D72" s="535"/>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35" t="str">
        <f>'Schedule 2H Adjustments'!B72:D72</f>
        <v/>
      </c>
      <c r="C73" s="535"/>
      <c r="D73" s="535"/>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821</v>
      </c>
      <c r="C9" s="1"/>
      <c r="F9" s="119" t="str">
        <f>'Schedule 2I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2I Adjustments'!B15:D15</f>
        <v/>
      </c>
      <c r="C16" s="535"/>
      <c r="D16" s="535"/>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35" t="str">
        <f>'Schedule 2I Adjustments'!B16:D16</f>
        <v/>
      </c>
      <c r="C17" s="535"/>
      <c r="D17" s="535"/>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35" t="str">
        <f>'Schedule 2I Adjustments'!B17:D17</f>
        <v/>
      </c>
      <c r="C18" s="535"/>
      <c r="D18" s="535"/>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35" t="str">
        <f>'Schedule 2I Adjustments'!B18:D18</f>
        <v/>
      </c>
      <c r="C19" s="535"/>
      <c r="D19" s="535"/>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35" t="str">
        <f>'Schedule 2I Adjustments'!B19:D19</f>
        <v/>
      </c>
      <c r="C20" s="535"/>
      <c r="D20" s="535"/>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35" t="str">
        <f>'Schedule 2I Adjustments'!B20:D20</f>
        <v/>
      </c>
      <c r="C21" s="535"/>
      <c r="D21" s="535"/>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35" t="str">
        <f>'Schedule 2I Adjustments'!B21:D21</f>
        <v/>
      </c>
      <c r="C22" s="535"/>
      <c r="D22" s="535"/>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35" t="str">
        <f>'Schedule 2I Adjustments'!B22:D22</f>
        <v/>
      </c>
      <c r="C23" s="535"/>
      <c r="D23" s="535"/>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35" t="str">
        <f>'Schedule 2I Adjustments'!B23:D23</f>
        <v/>
      </c>
      <c r="C24" s="535"/>
      <c r="D24" s="535"/>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35" t="str">
        <f>'Schedule 2I Adjustments'!B24:D24</f>
        <v/>
      </c>
      <c r="C25" s="535"/>
      <c r="D25" s="535"/>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35" t="str">
        <f>'Schedule 2I Adjustments'!B25:D25</f>
        <v/>
      </c>
      <c r="C26" s="535"/>
      <c r="D26" s="535"/>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35" t="str">
        <f>'Schedule 2I Adjustments'!B26:D26</f>
        <v/>
      </c>
      <c r="C27" s="535"/>
      <c r="D27" s="535"/>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35" t="str">
        <f>'Schedule 2I Adjustments'!B27:D27</f>
        <v/>
      </c>
      <c r="C28" s="535"/>
      <c r="D28" s="535"/>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35" t="str">
        <f>'Schedule 2I Adjustments'!B28:D28</f>
        <v/>
      </c>
      <c r="C29" s="535"/>
      <c r="D29" s="535"/>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35" t="str">
        <f>'Schedule 2I Adjustments'!B29:D29</f>
        <v/>
      </c>
      <c r="C30" s="535"/>
      <c r="D30" s="535"/>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35" t="str">
        <f>'Schedule 2I Adjustments'!B30:D30</f>
        <v/>
      </c>
      <c r="C31" s="535"/>
      <c r="D31" s="535"/>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35" t="str">
        <f>'Schedule 2I Adjustments'!B31:D31</f>
        <v/>
      </c>
      <c r="C32" s="535"/>
      <c r="D32" s="535"/>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35" t="str">
        <f>'Schedule 2I Adjustments'!B32:D32</f>
        <v/>
      </c>
      <c r="C33" s="535"/>
      <c r="D33" s="535"/>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35" t="str">
        <f>'Schedule 2I Adjustments'!B33:D33</f>
        <v/>
      </c>
      <c r="C34" s="535"/>
      <c r="D34" s="535"/>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35" t="str">
        <f>'Schedule 2I Adjustments'!B34:D34</f>
        <v/>
      </c>
      <c r="C35" s="535"/>
      <c r="D35" s="535"/>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35" t="str">
        <f>'Schedule 2I Adjustments'!B35:D35</f>
        <v/>
      </c>
      <c r="C36" s="535"/>
      <c r="D36" s="535"/>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35" t="str">
        <f>'Schedule 2I Adjustments'!B36:D36</f>
        <v/>
      </c>
      <c r="C37" s="535"/>
      <c r="D37" s="535"/>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35" t="str">
        <f>'Schedule 2I Adjustments'!B37:D37</f>
        <v/>
      </c>
      <c r="C38" s="535"/>
      <c r="D38" s="535"/>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35" t="str">
        <f>'Schedule 2I Adjustments'!B38:D38</f>
        <v/>
      </c>
      <c r="C39" s="535"/>
      <c r="D39" s="535"/>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35" t="str">
        <f>'Schedule 2I Adjustments'!B39:D39</f>
        <v/>
      </c>
      <c r="C40" s="535"/>
      <c r="D40" s="535"/>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35" t="str">
        <f>'Schedule 2I Adjustments'!B40:D40</f>
        <v/>
      </c>
      <c r="C41" s="535"/>
      <c r="D41" s="535"/>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35" t="str">
        <f>'Schedule 2I Adjustments'!B41:D41</f>
        <v/>
      </c>
      <c r="C42" s="535"/>
      <c r="D42" s="535"/>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35" t="str">
        <f>'Schedule 2I Adjustments'!B42:D42</f>
        <v/>
      </c>
      <c r="C43" s="535"/>
      <c r="D43" s="535"/>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35" t="str">
        <f>'Schedule 2I Adjustments'!B43:D43</f>
        <v/>
      </c>
      <c r="C44" s="535"/>
      <c r="D44" s="535"/>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35" t="str">
        <f>'Schedule 2I Adjustments'!B44:D44</f>
        <v/>
      </c>
      <c r="C45" s="535"/>
      <c r="D45" s="535"/>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35" t="str">
        <f>'Schedule 2I Adjustments'!B45:D45</f>
        <v/>
      </c>
      <c r="C46" s="535"/>
      <c r="D46" s="535"/>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35" t="str">
        <f>'Schedule 2I Adjustments'!B46:D46</f>
        <v/>
      </c>
      <c r="C47" s="535"/>
      <c r="D47" s="535"/>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35" t="str">
        <f>'Schedule 2I Adjustments'!B47:D47</f>
        <v/>
      </c>
      <c r="C48" s="535"/>
      <c r="D48" s="535"/>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35" t="str">
        <f>'Schedule 2I Adjustments'!B48:D48</f>
        <v/>
      </c>
      <c r="C49" s="535"/>
      <c r="D49" s="535"/>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35" t="str">
        <f>'Schedule 2I Adjustments'!B49:D49</f>
        <v/>
      </c>
      <c r="C50" s="535"/>
      <c r="D50" s="535"/>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35" t="str">
        <f>'Schedule 2I Adjustments'!B50:D50</f>
        <v/>
      </c>
      <c r="C51" s="535"/>
      <c r="D51" s="535"/>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35" t="str">
        <f>'Schedule 2I Adjustments'!B51:D51</f>
        <v/>
      </c>
      <c r="C52" s="535"/>
      <c r="D52" s="535"/>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35" t="str">
        <f>'Schedule 2I Adjustments'!B52:D52</f>
        <v/>
      </c>
      <c r="C53" s="535"/>
      <c r="D53" s="535"/>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35" t="str">
        <f>'Schedule 2I Adjustments'!B53:D53</f>
        <v/>
      </c>
      <c r="C54" s="535"/>
      <c r="D54" s="535"/>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35" t="str">
        <f>'Schedule 2I Adjustments'!B54:D54</f>
        <v/>
      </c>
      <c r="C55" s="535"/>
      <c r="D55" s="535"/>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35" t="str">
        <f>'Schedule 2I Adjustments'!B55:D55</f>
        <v/>
      </c>
      <c r="C56" s="535"/>
      <c r="D56" s="535"/>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35" t="str">
        <f>'Schedule 2I Adjustments'!B56:D56</f>
        <v/>
      </c>
      <c r="C57" s="535"/>
      <c r="D57" s="535"/>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35" t="str">
        <f>'Schedule 2I Adjustments'!B57:D57</f>
        <v/>
      </c>
      <c r="C58" s="535"/>
      <c r="D58" s="535"/>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35" t="str">
        <f>'Schedule 2I Adjustments'!B58:D58</f>
        <v/>
      </c>
      <c r="C59" s="535"/>
      <c r="D59" s="535"/>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35" t="str">
        <f>'Schedule 2I Adjustments'!B59:D59</f>
        <v/>
      </c>
      <c r="C60" s="535"/>
      <c r="D60" s="535"/>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35" t="str">
        <f>'Schedule 2I Adjustments'!B60:D60</f>
        <v/>
      </c>
      <c r="C61" s="535"/>
      <c r="D61" s="535"/>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35" t="str">
        <f>'Schedule 2I Adjustments'!B61:D61</f>
        <v/>
      </c>
      <c r="C62" s="535"/>
      <c r="D62" s="535"/>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35" t="str">
        <f>'Schedule 2I Adjustments'!B62:D62</f>
        <v/>
      </c>
      <c r="C63" s="535"/>
      <c r="D63" s="535"/>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35" t="str">
        <f>'Schedule 2I Adjustments'!B63:D63</f>
        <v/>
      </c>
      <c r="C64" s="535"/>
      <c r="D64" s="535"/>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35" t="str">
        <f>'Schedule 2I Adjustments'!B64:D64</f>
        <v/>
      </c>
      <c r="C65" s="535"/>
      <c r="D65" s="535"/>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35" t="str">
        <f>'Schedule 2I Adjustments'!B65:D65</f>
        <v/>
      </c>
      <c r="C66" s="535"/>
      <c r="D66" s="535"/>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35" t="str">
        <f>'Schedule 2I Adjustments'!B66:D66</f>
        <v/>
      </c>
      <c r="C67" s="535"/>
      <c r="D67" s="535"/>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35" t="str">
        <f>'Schedule 2I Adjustments'!B67:D67</f>
        <v/>
      </c>
      <c r="C68" s="535"/>
      <c r="D68" s="535"/>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35" t="str">
        <f>'Schedule 2I Adjustments'!B68:D68</f>
        <v/>
      </c>
      <c r="C69" s="535"/>
      <c r="D69" s="535"/>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35" t="str">
        <f>'Schedule 2I Adjustments'!B69:D69</f>
        <v/>
      </c>
      <c r="C70" s="535"/>
      <c r="D70" s="535"/>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35" t="str">
        <f>'Schedule 2I Adjustments'!B70:D70</f>
        <v/>
      </c>
      <c r="C71" s="535"/>
      <c r="D71" s="535"/>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35" t="str">
        <f>'Schedule 2I Adjustments'!B71:D71</f>
        <v/>
      </c>
      <c r="C72" s="535"/>
      <c r="D72" s="535"/>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35" t="str">
        <f>'Schedule 2I Adjustments'!B72:D72</f>
        <v/>
      </c>
      <c r="C73" s="535"/>
      <c r="D73" s="535"/>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824</v>
      </c>
      <c r="C9" s="1"/>
      <c r="F9" s="119" t="str">
        <f>'Schedule 2J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2J Adjustments'!B15:D15</f>
        <v/>
      </c>
      <c r="C16" s="535"/>
      <c r="D16" s="535"/>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35" t="str">
        <f>'Schedule 2J Adjustments'!B16:D16</f>
        <v/>
      </c>
      <c r="C17" s="535"/>
      <c r="D17" s="535"/>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35" t="str">
        <f>'Schedule 2J Adjustments'!B17:D17</f>
        <v/>
      </c>
      <c r="C18" s="535"/>
      <c r="D18" s="535"/>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35" t="str">
        <f>'Schedule 2J Adjustments'!B18:D18</f>
        <v/>
      </c>
      <c r="C19" s="535"/>
      <c r="D19" s="535"/>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35" t="str">
        <f>'Schedule 2J Adjustments'!B19:D19</f>
        <v/>
      </c>
      <c r="C20" s="535"/>
      <c r="D20" s="535"/>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35" t="str">
        <f>'Schedule 2J Adjustments'!B20:D20</f>
        <v/>
      </c>
      <c r="C21" s="535"/>
      <c r="D21" s="535"/>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35" t="str">
        <f>'Schedule 2J Adjustments'!B21:D21</f>
        <v/>
      </c>
      <c r="C22" s="535"/>
      <c r="D22" s="535"/>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35" t="str">
        <f>'Schedule 2J Adjustments'!B22:D22</f>
        <v/>
      </c>
      <c r="C23" s="535"/>
      <c r="D23" s="535"/>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35" t="str">
        <f>'Schedule 2J Adjustments'!B23:D23</f>
        <v/>
      </c>
      <c r="C24" s="535"/>
      <c r="D24" s="535"/>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35" t="str">
        <f>'Schedule 2J Adjustments'!B24:D24</f>
        <v/>
      </c>
      <c r="C25" s="535"/>
      <c r="D25" s="535"/>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35" t="str">
        <f>'Schedule 2J Adjustments'!B25:D25</f>
        <v/>
      </c>
      <c r="C26" s="535"/>
      <c r="D26" s="535"/>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35" t="str">
        <f>'Schedule 2J Adjustments'!B26:D26</f>
        <v/>
      </c>
      <c r="C27" s="535"/>
      <c r="D27" s="535"/>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35" t="str">
        <f>'Schedule 2J Adjustments'!B27:D27</f>
        <v/>
      </c>
      <c r="C28" s="535"/>
      <c r="D28" s="535"/>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35" t="str">
        <f>'Schedule 2J Adjustments'!B28:D28</f>
        <v/>
      </c>
      <c r="C29" s="535"/>
      <c r="D29" s="535"/>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35" t="str">
        <f>'Schedule 2J Adjustments'!B29:D29</f>
        <v/>
      </c>
      <c r="C30" s="535"/>
      <c r="D30" s="535"/>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35" t="str">
        <f>'Schedule 2J Adjustments'!B30:D30</f>
        <v/>
      </c>
      <c r="C31" s="535"/>
      <c r="D31" s="535"/>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35" t="str">
        <f>'Schedule 2J Adjustments'!B31:D31</f>
        <v/>
      </c>
      <c r="C32" s="535"/>
      <c r="D32" s="535"/>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35" t="str">
        <f>'Schedule 2J Adjustments'!B32:D32</f>
        <v/>
      </c>
      <c r="C33" s="535"/>
      <c r="D33" s="535"/>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35" t="str">
        <f>'Schedule 2J Adjustments'!B33:D33</f>
        <v/>
      </c>
      <c r="C34" s="535"/>
      <c r="D34" s="535"/>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35" t="str">
        <f>'Schedule 2J Adjustments'!B34:D34</f>
        <v/>
      </c>
      <c r="C35" s="535"/>
      <c r="D35" s="535"/>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35" t="str">
        <f>'Schedule 2J Adjustments'!B35:D35</f>
        <v/>
      </c>
      <c r="C36" s="535"/>
      <c r="D36" s="535"/>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35" t="str">
        <f>'Schedule 2J Adjustments'!B36:D36</f>
        <v/>
      </c>
      <c r="C37" s="535"/>
      <c r="D37" s="535"/>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35" t="str">
        <f>'Schedule 2J Adjustments'!B37:D37</f>
        <v/>
      </c>
      <c r="C38" s="535"/>
      <c r="D38" s="535"/>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35" t="str">
        <f>'Schedule 2J Adjustments'!B38:D38</f>
        <v/>
      </c>
      <c r="C39" s="535"/>
      <c r="D39" s="535"/>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35" t="str">
        <f>'Schedule 2J Adjustments'!B39:D39</f>
        <v/>
      </c>
      <c r="C40" s="535"/>
      <c r="D40" s="535"/>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35" t="str">
        <f>'Schedule 2J Adjustments'!B40:D40</f>
        <v/>
      </c>
      <c r="C41" s="535"/>
      <c r="D41" s="535"/>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35" t="str">
        <f>'Schedule 2J Adjustments'!B41:D41</f>
        <v/>
      </c>
      <c r="C42" s="535"/>
      <c r="D42" s="535"/>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35" t="str">
        <f>'Schedule 2J Adjustments'!B42:D42</f>
        <v/>
      </c>
      <c r="C43" s="535"/>
      <c r="D43" s="535"/>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35" t="str">
        <f>'Schedule 2J Adjustments'!B43:D43</f>
        <v/>
      </c>
      <c r="C44" s="535"/>
      <c r="D44" s="535"/>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35" t="str">
        <f>'Schedule 2J Adjustments'!B44:D44</f>
        <v/>
      </c>
      <c r="C45" s="535"/>
      <c r="D45" s="535"/>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35" t="str">
        <f>'Schedule 2J Adjustments'!B45:D45</f>
        <v/>
      </c>
      <c r="C46" s="535"/>
      <c r="D46" s="535"/>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35" t="str">
        <f>'Schedule 2J Adjustments'!B46:D46</f>
        <v/>
      </c>
      <c r="C47" s="535"/>
      <c r="D47" s="535"/>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35" t="str">
        <f>'Schedule 2J Adjustments'!B47:D47</f>
        <v/>
      </c>
      <c r="C48" s="535"/>
      <c r="D48" s="535"/>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35" t="str">
        <f>'Schedule 2J Adjustments'!B48:D48</f>
        <v/>
      </c>
      <c r="C49" s="535"/>
      <c r="D49" s="535"/>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35" t="str">
        <f>'Schedule 2J Adjustments'!B49:D49</f>
        <v/>
      </c>
      <c r="C50" s="535"/>
      <c r="D50" s="535"/>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35" t="str">
        <f>'Schedule 2J Adjustments'!B50:D50</f>
        <v/>
      </c>
      <c r="C51" s="535"/>
      <c r="D51" s="535"/>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35" t="str">
        <f>'Schedule 2J Adjustments'!B51:D51</f>
        <v/>
      </c>
      <c r="C52" s="535"/>
      <c r="D52" s="535"/>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35" t="str">
        <f>'Schedule 2J Adjustments'!B52:D52</f>
        <v/>
      </c>
      <c r="C53" s="535"/>
      <c r="D53" s="535"/>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35" t="str">
        <f>'Schedule 2J Adjustments'!B53:D53</f>
        <v/>
      </c>
      <c r="C54" s="535"/>
      <c r="D54" s="535"/>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35" t="str">
        <f>'Schedule 2J Adjustments'!B54:D54</f>
        <v/>
      </c>
      <c r="C55" s="535"/>
      <c r="D55" s="535"/>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35" t="str">
        <f>'Schedule 2J Adjustments'!B55:D55</f>
        <v/>
      </c>
      <c r="C56" s="535"/>
      <c r="D56" s="535"/>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35" t="str">
        <f>'Schedule 2J Adjustments'!B56:D56</f>
        <v/>
      </c>
      <c r="C57" s="535"/>
      <c r="D57" s="535"/>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35" t="str">
        <f>'Schedule 2J Adjustments'!B57:D57</f>
        <v/>
      </c>
      <c r="C58" s="535"/>
      <c r="D58" s="535"/>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35" t="str">
        <f>'Schedule 2J Adjustments'!B58:D58</f>
        <v/>
      </c>
      <c r="C59" s="535"/>
      <c r="D59" s="535"/>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35" t="str">
        <f>'Schedule 2J Adjustments'!B59:D59</f>
        <v/>
      </c>
      <c r="C60" s="535"/>
      <c r="D60" s="535"/>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35" t="str">
        <f>'Schedule 2J Adjustments'!B60:D60</f>
        <v/>
      </c>
      <c r="C61" s="535"/>
      <c r="D61" s="535"/>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35" t="str">
        <f>'Schedule 2J Adjustments'!B61:D61</f>
        <v/>
      </c>
      <c r="C62" s="535"/>
      <c r="D62" s="535"/>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35" t="str">
        <f>'Schedule 2J Adjustments'!B62:D62</f>
        <v/>
      </c>
      <c r="C63" s="535"/>
      <c r="D63" s="535"/>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35" t="str">
        <f>'Schedule 2J Adjustments'!B63:D63</f>
        <v/>
      </c>
      <c r="C64" s="535"/>
      <c r="D64" s="535"/>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35" t="str">
        <f>'Schedule 2J Adjustments'!B64:D64</f>
        <v/>
      </c>
      <c r="C65" s="535"/>
      <c r="D65" s="535"/>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35" t="str">
        <f>'Schedule 2J Adjustments'!B65:D65</f>
        <v/>
      </c>
      <c r="C66" s="535"/>
      <c r="D66" s="535"/>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35" t="str">
        <f>'Schedule 2J Adjustments'!B66:D66</f>
        <v/>
      </c>
      <c r="C67" s="535"/>
      <c r="D67" s="535"/>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35" t="str">
        <f>'Schedule 2J Adjustments'!B67:D67</f>
        <v/>
      </c>
      <c r="C68" s="535"/>
      <c r="D68" s="535"/>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35" t="str">
        <f>'Schedule 2J Adjustments'!B68:D68</f>
        <v/>
      </c>
      <c r="C69" s="535"/>
      <c r="D69" s="535"/>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35" t="str">
        <f>'Schedule 2J Adjustments'!B69:D69</f>
        <v/>
      </c>
      <c r="C70" s="535"/>
      <c r="D70" s="535"/>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35" t="str">
        <f>'Schedule 2J Adjustments'!B70:D70</f>
        <v/>
      </c>
      <c r="C71" s="535"/>
      <c r="D71" s="535"/>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35" t="str">
        <f>'Schedule 2J Adjustments'!B71:D71</f>
        <v/>
      </c>
      <c r="C72" s="535"/>
      <c r="D72" s="535"/>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35" t="str">
        <f>'Schedule 2J Adjustments'!B72:D72</f>
        <v/>
      </c>
      <c r="C73" s="535"/>
      <c r="D73" s="535"/>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827</v>
      </c>
      <c r="C9" s="1"/>
      <c r="F9" s="119" t="str">
        <f>'Schedule 2K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2K Adjustments'!B15:D15</f>
        <v/>
      </c>
      <c r="C16" s="535"/>
      <c r="D16" s="535"/>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35" t="str">
        <f>'Schedule 2K Adjustments'!B16:D16</f>
        <v/>
      </c>
      <c r="C17" s="535"/>
      <c r="D17" s="535"/>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35" t="str">
        <f>'Schedule 2K Adjustments'!B17:D17</f>
        <v/>
      </c>
      <c r="C18" s="535"/>
      <c r="D18" s="535"/>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35" t="str">
        <f>'Schedule 2K Adjustments'!B18:D18</f>
        <v/>
      </c>
      <c r="C19" s="535"/>
      <c r="D19" s="535"/>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35" t="str">
        <f>'Schedule 2K Adjustments'!B19:D19</f>
        <v/>
      </c>
      <c r="C20" s="535"/>
      <c r="D20" s="535"/>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35" t="str">
        <f>'Schedule 2K Adjustments'!B20:D20</f>
        <v/>
      </c>
      <c r="C21" s="535"/>
      <c r="D21" s="535"/>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35" t="str">
        <f>'Schedule 2K Adjustments'!B21:D21</f>
        <v/>
      </c>
      <c r="C22" s="535"/>
      <c r="D22" s="535"/>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35" t="str">
        <f>'Schedule 2K Adjustments'!B22:D22</f>
        <v/>
      </c>
      <c r="C23" s="535"/>
      <c r="D23" s="535"/>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35" t="str">
        <f>'Schedule 2K Adjustments'!B23:D23</f>
        <v/>
      </c>
      <c r="C24" s="535"/>
      <c r="D24" s="535"/>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35" t="str">
        <f>'Schedule 2K Adjustments'!B24:D24</f>
        <v/>
      </c>
      <c r="C25" s="535"/>
      <c r="D25" s="535"/>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35" t="str">
        <f>'Schedule 2K Adjustments'!B25:D25</f>
        <v/>
      </c>
      <c r="C26" s="535"/>
      <c r="D26" s="535"/>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35" t="str">
        <f>'Schedule 2K Adjustments'!B26:D26</f>
        <v/>
      </c>
      <c r="C27" s="535"/>
      <c r="D27" s="535"/>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35" t="str">
        <f>'Schedule 2K Adjustments'!B27:D27</f>
        <v/>
      </c>
      <c r="C28" s="535"/>
      <c r="D28" s="535"/>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35" t="str">
        <f>'Schedule 2K Adjustments'!B28:D28</f>
        <v/>
      </c>
      <c r="C29" s="535"/>
      <c r="D29" s="535"/>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35" t="str">
        <f>'Schedule 2K Adjustments'!B29:D29</f>
        <v/>
      </c>
      <c r="C30" s="535"/>
      <c r="D30" s="535"/>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35" t="str">
        <f>'Schedule 2K Adjustments'!B30:D30</f>
        <v/>
      </c>
      <c r="C31" s="535"/>
      <c r="D31" s="535"/>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35" t="str">
        <f>'Schedule 2K Adjustments'!B31:D31</f>
        <v/>
      </c>
      <c r="C32" s="535"/>
      <c r="D32" s="535"/>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35" t="str">
        <f>'Schedule 2K Adjustments'!B32:D32</f>
        <v/>
      </c>
      <c r="C33" s="535"/>
      <c r="D33" s="535"/>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35" t="str">
        <f>'Schedule 2K Adjustments'!B33:D33</f>
        <v/>
      </c>
      <c r="C34" s="535"/>
      <c r="D34" s="535"/>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35" t="str">
        <f>'Schedule 2K Adjustments'!B34:D34</f>
        <v/>
      </c>
      <c r="C35" s="535"/>
      <c r="D35" s="535"/>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35" t="str">
        <f>'Schedule 2K Adjustments'!B35:D35</f>
        <v/>
      </c>
      <c r="C36" s="535"/>
      <c r="D36" s="535"/>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35" t="str">
        <f>'Schedule 2K Adjustments'!B36:D36</f>
        <v/>
      </c>
      <c r="C37" s="535"/>
      <c r="D37" s="535"/>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35" t="str">
        <f>'Schedule 2K Adjustments'!B37:D37</f>
        <v/>
      </c>
      <c r="C38" s="535"/>
      <c r="D38" s="535"/>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35" t="str">
        <f>'Schedule 2K Adjustments'!B38:D38</f>
        <v/>
      </c>
      <c r="C39" s="535"/>
      <c r="D39" s="535"/>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35" t="str">
        <f>'Schedule 2K Adjustments'!B39:D39</f>
        <v/>
      </c>
      <c r="C40" s="535"/>
      <c r="D40" s="535"/>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35" t="str">
        <f>'Schedule 2K Adjustments'!B40:D40</f>
        <v/>
      </c>
      <c r="C41" s="535"/>
      <c r="D41" s="535"/>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35" t="str">
        <f>'Schedule 2K Adjustments'!B41:D41</f>
        <v/>
      </c>
      <c r="C42" s="535"/>
      <c r="D42" s="535"/>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35" t="str">
        <f>'Schedule 2K Adjustments'!B42:D42</f>
        <v/>
      </c>
      <c r="C43" s="535"/>
      <c r="D43" s="535"/>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35" t="str">
        <f>'Schedule 2K Adjustments'!B43:D43</f>
        <v/>
      </c>
      <c r="C44" s="535"/>
      <c r="D44" s="535"/>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35" t="str">
        <f>'Schedule 2K Adjustments'!B44:D44</f>
        <v/>
      </c>
      <c r="C45" s="535"/>
      <c r="D45" s="535"/>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35" t="str">
        <f>'Schedule 2K Adjustments'!B45:D45</f>
        <v/>
      </c>
      <c r="C46" s="535"/>
      <c r="D46" s="535"/>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35" t="str">
        <f>'Schedule 2K Adjustments'!B46:D46</f>
        <v/>
      </c>
      <c r="C47" s="535"/>
      <c r="D47" s="535"/>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35" t="str">
        <f>'Schedule 2K Adjustments'!B47:D47</f>
        <v/>
      </c>
      <c r="C48" s="535"/>
      <c r="D48" s="535"/>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35" t="str">
        <f>'Schedule 2K Adjustments'!B48:D48</f>
        <v/>
      </c>
      <c r="C49" s="535"/>
      <c r="D49" s="535"/>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35" t="str">
        <f>'Schedule 2K Adjustments'!B49:D49</f>
        <v/>
      </c>
      <c r="C50" s="535"/>
      <c r="D50" s="535"/>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35" t="str">
        <f>'Schedule 2K Adjustments'!B50:D50</f>
        <v/>
      </c>
      <c r="C51" s="535"/>
      <c r="D51" s="535"/>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35" t="str">
        <f>'Schedule 2K Adjustments'!B51:D51</f>
        <v/>
      </c>
      <c r="C52" s="535"/>
      <c r="D52" s="535"/>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35" t="str">
        <f>'Schedule 2K Adjustments'!B52:D52</f>
        <v/>
      </c>
      <c r="C53" s="535"/>
      <c r="D53" s="535"/>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35" t="str">
        <f>'Schedule 2K Adjustments'!B53:D53</f>
        <v/>
      </c>
      <c r="C54" s="535"/>
      <c r="D54" s="535"/>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35" t="str">
        <f>'Schedule 2K Adjustments'!B54:D54</f>
        <v/>
      </c>
      <c r="C55" s="535"/>
      <c r="D55" s="535"/>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35" t="str">
        <f>'Schedule 2K Adjustments'!B55:D55</f>
        <v/>
      </c>
      <c r="C56" s="535"/>
      <c r="D56" s="535"/>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35" t="str">
        <f>'Schedule 2K Adjustments'!B56:D56</f>
        <v/>
      </c>
      <c r="C57" s="535"/>
      <c r="D57" s="535"/>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35" t="str">
        <f>'Schedule 2K Adjustments'!B57:D57</f>
        <v/>
      </c>
      <c r="C58" s="535"/>
      <c r="D58" s="535"/>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35" t="str">
        <f>'Schedule 2K Adjustments'!B58:D58</f>
        <v/>
      </c>
      <c r="C59" s="535"/>
      <c r="D59" s="535"/>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35" t="str">
        <f>'Schedule 2K Adjustments'!B59:D59</f>
        <v/>
      </c>
      <c r="C60" s="535"/>
      <c r="D60" s="535"/>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35" t="str">
        <f>'Schedule 2K Adjustments'!B60:D60</f>
        <v/>
      </c>
      <c r="C61" s="535"/>
      <c r="D61" s="535"/>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35" t="str">
        <f>'Schedule 2K Adjustments'!B61:D61</f>
        <v/>
      </c>
      <c r="C62" s="535"/>
      <c r="D62" s="535"/>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35" t="str">
        <f>'Schedule 2K Adjustments'!B62:D62</f>
        <v/>
      </c>
      <c r="C63" s="535"/>
      <c r="D63" s="535"/>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35" t="str">
        <f>'Schedule 2K Adjustments'!B63:D63</f>
        <v/>
      </c>
      <c r="C64" s="535"/>
      <c r="D64" s="535"/>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35" t="str">
        <f>'Schedule 2K Adjustments'!B64:D64</f>
        <v/>
      </c>
      <c r="C65" s="535"/>
      <c r="D65" s="535"/>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35" t="str">
        <f>'Schedule 2K Adjustments'!B65:D65</f>
        <v/>
      </c>
      <c r="C66" s="535"/>
      <c r="D66" s="535"/>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35" t="str">
        <f>'Schedule 2K Adjustments'!B66:D66</f>
        <v/>
      </c>
      <c r="C67" s="535"/>
      <c r="D67" s="535"/>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35" t="str">
        <f>'Schedule 2K Adjustments'!B67:D67</f>
        <v/>
      </c>
      <c r="C68" s="535"/>
      <c r="D68" s="535"/>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35" t="str">
        <f>'Schedule 2K Adjustments'!B68:D68</f>
        <v/>
      </c>
      <c r="C69" s="535"/>
      <c r="D69" s="535"/>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35" t="str">
        <f>'Schedule 2K Adjustments'!B69:D69</f>
        <v/>
      </c>
      <c r="C70" s="535"/>
      <c r="D70" s="535"/>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35" t="str">
        <f>'Schedule 2K Adjustments'!B70:D70</f>
        <v/>
      </c>
      <c r="C71" s="535"/>
      <c r="D71" s="535"/>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35" t="str">
        <f>'Schedule 2K Adjustments'!B71:D71</f>
        <v/>
      </c>
      <c r="C72" s="535"/>
      <c r="D72" s="535"/>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35" t="str">
        <f>'Schedule 2K Adjustments'!B72:D72</f>
        <v/>
      </c>
      <c r="C73" s="535"/>
      <c r="D73" s="535"/>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830</v>
      </c>
      <c r="C9" s="1"/>
      <c r="F9" s="119" t="str">
        <f>'Schedule 2L Adjustments'!F8</f>
        <v>No</v>
      </c>
      <c r="G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2L Adjustments'!B15:D15</f>
        <v/>
      </c>
      <c r="C16" s="535"/>
      <c r="D16" s="535"/>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35" t="str">
        <f>'Schedule 2L Adjustments'!B16:D16</f>
        <v/>
      </c>
      <c r="C17" s="535"/>
      <c r="D17" s="535"/>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35" t="str">
        <f>'Schedule 2L Adjustments'!B17:D17</f>
        <v/>
      </c>
      <c r="C18" s="535"/>
      <c r="D18" s="535"/>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35" t="str">
        <f>'Schedule 2L Adjustments'!B18:D18</f>
        <v/>
      </c>
      <c r="C19" s="535"/>
      <c r="D19" s="535"/>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35" t="str">
        <f>'Schedule 2L Adjustments'!B19:D19</f>
        <v/>
      </c>
      <c r="C20" s="535"/>
      <c r="D20" s="535"/>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35" t="str">
        <f>'Schedule 2L Adjustments'!B20:D20</f>
        <v/>
      </c>
      <c r="C21" s="535"/>
      <c r="D21" s="535"/>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35" t="str">
        <f>'Schedule 2L Adjustments'!B21:D21</f>
        <v/>
      </c>
      <c r="C22" s="535"/>
      <c r="D22" s="535"/>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35" t="str">
        <f>'Schedule 2L Adjustments'!B22:D22</f>
        <v/>
      </c>
      <c r="C23" s="535"/>
      <c r="D23" s="535"/>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35" t="str">
        <f>'Schedule 2L Adjustments'!B23:D23</f>
        <v/>
      </c>
      <c r="C24" s="535"/>
      <c r="D24" s="535"/>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35" t="str">
        <f>'Schedule 2L Adjustments'!B24:D24</f>
        <v/>
      </c>
      <c r="C25" s="535"/>
      <c r="D25" s="535"/>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35" t="str">
        <f>'Schedule 2L Adjustments'!B25:D25</f>
        <v/>
      </c>
      <c r="C26" s="535"/>
      <c r="D26" s="535"/>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35" t="str">
        <f>'Schedule 2L Adjustments'!B26:D26</f>
        <v/>
      </c>
      <c r="C27" s="535"/>
      <c r="D27" s="535"/>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35" t="str">
        <f>'Schedule 2L Adjustments'!B27:D27</f>
        <v/>
      </c>
      <c r="C28" s="535"/>
      <c r="D28" s="535"/>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35" t="str">
        <f>'Schedule 2L Adjustments'!B28:D28</f>
        <v/>
      </c>
      <c r="C29" s="535"/>
      <c r="D29" s="535"/>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35" t="str">
        <f>'Schedule 2L Adjustments'!B29:D29</f>
        <v/>
      </c>
      <c r="C30" s="535"/>
      <c r="D30" s="535"/>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35" t="str">
        <f>'Schedule 2L Adjustments'!B30:D30</f>
        <v/>
      </c>
      <c r="C31" s="535"/>
      <c r="D31" s="535"/>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35" t="str">
        <f>'Schedule 2L Adjustments'!B31:D31</f>
        <v/>
      </c>
      <c r="C32" s="535"/>
      <c r="D32" s="535"/>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35" t="str">
        <f>'Schedule 2L Adjustments'!B32:D32</f>
        <v/>
      </c>
      <c r="C33" s="535"/>
      <c r="D33" s="535"/>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35" t="str">
        <f>'Schedule 2L Adjustments'!B33:D33</f>
        <v/>
      </c>
      <c r="C34" s="535"/>
      <c r="D34" s="535"/>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35" t="str">
        <f>'Schedule 2L Adjustments'!B34:D34</f>
        <v/>
      </c>
      <c r="C35" s="535"/>
      <c r="D35" s="535"/>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35" t="str">
        <f>'Schedule 2L Adjustments'!B35:D35</f>
        <v/>
      </c>
      <c r="C36" s="535"/>
      <c r="D36" s="535"/>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35" t="str">
        <f>'Schedule 2L Adjustments'!B36:D36</f>
        <v/>
      </c>
      <c r="C37" s="535"/>
      <c r="D37" s="535"/>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35" t="str">
        <f>'Schedule 2L Adjustments'!B37:D37</f>
        <v/>
      </c>
      <c r="C38" s="535"/>
      <c r="D38" s="535"/>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35" t="str">
        <f>'Schedule 2L Adjustments'!B38:D38</f>
        <v/>
      </c>
      <c r="C39" s="535"/>
      <c r="D39" s="535"/>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35" t="str">
        <f>'Schedule 2L Adjustments'!B39:D39</f>
        <v/>
      </c>
      <c r="C40" s="535"/>
      <c r="D40" s="535"/>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35" t="str">
        <f>'Schedule 2L Adjustments'!B40:D40</f>
        <v/>
      </c>
      <c r="C41" s="535"/>
      <c r="D41" s="535"/>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35" t="str">
        <f>'Schedule 2L Adjustments'!B41:D41</f>
        <v/>
      </c>
      <c r="C42" s="535"/>
      <c r="D42" s="535"/>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35" t="str">
        <f>'Schedule 2L Adjustments'!B42:D42</f>
        <v/>
      </c>
      <c r="C43" s="535"/>
      <c r="D43" s="535"/>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35" t="str">
        <f>'Schedule 2L Adjustments'!B43:D43</f>
        <v/>
      </c>
      <c r="C44" s="535"/>
      <c r="D44" s="535"/>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35" t="str">
        <f>'Schedule 2L Adjustments'!B44:D44</f>
        <v/>
      </c>
      <c r="C45" s="535"/>
      <c r="D45" s="535"/>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35" t="str">
        <f>'Schedule 2L Adjustments'!B45:D45</f>
        <v/>
      </c>
      <c r="C46" s="535"/>
      <c r="D46" s="535"/>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35" t="str">
        <f>'Schedule 2L Adjustments'!B46:D46</f>
        <v/>
      </c>
      <c r="C47" s="535"/>
      <c r="D47" s="535"/>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35" t="str">
        <f>'Schedule 2L Adjustments'!B47:D47</f>
        <v/>
      </c>
      <c r="C48" s="535"/>
      <c r="D48" s="535"/>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35" t="str">
        <f>'Schedule 2L Adjustments'!B48:D48</f>
        <v/>
      </c>
      <c r="C49" s="535"/>
      <c r="D49" s="535"/>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35" t="str">
        <f>'Schedule 2L Adjustments'!B49:D49</f>
        <v/>
      </c>
      <c r="C50" s="535"/>
      <c r="D50" s="535"/>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35" t="str">
        <f>'Schedule 2L Adjustments'!B50:D50</f>
        <v/>
      </c>
      <c r="C51" s="535"/>
      <c r="D51" s="535"/>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35" t="str">
        <f>'Schedule 2L Adjustments'!B51:D51</f>
        <v/>
      </c>
      <c r="C52" s="535"/>
      <c r="D52" s="535"/>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35" t="str">
        <f>'Schedule 2L Adjustments'!B52:D52</f>
        <v/>
      </c>
      <c r="C53" s="535"/>
      <c r="D53" s="535"/>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35" t="str">
        <f>'Schedule 2L Adjustments'!B53:D53</f>
        <v/>
      </c>
      <c r="C54" s="535"/>
      <c r="D54" s="535"/>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35" t="str">
        <f>'Schedule 2L Adjustments'!B54:D54</f>
        <v/>
      </c>
      <c r="C55" s="535"/>
      <c r="D55" s="535"/>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35" t="str">
        <f>'Schedule 2L Adjustments'!B55:D55</f>
        <v/>
      </c>
      <c r="C56" s="535"/>
      <c r="D56" s="535"/>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35" t="str">
        <f>'Schedule 2L Adjustments'!B56:D56</f>
        <v/>
      </c>
      <c r="C57" s="535"/>
      <c r="D57" s="535"/>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35" t="str">
        <f>'Schedule 2L Adjustments'!B57:D57</f>
        <v/>
      </c>
      <c r="C58" s="535"/>
      <c r="D58" s="535"/>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35" t="str">
        <f>'Schedule 2L Adjustments'!B58:D58</f>
        <v/>
      </c>
      <c r="C59" s="535"/>
      <c r="D59" s="535"/>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35" t="str">
        <f>'Schedule 2L Adjustments'!B59:D59</f>
        <v/>
      </c>
      <c r="C60" s="535"/>
      <c r="D60" s="535"/>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35" t="str">
        <f>'Schedule 2L Adjustments'!B60:D60</f>
        <v/>
      </c>
      <c r="C61" s="535"/>
      <c r="D61" s="535"/>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35" t="str">
        <f>'Schedule 2L Adjustments'!B61:D61</f>
        <v/>
      </c>
      <c r="C62" s="535"/>
      <c r="D62" s="535"/>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35" t="str">
        <f>'Schedule 2L Adjustments'!B62:D62</f>
        <v/>
      </c>
      <c r="C63" s="535"/>
      <c r="D63" s="535"/>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35" t="str">
        <f>'Schedule 2L Adjustments'!B63:D63</f>
        <v/>
      </c>
      <c r="C64" s="535"/>
      <c r="D64" s="535"/>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35" t="str">
        <f>'Schedule 2L Adjustments'!B64:D64</f>
        <v/>
      </c>
      <c r="C65" s="535"/>
      <c r="D65" s="535"/>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35" t="str">
        <f>'Schedule 2L Adjustments'!B65:D65</f>
        <v/>
      </c>
      <c r="C66" s="535"/>
      <c r="D66" s="535"/>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35" t="str">
        <f>'Schedule 2L Adjustments'!B66:D66</f>
        <v/>
      </c>
      <c r="C67" s="535"/>
      <c r="D67" s="535"/>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35" t="str">
        <f>'Schedule 2L Adjustments'!B67:D67</f>
        <v/>
      </c>
      <c r="C68" s="535"/>
      <c r="D68" s="535"/>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35" t="str">
        <f>'Schedule 2L Adjustments'!B68:D68</f>
        <v/>
      </c>
      <c r="C69" s="535"/>
      <c r="D69" s="535"/>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35" t="str">
        <f>'Schedule 2L Adjustments'!B69:D69</f>
        <v/>
      </c>
      <c r="C70" s="535"/>
      <c r="D70" s="535"/>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35" t="str">
        <f>'Schedule 2L Adjustments'!B70:D70</f>
        <v/>
      </c>
      <c r="C71" s="535"/>
      <c r="D71" s="535"/>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35" t="str">
        <f>'Schedule 2L Adjustments'!B71:D71</f>
        <v/>
      </c>
      <c r="C72" s="535"/>
      <c r="D72" s="535"/>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35" t="str">
        <f>'Schedule 2L Adjustments'!B72:D72</f>
        <v/>
      </c>
      <c r="C73" s="535"/>
      <c r="D73" s="535"/>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855</v>
      </c>
      <c r="B3" s="5"/>
      <c r="C3" s="5"/>
      <c r="D3" s="5"/>
      <c r="E3" s="5"/>
      <c r="F3" s="5"/>
      <c r="G3" s="5"/>
      <c r="H3" s="5"/>
    </row>
    <row r="4" spans="1:15" ht="25" customHeight="1" x14ac:dyDescent="0.5">
      <c r="A4" s="242" t="s">
        <v>833</v>
      </c>
      <c r="B4" s="361"/>
      <c r="C4" s="361"/>
      <c r="D4" s="361"/>
      <c r="E4" s="361"/>
      <c r="F4" s="361"/>
      <c r="G4" s="361"/>
      <c r="H4" s="361"/>
    </row>
    <row r="5" spans="1:15" ht="21" x14ac:dyDescent="0.5">
      <c r="A5" s="243" t="str">
        <f>Results!A4</f>
        <v>Final Adjustments</v>
      </c>
    </row>
    <row r="6" spans="1:15" x14ac:dyDescent="0.35">
      <c r="A6" s="1" t="s">
        <v>772</v>
      </c>
      <c r="C6" s="421" t="str">
        <f>Results!$C$6</f>
        <v>SummitStone Health Partners</v>
      </c>
    </row>
    <row r="7" spans="1:15" x14ac:dyDescent="0.35">
      <c r="A7" s="1" t="s">
        <v>0</v>
      </c>
      <c r="C7" s="35">
        <f>Results!$C$7</f>
        <v>45473</v>
      </c>
      <c r="F7" s="35"/>
    </row>
    <row r="9" spans="1:15" x14ac:dyDescent="0.35">
      <c r="A9" s="1" t="s">
        <v>253</v>
      </c>
      <c r="B9" s="1" t="s">
        <v>834</v>
      </c>
      <c r="C9" s="1"/>
      <c r="J9" s="119" t="str">
        <f>'Schedule 2M Adjustments'!I8</f>
        <v>No</v>
      </c>
      <c r="K9" s="41" t="s">
        <v>259</v>
      </c>
    </row>
    <row r="11" spans="1:15" x14ac:dyDescent="0.35">
      <c r="A11" s="1" t="s">
        <v>254</v>
      </c>
      <c r="B11" s="1" t="s">
        <v>256</v>
      </c>
      <c r="C11" s="1"/>
    </row>
    <row r="12" spans="1:15" x14ac:dyDescent="0.35">
      <c r="B12" s="318" t="s">
        <v>597</v>
      </c>
    </row>
    <row r="13" spans="1:15" x14ac:dyDescent="0.35">
      <c r="B13" s="530">
        <v>1</v>
      </c>
      <c r="C13" s="530"/>
      <c r="D13" s="530"/>
      <c r="F13" s="23">
        <v>2</v>
      </c>
      <c r="G13" s="23">
        <v>3</v>
      </c>
      <c r="H13" s="23">
        <v>4</v>
      </c>
      <c r="J13" s="23">
        <v>5</v>
      </c>
      <c r="K13" s="23">
        <v>6</v>
      </c>
      <c r="L13" s="23">
        <v>7</v>
      </c>
      <c r="N13" s="23">
        <v>8</v>
      </c>
      <c r="O13" s="23">
        <v>9</v>
      </c>
    </row>
    <row r="14" spans="1:15" ht="15" customHeight="1" x14ac:dyDescent="0.35">
      <c r="B14" s="539" t="s">
        <v>611</v>
      </c>
      <c r="C14" s="540"/>
      <c r="D14" s="541"/>
      <c r="F14" s="533" t="s">
        <v>261</v>
      </c>
      <c r="G14" s="538"/>
      <c r="H14" s="534"/>
      <c r="J14" s="533" t="s">
        <v>262</v>
      </c>
      <c r="K14" s="538"/>
      <c r="L14" s="534"/>
      <c r="N14" s="536" t="s">
        <v>691</v>
      </c>
      <c r="O14" s="536" t="s">
        <v>692</v>
      </c>
    </row>
    <row r="15" spans="1:15" ht="55.5" customHeight="1" x14ac:dyDescent="0.35">
      <c r="B15" s="542"/>
      <c r="C15" s="543"/>
      <c r="D15" s="544"/>
      <c r="E15" s="48"/>
      <c r="F15" s="10" t="s">
        <v>688</v>
      </c>
      <c r="G15" s="151" t="s">
        <v>689</v>
      </c>
      <c r="H15" s="151" t="s">
        <v>690</v>
      </c>
      <c r="I15" s="100"/>
      <c r="J15" s="10" t="s">
        <v>688</v>
      </c>
      <c r="K15" s="151" t="s">
        <v>689</v>
      </c>
      <c r="L15" s="151" t="s">
        <v>690</v>
      </c>
      <c r="M15" s="48"/>
      <c r="N15" s="537"/>
      <c r="O15" s="537"/>
    </row>
    <row r="16" spans="1:15" x14ac:dyDescent="0.35">
      <c r="A16" s="24">
        <v>1</v>
      </c>
      <c r="B16" s="535" t="str">
        <f>'Schedule 2M Adjustments'!B15:D15</f>
        <v/>
      </c>
      <c r="C16" s="535"/>
      <c r="D16" s="535"/>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35" t="str">
        <f>'Schedule 2M Adjustments'!B16:D16</f>
        <v/>
      </c>
      <c r="C17" s="535"/>
      <c r="D17" s="535"/>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35" t="str">
        <f>'Schedule 2M Adjustments'!B17:D17</f>
        <v/>
      </c>
      <c r="C18" s="535"/>
      <c r="D18" s="535"/>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35" t="str">
        <f>'Schedule 2M Adjustments'!B18:D18</f>
        <v/>
      </c>
      <c r="C19" s="535"/>
      <c r="D19" s="535"/>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35" t="str">
        <f>'Schedule 2M Adjustments'!B19:D19</f>
        <v/>
      </c>
      <c r="C20" s="535"/>
      <c r="D20" s="535"/>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35" t="str">
        <f>'Schedule 2M Adjustments'!B20:D20</f>
        <v/>
      </c>
      <c r="C21" s="535"/>
      <c r="D21" s="535"/>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35" t="str">
        <f>'Schedule 2M Adjustments'!B21:D21</f>
        <v/>
      </c>
      <c r="C22" s="535"/>
      <c r="D22" s="535"/>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35" t="str">
        <f>'Schedule 2M Adjustments'!B22:D22</f>
        <v/>
      </c>
      <c r="C23" s="535"/>
      <c r="D23" s="535"/>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35" t="str">
        <f>'Schedule 2M Adjustments'!B23:D23</f>
        <v/>
      </c>
      <c r="C24" s="535"/>
      <c r="D24" s="535"/>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35" t="str">
        <f>'Schedule 2M Adjustments'!B24:D24</f>
        <v/>
      </c>
      <c r="C25" s="535"/>
      <c r="D25" s="535"/>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35" t="str">
        <f>'Schedule 2M Adjustments'!B25:D25</f>
        <v/>
      </c>
      <c r="C26" s="535"/>
      <c r="D26" s="535"/>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35" t="str">
        <f>'Schedule 2M Adjustments'!B26:D26</f>
        <v/>
      </c>
      <c r="C27" s="535"/>
      <c r="D27" s="535"/>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35" t="str">
        <f>'Schedule 2M Adjustments'!B27:D27</f>
        <v/>
      </c>
      <c r="C28" s="535"/>
      <c r="D28" s="535"/>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35" t="str">
        <f>'Schedule 2M Adjustments'!B28:D28</f>
        <v/>
      </c>
      <c r="C29" s="535"/>
      <c r="D29" s="535"/>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35" t="str">
        <f>'Schedule 2M Adjustments'!B29:D29</f>
        <v/>
      </c>
      <c r="C30" s="535"/>
      <c r="D30" s="535"/>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35" t="str">
        <f>'Schedule 2M Adjustments'!B30:D30</f>
        <v/>
      </c>
      <c r="C31" s="535"/>
      <c r="D31" s="535"/>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35" t="str">
        <f>'Schedule 2M Adjustments'!B31:D31</f>
        <v/>
      </c>
      <c r="C32" s="535"/>
      <c r="D32" s="535"/>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35" t="str">
        <f>'Schedule 2M Adjustments'!B32:D32</f>
        <v/>
      </c>
      <c r="C33" s="535"/>
      <c r="D33" s="535"/>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35" t="str">
        <f>'Schedule 2M Adjustments'!B33:D33</f>
        <v/>
      </c>
      <c r="C34" s="535"/>
      <c r="D34" s="535"/>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35" t="str">
        <f>'Schedule 2M Adjustments'!B34:D34</f>
        <v/>
      </c>
      <c r="C35" s="535"/>
      <c r="D35" s="535"/>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35" t="str">
        <f>'Schedule 2M Adjustments'!B35:D35</f>
        <v/>
      </c>
      <c r="C36" s="535"/>
      <c r="D36" s="535"/>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35" t="str">
        <f>'Schedule 2M Adjustments'!B36:D36</f>
        <v/>
      </c>
      <c r="C37" s="535"/>
      <c r="D37" s="535"/>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35" t="str">
        <f>'Schedule 2M Adjustments'!B37:D37</f>
        <v/>
      </c>
      <c r="C38" s="535"/>
      <c r="D38" s="535"/>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35" t="str">
        <f>'Schedule 2M Adjustments'!B38:D38</f>
        <v/>
      </c>
      <c r="C39" s="535"/>
      <c r="D39" s="535"/>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35" t="str">
        <f>'Schedule 2M Adjustments'!B39:D39</f>
        <v/>
      </c>
      <c r="C40" s="535"/>
      <c r="D40" s="535"/>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35" t="str">
        <f>'Schedule 2M Adjustments'!B40:D40</f>
        <v/>
      </c>
      <c r="C41" s="535"/>
      <c r="D41" s="535"/>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35" t="str">
        <f>'Schedule 2M Adjustments'!B41:D41</f>
        <v/>
      </c>
      <c r="C42" s="535"/>
      <c r="D42" s="535"/>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35" t="str">
        <f>'Schedule 2M Adjustments'!B42:D42</f>
        <v/>
      </c>
      <c r="C43" s="535"/>
      <c r="D43" s="535"/>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35" t="str">
        <f>'Schedule 2M Adjustments'!B43:D43</f>
        <v/>
      </c>
      <c r="C44" s="535"/>
      <c r="D44" s="535"/>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35" t="str">
        <f>'Schedule 2M Adjustments'!B44:D44</f>
        <v/>
      </c>
      <c r="C45" s="535"/>
      <c r="D45" s="535"/>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35" t="str">
        <f>'Schedule 2M Adjustments'!B45:D45</f>
        <v/>
      </c>
      <c r="C46" s="535"/>
      <c r="D46" s="535"/>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35" t="str">
        <f>'Schedule 2M Adjustments'!B46:D46</f>
        <v/>
      </c>
      <c r="C47" s="535"/>
      <c r="D47" s="535"/>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35" t="str">
        <f>'Schedule 2M Adjustments'!B47:D47</f>
        <v/>
      </c>
      <c r="C48" s="535"/>
      <c r="D48" s="535"/>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35" t="str">
        <f>'Schedule 2M Adjustments'!B48:D48</f>
        <v/>
      </c>
      <c r="C49" s="535"/>
      <c r="D49" s="535"/>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35" t="str">
        <f>'Schedule 2M Adjustments'!B49:D49</f>
        <v/>
      </c>
      <c r="C50" s="535"/>
      <c r="D50" s="535"/>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35" t="str">
        <f>'Schedule 2M Adjustments'!B50:D50</f>
        <v/>
      </c>
      <c r="C51" s="535"/>
      <c r="D51" s="535"/>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35" t="str">
        <f>'Schedule 2M Adjustments'!B51:D51</f>
        <v/>
      </c>
      <c r="C52" s="535"/>
      <c r="D52" s="535"/>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35" t="str">
        <f>'Schedule 2M Adjustments'!B52:D52</f>
        <v/>
      </c>
      <c r="C53" s="535"/>
      <c r="D53" s="535"/>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35" t="str">
        <f>'Schedule 2M Adjustments'!B53:D53</f>
        <v/>
      </c>
      <c r="C54" s="535"/>
      <c r="D54" s="535"/>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35" t="str">
        <f>'Schedule 2M Adjustments'!B54:D54</f>
        <v/>
      </c>
      <c r="C55" s="535"/>
      <c r="D55" s="535"/>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35" t="str">
        <f>'Schedule 2M Adjustments'!B55:D55</f>
        <v/>
      </c>
      <c r="C56" s="535"/>
      <c r="D56" s="535"/>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35" t="str">
        <f>'Schedule 2M Adjustments'!B56:D56</f>
        <v/>
      </c>
      <c r="C57" s="535"/>
      <c r="D57" s="535"/>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35" t="str">
        <f>'Schedule 2M Adjustments'!B57:D57</f>
        <v/>
      </c>
      <c r="C58" s="535"/>
      <c r="D58" s="535"/>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35" t="str">
        <f>'Schedule 2M Adjustments'!B58:D58</f>
        <v/>
      </c>
      <c r="C59" s="535"/>
      <c r="D59" s="535"/>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35" t="str">
        <f>'Schedule 2M Adjustments'!B59:D59</f>
        <v/>
      </c>
      <c r="C60" s="535"/>
      <c r="D60" s="535"/>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35" t="str">
        <f>'Schedule 2M Adjustments'!B60:D60</f>
        <v/>
      </c>
      <c r="C61" s="535"/>
      <c r="D61" s="535"/>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35" t="str">
        <f>'Schedule 2M Adjustments'!B61:D61</f>
        <v/>
      </c>
      <c r="C62" s="535"/>
      <c r="D62" s="535"/>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35" t="str">
        <f>'Schedule 2M Adjustments'!B62:D62</f>
        <v/>
      </c>
      <c r="C63" s="535"/>
      <c r="D63" s="535"/>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35" t="str">
        <f>'Schedule 2M Adjustments'!B63:D63</f>
        <v/>
      </c>
      <c r="C64" s="535"/>
      <c r="D64" s="535"/>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35" t="str">
        <f>'Schedule 2M Adjustments'!B64:D64</f>
        <v/>
      </c>
      <c r="C65" s="535"/>
      <c r="D65" s="535"/>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35" t="str">
        <f>'Schedule 2M Adjustments'!B65:D65</f>
        <v/>
      </c>
      <c r="C66" s="535"/>
      <c r="D66" s="535"/>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35" t="str">
        <f>'Schedule 2M Adjustments'!B66:D66</f>
        <v/>
      </c>
      <c r="C67" s="535"/>
      <c r="D67" s="535"/>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35" t="str">
        <f>'Schedule 2M Adjustments'!B67:D67</f>
        <v/>
      </c>
      <c r="C68" s="535"/>
      <c r="D68" s="535"/>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35" t="str">
        <f>'Schedule 2M Adjustments'!B68:D68</f>
        <v/>
      </c>
      <c r="C69" s="535"/>
      <c r="D69" s="535"/>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35" t="str">
        <f>'Schedule 2M Adjustments'!B69:D69</f>
        <v/>
      </c>
      <c r="C70" s="535"/>
      <c r="D70" s="535"/>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35" t="str">
        <f>'Schedule 2M Adjustments'!B70:D70</f>
        <v/>
      </c>
      <c r="C71" s="535"/>
      <c r="D71" s="535"/>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35" t="str">
        <f>'Schedule 2M Adjustments'!B71:D71</f>
        <v/>
      </c>
      <c r="C72" s="535"/>
      <c r="D72" s="535"/>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35" t="str">
        <f>'Schedule 2M Adjustments'!B72:D72</f>
        <v/>
      </c>
      <c r="C73" s="535"/>
      <c r="D73" s="535"/>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923</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772</v>
      </c>
      <c r="C6" s="421" t="str">
        <f>Results!$C$6</f>
        <v>SummitStone Health Partners</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24" t="s">
        <v>480</v>
      </c>
      <c r="B10" s="524"/>
      <c r="C10" s="524"/>
      <c r="D10" s="524"/>
      <c r="E10" s="524"/>
      <c r="F10" s="524"/>
      <c r="G10" s="524"/>
      <c r="H10" s="524"/>
      <c r="I10" s="524"/>
      <c r="J10" s="524"/>
      <c r="K10" s="524"/>
      <c r="L10" s="100"/>
      <c r="T10" s="40"/>
      <c r="U10" s="40"/>
      <c r="V10" s="40"/>
    </row>
    <row r="11" spans="1:22" x14ac:dyDescent="0.35">
      <c r="A11" s="524"/>
      <c r="B11" s="524"/>
      <c r="C11" s="524"/>
      <c r="D11" s="524"/>
      <c r="E11" s="524"/>
      <c r="F11" s="524"/>
      <c r="G11" s="524"/>
      <c r="H11" s="524"/>
      <c r="I11" s="524"/>
      <c r="J11" s="524"/>
      <c r="K11" s="524"/>
      <c r="L11" s="100"/>
      <c r="T11" s="40"/>
      <c r="U11" s="40"/>
      <c r="V11" s="40"/>
    </row>
    <row r="12" spans="1:22" x14ac:dyDescent="0.35">
      <c r="A12" s="524"/>
      <c r="B12" s="524"/>
      <c r="C12" s="524"/>
      <c r="D12" s="524"/>
      <c r="E12" s="524"/>
      <c r="F12" s="524"/>
      <c r="G12" s="524"/>
      <c r="H12" s="524"/>
      <c r="I12" s="524"/>
      <c r="J12" s="524"/>
      <c r="K12" s="524"/>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17">
        <v>1</v>
      </c>
      <c r="C14" s="518"/>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51" t="s">
        <v>631</v>
      </c>
      <c r="C15" s="552"/>
      <c r="D15" s="548" t="s">
        <v>632</v>
      </c>
      <c r="E15" s="548" t="s">
        <v>633</v>
      </c>
      <c r="F15" s="548" t="s">
        <v>634</v>
      </c>
      <c r="G15" s="555" t="s">
        <v>757</v>
      </c>
      <c r="H15" s="555" t="s">
        <v>758</v>
      </c>
      <c r="I15" s="208"/>
      <c r="J15" s="208"/>
      <c r="K15" s="548" t="s">
        <v>696</v>
      </c>
      <c r="L15" s="548" t="s">
        <v>697</v>
      </c>
      <c r="M15" s="550" t="s">
        <v>168</v>
      </c>
      <c r="N15" s="550"/>
      <c r="O15" s="550" t="s">
        <v>34</v>
      </c>
      <c r="P15" s="550"/>
      <c r="Q15" s="550" t="s">
        <v>169</v>
      </c>
      <c r="R15" s="550"/>
    </row>
    <row r="16" spans="1:22" ht="60" customHeight="1" x14ac:dyDescent="0.35">
      <c r="A16" s="100"/>
      <c r="B16" s="553"/>
      <c r="C16" s="554"/>
      <c r="D16" s="549"/>
      <c r="E16" s="549"/>
      <c r="F16" s="549"/>
      <c r="G16" s="556"/>
      <c r="H16" s="556"/>
      <c r="I16" s="209" t="s">
        <v>454</v>
      </c>
      <c r="J16" s="209" t="s">
        <v>494</v>
      </c>
      <c r="K16" s="549"/>
      <c r="L16" s="549"/>
      <c r="M16" s="10" t="s">
        <v>698</v>
      </c>
      <c r="N16" s="10" t="s">
        <v>699</v>
      </c>
      <c r="O16" s="10" t="s">
        <v>700</v>
      </c>
      <c r="P16" s="10" t="s">
        <v>701</v>
      </c>
      <c r="Q16" s="10" t="s">
        <v>702</v>
      </c>
      <c r="R16" s="10" t="s">
        <v>703</v>
      </c>
    </row>
    <row r="17" spans="1:18" x14ac:dyDescent="0.35">
      <c r="A17" s="100"/>
      <c r="B17" s="318" t="s">
        <v>597</v>
      </c>
      <c r="C17" s="210"/>
      <c r="D17" s="97"/>
      <c r="E17" s="97"/>
      <c r="F17" s="97"/>
      <c r="G17" s="211"/>
      <c r="H17" s="211"/>
      <c r="I17" s="97"/>
      <c r="J17" s="97"/>
      <c r="K17" s="97"/>
      <c r="L17" s="97"/>
      <c r="M17" s="6"/>
      <c r="N17" s="6"/>
      <c r="O17" s="6"/>
      <c r="P17" s="6"/>
      <c r="Q17" s="6"/>
      <c r="R17" s="6"/>
    </row>
    <row r="18" spans="1:18" s="34" customFormat="1" x14ac:dyDescent="0.35">
      <c r="A18" s="212">
        <v>1</v>
      </c>
      <c r="B18" s="546" t="str">
        <f>'Schedule 3 Adjustments'!B17:C17</f>
        <v>Crisis Stabilization Unit (CSU)</v>
      </c>
      <c r="C18" s="547"/>
      <c r="D18" s="365" t="str">
        <f>'Schedule 3 Adjustments'!D17</f>
        <v>CSU</v>
      </c>
      <c r="E18" s="365" t="str">
        <f>'Schedule 3 Adjustments'!E17</f>
        <v>CSL</v>
      </c>
      <c r="F18" s="370">
        <f>'Schedule 3 Adjustments'!F17</f>
        <v>10</v>
      </c>
      <c r="G18" s="373">
        <f>'Schedule 3 Adjustments'!G17</f>
        <v>0</v>
      </c>
      <c r="H18" s="373">
        <f>'Schedule 3 Adjustments'!H17</f>
        <v>45261</v>
      </c>
      <c r="I18" s="213">
        <f>IF(B18=0,"",IF(AND(G18=0,H18=0),365,IF(AND(G18&gt;0,H18=0),$C$7-G18+1,IF(AND(G18=0,H18&gt;0),H18-($C$7-365),H18-G18+1))))</f>
        <v>153</v>
      </c>
      <c r="J18" s="98"/>
      <c r="K18" s="214">
        <f>SUM(K19:K21)</f>
        <v>1372</v>
      </c>
      <c r="L18" s="215">
        <f>IF(K18&gt;0,K18/(F18*I18),"")</f>
        <v>0.89673202614379088</v>
      </c>
      <c r="M18" s="126">
        <f>'Schedule 3 Adjustments'!R17</f>
        <v>1973739.8503449254</v>
      </c>
      <c r="N18" s="85">
        <f>IFERROR(M18/K18,"")</f>
        <v>1438.5858967528611</v>
      </c>
      <c r="O18" s="126">
        <f>'Schedule 3 Adjustments'!W17</f>
        <v>84060.891032265819</v>
      </c>
      <c r="P18" s="85">
        <f>IFERROR(O18/K18,"")</f>
        <v>61.268871014771008</v>
      </c>
      <c r="Q18" s="86">
        <f>IF(M18=0,"",M18-O18)</f>
        <v>1889678.9593126597</v>
      </c>
      <c r="R18" s="85">
        <f>IFERROR(Q18/K18,"")</f>
        <v>1377.3170257380903</v>
      </c>
    </row>
    <row r="19" spans="1:18" x14ac:dyDescent="0.35">
      <c r="A19" s="216" t="s">
        <v>447</v>
      </c>
      <c r="B19" s="217"/>
      <c r="C19" s="217"/>
      <c r="D19" s="217"/>
      <c r="E19" s="217"/>
      <c r="F19" s="218"/>
      <c r="G19" s="219"/>
      <c r="H19" s="219"/>
      <c r="I19" s="220"/>
      <c r="J19" s="369" t="str">
        <f>'Schedule 3 Adjustments'!J18</f>
        <v>H0018</v>
      </c>
      <c r="K19" s="221">
        <f>'Schedule 3 Adjustments'!M18</f>
        <v>1372</v>
      </c>
      <c r="L19" s="222"/>
      <c r="M19" s="87"/>
      <c r="N19" s="87"/>
      <c r="O19" s="87"/>
      <c r="P19" s="87"/>
      <c r="Q19" s="87"/>
      <c r="R19" s="87"/>
    </row>
    <row r="20" spans="1:18" x14ac:dyDescent="0.35">
      <c r="A20" s="223" t="s">
        <v>448</v>
      </c>
      <c r="B20" s="224"/>
      <c r="C20" s="224"/>
      <c r="D20" s="224"/>
      <c r="E20" s="224"/>
      <c r="F20" s="225"/>
      <c r="G20" s="226"/>
      <c r="H20" s="226"/>
      <c r="I20" s="227"/>
      <c r="J20" s="371">
        <f>'Schedule 3 Adjustments'!J19</f>
        <v>0</v>
      </c>
      <c r="K20" s="228">
        <f>'Schedule 3 Adjustments'!M19</f>
        <v>0</v>
      </c>
      <c r="L20" s="229"/>
      <c r="M20" s="88"/>
      <c r="N20" s="88"/>
      <c r="O20" s="88"/>
      <c r="P20" s="88"/>
      <c r="Q20" s="88"/>
      <c r="R20" s="88"/>
    </row>
    <row r="21" spans="1:18" x14ac:dyDescent="0.35">
      <c r="A21" s="230" t="s">
        <v>449</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46" t="str">
        <f>'Schedule 3 Adjustments'!B22:C22</f>
        <v>Garcia House</v>
      </c>
      <c r="C23" s="547"/>
      <c r="D23" s="365" t="str">
        <f>'Schedule 3 Adjustments'!D22</f>
        <v>Residential</v>
      </c>
      <c r="E23" s="365" t="str">
        <f>'Schedule 3 Adjustments'!E22</f>
        <v>ALR</v>
      </c>
      <c r="F23" s="370">
        <f>'Schedule 3 Adjustments'!F22</f>
        <v>16</v>
      </c>
      <c r="G23" s="373">
        <f>'Schedule 3 Adjustments'!G22</f>
        <v>0</v>
      </c>
      <c r="H23" s="373">
        <f>'Schedule 3 Adjustments'!H22</f>
        <v>0</v>
      </c>
      <c r="I23" s="139">
        <f>IF(B23=0,"",IF(AND(G23=0,H23=0),365,IF(AND(G23&gt;0,H23=0),$C$7-G23+1,IF(AND(G23=0,H23&gt;0),H23-($C$7-365),H23-G23+1))))</f>
        <v>365</v>
      </c>
      <c r="J23" s="98"/>
      <c r="K23" s="8">
        <f>SUM(K24:K26)</f>
        <v>2343</v>
      </c>
      <c r="L23" s="91">
        <f>IF(K23&gt;0,K23/(F23*I23),"")</f>
        <v>0.40119863013698631</v>
      </c>
      <c r="M23" s="126">
        <f>'Schedule 3 Adjustments'!R22</f>
        <v>4798321.4031435037</v>
      </c>
      <c r="N23" s="85">
        <f>IFERROR(M23/K23,"")</f>
        <v>2047.9391391991053</v>
      </c>
      <c r="O23" s="126">
        <f>'Schedule 3 Adjustments'!W22</f>
        <v>381082.47527094866</v>
      </c>
      <c r="P23" s="85">
        <f>IFERROR(O23/K23,"")</f>
        <v>162.64723656463877</v>
      </c>
      <c r="Q23" s="86">
        <f>IF(M23=0,"",M23-O23)</f>
        <v>4417238.9278725553</v>
      </c>
      <c r="R23" s="85">
        <f>IFERROR(Q23/K23,"")</f>
        <v>1885.2919026344666</v>
      </c>
    </row>
    <row r="24" spans="1:18" x14ac:dyDescent="0.35">
      <c r="A24" s="101" t="s">
        <v>447</v>
      </c>
      <c r="B24" s="87"/>
      <c r="C24" s="87"/>
      <c r="D24" s="87"/>
      <c r="E24" s="87"/>
      <c r="F24" s="132"/>
      <c r="G24" s="135"/>
      <c r="H24" s="135"/>
      <c r="I24" s="104"/>
      <c r="J24" s="369" t="str">
        <f>'Schedule 3 Adjustments'!J23</f>
        <v>H0011 3.7 WM</v>
      </c>
      <c r="K24" s="221">
        <f>'Schedule 3 Adjustments'!M23</f>
        <v>113</v>
      </c>
      <c r="L24" s="89"/>
      <c r="M24" s="87"/>
      <c r="N24" s="87"/>
      <c r="O24" s="87"/>
      <c r="P24" s="87"/>
      <c r="Q24" s="87"/>
      <c r="R24" s="87"/>
    </row>
    <row r="25" spans="1:18" x14ac:dyDescent="0.35">
      <c r="A25" s="102" t="s">
        <v>448</v>
      </c>
      <c r="B25" s="88"/>
      <c r="C25" s="88"/>
      <c r="D25" s="88"/>
      <c r="E25" s="88"/>
      <c r="F25" s="133"/>
      <c r="G25" s="136"/>
      <c r="H25" s="136"/>
      <c r="I25" s="105"/>
      <c r="J25" s="371" t="str">
        <f>'Schedule 3 Adjustments'!J24</f>
        <v>H2036 3.7</v>
      </c>
      <c r="K25" s="228">
        <f>'Schedule 3 Adjustments'!M24</f>
        <v>2230</v>
      </c>
      <c r="L25" s="90"/>
      <c r="M25" s="88"/>
      <c r="N25" s="88"/>
      <c r="O25" s="88"/>
      <c r="P25" s="88"/>
      <c r="Q25" s="88"/>
      <c r="R25" s="88"/>
    </row>
    <row r="26" spans="1:18" x14ac:dyDescent="0.35">
      <c r="A26" s="103" t="s">
        <v>449</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46" t="str">
        <f>'Schedule 3 Adjustments'!B27:C27</f>
        <v>Longview</v>
      </c>
      <c r="C28" s="547"/>
      <c r="D28" s="365" t="str">
        <f>'Schedule 3 Adjustments'!D27</f>
        <v>CSU</v>
      </c>
      <c r="E28" s="365" t="str">
        <f>'Schedule 3 Adjustments'!E27</f>
        <v>CSL</v>
      </c>
      <c r="F28" s="370">
        <f>'Schedule 3 Adjustments'!F27</f>
        <v>26.25</v>
      </c>
      <c r="G28" s="373">
        <f>'Schedule 3 Adjustments'!G27</f>
        <v>45262</v>
      </c>
      <c r="H28" s="373">
        <f>'Schedule 3 Adjustments'!H27</f>
        <v>0</v>
      </c>
      <c r="I28" s="139">
        <f>IF(B28=0,"",IF(AND(G28=0,H28=0),365,IF(AND(G28&gt;0,H28=0),$C$7-G28+1,IF(AND(G28=0,H28&gt;0),H28-($C$7-365),H28-G28+1))))</f>
        <v>212</v>
      </c>
      <c r="J28" s="98"/>
      <c r="K28" s="8">
        <f>SUM(K29:K31)</f>
        <v>2587</v>
      </c>
      <c r="L28" s="91">
        <f>IF(K28&gt;0,K28/(F28*I28),"")</f>
        <v>0.46486972147349503</v>
      </c>
      <c r="M28" s="126">
        <f>'Schedule 3 Adjustments'!R27</f>
        <v>20962810.500926841</v>
      </c>
      <c r="N28" s="85">
        <f>IFERROR(M28/K28,"")</f>
        <v>8103.1350989280409</v>
      </c>
      <c r="O28" s="126">
        <f>'Schedule 3 Adjustments'!W27</f>
        <v>572488.26237738819</v>
      </c>
      <c r="P28" s="85">
        <f>IFERROR(O28/K28,"")</f>
        <v>221.29426454479636</v>
      </c>
      <c r="Q28" s="86">
        <f>IF(M28=0,"",M28-O28)</f>
        <v>20390322.238549452</v>
      </c>
      <c r="R28" s="85">
        <f>IFERROR(Q28/K28,"")</f>
        <v>7881.8408343832443</v>
      </c>
    </row>
    <row r="29" spans="1:18" x14ac:dyDescent="0.35">
      <c r="A29" s="101" t="s">
        <v>447</v>
      </c>
      <c r="B29" s="87"/>
      <c r="C29" s="87"/>
      <c r="D29" s="87"/>
      <c r="E29" s="87"/>
      <c r="F29" s="132"/>
      <c r="G29" s="135"/>
      <c r="H29" s="135"/>
      <c r="I29" s="104"/>
      <c r="J29" s="369" t="str">
        <f>'Schedule 3 Adjustments'!J28</f>
        <v>H0018</v>
      </c>
      <c r="K29" s="221">
        <f>'Schedule 3 Adjustments'!M28</f>
        <v>759</v>
      </c>
      <c r="L29" s="89"/>
      <c r="M29" s="87"/>
      <c r="N29" s="87"/>
      <c r="O29" s="87"/>
      <c r="P29" s="87"/>
      <c r="Q29" s="87"/>
      <c r="R29" s="87"/>
    </row>
    <row r="30" spans="1:18" x14ac:dyDescent="0.35">
      <c r="A30" s="102" t="s">
        <v>448</v>
      </c>
      <c r="B30" s="88"/>
      <c r="C30" s="88"/>
      <c r="D30" s="88"/>
      <c r="E30" s="88"/>
      <c r="F30" s="133"/>
      <c r="G30" s="136"/>
      <c r="H30" s="136"/>
      <c r="I30" s="105"/>
      <c r="J30" s="371" t="str">
        <f>'Schedule 3 Adjustments'!J29</f>
        <v>H0011 3.7 WM</v>
      </c>
      <c r="K30" s="228">
        <f>'Schedule 3 Adjustments'!M29</f>
        <v>1127</v>
      </c>
      <c r="L30" s="90"/>
      <c r="M30" s="88"/>
      <c r="N30" s="88"/>
      <c r="O30" s="88"/>
      <c r="P30" s="88"/>
      <c r="Q30" s="88"/>
      <c r="R30" s="88"/>
    </row>
    <row r="31" spans="1:18" x14ac:dyDescent="0.35">
      <c r="A31" s="103" t="s">
        <v>449</v>
      </c>
      <c r="B31" s="88"/>
      <c r="C31" s="88"/>
      <c r="D31" s="88"/>
      <c r="E31" s="88"/>
      <c r="F31" s="133"/>
      <c r="G31" s="136"/>
      <c r="H31" s="136"/>
      <c r="I31" s="105"/>
      <c r="J31" s="372" t="str">
        <f>'Schedule 3 Adjustments'!J30</f>
        <v>H0010 3.2 WM</v>
      </c>
      <c r="K31" s="231">
        <f>'Schedule 3 Adjustments'!M30</f>
        <v>701</v>
      </c>
      <c r="L31" s="90"/>
      <c r="M31" s="88"/>
      <c r="N31" s="88"/>
      <c r="O31" s="88"/>
      <c r="P31" s="88"/>
      <c r="Q31" s="88"/>
      <c r="R31" s="88"/>
    </row>
    <row r="32" spans="1:18" x14ac:dyDescent="0.35">
      <c r="J32" s="100"/>
      <c r="L32" s="28"/>
    </row>
    <row r="33" spans="1:18" s="34" customFormat="1" x14ac:dyDescent="0.35">
      <c r="A33" s="84">
        <v>4</v>
      </c>
      <c r="B33" s="546">
        <f>'Schedule 3 Adjustments'!B32:C32</f>
        <v>0</v>
      </c>
      <c r="C33" s="547"/>
      <c r="D33" s="365">
        <f>'Schedule 3 Adjustments'!D32</f>
        <v>0</v>
      </c>
      <c r="E33" s="365">
        <f>'Schedule 3 Adjustments'!E32</f>
        <v>0</v>
      </c>
      <c r="F33" s="370">
        <f>'Schedule 3 Adjustments'!F32</f>
        <v>0</v>
      </c>
      <c r="G33" s="373">
        <f>'Schedule 3 Adjustments'!G32</f>
        <v>0</v>
      </c>
      <c r="H33" s="373">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69">
        <f>'Schedule 3 Adjustments'!J33</f>
        <v>0</v>
      </c>
      <c r="K34" s="221">
        <f>'Schedule 3 Adjustments'!M33</f>
        <v>0</v>
      </c>
      <c r="L34" s="89"/>
      <c r="M34" s="87"/>
      <c r="N34" s="87"/>
      <c r="O34" s="87"/>
      <c r="P34" s="87"/>
      <c r="Q34" s="87"/>
      <c r="R34" s="87"/>
    </row>
    <row r="35" spans="1:18" x14ac:dyDescent="0.35">
      <c r="A35" s="102" t="s">
        <v>448</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46">
        <f>'Schedule 3 Adjustments'!B37:C37</f>
        <v>0</v>
      </c>
      <c r="C38" s="547"/>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46">
        <f>'Schedule 3 Adjustments'!B42:C42</f>
        <v>0</v>
      </c>
      <c r="C43" s="547"/>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448</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449</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46">
        <f>'Schedule 3 Adjustments'!B47:C47</f>
        <v>0</v>
      </c>
      <c r="C48" s="547"/>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46">
        <f>'Schedule 3 Adjustments'!B52:C52</f>
        <v>0</v>
      </c>
      <c r="C53" s="547"/>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46">
        <f>'Schedule 3 Adjustments'!B57:C57</f>
        <v>0</v>
      </c>
      <c r="C58" s="547"/>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46">
        <f>'Schedule 3 Adjustments'!B62:C62</f>
        <v>0</v>
      </c>
      <c r="C63" s="547"/>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46">
        <f>'Schedule 3 Adjustments'!B67:C67</f>
        <v>0</v>
      </c>
      <c r="C68" s="547"/>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46">
        <f>'Schedule 3 Adjustments'!B72:C72</f>
        <v>0</v>
      </c>
      <c r="C73" s="547"/>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46">
        <f>'Schedule 3 Adjustments'!B77:C77</f>
        <v>0</v>
      </c>
      <c r="C78" s="547"/>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46">
        <f>'Schedule 3 Adjustments'!B82:C82</f>
        <v>0</v>
      </c>
      <c r="C83" s="547"/>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46">
        <f>'Schedule 3 Adjustments'!B87:C87</f>
        <v>0</v>
      </c>
      <c r="C88" s="547"/>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46">
        <f>'Schedule 3 Adjustments'!B92:C92</f>
        <v>0</v>
      </c>
      <c r="C93" s="547"/>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46">
        <f>'Schedule 3 Adjustments'!B97:C97</f>
        <v>0</v>
      </c>
      <c r="C98" s="547"/>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46">
        <f>'Schedule 3 Adjustments'!B102:C102</f>
        <v>0</v>
      </c>
      <c r="C103" s="547"/>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46">
        <f>'Schedule 3 Adjustments'!B107:C107</f>
        <v>0</v>
      </c>
      <c r="C108" s="547"/>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46">
        <f>'Schedule 3 Adjustments'!B112:C112</f>
        <v>0</v>
      </c>
      <c r="C113" s="547"/>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46">
        <f>'Schedule 3 Adjustments'!B117:C117</f>
        <v>0</v>
      </c>
      <c r="C118" s="547"/>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46">
        <f>'Schedule 3 Adjustments'!B122:C122</f>
        <v>0</v>
      </c>
      <c r="C123" s="547"/>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46">
        <f>'Schedule 3 Adjustments'!B127:C127</f>
        <v>0</v>
      </c>
      <c r="C128" s="547"/>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46">
        <f>'Schedule 3 Adjustments'!B132:C132</f>
        <v>0</v>
      </c>
      <c r="C133" s="547"/>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46">
        <f>'Schedule 3 Adjustments'!B137:C137</f>
        <v>0</v>
      </c>
      <c r="C138" s="547"/>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46">
        <f>'Schedule 3 Adjustments'!B142:C142</f>
        <v>0</v>
      </c>
      <c r="C143" s="547"/>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46">
        <f>'Schedule 3 Adjustments'!B147:C147</f>
        <v>0</v>
      </c>
      <c r="C148" s="547"/>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46">
        <f>'Schedule 3 Adjustments'!B152:C152</f>
        <v>0</v>
      </c>
      <c r="C153" s="547"/>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46">
        <f>'Schedule 3 Adjustments'!B157:C157</f>
        <v>0</v>
      </c>
      <c r="C158" s="547"/>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46">
        <f>'Schedule 3 Adjustments'!B162:C162</f>
        <v>0</v>
      </c>
      <c r="C163" s="547"/>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45" t="s">
        <v>173</v>
      </c>
      <c r="C168" s="545"/>
      <c r="D168" s="545"/>
      <c r="E168" s="545"/>
      <c r="F168" s="27">
        <f>F163+F158+F153+F148+F143+F138+F133+F128+F123+F118+F113+F108+F103+F98+F93+F88+F83+F78+F73+F68+F63+F58+F53+F48+F43+F38+F33+F28+F23+F18</f>
        <v>52.25</v>
      </c>
      <c r="G168" s="32"/>
      <c r="H168" s="32"/>
      <c r="I168" s="32"/>
      <c r="J168" s="32"/>
      <c r="K168" s="27">
        <f>K163+K158+K153+K148+K143+K138+K133+K128+K123+K118+K113+K108+K103+K98+K93+K88+K83+K78+K73+K68+K63+K58+K53+K48+K43+K38+K33+K28+K23+K18</f>
        <v>6302</v>
      </c>
      <c r="L168" s="29">
        <f>IF(K168&gt;0,K168/(F168*365),"")</f>
        <v>0.33044504162023991</v>
      </c>
      <c r="M168" s="27">
        <f>M163+M158+M153+M148+M143+M138+M133+M128+M123+M118+M113+M108+M103+M98+M93+M88+M83+M78+M73+M68+M63+M58+M53+M48+M43+M38+M33+M28+M23+M18</f>
        <v>27734871.75441527</v>
      </c>
      <c r="N168" s="17">
        <f>IFERROR(M168/K168,"")</f>
        <v>4400.9634646803033</v>
      </c>
      <c r="O168" s="27">
        <f>O163+O158+O153+O148+O143+O138+O133+O128+O123+O118+O113+O108+O103+O98+O93+O88+O83+O78+O73+O68+O63+O58+O53+O48+O43+O38+O33+O28+O23+O18</f>
        <v>1037631.6286806028</v>
      </c>
      <c r="P168" s="17">
        <f t="shared" ref="P168" si="0">IFERROR(O168/K168,"")</f>
        <v>164.65116291345649</v>
      </c>
      <c r="Q168" s="30">
        <f t="shared" ref="Q168" si="1">IF(M168=0,"",M168-O168)</f>
        <v>26697240.125734668</v>
      </c>
      <c r="R168" s="17">
        <f t="shared" ref="R168" si="2">IFERROR(Q168/K168,"")</f>
        <v>4236.3123017668468</v>
      </c>
    </row>
    <row r="170" spans="1:18" x14ac:dyDescent="0.35">
      <c r="A170" s="19">
        <v>32</v>
      </c>
      <c r="L170" s="37" t="s">
        <v>199</v>
      </c>
      <c r="M170" s="39">
        <f>'Schedule 3 Adjustments'!R169</f>
        <v>23630438.827279661</v>
      </c>
    </row>
    <row r="171" spans="1:18" x14ac:dyDescent="0.35">
      <c r="A171" s="19">
        <v>33</v>
      </c>
      <c r="L171" s="37" t="s">
        <v>186</v>
      </c>
      <c r="M171" s="39">
        <f>'Schedule 3 Adjustments'!R170</f>
        <v>4104433.4261844815</v>
      </c>
    </row>
    <row r="172" spans="1:18" x14ac:dyDescent="0.35">
      <c r="A172" s="19">
        <v>34</v>
      </c>
      <c r="L172" s="37" t="s">
        <v>200</v>
      </c>
      <c r="M172" s="18">
        <f>SUM(M170:M171)</f>
        <v>27734872.253464144</v>
      </c>
    </row>
    <row r="173" spans="1:18" x14ac:dyDescent="0.35">
      <c r="A173" s="19">
        <v>35</v>
      </c>
      <c r="L173" s="37" t="s">
        <v>10</v>
      </c>
      <c r="M173" s="18">
        <f>M168-M172</f>
        <v>-0.4990488737821579</v>
      </c>
    </row>
    <row r="174" spans="1:18" x14ac:dyDescent="0.35">
      <c r="M174" s="38" t="str">
        <f>IF(M173&gt;1,"ERROR","")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701</v>
      </c>
      <c r="L176" s="27">
        <f>'Adjusted Schedule 4'!D123+'Adjusted Schedule 4'!H123</f>
        <v>701</v>
      </c>
      <c r="M176" s="27">
        <f>L176-K176</f>
        <v>0</v>
      </c>
      <c r="N176" s="92" t="str">
        <f>IF(M176&lt;&gt;0,"ERROR","")</f>
        <v/>
      </c>
    </row>
    <row r="177" spans="1:14" x14ac:dyDescent="0.35">
      <c r="A177" s="19">
        <v>37</v>
      </c>
      <c r="J177" s="94" t="s">
        <v>443</v>
      </c>
      <c r="K177" s="27">
        <f>SUMIF($J$18:$J$168,"H0011 3.7 WM",$K$18:$K$168)</f>
        <v>1240</v>
      </c>
      <c r="L177" s="27">
        <f>'Adjusted Schedule 4'!D124+'Adjusted Schedule 4'!H124</f>
        <v>1240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468</v>
      </c>
      <c r="D179" s="235"/>
      <c r="E179" s="235" t="s">
        <v>472</v>
      </c>
      <c r="F179" s="100"/>
      <c r="G179" s="146"/>
      <c r="J179" s="94" t="s">
        <v>52</v>
      </c>
      <c r="K179" s="27">
        <f t="shared" si="5"/>
        <v>2131</v>
      </c>
      <c r="L179" s="27">
        <f>'Adjusted Schedule 4'!D127+'Adjusted Schedule 4'!H127</f>
        <v>2131</v>
      </c>
      <c r="M179" s="27">
        <f t="shared" si="3"/>
        <v>0</v>
      </c>
      <c r="N179" s="92" t="str">
        <f t="shared" si="4"/>
        <v/>
      </c>
    </row>
    <row r="180" spans="1:14" x14ac:dyDescent="0.35">
      <c r="A180" s="19">
        <v>40</v>
      </c>
      <c r="C180" s="234" t="s">
        <v>477</v>
      </c>
      <c r="D180" s="235"/>
      <c r="E180" s="235"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0</v>
      </c>
      <c r="L183" s="109"/>
      <c r="M183" s="110"/>
    </row>
    <row r="184" spans="1:14" x14ac:dyDescent="0.35">
      <c r="A184" s="19">
        <v>44</v>
      </c>
      <c r="C184" s="100"/>
      <c r="D184" s="100"/>
      <c r="E184" s="100"/>
      <c r="F184" s="100"/>
      <c r="J184" s="96" t="s">
        <v>438</v>
      </c>
      <c r="K184" s="107">
        <f t="shared" si="5"/>
        <v>2230</v>
      </c>
      <c r="L184" s="27">
        <f>'Adjusted Schedule 4'!D181+'Adjusted Schedule 4'!H181</f>
        <v>2231</v>
      </c>
      <c r="M184" s="27">
        <f>L184-SUM(K181:K184)</f>
        <v>1</v>
      </c>
      <c r="N184" s="92" t="str">
        <f t="shared" ref="N184" si="6">IF(M184&lt;&gt;0,"ERROR","")</f>
        <v>ERROR</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927</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57"/>
      <c r="L5" s="557"/>
    </row>
    <row r="6" spans="1:12" ht="15" customHeight="1" x14ac:dyDescent="0.35">
      <c r="A6" s="1" t="s">
        <v>772</v>
      </c>
      <c r="C6" s="421" t="str">
        <f>Results!$C$6</f>
        <v>SummitStone Health Partners</v>
      </c>
      <c r="D6" s="55"/>
      <c r="E6" s="53"/>
      <c r="F6" s="53"/>
      <c r="G6" s="50"/>
      <c r="H6" s="50"/>
      <c r="K6" s="557"/>
      <c r="L6" s="557"/>
    </row>
    <row r="7" spans="1:12" x14ac:dyDescent="0.35">
      <c r="A7" s="1" t="s">
        <v>0</v>
      </c>
      <c r="C7" s="35">
        <f>Results!$C$7</f>
        <v>45473</v>
      </c>
      <c r="D7" s="35"/>
      <c r="E7" s="35"/>
      <c r="F7" s="35"/>
      <c r="K7" s="557"/>
      <c r="L7" s="557"/>
    </row>
    <row r="8" spans="1:12" x14ac:dyDescent="0.35">
      <c r="A8" s="1"/>
      <c r="C8" s="35"/>
      <c r="D8" s="23">
        <v>1</v>
      </c>
      <c r="E8" s="35"/>
      <c r="F8" s="23">
        <v>3</v>
      </c>
      <c r="H8" s="205"/>
      <c r="I8" s="175">
        <v>6</v>
      </c>
      <c r="J8" s="205"/>
      <c r="K8" s="175">
        <v>8</v>
      </c>
      <c r="L8" s="81"/>
    </row>
    <row r="9" spans="1:12" x14ac:dyDescent="0.35">
      <c r="A9" s="19">
        <v>1</v>
      </c>
      <c r="C9" s="46" t="s">
        <v>704</v>
      </c>
      <c r="D9" s="26">
        <f>'Adjusted Schedule 1'!F96</f>
        <v>51121502.335679173</v>
      </c>
      <c r="E9" s="46" t="s">
        <v>707</v>
      </c>
      <c r="F9" s="31">
        <f>F198</f>
        <v>170839.34999999998</v>
      </c>
      <c r="H9" s="427" t="s">
        <v>861</v>
      </c>
      <c r="I9" s="26">
        <f>'Adjusted Schedule 1'!F96</f>
        <v>51121502.335679173</v>
      </c>
      <c r="J9" s="427" t="s">
        <v>864</v>
      </c>
      <c r="K9" s="180">
        <f>'Schedule 4 Adjustments'!S8</f>
        <v>140441</v>
      </c>
      <c r="L9" s="25"/>
    </row>
    <row r="10" spans="1:12" x14ac:dyDescent="0.35">
      <c r="A10" s="19">
        <v>2</v>
      </c>
      <c r="C10" s="46" t="s">
        <v>705</v>
      </c>
      <c r="D10" s="117">
        <f>'Schedule 4 Adjustments'!F9</f>
        <v>0</v>
      </c>
      <c r="E10" s="46" t="s">
        <v>708</v>
      </c>
      <c r="F10" s="31">
        <f>J198</f>
        <v>246846.42000000007</v>
      </c>
      <c r="H10" s="427" t="s">
        <v>862</v>
      </c>
      <c r="I10" s="180">
        <f>'Schedule 4 Adjustments'!O9</f>
        <v>0</v>
      </c>
      <c r="J10" s="561"/>
      <c r="K10" s="561"/>
      <c r="L10" s="45"/>
    </row>
    <row r="11" spans="1:12" x14ac:dyDescent="0.35">
      <c r="A11" s="19">
        <v>3</v>
      </c>
      <c r="C11" s="42" t="s">
        <v>706</v>
      </c>
      <c r="D11" s="18">
        <f>D9-D10</f>
        <v>51121502.335679173</v>
      </c>
      <c r="E11" s="42" t="s">
        <v>709</v>
      </c>
      <c r="F11" s="9">
        <f>SUM(F9:F10)</f>
        <v>417685.77</v>
      </c>
      <c r="H11" s="428" t="s">
        <v>863</v>
      </c>
      <c r="I11" s="185">
        <f>I9-I10</f>
        <v>51121502.335679173</v>
      </c>
      <c r="J11" s="561"/>
      <c r="K11" s="561"/>
      <c r="L11" s="45"/>
    </row>
    <row r="12" spans="1:12" x14ac:dyDescent="0.35">
      <c r="A12" s="1"/>
      <c r="H12" s="206"/>
      <c r="I12" s="206"/>
      <c r="J12" s="561"/>
      <c r="K12" s="562"/>
      <c r="L12" s="45"/>
    </row>
    <row r="13" spans="1:12" ht="18.5" x14ac:dyDescent="0.45">
      <c r="A13" s="19">
        <v>4</v>
      </c>
      <c r="E13" s="44" t="s">
        <v>710</v>
      </c>
      <c r="F13" s="43">
        <f>D11/F11</f>
        <v>122.39225275900391</v>
      </c>
      <c r="H13" s="206"/>
      <c r="I13" s="206"/>
      <c r="J13" s="429" t="s">
        <v>865</v>
      </c>
      <c r="K13" s="430">
        <f>I11/K9</f>
        <v>364.00696616856311</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58" t="s">
        <v>191</v>
      </c>
      <c r="E16" s="559"/>
      <c r="F16" s="559"/>
      <c r="G16" s="560"/>
      <c r="H16" s="558" t="s">
        <v>192</v>
      </c>
      <c r="I16" s="559"/>
      <c r="J16" s="559"/>
      <c r="K16" s="560"/>
    </row>
    <row r="17" spans="1:11" ht="43.5" x14ac:dyDescent="0.35">
      <c r="B17" s="208" t="s">
        <v>40</v>
      </c>
      <c r="C17" s="208" t="s">
        <v>11</v>
      </c>
      <c r="D17" s="208" t="s">
        <v>712</v>
      </c>
      <c r="E17" s="239" t="s">
        <v>711</v>
      </c>
      <c r="F17" s="377" t="s">
        <v>714</v>
      </c>
      <c r="G17" s="240" t="s">
        <v>713</v>
      </c>
      <c r="H17" s="240" t="s">
        <v>715</v>
      </c>
      <c r="I17" s="239" t="s">
        <v>484</v>
      </c>
      <c r="J17" s="16" t="s">
        <v>716</v>
      </c>
      <c r="K17" s="15" t="s">
        <v>717</v>
      </c>
    </row>
    <row r="18" spans="1:11" s="22" customFormat="1" x14ac:dyDescent="0.35">
      <c r="A18" s="19">
        <v>5</v>
      </c>
      <c r="B18" s="424" t="s">
        <v>786</v>
      </c>
      <c r="C18" s="20" t="s">
        <v>787</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6</v>
      </c>
      <c r="E19" s="410">
        <v>0</v>
      </c>
      <c r="F19" s="148">
        <f>D19*E19</f>
        <v>0</v>
      </c>
      <c r="G19" s="149">
        <f t="shared" si="0"/>
        <v>0</v>
      </c>
      <c r="H19" s="150">
        <f>'Schedule 4 Adjustments'!N18</f>
        <v>2994</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6</v>
      </c>
      <c r="I21" s="410">
        <v>0</v>
      </c>
      <c r="J21" s="47">
        <f t="shared" si="3"/>
        <v>0</v>
      </c>
      <c r="K21" s="21">
        <f t="shared" si="2"/>
        <v>0</v>
      </c>
    </row>
    <row r="22" spans="1:11" s="22" customFormat="1" x14ac:dyDescent="0.35">
      <c r="A22" s="19">
        <v>9</v>
      </c>
      <c r="B22" s="19">
        <v>90785</v>
      </c>
      <c r="C22" s="20" t="s">
        <v>319</v>
      </c>
      <c r="D22" s="116">
        <f>'Schedule 4 Adjustments'!F21</f>
        <v>95</v>
      </c>
      <c r="E22" s="410">
        <v>0.44</v>
      </c>
      <c r="F22" s="47">
        <f t="shared" si="4"/>
        <v>41.8</v>
      </c>
      <c r="G22" s="21">
        <f t="shared" si="0"/>
        <v>53.852591213961723</v>
      </c>
      <c r="H22" s="150">
        <f>'Schedule 4 Adjustments'!N21</f>
        <v>706</v>
      </c>
      <c r="I22" s="410">
        <v>0.39</v>
      </c>
      <c r="J22" s="47">
        <f t="shared" si="3"/>
        <v>275.34000000000003</v>
      </c>
      <c r="K22" s="21">
        <f t="shared" si="2"/>
        <v>47.732978576011526</v>
      </c>
    </row>
    <row r="23" spans="1:11" s="22" customFormat="1" x14ac:dyDescent="0.35">
      <c r="A23" s="19">
        <v>10</v>
      </c>
      <c r="B23" s="19">
        <v>90791</v>
      </c>
      <c r="C23" s="20" t="s">
        <v>320</v>
      </c>
      <c r="D23" s="116">
        <f>'Schedule 4 Adjustments'!F22</f>
        <v>1838</v>
      </c>
      <c r="E23" s="410">
        <v>5.17</v>
      </c>
      <c r="F23" s="47">
        <f t="shared" si="4"/>
        <v>9502.4599999999991</v>
      </c>
      <c r="G23" s="21">
        <f t="shared" si="0"/>
        <v>632.76794676405018</v>
      </c>
      <c r="H23" s="150">
        <f>'Schedule 4 Adjustments'!N22</f>
        <v>865</v>
      </c>
      <c r="I23" s="410">
        <v>4.43</v>
      </c>
      <c r="J23" s="47">
        <f t="shared" si="3"/>
        <v>3831.95</v>
      </c>
      <c r="K23" s="21">
        <f t="shared" si="2"/>
        <v>542.19767972238731</v>
      </c>
    </row>
    <row r="24" spans="1:11" s="22" customFormat="1" x14ac:dyDescent="0.35">
      <c r="A24" s="19">
        <v>11</v>
      </c>
      <c r="B24" s="19">
        <v>90792</v>
      </c>
      <c r="C24" s="20" t="s">
        <v>321</v>
      </c>
      <c r="D24" s="116">
        <f>'Schedule 4 Adjustments'!F23</f>
        <v>172</v>
      </c>
      <c r="E24" s="410">
        <v>5.82</v>
      </c>
      <c r="F24" s="47">
        <f t="shared" si="4"/>
        <v>1001.0400000000001</v>
      </c>
      <c r="G24" s="21">
        <f t="shared" si="0"/>
        <v>712.32291105740273</v>
      </c>
      <c r="H24" s="150">
        <f>'Schedule 4 Adjustments'!N23</f>
        <v>492</v>
      </c>
      <c r="I24" s="410">
        <v>5.08</v>
      </c>
      <c r="J24" s="47">
        <f t="shared" si="3"/>
        <v>2499.36</v>
      </c>
      <c r="K24" s="21">
        <f t="shared" si="2"/>
        <v>621.75264401573986</v>
      </c>
    </row>
    <row r="25" spans="1:11" s="22" customFormat="1" x14ac:dyDescent="0.35">
      <c r="A25" s="19">
        <v>12</v>
      </c>
      <c r="B25" s="19">
        <v>90832</v>
      </c>
      <c r="C25" s="20" t="s">
        <v>325</v>
      </c>
      <c r="D25" s="116">
        <f>'Schedule 4 Adjustments'!F24</f>
        <v>2663</v>
      </c>
      <c r="E25" s="410">
        <v>2.35</v>
      </c>
      <c r="F25" s="47">
        <f t="shared" si="4"/>
        <v>6258.05</v>
      </c>
      <c r="G25" s="21">
        <f t="shared" si="0"/>
        <v>287.62179398365919</v>
      </c>
      <c r="H25" s="150">
        <f>'Schedule 4 Adjustments'!N24</f>
        <v>1992</v>
      </c>
      <c r="I25" s="410">
        <v>2.0499999999999998</v>
      </c>
      <c r="J25" s="47">
        <f t="shared" si="3"/>
        <v>4083.5999999999995</v>
      </c>
      <c r="K25" s="21">
        <f t="shared" si="2"/>
        <v>250.904118155958</v>
      </c>
    </row>
    <row r="26" spans="1:11" s="22" customFormat="1" x14ac:dyDescent="0.35">
      <c r="A26" s="19">
        <v>13</v>
      </c>
      <c r="B26" s="19">
        <v>90833</v>
      </c>
      <c r="C26" s="20" t="s">
        <v>322</v>
      </c>
      <c r="D26" s="116">
        <f>'Schedule 4 Adjustments'!F25</f>
        <v>1</v>
      </c>
      <c r="E26" s="410">
        <v>2.16</v>
      </c>
      <c r="F26" s="47">
        <f t="shared" si="4"/>
        <v>2.16</v>
      </c>
      <c r="G26" s="21">
        <f t="shared" si="0"/>
        <v>264.36726595944845</v>
      </c>
      <c r="H26" s="150">
        <f>'Schedule 4 Adjustments'!N25</f>
        <v>9</v>
      </c>
      <c r="I26" s="410">
        <v>1.92</v>
      </c>
      <c r="J26" s="47">
        <f t="shared" si="3"/>
        <v>17.28</v>
      </c>
      <c r="K26" s="21">
        <f t="shared" si="2"/>
        <v>234.99312529728749</v>
      </c>
    </row>
    <row r="27" spans="1:11" s="22" customFormat="1" x14ac:dyDescent="0.35">
      <c r="A27" s="19">
        <v>14</v>
      </c>
      <c r="B27" s="19">
        <v>90834</v>
      </c>
      <c r="C27" s="20" t="s">
        <v>323</v>
      </c>
      <c r="D27" s="116">
        <f>'Schedule 4 Adjustments'!F26</f>
        <v>5233</v>
      </c>
      <c r="E27" s="410">
        <v>3.1</v>
      </c>
      <c r="F27" s="47">
        <f t="shared" si="4"/>
        <v>16222.300000000001</v>
      </c>
      <c r="G27" s="21">
        <f t="shared" si="0"/>
        <v>379.41598355291211</v>
      </c>
      <c r="H27" s="150">
        <f>'Schedule 4 Adjustments'!N26</f>
        <v>4422</v>
      </c>
      <c r="I27" s="410">
        <v>2.71</v>
      </c>
      <c r="J27" s="47">
        <f t="shared" si="3"/>
        <v>11983.619999999999</v>
      </c>
      <c r="K27" s="21">
        <f t="shared" si="2"/>
        <v>331.68300497690058</v>
      </c>
    </row>
    <row r="28" spans="1:11" s="22" customFormat="1" x14ac:dyDescent="0.35">
      <c r="A28" s="19">
        <v>15</v>
      </c>
      <c r="B28" s="19">
        <v>90836</v>
      </c>
      <c r="C28" s="20" t="s">
        <v>326</v>
      </c>
      <c r="D28" s="116">
        <f>'Schedule 4 Adjustments'!F27</f>
        <v>0</v>
      </c>
      <c r="E28" s="410">
        <v>2.73</v>
      </c>
      <c r="F28" s="47">
        <f t="shared" si="4"/>
        <v>0</v>
      </c>
      <c r="G28" s="21">
        <f t="shared" si="0"/>
        <v>334.13085003208067</v>
      </c>
      <c r="H28" s="150">
        <f>'Schedule 4 Adjustments'!N27</f>
        <v>2</v>
      </c>
      <c r="I28" s="410">
        <v>2.4300000000000002</v>
      </c>
      <c r="J28" s="47">
        <f t="shared" si="3"/>
        <v>4.8600000000000003</v>
      </c>
      <c r="K28" s="21">
        <f t="shared" si="2"/>
        <v>297.41317420437952</v>
      </c>
    </row>
    <row r="29" spans="1:11" s="22" customFormat="1" x14ac:dyDescent="0.35">
      <c r="A29" s="19">
        <v>16</v>
      </c>
      <c r="B29" s="19">
        <v>90837</v>
      </c>
      <c r="C29" s="20" t="s">
        <v>324</v>
      </c>
      <c r="D29" s="116">
        <f>'Schedule 4 Adjustments'!F28</f>
        <v>15644</v>
      </c>
      <c r="E29" s="410">
        <v>4.57</v>
      </c>
      <c r="F29" s="47">
        <f t="shared" si="4"/>
        <v>71493.08</v>
      </c>
      <c r="G29" s="21">
        <f t="shared" si="0"/>
        <v>559.33259510864787</v>
      </c>
      <c r="H29" s="150">
        <f>'Schedule 4 Adjustments'!N28</f>
        <v>12068</v>
      </c>
      <c r="I29" s="410">
        <v>4</v>
      </c>
      <c r="J29" s="47">
        <f t="shared" si="3"/>
        <v>48272</v>
      </c>
      <c r="K29" s="21">
        <f t="shared" si="2"/>
        <v>489.56901103601564</v>
      </c>
    </row>
    <row r="30" spans="1:11" s="22" customFormat="1" x14ac:dyDescent="0.35">
      <c r="A30" s="19">
        <v>17</v>
      </c>
      <c r="B30" s="19">
        <v>90838</v>
      </c>
      <c r="C30" s="20" t="s">
        <v>327</v>
      </c>
      <c r="D30" s="116">
        <f>'Schedule 4 Adjustments'!F29</f>
        <v>0</v>
      </c>
      <c r="E30" s="410">
        <v>3.62</v>
      </c>
      <c r="F30" s="47">
        <f t="shared" si="4"/>
        <v>0</v>
      </c>
      <c r="G30" s="21">
        <f t="shared" si="0"/>
        <v>443.05995498759415</v>
      </c>
      <c r="H30" s="150">
        <f>'Schedule 4 Adjustments'!N29</f>
        <v>1</v>
      </c>
      <c r="I30" s="410">
        <v>3.22</v>
      </c>
      <c r="J30" s="47">
        <f t="shared" si="3"/>
        <v>3.22</v>
      </c>
      <c r="K30" s="21">
        <f t="shared" si="2"/>
        <v>394.10305388399263</v>
      </c>
    </row>
    <row r="31" spans="1:11" s="22" customFormat="1" x14ac:dyDescent="0.35">
      <c r="A31" s="19">
        <v>18</v>
      </c>
      <c r="B31" s="19">
        <v>90839</v>
      </c>
      <c r="C31" s="20" t="s">
        <v>329</v>
      </c>
      <c r="D31" s="116">
        <f>'Schedule 4 Adjustments'!F30</f>
        <v>32</v>
      </c>
      <c r="E31" s="410">
        <v>4.4000000000000004</v>
      </c>
      <c r="F31" s="47">
        <f t="shared" si="4"/>
        <v>140.80000000000001</v>
      </c>
      <c r="G31" s="21">
        <f t="shared" si="0"/>
        <v>538.52591213961728</v>
      </c>
      <c r="H31" s="150">
        <f>'Schedule 4 Adjustments'!N30</f>
        <v>43</v>
      </c>
      <c r="I31" s="410">
        <v>3.87</v>
      </c>
      <c r="J31" s="47">
        <f t="shared" si="3"/>
        <v>166.41</v>
      </c>
      <c r="K31" s="21">
        <f t="shared" si="2"/>
        <v>473.65801817734513</v>
      </c>
    </row>
    <row r="32" spans="1:11" s="22" customFormat="1" x14ac:dyDescent="0.35">
      <c r="A32" s="19">
        <v>19</v>
      </c>
      <c r="B32" s="19">
        <v>90840</v>
      </c>
      <c r="C32" s="20" t="s">
        <v>328</v>
      </c>
      <c r="D32" s="116">
        <f>'Schedule 4 Adjustments'!F31</f>
        <v>1</v>
      </c>
      <c r="E32" s="410">
        <v>2.1800000000000002</v>
      </c>
      <c r="F32" s="47">
        <f t="shared" si="4"/>
        <v>2.1800000000000002</v>
      </c>
      <c r="G32" s="21">
        <f t="shared" si="0"/>
        <v>266.81511101462854</v>
      </c>
      <c r="H32" s="150">
        <f>'Schedule 4 Adjustments'!N31</f>
        <v>6</v>
      </c>
      <c r="I32" s="410">
        <v>1.94</v>
      </c>
      <c r="J32" s="47">
        <f t="shared" si="3"/>
        <v>11.64</v>
      </c>
      <c r="K32" s="21">
        <f t="shared" si="2"/>
        <v>237.44097035246759</v>
      </c>
    </row>
    <row r="33" spans="1:11" s="22" customFormat="1" x14ac:dyDescent="0.35">
      <c r="A33" s="19">
        <v>20</v>
      </c>
      <c r="B33" s="19">
        <v>90846</v>
      </c>
      <c r="C33" s="20" t="s">
        <v>113</v>
      </c>
      <c r="D33" s="116">
        <f>'Schedule 4 Adjustments'!F32</f>
        <v>285</v>
      </c>
      <c r="E33" s="410">
        <v>2.93</v>
      </c>
      <c r="F33" s="47">
        <f t="shared" si="4"/>
        <v>835.05000000000007</v>
      </c>
      <c r="G33" s="21">
        <f t="shared" si="0"/>
        <v>358.60930058388146</v>
      </c>
      <c r="H33" s="150">
        <f>'Schedule 4 Adjustments'!N32</f>
        <v>321</v>
      </c>
      <c r="I33" s="410">
        <v>2.92</v>
      </c>
      <c r="J33" s="47">
        <f t="shared" si="3"/>
        <v>937.31999999999994</v>
      </c>
      <c r="K33" s="21">
        <f t="shared" si="2"/>
        <v>357.38537805629142</v>
      </c>
    </row>
    <row r="34" spans="1:11" s="22" customFormat="1" x14ac:dyDescent="0.35">
      <c r="A34" s="19">
        <v>21</v>
      </c>
      <c r="B34" s="19">
        <v>90847</v>
      </c>
      <c r="C34" s="20" t="s">
        <v>114</v>
      </c>
      <c r="D34" s="116">
        <f>'Schedule 4 Adjustments'!F33</f>
        <v>510</v>
      </c>
      <c r="E34" s="410">
        <v>3.07</v>
      </c>
      <c r="F34" s="47">
        <f t="shared" si="4"/>
        <v>1565.6999999999998</v>
      </c>
      <c r="G34" s="21">
        <f t="shared" si="0"/>
        <v>375.74421597014197</v>
      </c>
      <c r="H34" s="150">
        <f>'Schedule 4 Adjustments'!N33</f>
        <v>994</v>
      </c>
      <c r="I34" s="410">
        <v>3.05</v>
      </c>
      <c r="J34" s="47">
        <f t="shared" si="3"/>
        <v>3031.7</v>
      </c>
      <c r="K34" s="21">
        <f t="shared" si="2"/>
        <v>373.29637091496193</v>
      </c>
    </row>
    <row r="35" spans="1:11" s="22" customFormat="1" x14ac:dyDescent="0.35">
      <c r="A35" s="19">
        <v>22</v>
      </c>
      <c r="B35" s="19">
        <v>90849</v>
      </c>
      <c r="C35" s="20" t="s">
        <v>115</v>
      </c>
      <c r="D35" s="116">
        <f>'Schedule 4 Adjustments'!F34</f>
        <v>8</v>
      </c>
      <c r="E35" s="410">
        <v>1.1299999999999999</v>
      </c>
      <c r="F35" s="47">
        <f t="shared" si="4"/>
        <v>9.0399999999999991</v>
      </c>
      <c r="G35" s="21">
        <f t="shared" si="0"/>
        <v>138.30324561767441</v>
      </c>
      <c r="H35" s="150">
        <f>'Schedule 4 Adjustments'!N34</f>
        <v>10</v>
      </c>
      <c r="I35" s="410">
        <v>0.88</v>
      </c>
      <c r="J35" s="47">
        <f t="shared" si="3"/>
        <v>8.8000000000000007</v>
      </c>
      <c r="K35" s="21">
        <f t="shared" si="2"/>
        <v>107.70518242792345</v>
      </c>
    </row>
    <row r="36" spans="1:11" s="22" customFormat="1" x14ac:dyDescent="0.35">
      <c r="A36" s="19">
        <v>23</v>
      </c>
      <c r="B36" s="19">
        <v>90853</v>
      </c>
      <c r="C36" s="20" t="s">
        <v>116</v>
      </c>
      <c r="D36" s="116">
        <f>'Schedule 4 Adjustments'!F35</f>
        <v>4180</v>
      </c>
      <c r="E36" s="410">
        <v>0.83</v>
      </c>
      <c r="F36" s="47">
        <f t="shared" si="4"/>
        <v>3469.3999999999996</v>
      </c>
      <c r="G36" s="21">
        <f t="shared" si="0"/>
        <v>101.58556978997323</v>
      </c>
      <c r="H36" s="150">
        <f>'Schedule 4 Adjustments'!N35</f>
        <v>8412</v>
      </c>
      <c r="I36" s="410">
        <v>0.72</v>
      </c>
      <c r="J36" s="47">
        <f t="shared" si="3"/>
        <v>6056.6399999999994</v>
      </c>
      <c r="K36" s="21">
        <f t="shared" si="2"/>
        <v>88.122421986482806</v>
      </c>
    </row>
    <row r="37" spans="1:11" s="22" customFormat="1" x14ac:dyDescent="0.35">
      <c r="A37" s="19">
        <v>24</v>
      </c>
      <c r="B37" s="19">
        <v>90870</v>
      </c>
      <c r="C37" s="20" t="s">
        <v>117</v>
      </c>
      <c r="D37" s="116">
        <f>'Schedule 4 Adjustments'!F36</f>
        <v>0</v>
      </c>
      <c r="E37" s="410">
        <v>5.18</v>
      </c>
      <c r="F37" s="47">
        <f t="shared" si="4"/>
        <v>0</v>
      </c>
      <c r="G37" s="21">
        <f t="shared" si="0"/>
        <v>633.99186929164023</v>
      </c>
      <c r="H37" s="150">
        <f>'Schedule 4 Adjustments'!N36</f>
        <v>0</v>
      </c>
      <c r="I37" s="410">
        <v>3.12</v>
      </c>
      <c r="J37" s="47">
        <f t="shared" si="3"/>
        <v>0</v>
      </c>
      <c r="K37" s="21">
        <f t="shared" si="2"/>
        <v>381.86382860809221</v>
      </c>
    </row>
    <row r="38" spans="1:11" s="22" customFormat="1" x14ac:dyDescent="0.35">
      <c r="A38" s="19">
        <v>25</v>
      </c>
      <c r="B38" s="19">
        <v>90875</v>
      </c>
      <c r="C38" s="20" t="s">
        <v>152</v>
      </c>
      <c r="D38" s="116">
        <f>'Schedule 4 Adjustments'!F37</f>
        <v>4</v>
      </c>
      <c r="E38" s="410">
        <v>1.75</v>
      </c>
      <c r="F38" s="47">
        <f t="shared" si="4"/>
        <v>7</v>
      </c>
      <c r="G38" s="21">
        <f t="shared" si="0"/>
        <v>214.18644232825685</v>
      </c>
      <c r="H38" s="150">
        <f>'Schedule 4 Adjustments'!N37</f>
        <v>47</v>
      </c>
      <c r="I38" s="410">
        <v>1.74</v>
      </c>
      <c r="J38" s="47">
        <f t="shared" si="3"/>
        <v>81.78</v>
      </c>
      <c r="K38" s="21">
        <f t="shared" si="2"/>
        <v>212.9625198006668</v>
      </c>
    </row>
    <row r="39" spans="1:11" s="22" customFormat="1" x14ac:dyDescent="0.35">
      <c r="A39" s="19">
        <v>26</v>
      </c>
      <c r="B39" s="19">
        <v>90876</v>
      </c>
      <c r="C39" s="20" t="s">
        <v>153</v>
      </c>
      <c r="D39" s="116">
        <f>'Schedule 4 Adjustments'!F38</f>
        <v>40</v>
      </c>
      <c r="E39" s="410">
        <v>3.08</v>
      </c>
      <c r="F39" s="47">
        <f t="shared" si="4"/>
        <v>123.2</v>
      </c>
      <c r="G39" s="21">
        <f t="shared" si="0"/>
        <v>376.96813849773207</v>
      </c>
      <c r="H39" s="150">
        <f>'Schedule 4 Adjustments'!N38</f>
        <v>1464</v>
      </c>
      <c r="I39" s="410">
        <v>2.76</v>
      </c>
      <c r="J39" s="47">
        <f t="shared" si="3"/>
        <v>4040.64</v>
      </c>
      <c r="K39" s="21">
        <f t="shared" si="2"/>
        <v>337.80261761485076</v>
      </c>
    </row>
    <row r="40" spans="1:11" s="22" customFormat="1" x14ac:dyDescent="0.35">
      <c r="A40" s="19">
        <v>27</v>
      </c>
      <c r="B40" s="19">
        <v>90887</v>
      </c>
      <c r="C40" s="20" t="s">
        <v>330</v>
      </c>
      <c r="D40" s="116">
        <f>'Schedule 4 Adjustments'!F39</f>
        <v>0</v>
      </c>
      <c r="E40" s="410">
        <v>2.56</v>
      </c>
      <c r="F40" s="47">
        <f t="shared" si="4"/>
        <v>0</v>
      </c>
      <c r="G40" s="21">
        <f t="shared" si="0"/>
        <v>313.32416706305003</v>
      </c>
      <c r="H40" s="150">
        <f>'Schedule 4 Adjustments'!N39</f>
        <v>0</v>
      </c>
      <c r="I40" s="410">
        <v>2.14</v>
      </c>
      <c r="J40" s="47">
        <f t="shared" si="3"/>
        <v>0</v>
      </c>
      <c r="K40" s="21">
        <f t="shared" si="2"/>
        <v>261.91942090426841</v>
      </c>
    </row>
    <row r="41" spans="1:11" s="22" customFormat="1" x14ac:dyDescent="0.35">
      <c r="A41" s="19">
        <v>28</v>
      </c>
      <c r="B41" s="19">
        <v>96116</v>
      </c>
      <c r="C41" s="20" t="s">
        <v>341</v>
      </c>
      <c r="D41" s="116">
        <f>'Schedule 4 Adjustments'!F40</f>
        <v>0</v>
      </c>
      <c r="E41" s="410">
        <v>2.76</v>
      </c>
      <c r="F41" s="47">
        <f t="shared" si="4"/>
        <v>0</v>
      </c>
      <c r="G41" s="21">
        <f t="shared" si="0"/>
        <v>337.80261761485076</v>
      </c>
      <c r="H41" s="150">
        <f>'Schedule 4 Adjustments'!N40</f>
        <v>0</v>
      </c>
      <c r="I41" s="410">
        <v>2.37</v>
      </c>
      <c r="J41" s="47">
        <f t="shared" si="3"/>
        <v>0</v>
      </c>
      <c r="K41" s="21">
        <f t="shared" si="2"/>
        <v>290.06963903883928</v>
      </c>
    </row>
    <row r="42" spans="1:11" s="22" customFormat="1" x14ac:dyDescent="0.35">
      <c r="A42" s="19">
        <v>29</v>
      </c>
      <c r="B42" s="19">
        <v>96121</v>
      </c>
      <c r="C42" s="20" t="s">
        <v>340</v>
      </c>
      <c r="D42" s="116">
        <f>'Schedule 4 Adjustments'!F41</f>
        <v>0</v>
      </c>
      <c r="E42" s="410">
        <v>2.25</v>
      </c>
      <c r="F42" s="47">
        <f t="shared" si="4"/>
        <v>0</v>
      </c>
      <c r="G42" s="21">
        <f t="shared" si="0"/>
        <v>275.38256870775882</v>
      </c>
      <c r="H42" s="150">
        <f>'Schedule 4 Adjustments'!N41</f>
        <v>0</v>
      </c>
      <c r="I42" s="410">
        <v>1.97</v>
      </c>
      <c r="J42" s="47">
        <f t="shared" si="3"/>
        <v>0</v>
      </c>
      <c r="K42" s="21">
        <f t="shared" si="2"/>
        <v>241.1127379352377</v>
      </c>
    </row>
    <row r="43" spans="1:11" s="22" customFormat="1" x14ac:dyDescent="0.35">
      <c r="A43" s="19">
        <v>30</v>
      </c>
      <c r="B43" s="19">
        <v>96130</v>
      </c>
      <c r="C43" s="20" t="s">
        <v>338</v>
      </c>
      <c r="D43" s="116">
        <f>'Schedule 4 Adjustments'!F42</f>
        <v>0</v>
      </c>
      <c r="E43" s="410">
        <v>3.6</v>
      </c>
      <c r="F43" s="47">
        <f t="shared" si="4"/>
        <v>0</v>
      </c>
      <c r="G43" s="21">
        <f t="shared" si="0"/>
        <v>440.61210993241406</v>
      </c>
      <c r="H43" s="150">
        <f>'Schedule 4 Adjustments'!N42</f>
        <v>0</v>
      </c>
      <c r="I43" s="410">
        <v>3.25</v>
      </c>
      <c r="J43" s="47">
        <f t="shared" si="3"/>
        <v>0</v>
      </c>
      <c r="K43" s="21">
        <f t="shared" si="2"/>
        <v>397.77482146676272</v>
      </c>
    </row>
    <row r="44" spans="1:11" s="22" customFormat="1" x14ac:dyDescent="0.35">
      <c r="A44" s="19">
        <v>31</v>
      </c>
      <c r="B44" s="19">
        <v>96131</v>
      </c>
      <c r="C44" s="20" t="s">
        <v>339</v>
      </c>
      <c r="D44" s="116">
        <f>'Schedule 4 Adjustments'!F43</f>
        <v>0</v>
      </c>
      <c r="E44" s="410">
        <v>2.57</v>
      </c>
      <c r="F44" s="47">
        <f t="shared" si="4"/>
        <v>0</v>
      </c>
      <c r="G44" s="21">
        <f t="shared" si="0"/>
        <v>314.54808959064002</v>
      </c>
      <c r="H44" s="150">
        <f>'Schedule 4 Adjustments'!N43</f>
        <v>0</v>
      </c>
      <c r="I44" s="410">
        <v>2.25</v>
      </c>
      <c r="J44" s="47">
        <f t="shared" si="3"/>
        <v>0</v>
      </c>
      <c r="K44" s="21">
        <f t="shared" si="2"/>
        <v>275.38256870775882</v>
      </c>
    </row>
    <row r="45" spans="1:11" s="22" customFormat="1" x14ac:dyDescent="0.35">
      <c r="A45" s="19">
        <v>32</v>
      </c>
      <c r="B45" s="19">
        <v>96132</v>
      </c>
      <c r="C45" s="20" t="s">
        <v>332</v>
      </c>
      <c r="D45" s="116">
        <f>'Schedule 4 Adjustments'!F44</f>
        <v>0</v>
      </c>
      <c r="E45" s="410">
        <v>3.85</v>
      </c>
      <c r="F45" s="47">
        <f t="shared" si="4"/>
        <v>0</v>
      </c>
      <c r="G45" s="21">
        <f t="shared" si="0"/>
        <v>471.21017312216509</v>
      </c>
      <c r="H45" s="150">
        <f>'Schedule 4 Adjustments'!N44</f>
        <v>0</v>
      </c>
      <c r="I45" s="410">
        <v>3.14</v>
      </c>
      <c r="J45" s="47">
        <f t="shared" si="3"/>
        <v>0</v>
      </c>
      <c r="K45" s="21">
        <f t="shared" si="2"/>
        <v>384.3116736632723</v>
      </c>
    </row>
    <row r="46" spans="1:11" s="22" customFormat="1" x14ac:dyDescent="0.35">
      <c r="A46" s="19">
        <v>33</v>
      </c>
      <c r="B46" s="19">
        <v>96133</v>
      </c>
      <c r="C46" s="20" t="s">
        <v>333</v>
      </c>
      <c r="D46" s="116">
        <f>'Schedule 4 Adjustments'!F45</f>
        <v>0</v>
      </c>
      <c r="E46" s="410">
        <v>2.92</v>
      </c>
      <c r="F46" s="47">
        <f t="shared" si="4"/>
        <v>0</v>
      </c>
      <c r="G46" s="21">
        <f t="shared" si="0"/>
        <v>357.38537805629142</v>
      </c>
      <c r="H46" s="150">
        <f>'Schedule 4 Adjustments'!N45</f>
        <v>0</v>
      </c>
      <c r="I46" s="410">
        <v>2.2599999999999998</v>
      </c>
      <c r="J46" s="47">
        <f t="shared" si="3"/>
        <v>0</v>
      </c>
      <c r="K46" s="21">
        <f t="shared" si="2"/>
        <v>276.60649123534881</v>
      </c>
    </row>
    <row r="47" spans="1:11" s="22" customFormat="1" x14ac:dyDescent="0.35">
      <c r="A47" s="19">
        <v>34</v>
      </c>
      <c r="B47" s="19">
        <v>96136</v>
      </c>
      <c r="C47" s="20" t="s">
        <v>334</v>
      </c>
      <c r="D47" s="116">
        <f>'Schedule 4 Adjustments'!F46</f>
        <v>0</v>
      </c>
      <c r="E47" s="410">
        <v>1.25</v>
      </c>
      <c r="F47" s="47">
        <f t="shared" si="4"/>
        <v>0</v>
      </c>
      <c r="G47" s="21">
        <f t="shared" si="0"/>
        <v>152.9903159487549</v>
      </c>
      <c r="H47" s="150">
        <f>'Schedule 4 Adjustments'!N46</f>
        <v>0</v>
      </c>
      <c r="I47" s="410">
        <v>0.69</v>
      </c>
      <c r="J47" s="47">
        <f t="shared" si="3"/>
        <v>0</v>
      </c>
      <c r="K47" s="21">
        <f t="shared" si="2"/>
        <v>84.45065440371269</v>
      </c>
    </row>
    <row r="48" spans="1:11" s="22" customFormat="1" x14ac:dyDescent="0.35">
      <c r="A48" s="19">
        <v>35</v>
      </c>
      <c r="B48" s="19">
        <v>96137</v>
      </c>
      <c r="C48" s="20" t="s">
        <v>335</v>
      </c>
      <c r="D48" s="116">
        <f>'Schedule 4 Adjustments'!F47</f>
        <v>0</v>
      </c>
      <c r="E48" s="410">
        <v>1.1299999999999999</v>
      </c>
      <c r="F48" s="47">
        <f t="shared" si="4"/>
        <v>0</v>
      </c>
      <c r="G48" s="21">
        <f t="shared" si="0"/>
        <v>138.30324561767441</v>
      </c>
      <c r="H48" s="150">
        <f>'Schedule 4 Adjustments'!N47</f>
        <v>0</v>
      </c>
      <c r="I48" s="410">
        <v>0.53</v>
      </c>
      <c r="J48" s="47">
        <f t="shared" si="3"/>
        <v>0</v>
      </c>
      <c r="K48" s="21">
        <f t="shared" si="2"/>
        <v>64.867893962272078</v>
      </c>
    </row>
    <row r="49" spans="1:11" s="22" customFormat="1" x14ac:dyDescent="0.35">
      <c r="A49" s="19">
        <v>36</v>
      </c>
      <c r="B49" s="19">
        <v>96138</v>
      </c>
      <c r="C49" s="20" t="s">
        <v>336</v>
      </c>
      <c r="D49" s="116">
        <f>'Schedule 4 Adjustments'!F48</f>
        <v>0</v>
      </c>
      <c r="E49" s="410">
        <v>1.03</v>
      </c>
      <c r="F49" s="47">
        <f t="shared" si="4"/>
        <v>0</v>
      </c>
      <c r="G49" s="21">
        <f t="shared" si="0"/>
        <v>126.06402034177403</v>
      </c>
      <c r="H49" s="150">
        <f>'Schedule 4 Adjustments'!N48</f>
        <v>0</v>
      </c>
      <c r="I49" s="410">
        <v>0.56999999999999995</v>
      </c>
      <c r="J49" s="47">
        <f t="shared" si="3"/>
        <v>0</v>
      </c>
      <c r="K49" s="21">
        <f t="shared" si="2"/>
        <v>69.763584072632227</v>
      </c>
    </row>
    <row r="50" spans="1:11" s="22" customFormat="1" x14ac:dyDescent="0.35">
      <c r="A50" s="19">
        <v>37</v>
      </c>
      <c r="B50" s="19">
        <v>96139</v>
      </c>
      <c r="C50" s="20" t="s">
        <v>337</v>
      </c>
      <c r="D50" s="116">
        <f>'Schedule 4 Adjustments'!F49</f>
        <v>0</v>
      </c>
      <c r="E50" s="410">
        <v>1.06</v>
      </c>
      <c r="F50" s="47">
        <f t="shared" si="4"/>
        <v>0</v>
      </c>
      <c r="G50" s="21">
        <f t="shared" si="0"/>
        <v>129.73578792454416</v>
      </c>
      <c r="H50" s="150">
        <f>'Schedule 4 Adjustments'!N49</f>
        <v>0</v>
      </c>
      <c r="I50" s="410">
        <v>0.5</v>
      </c>
      <c r="J50" s="47">
        <f t="shared" si="3"/>
        <v>0</v>
      </c>
      <c r="K50" s="21">
        <f t="shared" si="2"/>
        <v>61.196126379501955</v>
      </c>
    </row>
    <row r="51" spans="1:11" s="22" customFormat="1" x14ac:dyDescent="0.35">
      <c r="A51" s="19">
        <v>38</v>
      </c>
      <c r="B51" s="19">
        <v>96146</v>
      </c>
      <c r="C51" s="20" t="s">
        <v>331</v>
      </c>
      <c r="D51" s="116">
        <f>'Schedule 4 Adjustments'!F50</f>
        <v>0</v>
      </c>
      <c r="E51" s="410">
        <v>7.0000000000000007E-2</v>
      </c>
      <c r="F51" s="47">
        <f t="shared" si="4"/>
        <v>0</v>
      </c>
      <c r="G51" s="21">
        <f t="shared" si="0"/>
        <v>8.5674576931302742</v>
      </c>
      <c r="H51" s="150">
        <f>'Schedule 4 Adjustments'!N50</f>
        <v>0</v>
      </c>
      <c r="I51" s="410">
        <v>7.0000000000000007E-2</v>
      </c>
      <c r="J51" s="47">
        <f t="shared" si="3"/>
        <v>0</v>
      </c>
      <c r="K51" s="21">
        <f t="shared" si="2"/>
        <v>8.5674576931302742</v>
      </c>
    </row>
    <row r="52" spans="1:11" s="22" customFormat="1" x14ac:dyDescent="0.35">
      <c r="A52" s="19">
        <v>39</v>
      </c>
      <c r="B52" s="19">
        <v>96372</v>
      </c>
      <c r="C52" s="20" t="s">
        <v>118</v>
      </c>
      <c r="D52" s="116">
        <f>'Schedule 4 Adjustments'!F51</f>
        <v>157</v>
      </c>
      <c r="E52" s="410">
        <v>0.43</v>
      </c>
      <c r="F52" s="47">
        <f t="shared" si="4"/>
        <v>67.510000000000005</v>
      </c>
      <c r="G52" s="21">
        <f t="shared" si="0"/>
        <v>52.628668686371682</v>
      </c>
      <c r="H52" s="150">
        <f>'Schedule 4 Adjustments'!N51</f>
        <v>2162</v>
      </c>
      <c r="I52" s="410">
        <v>0.43</v>
      </c>
      <c r="J52" s="47">
        <f t="shared" si="3"/>
        <v>929.66</v>
      </c>
      <c r="K52" s="21">
        <f t="shared" si="2"/>
        <v>52.628668686371682</v>
      </c>
    </row>
    <row r="53" spans="1:11" s="22" customFormat="1" x14ac:dyDescent="0.35">
      <c r="A53" s="19">
        <v>40</v>
      </c>
      <c r="B53" s="19">
        <v>97535</v>
      </c>
      <c r="C53" s="20" t="s">
        <v>119</v>
      </c>
      <c r="D53" s="116">
        <f>'Schedule 4 Adjustments'!F52</f>
        <v>0</v>
      </c>
      <c r="E53" s="410">
        <v>0.98</v>
      </c>
      <c r="F53" s="47">
        <f t="shared" si="4"/>
        <v>0</v>
      </c>
      <c r="G53" s="21">
        <f t="shared" si="0"/>
        <v>119.94440770382383</v>
      </c>
      <c r="H53" s="150">
        <f>'Schedule 4 Adjustments'!N52</f>
        <v>6</v>
      </c>
      <c r="I53" s="410">
        <v>0.98</v>
      </c>
      <c r="J53" s="47">
        <f t="shared" si="3"/>
        <v>5.88</v>
      </c>
      <c r="K53" s="21">
        <f t="shared" si="2"/>
        <v>119.94440770382383</v>
      </c>
    </row>
    <row r="54" spans="1:11" s="22" customFormat="1" x14ac:dyDescent="0.35">
      <c r="A54" s="19">
        <v>41</v>
      </c>
      <c r="B54" s="19">
        <v>97537</v>
      </c>
      <c r="C54" s="20" t="s">
        <v>120</v>
      </c>
      <c r="D54" s="116">
        <f>'Schedule 4 Adjustments'!F53</f>
        <v>0</v>
      </c>
      <c r="E54" s="410">
        <v>0.95</v>
      </c>
      <c r="F54" s="47">
        <f t="shared" si="4"/>
        <v>0</v>
      </c>
      <c r="G54" s="21">
        <f t="shared" si="0"/>
        <v>116.27264012105371</v>
      </c>
      <c r="H54" s="150">
        <f>'Schedule 4 Adjustments'!N53</f>
        <v>0</v>
      </c>
      <c r="I54" s="410">
        <v>0.95</v>
      </c>
      <c r="J54" s="47">
        <f t="shared" si="3"/>
        <v>0</v>
      </c>
      <c r="K54" s="21">
        <f t="shared" si="2"/>
        <v>116.27264012105371</v>
      </c>
    </row>
    <row r="55" spans="1:11" s="22" customFormat="1" x14ac:dyDescent="0.35">
      <c r="A55" s="19">
        <v>42</v>
      </c>
      <c r="B55" s="19">
        <v>98966</v>
      </c>
      <c r="C55" s="20" t="s">
        <v>342</v>
      </c>
      <c r="D55" s="116">
        <f>'Schedule 4 Adjustments'!F54</f>
        <v>1</v>
      </c>
      <c r="E55" s="410">
        <v>0.39</v>
      </c>
      <c r="F55" s="47">
        <f t="shared" si="4"/>
        <v>0.39</v>
      </c>
      <c r="G55" s="21">
        <f t="shared" si="0"/>
        <v>47.732978576011526</v>
      </c>
      <c r="H55" s="150">
        <f>'Schedule 4 Adjustments'!N54</f>
        <v>20</v>
      </c>
      <c r="I55" s="410">
        <v>0.34</v>
      </c>
      <c r="J55" s="47">
        <f t="shared" si="3"/>
        <v>6.8000000000000007</v>
      </c>
      <c r="K55" s="21">
        <f t="shared" si="2"/>
        <v>41.613365938061335</v>
      </c>
    </row>
    <row r="56" spans="1:11" s="22" customFormat="1" x14ac:dyDescent="0.35">
      <c r="A56" s="19">
        <v>43</v>
      </c>
      <c r="B56" s="19">
        <v>98967</v>
      </c>
      <c r="C56" s="20" t="s">
        <v>343</v>
      </c>
      <c r="D56" s="116">
        <f>'Schedule 4 Adjustments'!F55</f>
        <v>1</v>
      </c>
      <c r="E56" s="410">
        <v>0.72</v>
      </c>
      <c r="F56" s="47">
        <f t="shared" si="4"/>
        <v>0.72</v>
      </c>
      <c r="G56" s="21">
        <f t="shared" si="0"/>
        <v>88.122421986482806</v>
      </c>
      <c r="H56" s="150">
        <f>'Schedule 4 Adjustments'!N55</f>
        <v>11</v>
      </c>
      <c r="I56" s="410">
        <v>0.66</v>
      </c>
      <c r="J56" s="47">
        <f t="shared" si="3"/>
        <v>7.2600000000000007</v>
      </c>
      <c r="K56" s="21">
        <f t="shared" si="2"/>
        <v>80.778886820942589</v>
      </c>
    </row>
    <row r="57" spans="1:11" s="22" customFormat="1" x14ac:dyDescent="0.35">
      <c r="A57" s="19">
        <v>44</v>
      </c>
      <c r="B57" s="19">
        <v>98968</v>
      </c>
      <c r="C57" s="20" t="s">
        <v>344</v>
      </c>
      <c r="D57" s="116">
        <f>'Schedule 4 Adjustments'!F56</f>
        <v>0</v>
      </c>
      <c r="E57" s="410">
        <v>0.99</v>
      </c>
      <c r="F57" s="47">
        <f t="shared" si="4"/>
        <v>0</v>
      </c>
      <c r="G57" s="21">
        <f t="shared" si="0"/>
        <v>121.16833023141388</v>
      </c>
      <c r="H57" s="150">
        <f>'Schedule 4 Adjustments'!N56</f>
        <v>8</v>
      </c>
      <c r="I57" s="410">
        <v>0.92</v>
      </c>
      <c r="J57" s="47">
        <f t="shared" si="3"/>
        <v>7.36</v>
      </c>
      <c r="K57" s="21">
        <f t="shared" si="2"/>
        <v>112.6008725382836</v>
      </c>
    </row>
    <row r="58" spans="1:11" s="22" customFormat="1" x14ac:dyDescent="0.35">
      <c r="A58" s="19">
        <v>45</v>
      </c>
      <c r="B58" s="19">
        <v>99202</v>
      </c>
      <c r="C58" s="20" t="s">
        <v>154</v>
      </c>
      <c r="D58" s="116">
        <f>'Schedule 4 Adjustments'!F57</f>
        <v>0</v>
      </c>
      <c r="E58" s="410">
        <v>2.17</v>
      </c>
      <c r="F58" s="47">
        <f t="shared" si="4"/>
        <v>0</v>
      </c>
      <c r="G58" s="21">
        <f t="shared" si="0"/>
        <v>265.59118848703849</v>
      </c>
      <c r="H58" s="150">
        <f>'Schedule 4 Adjustments'!N57</f>
        <v>70</v>
      </c>
      <c r="I58" s="410">
        <v>1.41</v>
      </c>
      <c r="J58" s="47">
        <f t="shared" si="3"/>
        <v>98.699999999999989</v>
      </c>
      <c r="K58" s="21">
        <f t="shared" si="2"/>
        <v>172.5730763901955</v>
      </c>
    </row>
    <row r="59" spans="1:11" s="22" customFormat="1" x14ac:dyDescent="0.35">
      <c r="A59" s="19">
        <v>46</v>
      </c>
      <c r="B59" s="19">
        <v>99203</v>
      </c>
      <c r="C59" s="20" t="s">
        <v>154</v>
      </c>
      <c r="D59" s="116">
        <f>'Schedule 4 Adjustments'!F58</f>
        <v>4</v>
      </c>
      <c r="E59" s="410">
        <v>3.35</v>
      </c>
      <c r="F59" s="47">
        <f t="shared" si="4"/>
        <v>13.4</v>
      </c>
      <c r="G59" s="21">
        <f t="shared" si="0"/>
        <v>410.01404674266308</v>
      </c>
      <c r="H59" s="150">
        <f>'Schedule 4 Adjustments'!N58</f>
        <v>365</v>
      </c>
      <c r="I59" s="410">
        <v>2.44</v>
      </c>
      <c r="J59" s="47">
        <f t="shared" si="3"/>
        <v>890.6</v>
      </c>
      <c r="K59" s="21">
        <f t="shared" si="2"/>
        <v>298.63709673196951</v>
      </c>
    </row>
    <row r="60" spans="1:11" s="22" customFormat="1" x14ac:dyDescent="0.35">
      <c r="A60" s="19">
        <v>47</v>
      </c>
      <c r="B60" s="19">
        <v>99204</v>
      </c>
      <c r="C60" s="20" t="s">
        <v>154</v>
      </c>
      <c r="D60" s="116">
        <f>'Schedule 4 Adjustments'!F59</f>
        <v>10</v>
      </c>
      <c r="E60" s="410">
        <v>5.0199999999999996</v>
      </c>
      <c r="F60" s="47">
        <f t="shared" si="4"/>
        <v>50.199999999999996</v>
      </c>
      <c r="G60" s="21">
        <f t="shared" si="0"/>
        <v>614.40910885019957</v>
      </c>
      <c r="H60" s="150">
        <f>'Schedule 4 Adjustments'!N59</f>
        <v>855</v>
      </c>
      <c r="I60" s="410">
        <v>3.97</v>
      </c>
      <c r="J60" s="47">
        <f t="shared" si="3"/>
        <v>3394.3500000000004</v>
      </c>
      <c r="K60" s="21">
        <f t="shared" si="2"/>
        <v>485.89724345324555</v>
      </c>
    </row>
    <row r="61" spans="1:11" s="22" customFormat="1" x14ac:dyDescent="0.35">
      <c r="A61" s="19">
        <v>48</v>
      </c>
      <c r="B61" s="19">
        <v>99205</v>
      </c>
      <c r="C61" s="20" t="s">
        <v>154</v>
      </c>
      <c r="D61" s="116">
        <f>'Schedule 4 Adjustments'!F60</f>
        <v>7</v>
      </c>
      <c r="E61" s="410">
        <v>6.62</v>
      </c>
      <c r="F61" s="47">
        <f t="shared" si="4"/>
        <v>46.34</v>
      </c>
      <c r="G61" s="21">
        <f t="shared" si="0"/>
        <v>810.2367132646059</v>
      </c>
      <c r="H61" s="150">
        <f>'Schedule 4 Adjustments'!N60</f>
        <v>315</v>
      </c>
      <c r="I61" s="410">
        <v>5.4</v>
      </c>
      <c r="J61" s="47">
        <f t="shared" si="3"/>
        <v>1701</v>
      </c>
      <c r="K61" s="21">
        <f t="shared" si="2"/>
        <v>660.91816489862117</v>
      </c>
    </row>
    <row r="62" spans="1:11" s="22" customFormat="1" ht="43.5" x14ac:dyDescent="0.35">
      <c r="A62" s="19">
        <v>49</v>
      </c>
      <c r="B62" s="19">
        <v>99211</v>
      </c>
      <c r="C62" s="20" t="s">
        <v>345</v>
      </c>
      <c r="D62" s="116">
        <f>'Schedule 4 Adjustments'!F61</f>
        <v>45</v>
      </c>
      <c r="E62" s="410">
        <v>0.7</v>
      </c>
      <c r="F62" s="47">
        <f t="shared" si="4"/>
        <v>31.499999999999996</v>
      </c>
      <c r="G62" s="21">
        <f t="shared" si="0"/>
        <v>85.674576931302738</v>
      </c>
      <c r="H62" s="150">
        <f>'Schedule 4 Adjustments'!N61</f>
        <v>1312</v>
      </c>
      <c r="I62" s="410">
        <v>0.26</v>
      </c>
      <c r="J62" s="47">
        <f t="shared" si="3"/>
        <v>341.12</v>
      </c>
      <c r="K62" s="21">
        <f t="shared" si="2"/>
        <v>31.821985717341018</v>
      </c>
    </row>
    <row r="63" spans="1:11" s="22" customFormat="1" x14ac:dyDescent="0.35">
      <c r="A63" s="19">
        <v>50</v>
      </c>
      <c r="B63" s="19">
        <v>99212</v>
      </c>
      <c r="C63" s="20" t="s">
        <v>155</v>
      </c>
      <c r="D63" s="116">
        <f>'Schedule 4 Adjustments'!F62</f>
        <v>9</v>
      </c>
      <c r="E63" s="410">
        <v>1.7</v>
      </c>
      <c r="F63" s="47">
        <f t="shared" si="4"/>
        <v>15.299999999999999</v>
      </c>
      <c r="G63" s="21">
        <f t="shared" si="0"/>
        <v>208.06682969030663</v>
      </c>
      <c r="H63" s="150">
        <f>'Schedule 4 Adjustments'!N62</f>
        <v>151</v>
      </c>
      <c r="I63" s="410">
        <v>1.05</v>
      </c>
      <c r="J63" s="47">
        <f t="shared" si="3"/>
        <v>158.55000000000001</v>
      </c>
      <c r="K63" s="21">
        <f t="shared" si="2"/>
        <v>128.51186539695411</v>
      </c>
    </row>
    <row r="64" spans="1:11" s="22" customFormat="1" x14ac:dyDescent="0.35">
      <c r="A64" s="19">
        <v>51</v>
      </c>
      <c r="B64" s="19">
        <v>99213</v>
      </c>
      <c r="C64" s="20" t="s">
        <v>155</v>
      </c>
      <c r="D64" s="116">
        <f>'Schedule 4 Adjustments'!F63</f>
        <v>564</v>
      </c>
      <c r="E64" s="410">
        <v>2.73</v>
      </c>
      <c r="F64" s="47">
        <f t="shared" si="4"/>
        <v>1539.72</v>
      </c>
      <c r="G64" s="21">
        <f t="shared" si="0"/>
        <v>334.13085003208067</v>
      </c>
      <c r="H64" s="150">
        <f>'Schedule 4 Adjustments'!N63</f>
        <v>1704</v>
      </c>
      <c r="I64" s="410">
        <v>1.96</v>
      </c>
      <c r="J64" s="47">
        <f t="shared" si="3"/>
        <v>3339.84</v>
      </c>
      <c r="K64" s="21">
        <f t="shared" si="2"/>
        <v>239.88881540764766</v>
      </c>
    </row>
    <row r="65" spans="1:11" s="22" customFormat="1" x14ac:dyDescent="0.35">
      <c r="A65" s="19">
        <v>52</v>
      </c>
      <c r="B65" s="19">
        <v>99214</v>
      </c>
      <c r="C65" s="20" t="s">
        <v>155</v>
      </c>
      <c r="D65" s="116">
        <f>'Schedule 4 Adjustments'!F64</f>
        <v>1576</v>
      </c>
      <c r="E65" s="410">
        <v>3.85</v>
      </c>
      <c r="F65" s="47">
        <f t="shared" si="4"/>
        <v>6067.6</v>
      </c>
      <c r="G65" s="21">
        <f t="shared" si="0"/>
        <v>471.21017312216509</v>
      </c>
      <c r="H65" s="150">
        <f>'Schedule 4 Adjustments'!N64</f>
        <v>7426</v>
      </c>
      <c r="I65" s="410">
        <v>2.89</v>
      </c>
      <c r="J65" s="47">
        <f t="shared" si="3"/>
        <v>21461.14</v>
      </c>
      <c r="K65" s="21">
        <f t="shared" si="2"/>
        <v>353.71361047352133</v>
      </c>
    </row>
    <row r="66" spans="1:11" s="22" customFormat="1" x14ac:dyDescent="0.35">
      <c r="A66" s="19">
        <v>53</v>
      </c>
      <c r="B66" s="19">
        <v>99215</v>
      </c>
      <c r="C66" s="20" t="s">
        <v>155</v>
      </c>
      <c r="D66" s="116">
        <f>'Schedule 4 Adjustments'!F65</f>
        <v>309</v>
      </c>
      <c r="E66" s="410">
        <v>5.42</v>
      </c>
      <c r="F66" s="47">
        <f t="shared" si="4"/>
        <v>1674.78</v>
      </c>
      <c r="G66" s="21">
        <f t="shared" si="0"/>
        <v>663.36600995380115</v>
      </c>
      <c r="H66" s="150">
        <f>'Schedule 4 Adjustments'!N65</f>
        <v>2568</v>
      </c>
      <c r="I66" s="410">
        <v>4.29</v>
      </c>
      <c r="J66" s="47">
        <f t="shared" si="3"/>
        <v>11016.72</v>
      </c>
      <c r="K66" s="21">
        <f t="shared" si="2"/>
        <v>525.06276433612675</v>
      </c>
    </row>
    <row r="67" spans="1:11" s="22" customFormat="1" x14ac:dyDescent="0.35">
      <c r="A67" s="19">
        <v>54</v>
      </c>
      <c r="B67" s="19">
        <v>99221</v>
      </c>
      <c r="C67" s="20" t="s">
        <v>121</v>
      </c>
      <c r="D67" s="116">
        <f>'Schedule 4 Adjustments'!F66</f>
        <v>0</v>
      </c>
      <c r="E67" s="410">
        <v>2.46</v>
      </c>
      <c r="F67" s="47">
        <f t="shared" si="4"/>
        <v>0</v>
      </c>
      <c r="G67" s="21">
        <f t="shared" si="0"/>
        <v>301.0849417871496</v>
      </c>
      <c r="H67" s="150">
        <f>'Schedule 4 Adjustments'!N66</f>
        <v>0</v>
      </c>
      <c r="I67" s="410">
        <v>2.46</v>
      </c>
      <c r="J67" s="47">
        <f t="shared" si="3"/>
        <v>0</v>
      </c>
      <c r="K67" s="21">
        <f t="shared" si="2"/>
        <v>301.0849417871496</v>
      </c>
    </row>
    <row r="68" spans="1:11" s="22" customFormat="1" x14ac:dyDescent="0.35">
      <c r="A68" s="19">
        <v>55</v>
      </c>
      <c r="B68" s="19">
        <v>99222</v>
      </c>
      <c r="C68" s="20" t="s">
        <v>122</v>
      </c>
      <c r="D68" s="116">
        <f>'Schedule 4 Adjustments'!F67</f>
        <v>0</v>
      </c>
      <c r="E68" s="410">
        <v>3.88</v>
      </c>
      <c r="F68" s="47">
        <f t="shared" si="4"/>
        <v>0</v>
      </c>
      <c r="G68" s="21">
        <f t="shared" si="0"/>
        <v>474.88194070493518</v>
      </c>
      <c r="H68" s="150">
        <f>'Schedule 4 Adjustments'!N67</f>
        <v>0</v>
      </c>
      <c r="I68" s="410">
        <v>3.88</v>
      </c>
      <c r="J68" s="47">
        <f t="shared" si="3"/>
        <v>0</v>
      </c>
      <c r="K68" s="21">
        <f t="shared" si="2"/>
        <v>474.88194070493518</v>
      </c>
    </row>
    <row r="69" spans="1:11" s="22" customFormat="1" x14ac:dyDescent="0.35">
      <c r="A69" s="19">
        <v>56</v>
      </c>
      <c r="B69" s="19">
        <v>99223</v>
      </c>
      <c r="C69" s="20" t="s">
        <v>123</v>
      </c>
      <c r="D69" s="116">
        <f>'Schedule 4 Adjustments'!F68</f>
        <v>0</v>
      </c>
      <c r="E69" s="410">
        <v>5.14</v>
      </c>
      <c r="F69" s="47">
        <f t="shared" si="4"/>
        <v>0</v>
      </c>
      <c r="G69" s="21">
        <f t="shared" si="0"/>
        <v>629.09617918128004</v>
      </c>
      <c r="H69" s="150">
        <f>'Schedule 4 Adjustments'!N68</f>
        <v>0</v>
      </c>
      <c r="I69" s="410">
        <v>5.14</v>
      </c>
      <c r="J69" s="47">
        <f t="shared" si="3"/>
        <v>0</v>
      </c>
      <c r="K69" s="21">
        <f t="shared" si="2"/>
        <v>629.09617918128004</v>
      </c>
    </row>
    <row r="70" spans="1:11" s="22" customFormat="1" x14ac:dyDescent="0.35">
      <c r="A70" s="19">
        <v>57</v>
      </c>
      <c r="B70" s="19">
        <v>99231</v>
      </c>
      <c r="C70" s="20" t="s">
        <v>124</v>
      </c>
      <c r="D70" s="116">
        <f>'Schedule 4 Adjustments'!F69</f>
        <v>0</v>
      </c>
      <c r="E70" s="410">
        <v>1.47</v>
      </c>
      <c r="F70" s="47">
        <f t="shared" si="4"/>
        <v>0</v>
      </c>
      <c r="G70" s="21">
        <f t="shared" si="0"/>
        <v>179.91661155573576</v>
      </c>
      <c r="H70" s="150">
        <f>'Schedule 4 Adjustments'!N69</f>
        <v>0</v>
      </c>
      <c r="I70" s="410">
        <v>1.47</v>
      </c>
      <c r="J70" s="47">
        <f t="shared" si="3"/>
        <v>0</v>
      </c>
      <c r="K70" s="21">
        <f t="shared" si="2"/>
        <v>179.91661155573576</v>
      </c>
    </row>
    <row r="71" spans="1:11" s="22" customFormat="1" x14ac:dyDescent="0.35">
      <c r="A71" s="19">
        <v>58</v>
      </c>
      <c r="B71" s="19">
        <v>99232</v>
      </c>
      <c r="C71" s="20" t="s">
        <v>125</v>
      </c>
      <c r="D71" s="116">
        <f>'Schedule 4 Adjustments'!F70</f>
        <v>0</v>
      </c>
      <c r="E71" s="410">
        <v>2.34</v>
      </c>
      <c r="F71" s="47">
        <f t="shared" si="4"/>
        <v>0</v>
      </c>
      <c r="G71" s="21">
        <f t="shared" si="0"/>
        <v>286.39787145606914</v>
      </c>
      <c r="H71" s="150">
        <f>'Schedule 4 Adjustments'!N70</f>
        <v>0</v>
      </c>
      <c r="I71" s="410">
        <v>2.34</v>
      </c>
      <c r="J71" s="47">
        <f t="shared" si="3"/>
        <v>0</v>
      </c>
      <c r="K71" s="21">
        <f t="shared" si="2"/>
        <v>286.39787145606914</v>
      </c>
    </row>
    <row r="72" spans="1:11" s="22" customFormat="1" x14ac:dyDescent="0.35">
      <c r="A72" s="19">
        <v>59</v>
      </c>
      <c r="B72" s="19">
        <v>99233</v>
      </c>
      <c r="C72" s="20" t="s">
        <v>126</v>
      </c>
      <c r="D72" s="116">
        <f>'Schedule 4 Adjustments'!F71</f>
        <v>0</v>
      </c>
      <c r="E72" s="410">
        <v>3.52</v>
      </c>
      <c r="F72" s="47">
        <f t="shared" si="4"/>
        <v>0</v>
      </c>
      <c r="G72" s="21">
        <f t="shared" si="0"/>
        <v>430.82072971169379</v>
      </c>
      <c r="H72" s="150">
        <f>'Schedule 4 Adjustments'!N71</f>
        <v>0</v>
      </c>
      <c r="I72" s="410">
        <v>3.52</v>
      </c>
      <c r="J72" s="47">
        <f t="shared" si="3"/>
        <v>0</v>
      </c>
      <c r="K72" s="21">
        <f t="shared" si="2"/>
        <v>430.82072971169379</v>
      </c>
    </row>
    <row r="73" spans="1:11" s="22" customFormat="1" ht="29" x14ac:dyDescent="0.35">
      <c r="A73" s="19">
        <v>60</v>
      </c>
      <c r="B73" s="19">
        <v>99234</v>
      </c>
      <c r="C73" s="20" t="s">
        <v>360</v>
      </c>
      <c r="D73" s="116">
        <f>'Schedule 4 Adjustments'!F72</f>
        <v>0</v>
      </c>
      <c r="E73" s="410">
        <v>2.9</v>
      </c>
      <c r="F73" s="47">
        <f t="shared" si="4"/>
        <v>0</v>
      </c>
      <c r="G73" s="21">
        <f t="shared" si="0"/>
        <v>354.93753300111132</v>
      </c>
      <c r="H73" s="150">
        <f>'Schedule 4 Adjustments'!N72</f>
        <v>0</v>
      </c>
      <c r="I73" s="410">
        <v>2.9</v>
      </c>
      <c r="J73" s="47">
        <f t="shared" si="3"/>
        <v>0</v>
      </c>
      <c r="K73" s="21">
        <f t="shared" si="2"/>
        <v>354.93753300111132</v>
      </c>
    </row>
    <row r="74" spans="1:11" s="22" customFormat="1" ht="29" x14ac:dyDescent="0.35">
      <c r="A74" s="19">
        <v>61</v>
      </c>
      <c r="B74" s="19">
        <v>99235</v>
      </c>
      <c r="C74" s="20" t="s">
        <v>361</v>
      </c>
      <c r="D74" s="116">
        <f>'Schedule 4 Adjustments'!F73</f>
        <v>0</v>
      </c>
      <c r="E74" s="410">
        <v>4.7300000000000004</v>
      </c>
      <c r="F74" s="47">
        <f t="shared" si="4"/>
        <v>0</v>
      </c>
      <c r="G74" s="21">
        <f t="shared" si="0"/>
        <v>578.91535555008852</v>
      </c>
      <c r="H74" s="150">
        <f>'Schedule 4 Adjustments'!N73</f>
        <v>0</v>
      </c>
      <c r="I74" s="410">
        <v>4.7300000000000004</v>
      </c>
      <c r="J74" s="47">
        <f t="shared" si="3"/>
        <v>0</v>
      </c>
      <c r="K74" s="21">
        <f t="shared" si="2"/>
        <v>578.91535555008852</v>
      </c>
    </row>
    <row r="75" spans="1:11" s="22" customFormat="1" ht="29" x14ac:dyDescent="0.35">
      <c r="A75" s="19">
        <v>62</v>
      </c>
      <c r="B75" s="19">
        <v>99236</v>
      </c>
      <c r="C75" s="20" t="s">
        <v>362</v>
      </c>
      <c r="D75" s="116">
        <f>'Schedule 4 Adjustments'!F74</f>
        <v>0</v>
      </c>
      <c r="E75" s="410">
        <v>6.18</v>
      </c>
      <c r="F75" s="47">
        <f t="shared" si="4"/>
        <v>0</v>
      </c>
      <c r="G75" s="21">
        <f t="shared" si="0"/>
        <v>756.38412205064412</v>
      </c>
      <c r="H75" s="150">
        <f>'Schedule 4 Adjustments'!N74</f>
        <v>0</v>
      </c>
      <c r="I75" s="410">
        <v>6.18</v>
      </c>
      <c r="J75" s="47">
        <f t="shared" si="3"/>
        <v>0</v>
      </c>
      <c r="K75" s="21">
        <f t="shared" si="2"/>
        <v>756.38412205064412</v>
      </c>
    </row>
    <row r="76" spans="1:11" s="22" customFormat="1" x14ac:dyDescent="0.35">
      <c r="A76" s="19">
        <v>63</v>
      </c>
      <c r="B76" s="19">
        <v>99238</v>
      </c>
      <c r="C76" s="20" t="s">
        <v>346</v>
      </c>
      <c r="D76" s="116">
        <f>'Schedule 4 Adjustments'!F75</f>
        <v>0</v>
      </c>
      <c r="E76" s="410">
        <v>2.41</v>
      </c>
      <c r="F76" s="47">
        <f t="shared" si="4"/>
        <v>0</v>
      </c>
      <c r="G76" s="21">
        <f t="shared" si="0"/>
        <v>294.96532914919942</v>
      </c>
      <c r="H76" s="150">
        <f>'Schedule 4 Adjustments'!N75</f>
        <v>0</v>
      </c>
      <c r="I76" s="410">
        <v>2.41</v>
      </c>
      <c r="J76" s="47">
        <f t="shared" si="3"/>
        <v>0</v>
      </c>
      <c r="K76" s="21">
        <f t="shared" si="2"/>
        <v>294.96532914919942</v>
      </c>
    </row>
    <row r="77" spans="1:11" s="22" customFormat="1" x14ac:dyDescent="0.35">
      <c r="A77" s="19">
        <v>64</v>
      </c>
      <c r="B77" s="19">
        <v>99239</v>
      </c>
      <c r="C77" s="20" t="s">
        <v>127</v>
      </c>
      <c r="D77" s="116">
        <f>'Schedule 4 Adjustments'!F76</f>
        <v>0</v>
      </c>
      <c r="E77" s="410">
        <v>3.4</v>
      </c>
      <c r="F77" s="47">
        <f t="shared" si="4"/>
        <v>0</v>
      </c>
      <c r="G77" s="21">
        <f t="shared" si="0"/>
        <v>416.13365938061327</v>
      </c>
      <c r="H77" s="150">
        <f>'Schedule 4 Adjustments'!N76</f>
        <v>0</v>
      </c>
      <c r="I77" s="410">
        <v>3.4</v>
      </c>
      <c r="J77" s="47">
        <f t="shared" si="3"/>
        <v>0</v>
      </c>
      <c r="K77" s="21">
        <f t="shared" si="2"/>
        <v>416.13365938061327</v>
      </c>
    </row>
    <row r="78" spans="1:11" s="22" customFormat="1" x14ac:dyDescent="0.35">
      <c r="A78" s="19">
        <v>65</v>
      </c>
      <c r="B78" s="19">
        <v>99242</v>
      </c>
      <c r="C78" s="20" t="s">
        <v>347</v>
      </c>
      <c r="D78" s="116">
        <f>'Schedule 4 Adjustments'!F77</f>
        <v>0</v>
      </c>
      <c r="E78" s="410">
        <v>2.25</v>
      </c>
      <c r="F78" s="148">
        <f t="shared" si="4"/>
        <v>0</v>
      </c>
      <c r="G78" s="149">
        <f t="shared" si="0"/>
        <v>275.38256870775882</v>
      </c>
      <c r="H78" s="150">
        <f>'Schedule 4 Adjustments'!N77</f>
        <v>0</v>
      </c>
      <c r="I78" s="410">
        <v>1.66</v>
      </c>
      <c r="J78" s="47">
        <f t="shared" si="3"/>
        <v>0</v>
      </c>
      <c r="K78" s="21">
        <f t="shared" si="2"/>
        <v>203.17113957994647</v>
      </c>
    </row>
    <row r="79" spans="1:11" s="22" customFormat="1" x14ac:dyDescent="0.35">
      <c r="A79" s="19">
        <v>66</v>
      </c>
      <c r="B79" s="19">
        <v>99243</v>
      </c>
      <c r="C79" s="20" t="s">
        <v>348</v>
      </c>
      <c r="D79" s="116">
        <f>'Schedule 4 Adjustments'!F78</f>
        <v>0</v>
      </c>
      <c r="E79" s="410">
        <v>3.37</v>
      </c>
      <c r="F79" s="47">
        <f t="shared" si="4"/>
        <v>0</v>
      </c>
      <c r="G79" s="21">
        <f t="shared" si="0"/>
        <v>412.46189179784318</v>
      </c>
      <c r="H79" s="150">
        <f>'Schedule 4 Adjustments'!N78</f>
        <v>0</v>
      </c>
      <c r="I79" s="410">
        <v>2.62</v>
      </c>
      <c r="J79" s="47">
        <f t="shared" si="3"/>
        <v>0</v>
      </c>
      <c r="K79" s="21">
        <f t="shared" si="2"/>
        <v>320.66770222859026</v>
      </c>
    </row>
    <row r="80" spans="1:11" s="22" customFormat="1" x14ac:dyDescent="0.35">
      <c r="A80" s="19">
        <v>67</v>
      </c>
      <c r="B80" s="19">
        <v>99244</v>
      </c>
      <c r="C80" s="20" t="s">
        <v>349</v>
      </c>
      <c r="D80" s="116">
        <f>'Schedule 4 Adjustments'!F79</f>
        <v>0</v>
      </c>
      <c r="E80" s="410">
        <v>4.8099999999999996</v>
      </c>
      <c r="F80" s="47">
        <f t="shared" si="4"/>
        <v>0</v>
      </c>
      <c r="G80" s="21">
        <f t="shared" si="0"/>
        <v>588.70673577080879</v>
      </c>
      <c r="H80" s="150">
        <f>'Schedule 4 Adjustments'!N79</f>
        <v>0</v>
      </c>
      <c r="I80" s="410">
        <v>3.99</v>
      </c>
      <c r="J80" s="47">
        <f t="shared" si="3"/>
        <v>0</v>
      </c>
      <c r="K80" s="21">
        <f t="shared" si="2"/>
        <v>488.34508850842565</v>
      </c>
    </row>
    <row r="81" spans="1:11" s="22" customFormat="1" x14ac:dyDescent="0.35">
      <c r="A81" s="19">
        <v>68</v>
      </c>
      <c r="B81" s="19">
        <v>99245</v>
      </c>
      <c r="C81" s="20" t="s">
        <v>350</v>
      </c>
      <c r="D81" s="116">
        <f>'Schedule 4 Adjustments'!F80</f>
        <v>0</v>
      </c>
      <c r="E81" s="410">
        <v>6.28</v>
      </c>
      <c r="F81" s="47">
        <f t="shared" si="4"/>
        <v>0</v>
      </c>
      <c r="G81" s="21">
        <f t="shared" si="0"/>
        <v>768.6233473265446</v>
      </c>
      <c r="H81" s="150">
        <f>'Schedule 4 Adjustments'!N80</f>
        <v>0</v>
      </c>
      <c r="I81" s="410">
        <v>5.36</v>
      </c>
      <c r="J81" s="47">
        <f t="shared" si="3"/>
        <v>0</v>
      </c>
      <c r="K81" s="21">
        <f t="shared" si="2"/>
        <v>656.02247478826098</v>
      </c>
    </row>
    <row r="82" spans="1:11" s="22" customFormat="1" x14ac:dyDescent="0.35">
      <c r="A82" s="19">
        <v>69</v>
      </c>
      <c r="B82" s="19">
        <v>99252</v>
      </c>
      <c r="C82" s="20" t="s">
        <v>351</v>
      </c>
      <c r="D82" s="116">
        <f>'Schedule 4 Adjustments'!F81</f>
        <v>0</v>
      </c>
      <c r="E82" s="410">
        <v>2.11</v>
      </c>
      <c r="F82" s="47">
        <f t="shared" si="4"/>
        <v>0</v>
      </c>
      <c r="G82" s="21">
        <f t="shared" si="0"/>
        <v>258.24765332149821</v>
      </c>
      <c r="H82" s="150">
        <f>'Schedule 4 Adjustments'!N81</f>
        <v>0</v>
      </c>
      <c r="I82" s="410">
        <v>2.11</v>
      </c>
      <c r="J82" s="47">
        <f t="shared" si="3"/>
        <v>0</v>
      </c>
      <c r="K82" s="21">
        <f t="shared" si="2"/>
        <v>258.24765332149821</v>
      </c>
    </row>
    <row r="83" spans="1:11" s="22" customFormat="1" x14ac:dyDescent="0.35">
      <c r="A83" s="19">
        <v>70</v>
      </c>
      <c r="B83" s="19">
        <v>99253</v>
      </c>
      <c r="C83" s="20" t="s">
        <v>352</v>
      </c>
      <c r="D83" s="116">
        <f>'Schedule 4 Adjustments'!F82</f>
        <v>0</v>
      </c>
      <c r="E83" s="410">
        <v>2.96</v>
      </c>
      <c r="F83" s="47">
        <f t="shared" si="4"/>
        <v>0</v>
      </c>
      <c r="G83" s="21">
        <f t="shared" ref="G83:G146" si="5">E83*$F$13</f>
        <v>362.28106816665155</v>
      </c>
      <c r="H83" s="150">
        <f>'Schedule 4 Adjustments'!N82</f>
        <v>0</v>
      </c>
      <c r="I83" s="410">
        <v>2.96</v>
      </c>
      <c r="J83" s="47">
        <f t="shared" si="3"/>
        <v>0</v>
      </c>
      <c r="K83" s="21">
        <f t="shared" ref="K83:K146" si="6">I83*$F$13</f>
        <v>362.28106816665155</v>
      </c>
    </row>
    <row r="84" spans="1:11" s="22" customFormat="1" x14ac:dyDescent="0.35">
      <c r="A84" s="19">
        <v>71</v>
      </c>
      <c r="B84" s="19">
        <v>99254</v>
      </c>
      <c r="C84" s="20" t="s">
        <v>353</v>
      </c>
      <c r="D84" s="116">
        <f>'Schedule 4 Adjustments'!F83</f>
        <v>0</v>
      </c>
      <c r="E84" s="410">
        <v>4.1100000000000003</v>
      </c>
      <c r="F84" s="47">
        <f t="shared" si="4"/>
        <v>0</v>
      </c>
      <c r="G84" s="21">
        <f t="shared" si="5"/>
        <v>503.03215883950611</v>
      </c>
      <c r="H84" s="150">
        <f>'Schedule 4 Adjustments'!N83</f>
        <v>0</v>
      </c>
      <c r="I84" s="410">
        <v>4.1100000000000003</v>
      </c>
      <c r="J84" s="47">
        <f t="shared" ref="J84:J147" si="7">H84*I84</f>
        <v>0</v>
      </c>
      <c r="K84" s="21">
        <f t="shared" si="6"/>
        <v>503.03215883950611</v>
      </c>
    </row>
    <row r="85" spans="1:11" s="22" customFormat="1" x14ac:dyDescent="0.35">
      <c r="A85" s="19">
        <v>72</v>
      </c>
      <c r="B85" s="19">
        <v>99255</v>
      </c>
      <c r="C85" s="20" t="s">
        <v>354</v>
      </c>
      <c r="D85" s="116">
        <f>'Schedule 4 Adjustments'!F84</f>
        <v>0</v>
      </c>
      <c r="E85" s="410">
        <v>5.53</v>
      </c>
      <c r="F85" s="47">
        <f t="shared" ref="F85:F148" si="8">D85*E85</f>
        <v>0</v>
      </c>
      <c r="G85" s="21">
        <f t="shared" si="5"/>
        <v>676.82915775729168</v>
      </c>
      <c r="H85" s="150">
        <f>'Schedule 4 Adjustments'!N84</f>
        <v>0</v>
      </c>
      <c r="I85" s="410">
        <v>5.53</v>
      </c>
      <c r="J85" s="47">
        <f t="shared" si="7"/>
        <v>0</v>
      </c>
      <c r="K85" s="21">
        <f t="shared" si="6"/>
        <v>676.82915775729168</v>
      </c>
    </row>
    <row r="86" spans="1:11" s="22" customFormat="1" x14ac:dyDescent="0.35">
      <c r="A86" s="19">
        <v>73</v>
      </c>
      <c r="B86" s="19">
        <v>99281</v>
      </c>
      <c r="C86" s="20" t="s">
        <v>355</v>
      </c>
      <c r="D86" s="116">
        <f>'Schedule 4 Adjustments'!F85</f>
        <v>0</v>
      </c>
      <c r="E86" s="410">
        <v>0.34</v>
      </c>
      <c r="F86" s="47">
        <f t="shared" si="8"/>
        <v>0</v>
      </c>
      <c r="G86" s="21">
        <f t="shared" si="5"/>
        <v>41.613365938061335</v>
      </c>
      <c r="H86" s="150">
        <f>'Schedule 4 Adjustments'!N85</f>
        <v>0</v>
      </c>
      <c r="I86" s="410">
        <v>0.34</v>
      </c>
      <c r="J86" s="47">
        <f t="shared" si="7"/>
        <v>0</v>
      </c>
      <c r="K86" s="21">
        <f t="shared" si="6"/>
        <v>41.613365938061335</v>
      </c>
    </row>
    <row r="87" spans="1:11" s="22" customFormat="1" x14ac:dyDescent="0.35">
      <c r="A87" s="19">
        <v>74</v>
      </c>
      <c r="B87" s="19">
        <v>99282</v>
      </c>
      <c r="C87" s="20" t="s">
        <v>356</v>
      </c>
      <c r="D87" s="116">
        <f>'Schedule 4 Adjustments'!F86</f>
        <v>0</v>
      </c>
      <c r="E87" s="410">
        <v>1.24</v>
      </c>
      <c r="F87" s="47">
        <f t="shared" si="8"/>
        <v>0</v>
      </c>
      <c r="G87" s="21">
        <f t="shared" si="5"/>
        <v>151.76639342116485</v>
      </c>
      <c r="H87" s="150">
        <f>'Schedule 4 Adjustments'!N86</f>
        <v>0</v>
      </c>
      <c r="I87" s="410">
        <v>1.24</v>
      </c>
      <c r="J87" s="47">
        <f t="shared" si="7"/>
        <v>0</v>
      </c>
      <c r="K87" s="21">
        <f t="shared" si="6"/>
        <v>151.76639342116485</v>
      </c>
    </row>
    <row r="88" spans="1:11" s="22" customFormat="1" x14ac:dyDescent="0.35">
      <c r="A88" s="19">
        <v>75</v>
      </c>
      <c r="B88" s="19">
        <v>99283</v>
      </c>
      <c r="C88" s="20" t="s">
        <v>357</v>
      </c>
      <c r="D88" s="116">
        <f>'Schedule 4 Adjustments'!F87</f>
        <v>0</v>
      </c>
      <c r="E88" s="410">
        <v>2.11</v>
      </c>
      <c r="F88" s="47">
        <f t="shared" si="8"/>
        <v>0</v>
      </c>
      <c r="G88" s="21">
        <f t="shared" si="5"/>
        <v>258.24765332149821</v>
      </c>
      <c r="H88" s="150">
        <f>'Schedule 4 Adjustments'!N87</f>
        <v>0</v>
      </c>
      <c r="I88" s="410">
        <v>2.11</v>
      </c>
      <c r="J88" s="47">
        <f t="shared" si="7"/>
        <v>0</v>
      </c>
      <c r="K88" s="21">
        <f t="shared" si="6"/>
        <v>258.24765332149821</v>
      </c>
    </row>
    <row r="89" spans="1:11" s="22" customFormat="1" x14ac:dyDescent="0.35">
      <c r="A89" s="19">
        <v>76</v>
      </c>
      <c r="B89" s="19">
        <v>99284</v>
      </c>
      <c r="C89" s="20" t="s">
        <v>358</v>
      </c>
      <c r="D89" s="116">
        <f>'Schedule 4 Adjustments'!F88</f>
        <v>0</v>
      </c>
      <c r="E89" s="410">
        <v>3.59</v>
      </c>
      <c r="F89" s="47">
        <f t="shared" si="8"/>
        <v>0</v>
      </c>
      <c r="G89" s="21">
        <f t="shared" si="5"/>
        <v>439.38818740482401</v>
      </c>
      <c r="H89" s="150">
        <f>'Schedule 4 Adjustments'!N88</f>
        <v>0</v>
      </c>
      <c r="I89" s="410">
        <v>3.59</v>
      </c>
      <c r="J89" s="47">
        <f t="shared" si="7"/>
        <v>0</v>
      </c>
      <c r="K89" s="21">
        <f t="shared" si="6"/>
        <v>439.38818740482401</v>
      </c>
    </row>
    <row r="90" spans="1:11" s="22" customFormat="1" x14ac:dyDescent="0.35">
      <c r="A90" s="19">
        <v>77</v>
      </c>
      <c r="B90" s="19">
        <v>99285</v>
      </c>
      <c r="C90" s="20" t="s">
        <v>359</v>
      </c>
      <c r="D90" s="116">
        <f>'Schedule 4 Adjustments'!F89</f>
        <v>0</v>
      </c>
      <c r="E90" s="410">
        <v>5.2</v>
      </c>
      <c r="F90" s="47">
        <f t="shared" si="8"/>
        <v>0</v>
      </c>
      <c r="G90" s="21">
        <f t="shared" si="5"/>
        <v>636.43971434682032</v>
      </c>
      <c r="H90" s="150">
        <f>'Schedule 4 Adjustments'!N89</f>
        <v>0</v>
      </c>
      <c r="I90" s="410">
        <v>5.2</v>
      </c>
      <c r="J90" s="47">
        <f t="shared" si="7"/>
        <v>0</v>
      </c>
      <c r="K90" s="21">
        <f t="shared" si="6"/>
        <v>636.43971434682032</v>
      </c>
    </row>
    <row r="91" spans="1:11" s="22" customFormat="1" x14ac:dyDescent="0.35">
      <c r="A91" s="19">
        <v>78</v>
      </c>
      <c r="B91" s="19">
        <v>99304</v>
      </c>
      <c r="C91" s="20" t="s">
        <v>363</v>
      </c>
      <c r="D91" s="116">
        <f>'Schedule 4 Adjustments'!F90</f>
        <v>0</v>
      </c>
      <c r="E91" s="410">
        <v>2.39</v>
      </c>
      <c r="F91" s="47">
        <f t="shared" si="8"/>
        <v>0</v>
      </c>
      <c r="G91" s="21">
        <f t="shared" si="5"/>
        <v>292.51748409401938</v>
      </c>
      <c r="H91" s="150">
        <f>'Schedule 4 Adjustments'!N90</f>
        <v>0</v>
      </c>
      <c r="I91" s="410">
        <v>2.39</v>
      </c>
      <c r="J91" s="47">
        <f t="shared" si="7"/>
        <v>0</v>
      </c>
      <c r="K91" s="21">
        <f t="shared" si="6"/>
        <v>292.51748409401938</v>
      </c>
    </row>
    <row r="92" spans="1:11" s="22" customFormat="1" x14ac:dyDescent="0.35">
      <c r="A92" s="19">
        <v>79</v>
      </c>
      <c r="B92" s="19">
        <v>99305</v>
      </c>
      <c r="C92" s="20" t="s">
        <v>364</v>
      </c>
      <c r="D92" s="116">
        <f>'Schedule 4 Adjustments'!F91</f>
        <v>0</v>
      </c>
      <c r="E92" s="410">
        <v>3.97</v>
      </c>
      <c r="F92" s="47">
        <f t="shared" si="8"/>
        <v>0</v>
      </c>
      <c r="G92" s="21">
        <f t="shared" si="5"/>
        <v>485.89724345324555</v>
      </c>
      <c r="H92" s="150">
        <f>'Schedule 4 Adjustments'!N91</f>
        <v>1</v>
      </c>
      <c r="I92" s="410">
        <v>3.97</v>
      </c>
      <c r="J92" s="47">
        <f t="shared" si="7"/>
        <v>3.97</v>
      </c>
      <c r="K92" s="21">
        <f t="shared" si="6"/>
        <v>485.89724345324555</v>
      </c>
    </row>
    <row r="93" spans="1:11" s="22" customFormat="1" x14ac:dyDescent="0.35">
      <c r="A93" s="19">
        <v>80</v>
      </c>
      <c r="B93" s="19">
        <v>99306</v>
      </c>
      <c r="C93" s="20" t="s">
        <v>365</v>
      </c>
      <c r="D93" s="116">
        <f>'Schedule 4 Adjustments'!F92</f>
        <v>0</v>
      </c>
      <c r="E93" s="410">
        <v>5.42</v>
      </c>
      <c r="F93" s="47">
        <f t="shared" si="8"/>
        <v>0</v>
      </c>
      <c r="G93" s="21">
        <f t="shared" si="5"/>
        <v>663.36600995380115</v>
      </c>
      <c r="H93" s="150">
        <f>'Schedule 4 Adjustments'!N92</f>
        <v>0</v>
      </c>
      <c r="I93" s="410">
        <v>5.42</v>
      </c>
      <c r="J93" s="47">
        <f t="shared" si="7"/>
        <v>0</v>
      </c>
      <c r="K93" s="21">
        <f t="shared" si="6"/>
        <v>663.36600995380115</v>
      </c>
    </row>
    <row r="94" spans="1:11" s="22" customFormat="1" x14ac:dyDescent="0.35">
      <c r="A94" s="19">
        <v>81</v>
      </c>
      <c r="B94" s="19">
        <v>99307</v>
      </c>
      <c r="C94" s="20" t="s">
        <v>366</v>
      </c>
      <c r="D94" s="116">
        <f>'Schedule 4 Adjustments'!F93</f>
        <v>0</v>
      </c>
      <c r="E94" s="410">
        <v>1.2</v>
      </c>
      <c r="F94" s="47">
        <f t="shared" si="8"/>
        <v>0</v>
      </c>
      <c r="G94" s="21">
        <f t="shared" si="5"/>
        <v>146.87070331080469</v>
      </c>
      <c r="H94" s="150">
        <f>'Schedule 4 Adjustments'!N93</f>
        <v>0</v>
      </c>
      <c r="I94" s="410">
        <v>1.2</v>
      </c>
      <c r="J94" s="47">
        <f t="shared" si="7"/>
        <v>0</v>
      </c>
      <c r="K94" s="21">
        <f t="shared" si="6"/>
        <v>146.87070331080469</v>
      </c>
    </row>
    <row r="95" spans="1:11" s="22" customFormat="1" x14ac:dyDescent="0.35">
      <c r="A95" s="19">
        <v>82</v>
      </c>
      <c r="B95" s="19">
        <v>99308</v>
      </c>
      <c r="C95" s="20" t="s">
        <v>367</v>
      </c>
      <c r="D95" s="116">
        <f>'Schedule 4 Adjustments'!F94</f>
        <v>4</v>
      </c>
      <c r="E95" s="410">
        <v>2.2200000000000002</v>
      </c>
      <c r="F95" s="47">
        <f t="shared" si="8"/>
        <v>8.8800000000000008</v>
      </c>
      <c r="G95" s="21">
        <f t="shared" si="5"/>
        <v>271.71080112498868</v>
      </c>
      <c r="H95" s="150">
        <f>'Schedule 4 Adjustments'!N94</f>
        <v>1</v>
      </c>
      <c r="I95" s="410">
        <v>2.2200000000000002</v>
      </c>
      <c r="J95" s="47">
        <f t="shared" si="7"/>
        <v>2.2200000000000002</v>
      </c>
      <c r="K95" s="21">
        <f t="shared" si="6"/>
        <v>271.71080112498868</v>
      </c>
    </row>
    <row r="96" spans="1:11" s="22" customFormat="1" x14ac:dyDescent="0.35">
      <c r="A96" s="19">
        <v>83</v>
      </c>
      <c r="B96" s="19">
        <v>99309</v>
      </c>
      <c r="C96" s="20" t="s">
        <v>368</v>
      </c>
      <c r="D96" s="116">
        <f>'Schedule 4 Adjustments'!F95</f>
        <v>2</v>
      </c>
      <c r="E96" s="410">
        <v>3.21</v>
      </c>
      <c r="F96" s="47">
        <f t="shared" si="8"/>
        <v>6.42</v>
      </c>
      <c r="G96" s="21">
        <f t="shared" si="5"/>
        <v>392.87913135640252</v>
      </c>
      <c r="H96" s="150">
        <f>'Schedule 4 Adjustments'!N95</f>
        <v>1</v>
      </c>
      <c r="I96" s="410">
        <v>3.21</v>
      </c>
      <c r="J96" s="47">
        <f t="shared" si="7"/>
        <v>3.21</v>
      </c>
      <c r="K96" s="21">
        <f t="shared" si="6"/>
        <v>392.87913135640252</v>
      </c>
    </row>
    <row r="97" spans="1:11" s="22" customFormat="1" x14ac:dyDescent="0.35">
      <c r="A97" s="19">
        <v>84</v>
      </c>
      <c r="B97" s="19">
        <v>99310</v>
      </c>
      <c r="C97" s="20" t="s">
        <v>369</v>
      </c>
      <c r="D97" s="116">
        <f>'Schedule 4 Adjustments'!F96</f>
        <v>0</v>
      </c>
      <c r="E97" s="410">
        <v>4.58</v>
      </c>
      <c r="F97" s="47">
        <f t="shared" si="8"/>
        <v>0</v>
      </c>
      <c r="G97" s="21">
        <f t="shared" si="5"/>
        <v>560.55651763623791</v>
      </c>
      <c r="H97" s="150">
        <f>'Schedule 4 Adjustments'!N96</f>
        <v>0</v>
      </c>
      <c r="I97" s="410">
        <v>4.58</v>
      </c>
      <c r="J97" s="47">
        <f t="shared" si="7"/>
        <v>0</v>
      </c>
      <c r="K97" s="21">
        <f t="shared" si="6"/>
        <v>560.55651763623791</v>
      </c>
    </row>
    <row r="98" spans="1:11" s="22" customFormat="1" x14ac:dyDescent="0.35">
      <c r="A98" s="19">
        <v>85</v>
      </c>
      <c r="B98" s="19">
        <v>99315</v>
      </c>
      <c r="C98" s="20" t="s">
        <v>370</v>
      </c>
      <c r="D98" s="116">
        <f>'Schedule 4 Adjustments'!F97</f>
        <v>0</v>
      </c>
      <c r="E98" s="410">
        <v>2.4300000000000002</v>
      </c>
      <c r="F98" s="47">
        <f t="shared" si="8"/>
        <v>0</v>
      </c>
      <c r="G98" s="21">
        <f t="shared" si="5"/>
        <v>297.41317420437952</v>
      </c>
      <c r="H98" s="150">
        <f>'Schedule 4 Adjustments'!N97</f>
        <v>0</v>
      </c>
      <c r="I98" s="410">
        <v>2.4300000000000002</v>
      </c>
      <c r="J98" s="47">
        <f t="shared" si="7"/>
        <v>0</v>
      </c>
      <c r="K98" s="21">
        <f t="shared" si="6"/>
        <v>297.41317420437952</v>
      </c>
    </row>
    <row r="99" spans="1:11" s="22" customFormat="1" x14ac:dyDescent="0.35">
      <c r="A99" s="19">
        <v>86</v>
      </c>
      <c r="B99" s="19">
        <v>99316</v>
      </c>
      <c r="C99" s="20" t="s">
        <v>128</v>
      </c>
      <c r="D99" s="116">
        <f>'Schedule 4 Adjustments'!F98</f>
        <v>0</v>
      </c>
      <c r="E99" s="410">
        <v>3.9</v>
      </c>
      <c r="F99" s="47">
        <f t="shared" si="8"/>
        <v>0</v>
      </c>
      <c r="G99" s="21">
        <f t="shared" si="5"/>
        <v>477.32978576011521</v>
      </c>
      <c r="H99" s="150">
        <f>'Schedule 4 Adjustments'!N98</f>
        <v>0</v>
      </c>
      <c r="I99" s="410">
        <v>3.9</v>
      </c>
      <c r="J99" s="47">
        <f t="shared" si="7"/>
        <v>0</v>
      </c>
      <c r="K99" s="21">
        <f t="shared" si="6"/>
        <v>477.32978576011521</v>
      </c>
    </row>
    <row r="100" spans="1:11" s="22" customFormat="1" x14ac:dyDescent="0.35">
      <c r="A100" s="19">
        <v>87</v>
      </c>
      <c r="B100" s="19">
        <v>99341</v>
      </c>
      <c r="C100" s="20" t="s">
        <v>371</v>
      </c>
      <c r="D100" s="116">
        <f>'Schedule 4 Adjustments'!F99</f>
        <v>3</v>
      </c>
      <c r="E100" s="410">
        <v>1.47</v>
      </c>
      <c r="F100" s="47">
        <f t="shared" si="8"/>
        <v>4.41</v>
      </c>
      <c r="G100" s="21">
        <f t="shared" si="5"/>
        <v>179.91661155573576</v>
      </c>
      <c r="H100" s="150">
        <f>'Schedule 4 Adjustments'!N99</f>
        <v>0</v>
      </c>
      <c r="I100" s="410">
        <v>1.47</v>
      </c>
      <c r="J100" s="47">
        <f t="shared" si="7"/>
        <v>0</v>
      </c>
      <c r="K100" s="21">
        <f t="shared" si="6"/>
        <v>179.91661155573576</v>
      </c>
    </row>
    <row r="101" spans="1:11" s="22" customFormat="1" x14ac:dyDescent="0.35">
      <c r="A101" s="19">
        <v>88</v>
      </c>
      <c r="B101" s="19">
        <v>99342</v>
      </c>
      <c r="C101" s="20" t="s">
        <v>372</v>
      </c>
      <c r="D101" s="116">
        <f>'Schedule 4 Adjustments'!F100</f>
        <v>0</v>
      </c>
      <c r="E101" s="410">
        <v>2.33</v>
      </c>
      <c r="F101" s="47">
        <f t="shared" si="8"/>
        <v>0</v>
      </c>
      <c r="G101" s="21">
        <f t="shared" si="5"/>
        <v>285.17394892847909</v>
      </c>
      <c r="H101" s="150">
        <f>'Schedule 4 Adjustments'!N100</f>
        <v>0</v>
      </c>
      <c r="I101" s="410">
        <v>2.33</v>
      </c>
      <c r="J101" s="47">
        <f t="shared" si="7"/>
        <v>0</v>
      </c>
      <c r="K101" s="21">
        <f t="shared" si="6"/>
        <v>285.17394892847909</v>
      </c>
    </row>
    <row r="102" spans="1:11" s="22" customFormat="1" x14ac:dyDescent="0.35">
      <c r="A102" s="19">
        <v>89</v>
      </c>
      <c r="B102" s="19">
        <v>99344</v>
      </c>
      <c r="C102" s="20" t="s">
        <v>373</v>
      </c>
      <c r="D102" s="116">
        <f>'Schedule 4 Adjustments'!F101</f>
        <v>0</v>
      </c>
      <c r="E102" s="410">
        <v>4.2300000000000004</v>
      </c>
      <c r="F102" s="47">
        <f t="shared" si="8"/>
        <v>0</v>
      </c>
      <c r="G102" s="21">
        <f t="shared" si="5"/>
        <v>517.71922917058657</v>
      </c>
      <c r="H102" s="150">
        <f>'Schedule 4 Adjustments'!N101</f>
        <v>0</v>
      </c>
      <c r="I102" s="410">
        <v>4.2300000000000004</v>
      </c>
      <c r="J102" s="47">
        <f t="shared" si="7"/>
        <v>0</v>
      </c>
      <c r="K102" s="21">
        <f t="shared" si="6"/>
        <v>517.71922917058657</v>
      </c>
    </row>
    <row r="103" spans="1:11" s="22" customFormat="1" x14ac:dyDescent="0.35">
      <c r="A103" s="19">
        <v>90</v>
      </c>
      <c r="B103" s="19">
        <v>99345</v>
      </c>
      <c r="C103" s="20" t="s">
        <v>374</v>
      </c>
      <c r="D103" s="116">
        <f>'Schedule 4 Adjustments'!F102</f>
        <v>0</v>
      </c>
      <c r="E103" s="410">
        <v>6.01</v>
      </c>
      <c r="F103" s="47">
        <f t="shared" si="8"/>
        <v>0</v>
      </c>
      <c r="G103" s="21">
        <f t="shared" si="5"/>
        <v>735.57743908161342</v>
      </c>
      <c r="H103" s="150">
        <f>'Schedule 4 Adjustments'!N102</f>
        <v>0</v>
      </c>
      <c r="I103" s="410">
        <v>6.01</v>
      </c>
      <c r="J103" s="47">
        <f t="shared" si="7"/>
        <v>0</v>
      </c>
      <c r="K103" s="21">
        <f t="shared" si="6"/>
        <v>735.57743908161342</v>
      </c>
    </row>
    <row r="104" spans="1:11" s="22" customFormat="1" x14ac:dyDescent="0.35">
      <c r="A104" s="19">
        <v>91</v>
      </c>
      <c r="B104" s="19">
        <v>99347</v>
      </c>
      <c r="C104" s="20" t="s">
        <v>375</v>
      </c>
      <c r="D104" s="116">
        <f>'Schedule 4 Adjustments'!F103</f>
        <v>73</v>
      </c>
      <c r="E104" s="410">
        <v>1.35</v>
      </c>
      <c r="F104" s="47">
        <f t="shared" si="8"/>
        <v>98.550000000000011</v>
      </c>
      <c r="G104" s="21">
        <f t="shared" si="5"/>
        <v>165.22954122465529</v>
      </c>
      <c r="H104" s="150">
        <f>'Schedule 4 Adjustments'!N103</f>
        <v>69</v>
      </c>
      <c r="I104" s="410">
        <v>1.35</v>
      </c>
      <c r="J104" s="47">
        <f t="shared" si="7"/>
        <v>93.15</v>
      </c>
      <c r="K104" s="21">
        <f t="shared" si="6"/>
        <v>165.22954122465529</v>
      </c>
    </row>
    <row r="105" spans="1:11" s="22" customFormat="1" x14ac:dyDescent="0.35">
      <c r="A105" s="19">
        <v>92</v>
      </c>
      <c r="B105" s="19">
        <v>99348</v>
      </c>
      <c r="C105" s="20" t="s">
        <v>376</v>
      </c>
      <c r="D105" s="116">
        <f>'Schedule 4 Adjustments'!F104</f>
        <v>90</v>
      </c>
      <c r="E105" s="410">
        <v>2.2799999999999998</v>
      </c>
      <c r="F105" s="47">
        <f t="shared" si="8"/>
        <v>205.2</v>
      </c>
      <c r="G105" s="21">
        <f t="shared" si="5"/>
        <v>279.05433629052891</v>
      </c>
      <c r="H105" s="150">
        <f>'Schedule 4 Adjustments'!N104</f>
        <v>97</v>
      </c>
      <c r="I105" s="410">
        <v>2.2799999999999998</v>
      </c>
      <c r="J105" s="47">
        <f t="shared" si="7"/>
        <v>221.15999999999997</v>
      </c>
      <c r="K105" s="21">
        <f t="shared" si="6"/>
        <v>279.05433629052891</v>
      </c>
    </row>
    <row r="106" spans="1:11" s="22" customFormat="1" x14ac:dyDescent="0.35">
      <c r="A106" s="19">
        <v>93</v>
      </c>
      <c r="B106" s="19">
        <v>99349</v>
      </c>
      <c r="C106" s="20" t="s">
        <v>377</v>
      </c>
      <c r="D106" s="116">
        <f>'Schedule 4 Adjustments'!F105</f>
        <v>53</v>
      </c>
      <c r="E106" s="410">
        <v>3.79</v>
      </c>
      <c r="F106" s="47">
        <f t="shared" si="8"/>
        <v>200.87</v>
      </c>
      <c r="G106" s="21">
        <f t="shared" si="5"/>
        <v>463.8666379566248</v>
      </c>
      <c r="H106" s="150">
        <f>'Schedule 4 Adjustments'!N105</f>
        <v>91</v>
      </c>
      <c r="I106" s="410">
        <v>3.79</v>
      </c>
      <c r="J106" s="47">
        <f t="shared" si="7"/>
        <v>344.89</v>
      </c>
      <c r="K106" s="21">
        <f t="shared" si="6"/>
        <v>463.8666379566248</v>
      </c>
    </row>
    <row r="107" spans="1:11" s="22" customFormat="1" x14ac:dyDescent="0.35">
      <c r="A107" s="19">
        <v>94</v>
      </c>
      <c r="B107" s="19">
        <v>99350</v>
      </c>
      <c r="C107" s="20" t="s">
        <v>378</v>
      </c>
      <c r="D107" s="116">
        <f>'Schedule 4 Adjustments'!F106</f>
        <v>5</v>
      </c>
      <c r="E107" s="410">
        <v>5.52</v>
      </c>
      <c r="F107" s="47">
        <f t="shared" si="8"/>
        <v>27.599999999999998</v>
      </c>
      <c r="G107" s="21">
        <f t="shared" si="5"/>
        <v>675.60523522970152</v>
      </c>
      <c r="H107" s="150">
        <f>'Schedule 4 Adjustments'!N106</f>
        <v>1</v>
      </c>
      <c r="I107" s="410">
        <v>5.52</v>
      </c>
      <c r="J107" s="47">
        <f t="shared" si="7"/>
        <v>5.52</v>
      </c>
      <c r="K107" s="21">
        <f t="shared" si="6"/>
        <v>675.60523522970152</v>
      </c>
    </row>
    <row r="108" spans="1:11" s="22" customFormat="1" x14ac:dyDescent="0.35">
      <c r="A108" s="19">
        <v>95</v>
      </c>
      <c r="B108" s="19">
        <v>99366</v>
      </c>
      <c r="C108" s="20" t="s">
        <v>379</v>
      </c>
      <c r="D108" s="116">
        <f>'Schedule 4 Adjustments'!F107</f>
        <v>0</v>
      </c>
      <c r="E108" s="410">
        <v>1.22</v>
      </c>
      <c r="F108" s="47">
        <f t="shared" si="8"/>
        <v>0</v>
      </c>
      <c r="G108" s="21">
        <f t="shared" si="5"/>
        <v>149.31854836598475</v>
      </c>
      <c r="H108" s="150">
        <f>'Schedule 4 Adjustments'!N107</f>
        <v>0</v>
      </c>
      <c r="I108" s="410">
        <v>1.19</v>
      </c>
      <c r="J108" s="47">
        <f t="shared" si="7"/>
        <v>0</v>
      </c>
      <c r="K108" s="21">
        <f t="shared" si="6"/>
        <v>145.64678078321464</v>
      </c>
    </row>
    <row r="109" spans="1:11" s="22" customFormat="1" x14ac:dyDescent="0.35">
      <c r="A109" s="19">
        <v>96</v>
      </c>
      <c r="B109" s="19">
        <v>99367</v>
      </c>
      <c r="C109" s="20" t="s">
        <v>380</v>
      </c>
      <c r="D109" s="116">
        <f>'Schedule 4 Adjustments'!F108</f>
        <v>0</v>
      </c>
      <c r="E109" s="410">
        <v>1.6</v>
      </c>
      <c r="F109" s="47">
        <f t="shared" si="8"/>
        <v>0</v>
      </c>
      <c r="G109" s="21">
        <f t="shared" si="5"/>
        <v>195.82760441440627</v>
      </c>
      <c r="H109" s="150">
        <f>'Schedule 4 Adjustments'!N108</f>
        <v>0</v>
      </c>
      <c r="I109" s="410">
        <v>1.6</v>
      </c>
      <c r="J109" s="47">
        <f t="shared" si="7"/>
        <v>0</v>
      </c>
      <c r="K109" s="21">
        <f t="shared" si="6"/>
        <v>195.82760441440627</v>
      </c>
    </row>
    <row r="110" spans="1:11" s="22" customFormat="1" x14ac:dyDescent="0.35">
      <c r="A110" s="19">
        <v>97</v>
      </c>
      <c r="B110" s="19">
        <v>99368</v>
      </c>
      <c r="C110" s="20" t="s">
        <v>381</v>
      </c>
      <c r="D110" s="116">
        <f>'Schedule 4 Adjustments'!F109</f>
        <v>3</v>
      </c>
      <c r="E110" s="410">
        <v>1.04</v>
      </c>
      <c r="F110" s="47">
        <f t="shared" si="8"/>
        <v>3.12</v>
      </c>
      <c r="G110" s="21">
        <f t="shared" si="5"/>
        <v>127.28794286936407</v>
      </c>
      <c r="H110" s="150">
        <f>'Schedule 4 Adjustments'!N109</f>
        <v>0</v>
      </c>
      <c r="I110" s="410">
        <v>1.04</v>
      </c>
      <c r="J110" s="47">
        <f t="shared" si="7"/>
        <v>0</v>
      </c>
      <c r="K110" s="21">
        <f t="shared" si="6"/>
        <v>127.28794286936407</v>
      </c>
    </row>
    <row r="111" spans="1:11" s="22" customFormat="1" x14ac:dyDescent="0.35">
      <c r="A111" s="19">
        <v>98</v>
      </c>
      <c r="B111" s="19">
        <v>99441</v>
      </c>
      <c r="C111" s="20" t="s">
        <v>382</v>
      </c>
      <c r="D111" s="116">
        <f>'Schedule 4 Adjustments'!F110</f>
        <v>1</v>
      </c>
      <c r="E111" s="410">
        <v>1.69</v>
      </c>
      <c r="F111" s="47">
        <f t="shared" si="8"/>
        <v>1.69</v>
      </c>
      <c r="G111" s="21">
        <f t="shared" si="5"/>
        <v>206.84290716271661</v>
      </c>
      <c r="H111" s="150">
        <f>'Schedule 4 Adjustments'!N110</f>
        <v>9</v>
      </c>
      <c r="I111" s="410">
        <v>1.04</v>
      </c>
      <c r="J111" s="47">
        <f t="shared" si="7"/>
        <v>9.36</v>
      </c>
      <c r="K111" s="21">
        <f t="shared" si="6"/>
        <v>127.28794286936407</v>
      </c>
    </row>
    <row r="112" spans="1:11" s="22" customFormat="1" x14ac:dyDescent="0.35">
      <c r="A112" s="19">
        <v>99</v>
      </c>
      <c r="B112" s="19">
        <v>99442</v>
      </c>
      <c r="C112" s="20" t="s">
        <v>383</v>
      </c>
      <c r="D112" s="116">
        <f>'Schedule 4 Adjustments'!F111</f>
        <v>5</v>
      </c>
      <c r="E112" s="410">
        <v>2.72</v>
      </c>
      <c r="F112" s="47">
        <f t="shared" si="8"/>
        <v>13.600000000000001</v>
      </c>
      <c r="G112" s="21">
        <f t="shared" si="5"/>
        <v>332.90692750449068</v>
      </c>
      <c r="H112" s="150">
        <f>'Schedule 4 Adjustments'!N111</f>
        <v>11</v>
      </c>
      <c r="I112" s="410">
        <v>1.95</v>
      </c>
      <c r="J112" s="47">
        <f t="shared" si="7"/>
        <v>21.45</v>
      </c>
      <c r="K112" s="21">
        <f t="shared" si="6"/>
        <v>238.66489288005761</v>
      </c>
    </row>
    <row r="113" spans="1:11" s="22" customFormat="1" x14ac:dyDescent="0.35">
      <c r="A113" s="19">
        <v>100</v>
      </c>
      <c r="B113" s="19">
        <v>99443</v>
      </c>
      <c r="C113" s="20" t="s">
        <v>384</v>
      </c>
      <c r="D113" s="116">
        <f>'Schedule 4 Adjustments'!F112</f>
        <v>9</v>
      </c>
      <c r="E113" s="410">
        <v>3.85</v>
      </c>
      <c r="F113" s="47">
        <f t="shared" si="8"/>
        <v>34.65</v>
      </c>
      <c r="G113" s="21">
        <f t="shared" si="5"/>
        <v>471.21017312216509</v>
      </c>
      <c r="H113" s="150">
        <f>'Schedule 4 Adjustments'!N112</f>
        <v>25</v>
      </c>
      <c r="I113" s="410">
        <v>2.89</v>
      </c>
      <c r="J113" s="47">
        <f t="shared" si="7"/>
        <v>72.25</v>
      </c>
      <c r="K113" s="21">
        <f t="shared" si="6"/>
        <v>353.71361047352133</v>
      </c>
    </row>
    <row r="114" spans="1:11" s="22" customFormat="1" ht="34.5" customHeight="1" x14ac:dyDescent="0.35">
      <c r="A114" s="19">
        <v>101</v>
      </c>
      <c r="B114" s="19" t="s">
        <v>42</v>
      </c>
      <c r="C114" s="20" t="s">
        <v>385</v>
      </c>
      <c r="D114" s="116">
        <f>'Schedule 4 Adjustments'!F113</f>
        <v>0</v>
      </c>
      <c r="E114" s="410">
        <v>1.27</v>
      </c>
      <c r="F114" s="47">
        <f t="shared" si="8"/>
        <v>0</v>
      </c>
      <c r="G114" s="21">
        <f t="shared" si="5"/>
        <v>155.43816100393497</v>
      </c>
      <c r="H114" s="150">
        <f>'Schedule 4 Adjustments'!N113</f>
        <v>0</v>
      </c>
      <c r="I114" s="410">
        <v>1.1100000000000001</v>
      </c>
      <c r="J114" s="47">
        <f t="shared" si="7"/>
        <v>0</v>
      </c>
      <c r="K114" s="21">
        <f t="shared" si="6"/>
        <v>135.85540056249434</v>
      </c>
    </row>
    <row r="115" spans="1:11" s="22" customFormat="1" ht="29" x14ac:dyDescent="0.35">
      <c r="A115" s="19">
        <v>102</v>
      </c>
      <c r="B115" s="19" t="s">
        <v>43</v>
      </c>
      <c r="C115" s="20" t="s">
        <v>386</v>
      </c>
      <c r="D115" s="116">
        <f>'Schedule 4 Adjustments'!F114</f>
        <v>0</v>
      </c>
      <c r="E115" s="410">
        <v>0.75</v>
      </c>
      <c r="F115" s="47">
        <f t="shared" si="8"/>
        <v>0</v>
      </c>
      <c r="G115" s="21">
        <f t="shared" si="5"/>
        <v>91.794189569252936</v>
      </c>
      <c r="H115" s="150">
        <f>'Schedule 4 Adjustments'!N114</f>
        <v>0</v>
      </c>
      <c r="I115" s="410">
        <v>0.37</v>
      </c>
      <c r="J115" s="47">
        <f t="shared" si="7"/>
        <v>0</v>
      </c>
      <c r="K115" s="21">
        <f t="shared" si="6"/>
        <v>45.285133520831444</v>
      </c>
    </row>
    <row r="116" spans="1:11" s="22" customFormat="1" x14ac:dyDescent="0.35">
      <c r="A116" s="19">
        <v>103</v>
      </c>
      <c r="B116" s="19" t="s">
        <v>44</v>
      </c>
      <c r="C116" s="20" t="s">
        <v>129</v>
      </c>
      <c r="D116" s="116">
        <f>'Schedule 4 Adjustments'!F115</f>
        <v>219</v>
      </c>
      <c r="E116" s="410">
        <v>5.17</v>
      </c>
      <c r="F116" s="47">
        <f t="shared" si="8"/>
        <v>1132.23</v>
      </c>
      <c r="G116" s="21">
        <f t="shared" si="5"/>
        <v>632.76794676405018</v>
      </c>
      <c r="H116" s="150">
        <f>'Schedule 4 Adjustments'!N115</f>
        <v>162</v>
      </c>
      <c r="I116" s="410">
        <v>4.43</v>
      </c>
      <c r="J116" s="47">
        <f t="shared" si="7"/>
        <v>717.66</v>
      </c>
      <c r="K116" s="21">
        <f t="shared" si="6"/>
        <v>542.19767972238731</v>
      </c>
    </row>
    <row r="117" spans="1:11" s="22" customFormat="1" x14ac:dyDescent="0.35">
      <c r="A117" s="19">
        <v>104</v>
      </c>
      <c r="B117" s="19" t="s">
        <v>45</v>
      </c>
      <c r="C117" s="20" t="s">
        <v>387</v>
      </c>
      <c r="D117" s="116">
        <f>'Schedule 4 Adjustments'!F116</f>
        <v>458</v>
      </c>
      <c r="E117" s="410">
        <v>0.72</v>
      </c>
      <c r="F117" s="47">
        <f t="shared" si="8"/>
        <v>329.76</v>
      </c>
      <c r="G117" s="21">
        <f t="shared" si="5"/>
        <v>88.122421986482806</v>
      </c>
      <c r="H117" s="150">
        <f>'Schedule 4 Adjustments'!N116</f>
        <v>1007</v>
      </c>
      <c r="I117" s="410">
        <v>0.66</v>
      </c>
      <c r="J117" s="47">
        <f t="shared" si="7"/>
        <v>664.62</v>
      </c>
      <c r="K117" s="21">
        <f t="shared" si="6"/>
        <v>80.778886820942589</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10304</v>
      </c>
      <c r="E119" s="410">
        <v>1.18</v>
      </c>
      <c r="F119" s="47">
        <f t="shared" si="8"/>
        <v>12158.72</v>
      </c>
      <c r="G119" s="21">
        <f t="shared" si="5"/>
        <v>144.42285825562462</v>
      </c>
      <c r="H119" s="150">
        <f>'Schedule 4 Adjustments'!N118</f>
        <v>11820</v>
      </c>
      <c r="I119" s="410">
        <v>1.03</v>
      </c>
      <c r="J119" s="47">
        <f t="shared" si="7"/>
        <v>12174.6</v>
      </c>
      <c r="K119" s="21">
        <f t="shared" si="6"/>
        <v>126.06402034177403</v>
      </c>
    </row>
    <row r="120" spans="1:11" s="22" customFormat="1" x14ac:dyDescent="0.35">
      <c r="A120" s="19">
        <v>107</v>
      </c>
      <c r="B120" s="19" t="s">
        <v>47</v>
      </c>
      <c r="C120" s="20" t="s">
        <v>131</v>
      </c>
      <c r="D120" s="116">
        <f>'Schedule 4 Adjustments'!F119</f>
        <v>3898</v>
      </c>
      <c r="E120" s="410">
        <v>0.83</v>
      </c>
      <c r="F120" s="47">
        <f t="shared" si="8"/>
        <v>3235.3399999999997</v>
      </c>
      <c r="G120" s="21">
        <f t="shared" si="5"/>
        <v>101.58556978997323</v>
      </c>
      <c r="H120" s="150">
        <f>'Schedule 4 Adjustments'!N119</f>
        <v>3343</v>
      </c>
      <c r="I120" s="410">
        <v>0.72</v>
      </c>
      <c r="J120" s="47">
        <f t="shared" si="7"/>
        <v>2406.96</v>
      </c>
      <c r="K120" s="21">
        <f t="shared" si="6"/>
        <v>88.122421986482806</v>
      </c>
    </row>
    <row r="121" spans="1:11" s="22" customFormat="1" x14ac:dyDescent="0.35">
      <c r="A121" s="19">
        <v>108</v>
      </c>
      <c r="B121" s="19" t="s">
        <v>48</v>
      </c>
      <c r="C121" s="20" t="s">
        <v>132</v>
      </c>
      <c r="D121" s="116">
        <f>'Schedule 4 Adjustments'!F120</f>
        <v>3940</v>
      </c>
      <c r="E121" s="410">
        <v>0.64</v>
      </c>
      <c r="F121" s="47">
        <f t="shared" si="8"/>
        <v>2521.6</v>
      </c>
      <c r="G121" s="21">
        <f t="shared" si="5"/>
        <v>78.331041765762507</v>
      </c>
      <c r="H121" s="150">
        <f>'Schedule 4 Adjustments'!N120</f>
        <v>2882</v>
      </c>
      <c r="I121" s="410">
        <v>0.6</v>
      </c>
      <c r="J121" s="47">
        <f t="shared" si="7"/>
        <v>1729.2</v>
      </c>
      <c r="K121" s="21">
        <f t="shared" si="6"/>
        <v>73.435351655402343</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4</v>
      </c>
      <c r="I122" s="410">
        <v>0</v>
      </c>
      <c r="J122" s="47">
        <f t="shared" si="7"/>
        <v>0</v>
      </c>
      <c r="K122" s="21">
        <f t="shared" si="6"/>
        <v>0</v>
      </c>
    </row>
    <row r="123" spans="1:11" s="22" customFormat="1" ht="29" x14ac:dyDescent="0.35">
      <c r="A123" s="19">
        <v>110</v>
      </c>
      <c r="B123" s="19" t="s">
        <v>49</v>
      </c>
      <c r="C123" s="20" t="s">
        <v>388</v>
      </c>
      <c r="D123" s="116">
        <f>'Schedule 4 Adjustments'!F122</f>
        <v>0</v>
      </c>
      <c r="E123" s="410">
        <v>0</v>
      </c>
      <c r="F123" s="47">
        <f t="shared" si="8"/>
        <v>0</v>
      </c>
      <c r="G123" s="21">
        <f t="shared" si="5"/>
        <v>0</v>
      </c>
      <c r="H123" s="150">
        <f>'Schedule 4 Adjustments'!N122</f>
        <v>701</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1240</v>
      </c>
      <c r="I124" s="410">
        <v>0</v>
      </c>
      <c r="J124" s="47">
        <f t="shared" si="7"/>
        <v>0</v>
      </c>
      <c r="K124" s="21">
        <f t="shared" si="6"/>
        <v>0</v>
      </c>
    </row>
    <row r="125" spans="1:11" s="22" customFormat="1" x14ac:dyDescent="0.35">
      <c r="A125" s="19">
        <v>112</v>
      </c>
      <c r="B125" s="19" t="s">
        <v>50</v>
      </c>
      <c r="C125" s="20" t="s">
        <v>390</v>
      </c>
      <c r="D125" s="116">
        <f>'Schedule 4 Adjustments'!F124</f>
        <v>1631</v>
      </c>
      <c r="E125" s="410">
        <v>2.64</v>
      </c>
      <c r="F125" s="47">
        <f t="shared" si="8"/>
        <v>4305.84</v>
      </c>
      <c r="G125" s="21">
        <f t="shared" si="5"/>
        <v>323.11554728377035</v>
      </c>
      <c r="H125" s="150">
        <f>'Schedule 4 Adjustments'!N124</f>
        <v>1527</v>
      </c>
      <c r="I125" s="410">
        <v>2.64</v>
      </c>
      <c r="J125" s="47">
        <f t="shared" si="7"/>
        <v>4031.28</v>
      </c>
      <c r="K125" s="21">
        <f t="shared" si="6"/>
        <v>323.11554728377035</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2131</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391</v>
      </c>
      <c r="D129" s="116">
        <f>'Schedule 4 Adjustments'!F128</f>
        <v>0</v>
      </c>
      <c r="E129" s="410">
        <v>1.02</v>
      </c>
      <c r="F129" s="47">
        <f t="shared" si="8"/>
        <v>0</v>
      </c>
      <c r="G129" s="21">
        <f t="shared" si="5"/>
        <v>124.84009781418399</v>
      </c>
      <c r="H129" s="150">
        <f>'Schedule 4 Adjustments'!N128</f>
        <v>0</v>
      </c>
      <c r="I129" s="410">
        <v>0.94</v>
      </c>
      <c r="J129" s="47">
        <f t="shared" si="7"/>
        <v>0</v>
      </c>
      <c r="K129" s="21">
        <f t="shared" si="6"/>
        <v>115.04871759346366</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7364</v>
      </c>
      <c r="E131" s="410">
        <v>0.12</v>
      </c>
      <c r="F131" s="47">
        <f t="shared" si="8"/>
        <v>883.68</v>
      </c>
      <c r="G131" s="21">
        <f t="shared" si="5"/>
        <v>14.687070331080468</v>
      </c>
      <c r="H131" s="150">
        <f>'Schedule 4 Adjustments'!N130</f>
        <v>9101</v>
      </c>
      <c r="I131" s="410">
        <v>0.09</v>
      </c>
      <c r="J131" s="47">
        <f t="shared" si="7"/>
        <v>819.08999999999992</v>
      </c>
      <c r="K131" s="21">
        <f t="shared" si="6"/>
        <v>11.015302748310351</v>
      </c>
    </row>
    <row r="132" spans="1:11" s="22" customFormat="1" x14ac:dyDescent="0.35">
      <c r="A132" s="19">
        <v>119</v>
      </c>
      <c r="B132" s="19" t="s">
        <v>56</v>
      </c>
      <c r="C132" s="20" t="s">
        <v>393</v>
      </c>
      <c r="D132" s="116">
        <f>'Schedule 4 Adjustments'!F131</f>
        <v>0</v>
      </c>
      <c r="E132" s="410">
        <v>0.59</v>
      </c>
      <c r="F132" s="47">
        <f t="shared" si="8"/>
        <v>0</v>
      </c>
      <c r="G132" s="21">
        <f t="shared" si="5"/>
        <v>72.211429127812309</v>
      </c>
      <c r="H132" s="150">
        <f>'Schedule 4 Adjustments'!N131</f>
        <v>0</v>
      </c>
      <c r="I132" s="410">
        <v>0.55000000000000004</v>
      </c>
      <c r="J132" s="47">
        <f t="shared" si="7"/>
        <v>0</v>
      </c>
      <c r="K132" s="21">
        <f t="shared" si="6"/>
        <v>67.315739017452159</v>
      </c>
    </row>
    <row r="133" spans="1:11" s="22" customFormat="1" ht="29" x14ac:dyDescent="0.35">
      <c r="A133" s="19">
        <v>120</v>
      </c>
      <c r="B133" s="19" t="s">
        <v>57</v>
      </c>
      <c r="C133" s="20" t="s">
        <v>136</v>
      </c>
      <c r="D133" s="116">
        <f>'Schedule 4 Adjustments'!F132</f>
        <v>0</v>
      </c>
      <c r="E133" s="410">
        <v>0.75</v>
      </c>
      <c r="F133" s="47">
        <f t="shared" si="8"/>
        <v>0</v>
      </c>
      <c r="G133" s="21">
        <f t="shared" si="5"/>
        <v>91.794189569252936</v>
      </c>
      <c r="H133" s="150">
        <f>'Schedule 4 Adjustments'!N132</f>
        <v>0</v>
      </c>
      <c r="I133" s="410">
        <v>0.37</v>
      </c>
      <c r="J133" s="47">
        <f t="shared" si="7"/>
        <v>0</v>
      </c>
      <c r="K133" s="21">
        <f t="shared" si="6"/>
        <v>45.285133520831444</v>
      </c>
    </row>
    <row r="134" spans="1:11" s="22" customFormat="1" ht="29" x14ac:dyDescent="0.35">
      <c r="A134" s="19">
        <v>121</v>
      </c>
      <c r="B134" s="19" t="s">
        <v>58</v>
      </c>
      <c r="C134" s="20" t="s">
        <v>137</v>
      </c>
      <c r="D134" s="116">
        <f>'Schedule 4 Adjustments'!F133</f>
        <v>265</v>
      </c>
      <c r="E134" s="410">
        <v>0.75</v>
      </c>
      <c r="F134" s="47">
        <f t="shared" si="8"/>
        <v>198.75</v>
      </c>
      <c r="G134" s="21">
        <f t="shared" si="5"/>
        <v>91.794189569252936</v>
      </c>
      <c r="H134" s="150">
        <f>'Schedule 4 Adjustments'!N133</f>
        <v>342</v>
      </c>
      <c r="I134" s="410">
        <v>0.37</v>
      </c>
      <c r="J134" s="47">
        <f t="shared" si="7"/>
        <v>126.53999999999999</v>
      </c>
      <c r="K134" s="21">
        <f t="shared" si="6"/>
        <v>45.285133520831444</v>
      </c>
    </row>
    <row r="135" spans="1:11" s="22" customFormat="1" ht="43.5" x14ac:dyDescent="0.35">
      <c r="A135" s="19">
        <v>122</v>
      </c>
      <c r="B135" s="19" t="s">
        <v>15</v>
      </c>
      <c r="C135" s="20" t="s">
        <v>18</v>
      </c>
      <c r="D135" s="116">
        <f>'Schedule 4 Adjustments'!F134</f>
        <v>6</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128</v>
      </c>
      <c r="E139" s="410">
        <v>3.27</v>
      </c>
      <c r="F139" s="47">
        <f t="shared" si="8"/>
        <v>418.56</v>
      </c>
      <c r="G139" s="21">
        <f t="shared" si="5"/>
        <v>400.22266652194281</v>
      </c>
      <c r="H139" s="150">
        <f>'Schedule 4 Adjustments'!N138</f>
        <v>291</v>
      </c>
      <c r="I139" s="410">
        <v>2.17</v>
      </c>
      <c r="J139" s="47">
        <f t="shared" si="7"/>
        <v>631.47</v>
      </c>
      <c r="K139" s="21">
        <f t="shared" si="6"/>
        <v>265.59118848703849</v>
      </c>
    </row>
    <row r="140" spans="1:11" s="22" customFormat="1" x14ac:dyDescent="0.35">
      <c r="A140" s="19">
        <v>127</v>
      </c>
      <c r="B140" s="19" t="s">
        <v>60</v>
      </c>
      <c r="C140" s="20" t="s">
        <v>394</v>
      </c>
      <c r="D140" s="116">
        <f>'Schedule 4 Adjustments'!F139</f>
        <v>185</v>
      </c>
      <c r="E140" s="410">
        <v>1.1499999999999999</v>
      </c>
      <c r="F140" s="47">
        <f t="shared" si="8"/>
        <v>212.74999999999997</v>
      </c>
      <c r="G140" s="21">
        <f t="shared" si="5"/>
        <v>140.75109067285447</v>
      </c>
      <c r="H140" s="150">
        <f>'Schedule 4 Adjustments'!N139</f>
        <v>326</v>
      </c>
      <c r="I140" s="410">
        <v>0.7</v>
      </c>
      <c r="J140" s="47">
        <f t="shared" si="7"/>
        <v>228.2</v>
      </c>
      <c r="K140" s="21">
        <f t="shared" si="6"/>
        <v>85.674576931302738</v>
      </c>
    </row>
    <row r="141" spans="1:11" s="22" customFormat="1" x14ac:dyDescent="0.35">
      <c r="A141" s="19">
        <v>128</v>
      </c>
      <c r="B141" s="19" t="s">
        <v>61</v>
      </c>
      <c r="C141" s="20" t="s">
        <v>141</v>
      </c>
      <c r="D141" s="116">
        <f>'Schedule 4 Adjustments'!F140</f>
        <v>0</v>
      </c>
      <c r="E141" s="410">
        <v>0.44</v>
      </c>
      <c r="F141" s="47">
        <f t="shared" si="8"/>
        <v>0</v>
      </c>
      <c r="G141" s="21">
        <f t="shared" si="5"/>
        <v>53.852591213961723</v>
      </c>
      <c r="H141" s="150">
        <f>'Schedule 4 Adjustments'!N140</f>
        <v>34821</v>
      </c>
      <c r="I141" s="410">
        <v>0.44</v>
      </c>
      <c r="J141" s="47">
        <f t="shared" si="7"/>
        <v>15321.24</v>
      </c>
      <c r="K141" s="21">
        <f t="shared" si="6"/>
        <v>53.852591213961723</v>
      </c>
    </row>
    <row r="142" spans="1:11" s="22" customFormat="1" x14ac:dyDescent="0.35">
      <c r="A142" s="19">
        <v>129</v>
      </c>
      <c r="B142" s="19" t="s">
        <v>62</v>
      </c>
      <c r="C142" s="20" t="s">
        <v>396</v>
      </c>
      <c r="D142" s="116">
        <f>'Schedule 4 Adjustments'!F141</f>
        <v>622</v>
      </c>
      <c r="E142" s="410">
        <v>0.92</v>
      </c>
      <c r="F142" s="47">
        <f t="shared" si="8"/>
        <v>572.24</v>
      </c>
      <c r="G142" s="21">
        <f t="shared" si="5"/>
        <v>112.6008725382836</v>
      </c>
      <c r="H142" s="150">
        <f>'Schedule 4 Adjustments'!N141</f>
        <v>415</v>
      </c>
      <c r="I142" s="410">
        <v>0.92</v>
      </c>
      <c r="J142" s="47">
        <f t="shared" si="7"/>
        <v>381.8</v>
      </c>
      <c r="K142" s="21">
        <f t="shared" si="6"/>
        <v>112.6008725382836</v>
      </c>
    </row>
    <row r="143" spans="1:11" s="22" customFormat="1" x14ac:dyDescent="0.35">
      <c r="A143" s="19">
        <v>130</v>
      </c>
      <c r="B143" s="19" t="s">
        <v>63</v>
      </c>
      <c r="C143" s="20" t="s">
        <v>397</v>
      </c>
      <c r="D143" s="116">
        <f>'Schedule 4 Adjustments'!F142</f>
        <v>0</v>
      </c>
      <c r="E143" s="410">
        <v>5.28</v>
      </c>
      <c r="F143" s="47">
        <f t="shared" si="8"/>
        <v>0</v>
      </c>
      <c r="G143" s="21">
        <f t="shared" si="5"/>
        <v>646.23109456754071</v>
      </c>
      <c r="H143" s="150">
        <f>'Schedule 4 Adjustments'!N142</f>
        <v>0</v>
      </c>
      <c r="I143" s="410">
        <v>5.28</v>
      </c>
      <c r="J143" s="47">
        <f t="shared" si="7"/>
        <v>0</v>
      </c>
      <c r="K143" s="21">
        <f t="shared" si="6"/>
        <v>646.23109456754071</v>
      </c>
    </row>
    <row r="144" spans="1:11" s="22" customFormat="1" x14ac:dyDescent="0.35">
      <c r="A144" s="19">
        <v>131</v>
      </c>
      <c r="B144" s="19" t="s">
        <v>64</v>
      </c>
      <c r="C144" s="20" t="s">
        <v>399</v>
      </c>
      <c r="D144" s="116">
        <f>'Schedule 4 Adjustments'!F143</f>
        <v>25</v>
      </c>
      <c r="E144" s="410">
        <v>0.44</v>
      </c>
      <c r="F144" s="47">
        <f t="shared" si="8"/>
        <v>11</v>
      </c>
      <c r="G144" s="21">
        <f t="shared" si="5"/>
        <v>53.852591213961723</v>
      </c>
      <c r="H144" s="150">
        <f>'Schedule 4 Adjustments'!N143</f>
        <v>159</v>
      </c>
      <c r="I144" s="410">
        <v>0.44</v>
      </c>
      <c r="J144" s="47">
        <f t="shared" si="7"/>
        <v>69.959999999999994</v>
      </c>
      <c r="K144" s="21">
        <f t="shared" si="6"/>
        <v>53.852591213961723</v>
      </c>
    </row>
    <row r="145" spans="1:11" s="22" customFormat="1" x14ac:dyDescent="0.35">
      <c r="A145" s="19">
        <v>132</v>
      </c>
      <c r="B145" s="19" t="s">
        <v>65</v>
      </c>
      <c r="C145" s="20" t="s">
        <v>398</v>
      </c>
      <c r="D145" s="116">
        <f>'Schedule 4 Adjustments'!F144</f>
        <v>0</v>
      </c>
      <c r="E145" s="410">
        <v>5.28</v>
      </c>
      <c r="F145" s="47">
        <f t="shared" si="8"/>
        <v>0</v>
      </c>
      <c r="G145" s="21">
        <f t="shared" si="5"/>
        <v>646.23109456754071</v>
      </c>
      <c r="H145" s="150">
        <f>'Schedule 4 Adjustments'!N144</f>
        <v>0</v>
      </c>
      <c r="I145" s="410">
        <v>5.28</v>
      </c>
      <c r="J145" s="47">
        <f t="shared" si="7"/>
        <v>0</v>
      </c>
      <c r="K145" s="21">
        <f t="shared" si="6"/>
        <v>646.23109456754071</v>
      </c>
    </row>
    <row r="146" spans="1:11" s="22" customFormat="1" x14ac:dyDescent="0.35">
      <c r="A146" s="19">
        <v>133</v>
      </c>
      <c r="B146" s="19" t="s">
        <v>66</v>
      </c>
      <c r="C146" s="20" t="s">
        <v>142</v>
      </c>
      <c r="D146" s="116">
        <f>'Schedule 4 Adjustments'!F145</f>
        <v>8918</v>
      </c>
      <c r="E146" s="410">
        <v>0.54</v>
      </c>
      <c r="F146" s="47">
        <f t="shared" si="8"/>
        <v>4815.72</v>
      </c>
      <c r="G146" s="21">
        <f t="shared" si="5"/>
        <v>66.091816489862111</v>
      </c>
      <c r="H146" s="150">
        <f>'Schedule 4 Adjustments'!N145</f>
        <v>19988</v>
      </c>
      <c r="I146" s="410">
        <v>0.54</v>
      </c>
      <c r="J146" s="47">
        <f t="shared" si="7"/>
        <v>10793.52</v>
      </c>
      <c r="K146" s="21">
        <f t="shared" si="6"/>
        <v>66.091816489862111</v>
      </c>
    </row>
    <row r="147" spans="1:11" s="22" customFormat="1" x14ac:dyDescent="0.35">
      <c r="A147" s="19">
        <v>134</v>
      </c>
      <c r="B147" s="19" t="s">
        <v>67</v>
      </c>
      <c r="C147" s="20" t="s">
        <v>400</v>
      </c>
      <c r="D147" s="116">
        <f>'Schedule 4 Adjustments'!F146</f>
        <v>155</v>
      </c>
      <c r="E147" s="410">
        <v>1.29</v>
      </c>
      <c r="F147" s="47">
        <f t="shared" si="8"/>
        <v>199.95000000000002</v>
      </c>
      <c r="G147" s="21">
        <f t="shared" ref="G147:G197" si="9">E147*$F$13</f>
        <v>157.88600605911506</v>
      </c>
      <c r="H147" s="150">
        <f>'Schedule 4 Adjustments'!N146</f>
        <v>294</v>
      </c>
      <c r="I147" s="410">
        <v>1.1299999999999999</v>
      </c>
      <c r="J147" s="47">
        <f t="shared" si="7"/>
        <v>332.21999999999997</v>
      </c>
      <c r="K147" s="21">
        <f t="shared" ref="K147:K197" si="10">I147*$F$13</f>
        <v>138.30324561767441</v>
      </c>
    </row>
    <row r="148" spans="1:11" s="22" customFormat="1" x14ac:dyDescent="0.35">
      <c r="A148" s="19">
        <v>135</v>
      </c>
      <c r="B148" s="19" t="s">
        <v>68</v>
      </c>
      <c r="C148" s="20" t="s">
        <v>401</v>
      </c>
      <c r="D148" s="116">
        <f>'Schedule 4 Adjustments'!F147</f>
        <v>126</v>
      </c>
      <c r="E148" s="410">
        <v>5.28</v>
      </c>
      <c r="F148" s="47">
        <f t="shared" si="8"/>
        <v>665.28000000000009</v>
      </c>
      <c r="G148" s="21">
        <f t="shared" si="9"/>
        <v>646.23109456754071</v>
      </c>
      <c r="H148" s="150">
        <f>'Schedule 4 Adjustments'!N147</f>
        <v>30</v>
      </c>
      <c r="I148" s="410">
        <v>5.28</v>
      </c>
      <c r="J148" s="47">
        <f t="shared" ref="J148:J197" si="11">H148*I148</f>
        <v>158.4</v>
      </c>
      <c r="K148" s="21">
        <f t="shared" si="10"/>
        <v>646.23109456754071</v>
      </c>
    </row>
    <row r="149" spans="1:11" s="22" customFormat="1" x14ac:dyDescent="0.35">
      <c r="A149" s="19">
        <v>136</v>
      </c>
      <c r="B149" s="19" t="s">
        <v>69</v>
      </c>
      <c r="C149" s="20" t="s">
        <v>402</v>
      </c>
      <c r="D149" s="116">
        <f>'Schedule 4 Adjustments'!F148</f>
        <v>0</v>
      </c>
      <c r="E149" s="410">
        <v>0.14000000000000001</v>
      </c>
      <c r="F149" s="47">
        <f t="shared" ref="F149:F197" si="12">D149*E149</f>
        <v>0</v>
      </c>
      <c r="G149" s="21">
        <f t="shared" si="9"/>
        <v>17.134915386260548</v>
      </c>
      <c r="H149" s="150">
        <f>'Schedule 4 Adjustments'!N148</f>
        <v>0</v>
      </c>
      <c r="I149" s="410">
        <v>0.12</v>
      </c>
      <c r="J149" s="47">
        <f t="shared" si="11"/>
        <v>0</v>
      </c>
      <c r="K149" s="21">
        <f t="shared" si="10"/>
        <v>14.687070331080468</v>
      </c>
    </row>
    <row r="150" spans="1:11" s="22" customFormat="1" x14ac:dyDescent="0.35">
      <c r="A150" s="19">
        <v>137</v>
      </c>
      <c r="B150" s="19" t="s">
        <v>70</v>
      </c>
      <c r="C150" s="20" t="s">
        <v>403</v>
      </c>
      <c r="D150" s="116">
        <f>'Schedule 4 Adjustments'!F149</f>
        <v>0</v>
      </c>
      <c r="E150" s="410">
        <v>3.08</v>
      </c>
      <c r="F150" s="47">
        <f t="shared" si="12"/>
        <v>0</v>
      </c>
      <c r="G150" s="21">
        <f t="shared" si="9"/>
        <v>376.96813849773207</v>
      </c>
      <c r="H150" s="150">
        <f>'Schedule 4 Adjustments'!N149</f>
        <v>0</v>
      </c>
      <c r="I150" s="410">
        <v>2.6399999999999997</v>
      </c>
      <c r="J150" s="47">
        <f t="shared" si="11"/>
        <v>0</v>
      </c>
      <c r="K150" s="21">
        <f t="shared" si="10"/>
        <v>323.1155472837703</v>
      </c>
    </row>
    <row r="151" spans="1:11" s="22" customFormat="1" x14ac:dyDescent="0.35">
      <c r="A151" s="19">
        <v>138</v>
      </c>
      <c r="B151" s="19" t="s">
        <v>71</v>
      </c>
      <c r="C151" s="20" t="s">
        <v>404</v>
      </c>
      <c r="D151" s="116">
        <f>'Schedule 4 Adjustments'!F150</f>
        <v>0</v>
      </c>
      <c r="E151" s="410">
        <v>5.28</v>
      </c>
      <c r="F151" s="47">
        <f t="shared" si="12"/>
        <v>0</v>
      </c>
      <c r="G151" s="21">
        <f t="shared" si="9"/>
        <v>646.23109456754071</v>
      </c>
      <c r="H151" s="150">
        <f>'Schedule 4 Adjustments'!N150</f>
        <v>0</v>
      </c>
      <c r="I151" s="410">
        <v>5.28</v>
      </c>
      <c r="J151" s="47">
        <f t="shared" si="11"/>
        <v>0</v>
      </c>
      <c r="K151" s="21">
        <f t="shared" si="10"/>
        <v>646.23109456754071</v>
      </c>
    </row>
    <row r="152" spans="1:11" s="22" customFormat="1" x14ac:dyDescent="0.35">
      <c r="A152" s="19">
        <v>139</v>
      </c>
      <c r="B152" s="19" t="s">
        <v>788</v>
      </c>
      <c r="C152" s="20" t="s">
        <v>789</v>
      </c>
      <c r="D152" s="116">
        <f>'Schedule 4 Adjustments'!F152</f>
        <v>0</v>
      </c>
      <c r="E152" s="410">
        <v>0.12</v>
      </c>
      <c r="F152" s="47">
        <f t="shared" ref="F152" si="13">D152*E152</f>
        <v>0</v>
      </c>
      <c r="G152" s="21">
        <f t="shared" ref="G152" si="14">E152*$F$13</f>
        <v>14.687070331080468</v>
      </c>
      <c r="H152" s="150">
        <f>'Schedule 4 Adjustments'!N151</f>
        <v>6420</v>
      </c>
      <c r="I152" s="410">
        <v>0.09</v>
      </c>
      <c r="J152" s="47">
        <f t="shared" ref="J152" si="15">H152*I152</f>
        <v>577.79999999999995</v>
      </c>
      <c r="K152" s="21">
        <f t="shared" ref="K152" si="16">I152*$F$13</f>
        <v>11.015302748310351</v>
      </c>
    </row>
    <row r="153" spans="1:11" s="22" customFormat="1" x14ac:dyDescent="0.35">
      <c r="A153" s="19">
        <v>140</v>
      </c>
      <c r="B153" s="19" t="s">
        <v>72</v>
      </c>
      <c r="C153" s="20" t="s">
        <v>405</v>
      </c>
      <c r="D153" s="116">
        <f>'Schedule 4 Adjustments'!F152</f>
        <v>0</v>
      </c>
      <c r="E153" s="410">
        <v>1.02</v>
      </c>
      <c r="F153" s="47">
        <f t="shared" si="12"/>
        <v>0</v>
      </c>
      <c r="G153" s="21">
        <f t="shared" si="9"/>
        <v>124.84009781418399</v>
      </c>
      <c r="H153" s="150">
        <f>'Schedule 4 Adjustments'!N152</f>
        <v>0</v>
      </c>
      <c r="I153" s="410">
        <v>0.94</v>
      </c>
      <c r="J153" s="47">
        <f t="shared" si="11"/>
        <v>0</v>
      </c>
      <c r="K153" s="21">
        <f t="shared" si="10"/>
        <v>115.04871759346366</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12</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632.76794676405018</v>
      </c>
      <c r="H155" s="150">
        <f>'Schedule 4 Adjustments'!N154</f>
        <v>0</v>
      </c>
      <c r="I155" s="410">
        <v>4.43</v>
      </c>
      <c r="J155" s="47">
        <f t="shared" si="11"/>
        <v>0</v>
      </c>
      <c r="K155" s="21">
        <f t="shared" si="10"/>
        <v>542.19767972238731</v>
      </c>
    </row>
    <row r="156" spans="1:11" s="22" customFormat="1" x14ac:dyDescent="0.35">
      <c r="A156" s="19">
        <v>143</v>
      </c>
      <c r="B156" s="19" t="s">
        <v>74</v>
      </c>
      <c r="C156" s="20" t="s">
        <v>144</v>
      </c>
      <c r="D156" s="116">
        <f>'Schedule 4 Adjustments'!F155</f>
        <v>0</v>
      </c>
      <c r="E156" s="410">
        <v>1.7</v>
      </c>
      <c r="F156" s="47">
        <f t="shared" si="12"/>
        <v>0</v>
      </c>
      <c r="G156" s="21">
        <f t="shared" si="9"/>
        <v>208.06682969030663</v>
      </c>
      <c r="H156" s="150">
        <f>'Schedule 4 Adjustments'!N155</f>
        <v>0</v>
      </c>
      <c r="I156" s="410">
        <v>1.05</v>
      </c>
      <c r="J156" s="47">
        <f t="shared" si="11"/>
        <v>0</v>
      </c>
      <c r="K156" s="21">
        <f t="shared" si="10"/>
        <v>128.51186539695411</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165.22954122465529</v>
      </c>
      <c r="H158" s="150">
        <f>'Schedule 4 Adjustments'!N157</f>
        <v>0</v>
      </c>
      <c r="I158" s="410">
        <v>1.35</v>
      </c>
      <c r="J158" s="47">
        <f t="shared" si="11"/>
        <v>0</v>
      </c>
      <c r="K158" s="21">
        <f t="shared" si="10"/>
        <v>165.22954122465529</v>
      </c>
    </row>
    <row r="159" spans="1:11" s="22" customFormat="1" x14ac:dyDescent="0.35">
      <c r="A159" s="19">
        <v>146</v>
      </c>
      <c r="B159" s="19" t="s">
        <v>76</v>
      </c>
      <c r="C159" s="20" t="s">
        <v>146</v>
      </c>
      <c r="D159" s="116">
        <f>'Schedule 4 Adjustments'!F158</f>
        <v>0</v>
      </c>
      <c r="E159" s="410">
        <v>2.56</v>
      </c>
      <c r="F159" s="47">
        <f t="shared" si="12"/>
        <v>0</v>
      </c>
      <c r="G159" s="21">
        <f t="shared" si="9"/>
        <v>313.32416706305003</v>
      </c>
      <c r="H159" s="150">
        <f>'Schedule 4 Adjustments'!N158</f>
        <v>0</v>
      </c>
      <c r="I159" s="410">
        <v>2.14</v>
      </c>
      <c r="J159" s="47">
        <f t="shared" si="11"/>
        <v>0</v>
      </c>
      <c r="K159" s="21">
        <f t="shared" si="10"/>
        <v>261.91942090426841</v>
      </c>
    </row>
    <row r="160" spans="1:11" s="22" customFormat="1" x14ac:dyDescent="0.35">
      <c r="A160" s="19">
        <v>147</v>
      </c>
      <c r="B160" s="19" t="s">
        <v>77</v>
      </c>
      <c r="C160" s="20" t="s">
        <v>407</v>
      </c>
      <c r="D160" s="116">
        <f>'Schedule 4 Adjustments'!F159</f>
        <v>132</v>
      </c>
      <c r="E160" s="410">
        <v>1.6</v>
      </c>
      <c r="F160" s="47">
        <f t="shared" si="12"/>
        <v>211.20000000000002</v>
      </c>
      <c r="G160" s="21">
        <f t="shared" si="9"/>
        <v>195.82760441440627</v>
      </c>
      <c r="H160" s="150">
        <f>'Schedule 4 Adjustments'!N159</f>
        <v>3576</v>
      </c>
      <c r="I160" s="410">
        <v>1.6</v>
      </c>
      <c r="J160" s="47">
        <f t="shared" si="11"/>
        <v>5721.6</v>
      </c>
      <c r="K160" s="21">
        <f t="shared" si="10"/>
        <v>195.82760441440627</v>
      </c>
    </row>
    <row r="161" spans="1:11" s="22" customFormat="1" x14ac:dyDescent="0.35">
      <c r="A161" s="19">
        <v>148</v>
      </c>
      <c r="B161" s="19" t="s">
        <v>78</v>
      </c>
      <c r="C161" s="20" t="s">
        <v>408</v>
      </c>
      <c r="D161" s="116">
        <f>'Schedule 4 Adjustments'!F160</f>
        <v>1</v>
      </c>
      <c r="E161" s="410">
        <v>2.64</v>
      </c>
      <c r="F161" s="47">
        <f t="shared" si="12"/>
        <v>2.64</v>
      </c>
      <c r="G161" s="21">
        <f t="shared" si="9"/>
        <v>323.11554728377035</v>
      </c>
      <c r="H161" s="150">
        <f>'Schedule 4 Adjustments'!N160</f>
        <v>0</v>
      </c>
      <c r="I161" s="410">
        <v>2.64</v>
      </c>
      <c r="J161" s="47">
        <f t="shared" si="11"/>
        <v>0</v>
      </c>
      <c r="K161" s="21">
        <f t="shared" si="10"/>
        <v>323.11554728377035</v>
      </c>
    </row>
    <row r="162" spans="1:11" s="22" customFormat="1" x14ac:dyDescent="0.35">
      <c r="A162" s="19">
        <v>149</v>
      </c>
      <c r="B162" s="19" t="s">
        <v>79</v>
      </c>
      <c r="C162" s="20" t="s">
        <v>409</v>
      </c>
      <c r="D162" s="116">
        <f>'Schedule 4 Adjustments'!F161</f>
        <v>5347</v>
      </c>
      <c r="E162" s="410">
        <v>1.24</v>
      </c>
      <c r="F162" s="47">
        <f t="shared" si="12"/>
        <v>6630.28</v>
      </c>
      <c r="G162" s="21">
        <f t="shared" si="9"/>
        <v>151.76639342116485</v>
      </c>
      <c r="H162" s="150">
        <f>'Schedule 4 Adjustments'!N161</f>
        <v>26737</v>
      </c>
      <c r="I162" s="410">
        <v>1.24</v>
      </c>
      <c r="J162" s="47">
        <f t="shared" si="11"/>
        <v>33153.879999999997</v>
      </c>
      <c r="K162" s="21">
        <f t="shared" si="10"/>
        <v>151.76639342116485</v>
      </c>
    </row>
    <row r="163" spans="1:11" s="22" customFormat="1" x14ac:dyDescent="0.35">
      <c r="A163" s="19">
        <v>150</v>
      </c>
      <c r="B163" s="19" t="s">
        <v>80</v>
      </c>
      <c r="C163" s="20" t="s">
        <v>410</v>
      </c>
      <c r="D163" s="116">
        <f>'Schedule 4 Adjustments'!F162</f>
        <v>0</v>
      </c>
      <c r="E163" s="410">
        <v>0.83</v>
      </c>
      <c r="F163" s="47">
        <f t="shared" si="12"/>
        <v>0</v>
      </c>
      <c r="G163" s="21">
        <f t="shared" si="9"/>
        <v>101.58556978997323</v>
      </c>
      <c r="H163" s="150">
        <f>'Schedule 4 Adjustments'!N162</f>
        <v>0</v>
      </c>
      <c r="I163" s="410">
        <v>0.72</v>
      </c>
      <c r="J163" s="47">
        <f t="shared" si="11"/>
        <v>0</v>
      </c>
      <c r="K163" s="21">
        <f t="shared" si="10"/>
        <v>88.122421986482806</v>
      </c>
    </row>
    <row r="164" spans="1:11" s="22" customFormat="1" x14ac:dyDescent="0.35">
      <c r="A164" s="19">
        <v>151</v>
      </c>
      <c r="B164" s="19" t="s">
        <v>81</v>
      </c>
      <c r="C164" s="20" t="s">
        <v>411</v>
      </c>
      <c r="D164" s="116">
        <f>'Schedule 4 Adjustments'!F163</f>
        <v>1161</v>
      </c>
      <c r="E164" s="410">
        <v>0.92</v>
      </c>
      <c r="F164" s="47">
        <f t="shared" si="12"/>
        <v>1068.1200000000001</v>
      </c>
      <c r="G164" s="21">
        <f t="shared" si="9"/>
        <v>112.6008725382836</v>
      </c>
      <c r="H164" s="150">
        <f>'Schedule 4 Adjustments'!N163</f>
        <v>1696</v>
      </c>
      <c r="I164" s="410">
        <v>0.92</v>
      </c>
      <c r="J164" s="47">
        <f t="shared" si="11"/>
        <v>1560.3200000000002</v>
      </c>
      <c r="K164" s="21">
        <f t="shared" si="10"/>
        <v>112.6008725382836</v>
      </c>
    </row>
    <row r="165" spans="1:11" s="22" customFormat="1" x14ac:dyDescent="0.35">
      <c r="A165" s="19">
        <v>152</v>
      </c>
      <c r="B165" s="19" t="s">
        <v>82</v>
      </c>
      <c r="C165" s="20" t="s">
        <v>412</v>
      </c>
      <c r="D165" s="116">
        <f>'Schedule 4 Adjustments'!F164</f>
        <v>19</v>
      </c>
      <c r="E165" s="410">
        <v>0.14000000000000001</v>
      </c>
      <c r="F165" s="47">
        <f t="shared" si="12"/>
        <v>2.66</v>
      </c>
      <c r="G165" s="21">
        <f t="shared" si="9"/>
        <v>17.134915386260548</v>
      </c>
      <c r="H165" s="150">
        <f>'Schedule 4 Adjustments'!N164</f>
        <v>3</v>
      </c>
      <c r="I165" s="410">
        <v>0.12</v>
      </c>
      <c r="J165" s="47">
        <f t="shared" si="11"/>
        <v>0.36</v>
      </c>
      <c r="K165" s="21">
        <f t="shared" si="10"/>
        <v>14.687070331080468</v>
      </c>
    </row>
    <row r="166" spans="1:11" s="22" customFormat="1" x14ac:dyDescent="0.35">
      <c r="A166" s="19">
        <v>153</v>
      </c>
      <c r="B166" s="19" t="s">
        <v>83</v>
      </c>
      <c r="C166" s="20" t="s">
        <v>417</v>
      </c>
      <c r="D166" s="116">
        <f>'Schedule 4 Adjustments'!F165</f>
        <v>0</v>
      </c>
      <c r="E166" s="410">
        <v>3.3600000000000003</v>
      </c>
      <c r="F166" s="47">
        <f t="shared" si="12"/>
        <v>0</v>
      </c>
      <c r="G166" s="21">
        <f t="shared" si="9"/>
        <v>411.23796927025319</v>
      </c>
      <c r="H166" s="150">
        <f>'Schedule 4 Adjustments'!N165</f>
        <v>0</v>
      </c>
      <c r="I166" s="410">
        <v>2.88</v>
      </c>
      <c r="J166" s="47">
        <f t="shared" si="11"/>
        <v>0</v>
      </c>
      <c r="K166" s="21">
        <f t="shared" si="10"/>
        <v>352.48968794593122</v>
      </c>
    </row>
    <row r="167" spans="1:11" s="22" customFormat="1" x14ac:dyDescent="0.35">
      <c r="A167" s="19">
        <v>154</v>
      </c>
      <c r="B167" s="19" t="s">
        <v>84</v>
      </c>
      <c r="C167" s="20" t="s">
        <v>415</v>
      </c>
      <c r="D167" s="116">
        <f>'Schedule 4 Adjustments'!F166</f>
        <v>3</v>
      </c>
      <c r="E167" s="410">
        <v>0.44</v>
      </c>
      <c r="F167" s="47">
        <f t="shared" si="12"/>
        <v>1.32</v>
      </c>
      <c r="G167" s="21">
        <f t="shared" si="9"/>
        <v>53.852591213961723</v>
      </c>
      <c r="H167" s="150">
        <f>'Schedule 4 Adjustments'!N166</f>
        <v>13</v>
      </c>
      <c r="I167" s="410">
        <v>0.44</v>
      </c>
      <c r="J167" s="47">
        <f t="shared" si="11"/>
        <v>5.72</v>
      </c>
      <c r="K167" s="21">
        <f t="shared" si="10"/>
        <v>53.852591213961723</v>
      </c>
    </row>
    <row r="168" spans="1:11" s="22" customFormat="1" x14ac:dyDescent="0.35">
      <c r="A168" s="19">
        <v>155</v>
      </c>
      <c r="B168" s="19" t="s">
        <v>85</v>
      </c>
      <c r="C168" s="20" t="s">
        <v>416</v>
      </c>
      <c r="D168" s="116">
        <f>'Schedule 4 Adjustments'!F167</f>
        <v>0</v>
      </c>
      <c r="E168" s="410">
        <v>5.28</v>
      </c>
      <c r="F168" s="47">
        <f t="shared" si="12"/>
        <v>0</v>
      </c>
      <c r="G168" s="21">
        <f t="shared" si="9"/>
        <v>646.23109456754071</v>
      </c>
      <c r="H168" s="150">
        <f>'Schedule 4 Adjustments'!N167</f>
        <v>0</v>
      </c>
      <c r="I168" s="410">
        <v>5.28</v>
      </c>
      <c r="J168" s="47">
        <f t="shared" si="11"/>
        <v>0</v>
      </c>
      <c r="K168" s="21">
        <f t="shared" si="10"/>
        <v>646.23109456754071</v>
      </c>
    </row>
    <row r="169" spans="1:11" s="22" customFormat="1" x14ac:dyDescent="0.35">
      <c r="A169" s="19">
        <v>156</v>
      </c>
      <c r="B169" s="19" t="s">
        <v>86</v>
      </c>
      <c r="C169" s="20" t="s">
        <v>414</v>
      </c>
      <c r="D169" s="116">
        <f>'Schedule 4 Adjustments'!F168</f>
        <v>0</v>
      </c>
      <c r="E169" s="410">
        <v>0.44</v>
      </c>
      <c r="F169" s="47">
        <f t="shared" si="12"/>
        <v>0</v>
      </c>
      <c r="G169" s="21">
        <f t="shared" si="9"/>
        <v>53.852591213961723</v>
      </c>
      <c r="H169" s="150">
        <f>'Schedule 4 Adjustments'!N168</f>
        <v>11</v>
      </c>
      <c r="I169" s="410">
        <v>0.44</v>
      </c>
      <c r="J169" s="47">
        <f t="shared" si="11"/>
        <v>4.84</v>
      </c>
      <c r="K169" s="21">
        <f t="shared" si="10"/>
        <v>53.852591213961723</v>
      </c>
    </row>
    <row r="170" spans="1:11" s="22" customFormat="1" x14ac:dyDescent="0.35">
      <c r="A170" s="19">
        <v>157</v>
      </c>
      <c r="B170" s="19" t="s">
        <v>87</v>
      </c>
      <c r="C170" s="20" t="s">
        <v>413</v>
      </c>
      <c r="D170" s="116">
        <f>'Schedule 4 Adjustments'!F169</f>
        <v>0</v>
      </c>
      <c r="E170" s="410">
        <v>5.28</v>
      </c>
      <c r="F170" s="47">
        <f t="shared" si="12"/>
        <v>0</v>
      </c>
      <c r="G170" s="21">
        <f t="shared" si="9"/>
        <v>646.23109456754071</v>
      </c>
      <c r="H170" s="150">
        <f>'Schedule 4 Adjustments'!N169</f>
        <v>0</v>
      </c>
      <c r="I170" s="410">
        <v>5.28</v>
      </c>
      <c r="J170" s="47">
        <f t="shared" si="11"/>
        <v>0</v>
      </c>
      <c r="K170" s="21">
        <f t="shared" si="10"/>
        <v>646.23109456754071</v>
      </c>
    </row>
    <row r="171" spans="1:11" s="22" customFormat="1" x14ac:dyDescent="0.35">
      <c r="A171" s="19">
        <v>158</v>
      </c>
      <c r="B171" s="19" t="s">
        <v>88</v>
      </c>
      <c r="C171" s="20" t="s">
        <v>418</v>
      </c>
      <c r="D171" s="116">
        <f>'Schedule 4 Adjustments'!F170</f>
        <v>867</v>
      </c>
      <c r="E171" s="410">
        <v>0.14000000000000001</v>
      </c>
      <c r="F171" s="47">
        <f t="shared" si="12"/>
        <v>121.38000000000001</v>
      </c>
      <c r="G171" s="21">
        <f t="shared" si="9"/>
        <v>17.134915386260548</v>
      </c>
      <c r="H171" s="150">
        <f>'Schedule 4 Adjustments'!N170</f>
        <v>2597</v>
      </c>
      <c r="I171" s="410">
        <v>0.12</v>
      </c>
      <c r="J171" s="47">
        <f t="shared" si="11"/>
        <v>311.64</v>
      </c>
      <c r="K171" s="21">
        <f t="shared" si="10"/>
        <v>14.687070331080468</v>
      </c>
    </row>
    <row r="172" spans="1:11" s="22" customFormat="1" x14ac:dyDescent="0.35">
      <c r="A172" s="19">
        <v>159</v>
      </c>
      <c r="B172" s="19" t="s">
        <v>89</v>
      </c>
      <c r="C172" s="20" t="s">
        <v>419</v>
      </c>
      <c r="D172" s="116">
        <f>'Schedule 4 Adjustments'!F171</f>
        <v>1</v>
      </c>
      <c r="E172" s="410">
        <v>3.3600000000000003</v>
      </c>
      <c r="F172" s="47">
        <f t="shared" si="12"/>
        <v>3.3600000000000003</v>
      </c>
      <c r="G172" s="21">
        <f t="shared" si="9"/>
        <v>411.23796927025319</v>
      </c>
      <c r="H172" s="150">
        <f>'Schedule 4 Adjustments'!N171</f>
        <v>1</v>
      </c>
      <c r="I172" s="410">
        <v>2.88</v>
      </c>
      <c r="J172" s="47">
        <f t="shared" si="11"/>
        <v>2.88</v>
      </c>
      <c r="K172" s="21">
        <f t="shared" si="10"/>
        <v>352.48968794593122</v>
      </c>
    </row>
    <row r="173" spans="1:11" s="22" customFormat="1" x14ac:dyDescent="0.35">
      <c r="A173" s="19">
        <v>160</v>
      </c>
      <c r="B173" s="19" t="s">
        <v>90</v>
      </c>
      <c r="C173" s="20" t="s">
        <v>420</v>
      </c>
      <c r="D173" s="116">
        <f>'Schedule 4 Adjustments'!F172</f>
        <v>6</v>
      </c>
      <c r="E173" s="410">
        <v>0.14000000000000001</v>
      </c>
      <c r="F173" s="47">
        <f t="shared" si="12"/>
        <v>0.84000000000000008</v>
      </c>
      <c r="G173" s="21">
        <f t="shared" si="9"/>
        <v>17.134915386260548</v>
      </c>
      <c r="H173" s="150">
        <f>'Schedule 4 Adjustments'!N172</f>
        <v>10</v>
      </c>
      <c r="I173" s="410">
        <v>0.12</v>
      </c>
      <c r="J173" s="47">
        <f t="shared" si="11"/>
        <v>1.2</v>
      </c>
      <c r="K173" s="21">
        <f t="shared" si="10"/>
        <v>14.687070331080468</v>
      </c>
    </row>
    <row r="174" spans="1:11" s="22" customFormat="1" x14ac:dyDescent="0.35">
      <c r="A174" s="19">
        <v>161</v>
      </c>
      <c r="B174" s="19" t="s">
        <v>91</v>
      </c>
      <c r="C174" s="20" t="s">
        <v>421</v>
      </c>
      <c r="D174" s="116">
        <f>'Schedule 4 Adjustments'!F173</f>
        <v>0</v>
      </c>
      <c r="E174" s="410">
        <v>3.3600000000000003</v>
      </c>
      <c r="F174" s="47">
        <f t="shared" si="12"/>
        <v>0</v>
      </c>
      <c r="G174" s="21">
        <f t="shared" si="9"/>
        <v>411.23796927025319</v>
      </c>
      <c r="H174" s="150">
        <f>'Schedule 4 Adjustments'!N173</f>
        <v>0</v>
      </c>
      <c r="I174" s="410">
        <v>2.88</v>
      </c>
      <c r="J174" s="47">
        <f t="shared" si="11"/>
        <v>0</v>
      </c>
      <c r="K174" s="21">
        <f t="shared" si="10"/>
        <v>352.48968794593122</v>
      </c>
    </row>
    <row r="175" spans="1:11" s="22" customFormat="1" x14ac:dyDescent="0.35">
      <c r="A175" s="19">
        <v>162</v>
      </c>
      <c r="B175" s="19" t="s">
        <v>92</v>
      </c>
      <c r="C175" s="20" t="s">
        <v>422</v>
      </c>
      <c r="D175" s="116">
        <f>'Schedule 4 Adjustments'!F174</f>
        <v>2723</v>
      </c>
      <c r="E175" s="410">
        <v>0.14000000000000001</v>
      </c>
      <c r="F175" s="47">
        <f t="shared" si="12"/>
        <v>381.22</v>
      </c>
      <c r="G175" s="21">
        <f t="shared" si="9"/>
        <v>17.134915386260548</v>
      </c>
      <c r="H175" s="150">
        <f>'Schedule 4 Adjustments'!N174</f>
        <v>10492</v>
      </c>
      <c r="I175" s="410">
        <v>0.12</v>
      </c>
      <c r="J175" s="47">
        <f t="shared" si="11"/>
        <v>1259.04</v>
      </c>
      <c r="K175" s="21">
        <f t="shared" si="10"/>
        <v>14.687070331080468</v>
      </c>
    </row>
    <row r="176" spans="1:11" s="22" customFormat="1" x14ac:dyDescent="0.35">
      <c r="A176" s="19">
        <v>163</v>
      </c>
      <c r="B176" s="19" t="s">
        <v>93</v>
      </c>
      <c r="C176" s="20" t="s">
        <v>423</v>
      </c>
      <c r="D176" s="116">
        <f>'Schedule 4 Adjustments'!F175</f>
        <v>390</v>
      </c>
      <c r="E176" s="410">
        <v>0.14000000000000001</v>
      </c>
      <c r="F176" s="47">
        <f t="shared" si="12"/>
        <v>54.600000000000009</v>
      </c>
      <c r="G176" s="21">
        <f t="shared" si="9"/>
        <v>17.134915386260548</v>
      </c>
      <c r="H176" s="150">
        <f>'Schedule 4 Adjustments'!N175</f>
        <v>19851</v>
      </c>
      <c r="I176" s="410">
        <v>0.12</v>
      </c>
      <c r="J176" s="47">
        <f t="shared" si="11"/>
        <v>2382.12</v>
      </c>
      <c r="K176" s="21">
        <f t="shared" si="10"/>
        <v>14.687070331080468</v>
      </c>
    </row>
    <row r="177" spans="1:11" s="22" customFormat="1" x14ac:dyDescent="0.35">
      <c r="A177" s="19">
        <v>164</v>
      </c>
      <c r="B177" s="19" t="s">
        <v>94</v>
      </c>
      <c r="C177" s="20" t="s">
        <v>424</v>
      </c>
      <c r="D177" s="116">
        <f>'Schedule 4 Adjustments'!F176</f>
        <v>41</v>
      </c>
      <c r="E177" s="410">
        <v>3.3600000000000003</v>
      </c>
      <c r="F177" s="47">
        <f t="shared" si="12"/>
        <v>137.76000000000002</v>
      </c>
      <c r="G177" s="21">
        <f t="shared" si="9"/>
        <v>411.23796927025319</v>
      </c>
      <c r="H177" s="150">
        <f>'Schedule 4 Adjustments'!N176</f>
        <v>3368</v>
      </c>
      <c r="I177" s="410">
        <v>2.88</v>
      </c>
      <c r="J177" s="47">
        <f t="shared" si="11"/>
        <v>9699.84</v>
      </c>
      <c r="K177" s="21">
        <f t="shared" si="10"/>
        <v>352.48968794593122</v>
      </c>
    </row>
    <row r="178" spans="1:11" s="22" customFormat="1" x14ac:dyDescent="0.35">
      <c r="A178" s="19">
        <v>165</v>
      </c>
      <c r="B178" s="19" t="s">
        <v>95</v>
      </c>
      <c r="C178" s="20" t="s">
        <v>425</v>
      </c>
      <c r="D178" s="116">
        <f>'Schedule 4 Adjustments'!F177</f>
        <v>499</v>
      </c>
      <c r="E178" s="410">
        <v>0.14000000000000001</v>
      </c>
      <c r="F178" s="47">
        <f t="shared" si="12"/>
        <v>69.860000000000014</v>
      </c>
      <c r="G178" s="21">
        <f t="shared" si="9"/>
        <v>17.134915386260548</v>
      </c>
      <c r="H178" s="150">
        <f>'Schedule 4 Adjustments'!N177</f>
        <v>9923</v>
      </c>
      <c r="I178" s="410">
        <v>0.12</v>
      </c>
      <c r="J178" s="47">
        <f t="shared" si="11"/>
        <v>1190.76</v>
      </c>
      <c r="K178" s="21">
        <f t="shared" si="10"/>
        <v>14.687070331080468</v>
      </c>
    </row>
    <row r="179" spans="1:11" s="22" customFormat="1" x14ac:dyDescent="0.35">
      <c r="A179" s="19">
        <v>166</v>
      </c>
      <c r="B179" s="19" t="s">
        <v>96</v>
      </c>
      <c r="C179" s="20" t="s">
        <v>426</v>
      </c>
      <c r="D179" s="116">
        <f>'Schedule 4 Adjustments'!F178</f>
        <v>0</v>
      </c>
      <c r="E179" s="410">
        <v>1.29</v>
      </c>
      <c r="F179" s="47">
        <f t="shared" si="12"/>
        <v>0</v>
      </c>
      <c r="G179" s="21">
        <f t="shared" si="9"/>
        <v>157.88600605911506</v>
      </c>
      <c r="H179" s="150">
        <f>'Schedule 4 Adjustments'!N178</f>
        <v>1</v>
      </c>
      <c r="I179" s="410">
        <v>1.1299999999999999</v>
      </c>
      <c r="J179" s="47">
        <f t="shared" si="11"/>
        <v>1.1299999999999999</v>
      </c>
      <c r="K179" s="21">
        <f t="shared" si="10"/>
        <v>138.30324561767441</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0</v>
      </c>
      <c r="E181" s="410">
        <v>0</v>
      </c>
      <c r="F181" s="47">
        <f t="shared" si="12"/>
        <v>0</v>
      </c>
      <c r="G181" s="21">
        <f t="shared" si="9"/>
        <v>0</v>
      </c>
      <c r="H181" s="150">
        <f>'Schedule 4 Adjustments'!N180</f>
        <v>2231</v>
      </c>
      <c r="I181" s="410">
        <v>0</v>
      </c>
      <c r="J181" s="47">
        <f t="shared" si="11"/>
        <v>0</v>
      </c>
      <c r="K181" s="21">
        <f t="shared" si="10"/>
        <v>0</v>
      </c>
    </row>
    <row r="182" spans="1:11" s="22" customFormat="1" x14ac:dyDescent="0.35">
      <c r="A182" s="19">
        <v>169</v>
      </c>
      <c r="B182" s="19" t="s">
        <v>98</v>
      </c>
      <c r="C182" s="20" t="s">
        <v>428</v>
      </c>
      <c r="D182" s="116">
        <f>'Schedule 4 Adjustments'!F181</f>
        <v>152</v>
      </c>
      <c r="E182" s="410">
        <v>0.22</v>
      </c>
      <c r="F182" s="47">
        <f t="shared" si="12"/>
        <v>33.44</v>
      </c>
      <c r="G182" s="21">
        <f t="shared" si="9"/>
        <v>26.926295606980862</v>
      </c>
      <c r="H182" s="150">
        <f>'Schedule 4 Adjustments'!N181</f>
        <v>671</v>
      </c>
      <c r="I182" s="410">
        <v>0.22</v>
      </c>
      <c r="J182" s="47">
        <f t="shared" si="11"/>
        <v>147.62</v>
      </c>
      <c r="K182" s="21">
        <f t="shared" si="10"/>
        <v>26.926295606980862</v>
      </c>
    </row>
    <row r="183" spans="1:11" s="22" customFormat="1" x14ac:dyDescent="0.35">
      <c r="A183" s="19">
        <v>170</v>
      </c>
      <c r="B183" s="19" t="s">
        <v>99</v>
      </c>
      <c r="C183" s="20" t="s">
        <v>429</v>
      </c>
      <c r="D183" s="116">
        <f>'Schedule 4 Adjustments'!F182</f>
        <v>24</v>
      </c>
      <c r="E183" s="410">
        <v>4.4000000000000004</v>
      </c>
      <c r="F183" s="47">
        <f t="shared" si="12"/>
        <v>105.60000000000001</v>
      </c>
      <c r="G183" s="21">
        <f t="shared" si="9"/>
        <v>538.52591213961728</v>
      </c>
      <c r="H183" s="150">
        <f>'Schedule 4 Adjustments'!N182</f>
        <v>129</v>
      </c>
      <c r="I183" s="410">
        <v>4.4000000000000004</v>
      </c>
      <c r="J183" s="47">
        <f t="shared" si="11"/>
        <v>567.6</v>
      </c>
      <c r="K183" s="21">
        <f t="shared" si="10"/>
        <v>538.52591213961728</v>
      </c>
    </row>
    <row r="184" spans="1:11" s="22" customFormat="1" x14ac:dyDescent="0.35">
      <c r="A184" s="19">
        <v>171</v>
      </c>
      <c r="B184" s="19" t="s">
        <v>100</v>
      </c>
      <c r="C184" s="20" t="s">
        <v>147</v>
      </c>
      <c r="D184" s="116">
        <f>'Schedule 4 Adjustments'!F183</f>
        <v>0</v>
      </c>
      <c r="E184" s="410">
        <v>1.02</v>
      </c>
      <c r="F184" s="47">
        <f t="shared" si="12"/>
        <v>0</v>
      </c>
      <c r="G184" s="21">
        <f t="shared" si="9"/>
        <v>124.84009781418399</v>
      </c>
      <c r="H184" s="150">
        <f>'Schedule 4 Adjustments'!N183</f>
        <v>0</v>
      </c>
      <c r="I184" s="410">
        <v>0.94</v>
      </c>
      <c r="J184" s="47">
        <f t="shared" si="11"/>
        <v>0</v>
      </c>
      <c r="K184" s="21">
        <f t="shared" si="10"/>
        <v>115.04871759346366</v>
      </c>
    </row>
    <row r="185" spans="1:11" s="22" customFormat="1" x14ac:dyDescent="0.35">
      <c r="A185" s="19">
        <v>172</v>
      </c>
      <c r="B185" s="19" t="s">
        <v>101</v>
      </c>
      <c r="C185" s="20" t="s">
        <v>148</v>
      </c>
      <c r="D185" s="116">
        <f>'Schedule 4 Adjustments'!F184</f>
        <v>0</v>
      </c>
      <c r="E185" s="410">
        <v>0.75</v>
      </c>
      <c r="F185" s="47">
        <f t="shared" si="12"/>
        <v>0</v>
      </c>
      <c r="G185" s="21">
        <f t="shared" si="9"/>
        <v>91.794189569252936</v>
      </c>
      <c r="H185" s="150">
        <f>'Schedule 4 Adjustments'!N184</f>
        <v>0</v>
      </c>
      <c r="I185" s="410">
        <v>0.37</v>
      </c>
      <c r="J185" s="47">
        <f t="shared" si="11"/>
        <v>0</v>
      </c>
      <c r="K185" s="21">
        <f t="shared" si="10"/>
        <v>45.285133520831444</v>
      </c>
    </row>
    <row r="186" spans="1:11" s="22" customFormat="1" x14ac:dyDescent="0.35">
      <c r="A186" s="19">
        <v>173</v>
      </c>
      <c r="B186" s="19" t="s">
        <v>102</v>
      </c>
      <c r="C186" s="20" t="s">
        <v>430</v>
      </c>
      <c r="D186" s="116">
        <f>'Schedule 4 Adjustments'!F185</f>
        <v>0</v>
      </c>
      <c r="E186" s="410">
        <v>0.75</v>
      </c>
      <c r="F186" s="47">
        <f t="shared" si="12"/>
        <v>0</v>
      </c>
      <c r="G186" s="21">
        <f t="shared" si="9"/>
        <v>91.794189569252936</v>
      </c>
      <c r="H186" s="150">
        <f>'Schedule 4 Adjustments'!N185</f>
        <v>10</v>
      </c>
      <c r="I186" s="410">
        <v>0.37</v>
      </c>
      <c r="J186" s="47">
        <f t="shared" si="11"/>
        <v>3.7</v>
      </c>
      <c r="K186" s="21">
        <f t="shared" si="10"/>
        <v>45.285133520831444</v>
      </c>
    </row>
    <row r="187" spans="1:11" s="22" customFormat="1" x14ac:dyDescent="0.35">
      <c r="A187" s="19">
        <v>174</v>
      </c>
      <c r="B187" s="19" t="s">
        <v>103</v>
      </c>
      <c r="C187" s="20" t="s">
        <v>431</v>
      </c>
      <c r="D187" s="116">
        <f>'Schedule 4 Adjustments'!F186</f>
        <v>250</v>
      </c>
      <c r="E187" s="410">
        <v>3.96</v>
      </c>
      <c r="F187" s="47">
        <f t="shared" si="12"/>
        <v>990</v>
      </c>
      <c r="G187" s="21">
        <f t="shared" si="9"/>
        <v>484.6733209256555</v>
      </c>
      <c r="H187" s="150">
        <f>'Schedule 4 Adjustments'!N186</f>
        <v>22</v>
      </c>
      <c r="I187" s="410">
        <v>3.96</v>
      </c>
      <c r="J187" s="47">
        <f t="shared" si="11"/>
        <v>87.12</v>
      </c>
      <c r="K187" s="21">
        <f t="shared" si="10"/>
        <v>484.6733209256555</v>
      </c>
    </row>
    <row r="188" spans="1:11" s="22" customFormat="1" x14ac:dyDescent="0.35">
      <c r="A188" s="19">
        <v>175</v>
      </c>
      <c r="B188" s="19" t="s">
        <v>104</v>
      </c>
      <c r="C188" s="20" t="s">
        <v>432</v>
      </c>
      <c r="D188" s="116">
        <f>'Schedule 4 Adjustments'!F187</f>
        <v>2</v>
      </c>
      <c r="E188" s="410">
        <v>3.59</v>
      </c>
      <c r="F188" s="47">
        <f t="shared" si="12"/>
        <v>7.18</v>
      </c>
      <c r="G188" s="21">
        <f t="shared" si="9"/>
        <v>439.38818740482401</v>
      </c>
      <c r="H188" s="150">
        <f>'Schedule 4 Adjustments'!N187</f>
        <v>543</v>
      </c>
      <c r="I188" s="410">
        <v>3.59</v>
      </c>
      <c r="J188" s="47">
        <f t="shared" si="11"/>
        <v>1949.37</v>
      </c>
      <c r="K188" s="21">
        <f t="shared" si="10"/>
        <v>439.38818740482401</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1907</v>
      </c>
      <c r="I189" s="410">
        <v>0</v>
      </c>
      <c r="J189" s="47">
        <f t="shared" si="11"/>
        <v>0</v>
      </c>
      <c r="K189" s="21">
        <f t="shared" si="10"/>
        <v>0</v>
      </c>
    </row>
    <row r="190" spans="1:11" s="22" customFormat="1" x14ac:dyDescent="0.35">
      <c r="A190" s="19">
        <v>177</v>
      </c>
      <c r="B190" s="19" t="s">
        <v>105</v>
      </c>
      <c r="C190" s="20" t="s">
        <v>433</v>
      </c>
      <c r="D190" s="116">
        <f>'Schedule 4 Adjustments'!F189</f>
        <v>0</v>
      </c>
      <c r="E190" s="410">
        <v>0.28999999999999998</v>
      </c>
      <c r="F190" s="47">
        <f t="shared" si="12"/>
        <v>0</v>
      </c>
      <c r="G190" s="21">
        <f t="shared" si="9"/>
        <v>35.49375330011113</v>
      </c>
      <c r="H190" s="150">
        <f>'Schedule 4 Adjustments'!N189</f>
        <v>0</v>
      </c>
      <c r="I190" s="410">
        <v>0.28999999999999998</v>
      </c>
      <c r="J190" s="47">
        <f t="shared" si="11"/>
        <v>0</v>
      </c>
      <c r="K190" s="21">
        <f t="shared" si="10"/>
        <v>35.49375330011113</v>
      </c>
    </row>
    <row r="191" spans="1:11" s="22" customFormat="1" x14ac:dyDescent="0.35">
      <c r="A191" s="19">
        <v>178</v>
      </c>
      <c r="B191" s="19" t="s">
        <v>106</v>
      </c>
      <c r="C191" s="20" t="s">
        <v>149</v>
      </c>
      <c r="D191" s="116">
        <f>'Schedule 4 Adjustments'!F190</f>
        <v>8</v>
      </c>
      <c r="E191" s="410">
        <v>3.07</v>
      </c>
      <c r="F191" s="47">
        <f t="shared" si="12"/>
        <v>24.56</v>
      </c>
      <c r="G191" s="21">
        <f t="shared" si="9"/>
        <v>375.74421597014197</v>
      </c>
      <c r="H191" s="150">
        <f>'Schedule 4 Adjustments'!N190</f>
        <v>0</v>
      </c>
      <c r="I191" s="410">
        <v>3.05</v>
      </c>
      <c r="J191" s="47">
        <f t="shared" si="11"/>
        <v>0</v>
      </c>
      <c r="K191" s="21">
        <f t="shared" si="10"/>
        <v>373.29637091496193</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72.211429127812309</v>
      </c>
      <c r="H193" s="150">
        <f>'Schedule 4 Adjustments'!N192</f>
        <v>0</v>
      </c>
      <c r="I193" s="410">
        <v>0.55000000000000004</v>
      </c>
      <c r="J193" s="47">
        <f t="shared" si="11"/>
        <v>0</v>
      </c>
      <c r="K193" s="21">
        <f t="shared" si="10"/>
        <v>67.315739017452159</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78.331041765762507</v>
      </c>
      <c r="H195" s="150">
        <f>'Schedule 4 Adjustments'!N194</f>
        <v>7</v>
      </c>
      <c r="I195" s="410">
        <v>0.6</v>
      </c>
      <c r="J195" s="47">
        <f t="shared" si="11"/>
        <v>4.2</v>
      </c>
      <c r="K195" s="21">
        <f t="shared" si="10"/>
        <v>73.435351655402343</v>
      </c>
    </row>
    <row r="196" spans="1:11" s="22" customFormat="1" x14ac:dyDescent="0.35">
      <c r="A196" s="19">
        <v>183</v>
      </c>
      <c r="B196" s="19" t="s">
        <v>109</v>
      </c>
      <c r="C196" s="20" t="s">
        <v>151</v>
      </c>
      <c r="D196" s="116">
        <f>'Schedule 4 Adjustments'!F195</f>
        <v>13148</v>
      </c>
      <c r="E196" s="410">
        <v>0.65000000000000013</v>
      </c>
      <c r="F196" s="47">
        <f t="shared" si="12"/>
        <v>8546.2000000000025</v>
      </c>
      <c r="G196" s="21">
        <f t="shared" si="9"/>
        <v>79.554964293352555</v>
      </c>
      <c r="H196" s="150">
        <f>'Schedule 4 Adjustments'!N195</f>
        <v>13641</v>
      </c>
      <c r="I196" s="410">
        <v>0.59999999999999987</v>
      </c>
      <c r="J196" s="47">
        <f t="shared" si="11"/>
        <v>8184.5999999999985</v>
      </c>
      <c r="K196" s="21">
        <f t="shared" si="10"/>
        <v>73.435351655402329</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96661</v>
      </c>
      <c r="E198" s="13"/>
      <c r="F198" s="9">
        <f>SUM(F19:F197)</f>
        <v>170839.34999999998</v>
      </c>
      <c r="H198" s="9">
        <f>SUM(H19:H197)</f>
        <v>246589</v>
      </c>
      <c r="J198" s="9">
        <f>SUM(J19:J197)</f>
        <v>246846.42000000007</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901</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772</v>
      </c>
      <c r="C6" s="421" t="str">
        <f>Results!$C$6</f>
        <v>SummitStone Health Partners</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513" t="s">
        <v>867</v>
      </c>
      <c r="C10" s="513"/>
      <c r="D10" s="259" t="s">
        <v>902</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509" t="s">
        <v>869</v>
      </c>
      <c r="B12" s="510"/>
      <c r="C12" s="510"/>
      <c r="D12" s="511"/>
      <c r="G12" s="128"/>
      <c r="H12" s="128"/>
      <c r="I12" s="128"/>
      <c r="J12" s="128"/>
      <c r="K12" s="128"/>
      <c r="L12" s="128"/>
      <c r="M12" s="128"/>
    </row>
    <row r="13" spans="1:13" s="22" customFormat="1" x14ac:dyDescent="0.35">
      <c r="A13" s="155">
        <v>1</v>
      </c>
      <c r="B13" s="500" t="s">
        <v>870</v>
      </c>
      <c r="C13" s="502"/>
      <c r="D13" s="157">
        <f>'Schedule 5 Adjustments'!F12</f>
        <v>34659507.82</v>
      </c>
      <c r="G13" s="140"/>
    </row>
    <row r="14" spans="1:13" s="22" customFormat="1" x14ac:dyDescent="0.35">
      <c r="A14" s="155">
        <v>2</v>
      </c>
      <c r="B14" s="500" t="s">
        <v>871</v>
      </c>
      <c r="C14" s="502"/>
      <c r="D14" s="157">
        <f>'Schedule 5 Adjustments'!F13</f>
        <v>1957119.87</v>
      </c>
      <c r="G14" s="140"/>
    </row>
    <row r="15" spans="1:13" s="22" customFormat="1" x14ac:dyDescent="0.35">
      <c r="A15" s="155">
        <v>3</v>
      </c>
      <c r="B15" s="173" t="s">
        <v>872</v>
      </c>
      <c r="C15" s="168"/>
      <c r="D15" s="157">
        <f>'Schedule 5 Adjustments'!F14</f>
        <v>1012716.57</v>
      </c>
      <c r="G15" s="140"/>
    </row>
    <row r="16" spans="1:13" s="22" customFormat="1" x14ac:dyDescent="0.35">
      <c r="A16" s="155">
        <v>4</v>
      </c>
      <c r="B16" s="173" t="s">
        <v>873</v>
      </c>
      <c r="C16" s="168"/>
      <c r="D16" s="157">
        <f>'Schedule 5 Adjustments'!F15</f>
        <v>1073722.03</v>
      </c>
      <c r="G16" s="140"/>
    </row>
    <row r="17" spans="1:7" s="22" customFormat="1" x14ac:dyDescent="0.35">
      <c r="A17" s="155">
        <v>5</v>
      </c>
      <c r="B17" s="173" t="s">
        <v>874</v>
      </c>
      <c r="C17" s="168"/>
      <c r="D17" s="157">
        <f>'Schedule 5 Adjustments'!F16</f>
        <v>64768.75</v>
      </c>
      <c r="G17" s="140"/>
    </row>
    <row r="18" spans="1:7" s="22" customFormat="1" x14ac:dyDescent="0.35">
      <c r="A18" s="155">
        <v>6</v>
      </c>
      <c r="B18" s="173" t="s">
        <v>875</v>
      </c>
      <c r="C18" s="168"/>
      <c r="D18" s="157">
        <f>'Schedule 5 Adjustments'!F17</f>
        <v>-272.39999999999998</v>
      </c>
      <c r="G18" s="140"/>
    </row>
    <row r="19" spans="1:7" s="22" customFormat="1" x14ac:dyDescent="0.35">
      <c r="A19" s="155">
        <v>7</v>
      </c>
      <c r="B19" s="500" t="s">
        <v>876</v>
      </c>
      <c r="C19" s="502"/>
      <c r="D19" s="157">
        <f>'Schedule 5 Adjustments'!F18</f>
        <v>45</v>
      </c>
      <c r="G19" s="140"/>
    </row>
    <row r="20" spans="1:7" s="22" customFormat="1" x14ac:dyDescent="0.35">
      <c r="A20" s="155">
        <v>8</v>
      </c>
      <c r="B20" s="506" t="s">
        <v>877</v>
      </c>
      <c r="C20" s="508"/>
      <c r="D20" s="160">
        <f>SUM(D13:D19)</f>
        <v>38767607.640000001</v>
      </c>
      <c r="G20" s="140"/>
    </row>
    <row r="21" spans="1:7" s="22" customFormat="1" x14ac:dyDescent="0.35">
      <c r="A21" s="161"/>
      <c r="B21" s="162"/>
      <c r="C21" s="162"/>
      <c r="D21" s="164"/>
      <c r="G21" s="140"/>
    </row>
    <row r="22" spans="1:7" s="22" customFormat="1" x14ac:dyDescent="0.35">
      <c r="A22" s="509" t="s">
        <v>878</v>
      </c>
      <c r="B22" s="510"/>
      <c r="C22" s="510"/>
      <c r="D22" s="511"/>
      <c r="E22" s="140"/>
      <c r="F22" s="140"/>
      <c r="G22" s="140"/>
    </row>
    <row r="23" spans="1:7" s="22" customFormat="1" x14ac:dyDescent="0.35">
      <c r="A23" s="155">
        <v>9</v>
      </c>
      <c r="B23" s="500" t="s">
        <v>879</v>
      </c>
      <c r="C23" s="502"/>
      <c r="D23" s="157">
        <f>'Schedule 5 Adjustments'!F22</f>
        <v>1312829.8</v>
      </c>
      <c r="E23" s="140"/>
      <c r="F23" s="140"/>
      <c r="G23" s="140"/>
    </row>
    <row r="24" spans="1:7" s="22" customFormat="1" x14ac:dyDescent="0.35">
      <c r="A24" s="155">
        <v>10</v>
      </c>
      <c r="B24" s="173" t="s">
        <v>880</v>
      </c>
      <c r="C24" s="168"/>
      <c r="D24" s="157">
        <f>'Schedule 5 Adjustments'!F23</f>
        <v>2731813.49</v>
      </c>
      <c r="E24" s="140"/>
      <c r="F24" s="140"/>
      <c r="G24" s="140"/>
    </row>
    <row r="25" spans="1:7" s="22" customFormat="1" x14ac:dyDescent="0.35">
      <c r="A25" s="155">
        <v>11</v>
      </c>
      <c r="B25" s="173" t="s">
        <v>881</v>
      </c>
      <c r="C25" s="168"/>
      <c r="D25" s="157">
        <f>'Schedule 5 Adjustments'!F24</f>
        <v>11316879.67</v>
      </c>
      <c r="E25" s="140"/>
      <c r="F25" s="140"/>
      <c r="G25" s="140"/>
    </row>
    <row r="26" spans="1:7" s="22" customFormat="1" x14ac:dyDescent="0.35">
      <c r="A26" s="155">
        <v>12</v>
      </c>
      <c r="B26" s="173" t="s">
        <v>882</v>
      </c>
      <c r="C26" s="168"/>
      <c r="D26" s="157">
        <f>'Schedule 5 Adjustments'!F25</f>
        <v>20403019.43</v>
      </c>
      <c r="E26" s="140"/>
      <c r="F26" s="140"/>
      <c r="G26" s="140"/>
    </row>
    <row r="27" spans="1:7" s="22" customFormat="1" x14ac:dyDescent="0.35">
      <c r="A27" s="155">
        <v>13</v>
      </c>
      <c r="B27" s="173" t="s">
        <v>883</v>
      </c>
      <c r="C27" s="168"/>
      <c r="D27" s="157">
        <f>'Schedule 5 Adjustments'!F26</f>
        <v>75333.47</v>
      </c>
      <c r="E27" s="140"/>
      <c r="F27" s="140"/>
      <c r="G27" s="140"/>
    </row>
    <row r="28" spans="1:7" s="22" customFormat="1" x14ac:dyDescent="0.35">
      <c r="A28" s="155">
        <v>14</v>
      </c>
      <c r="B28" s="506" t="s">
        <v>884</v>
      </c>
      <c r="C28" s="508"/>
      <c r="D28" s="160">
        <f>SUM(D23:D27)</f>
        <v>35839875.859999999</v>
      </c>
      <c r="E28" s="140"/>
      <c r="F28" s="140"/>
      <c r="G28" s="140"/>
    </row>
    <row r="29" spans="1:7" s="22" customFormat="1" x14ac:dyDescent="0.35">
      <c r="A29" s="161"/>
      <c r="B29" s="162"/>
      <c r="C29" s="162"/>
      <c r="D29" s="164"/>
      <c r="F29" s="140"/>
      <c r="G29" s="140"/>
    </row>
    <row r="30" spans="1:7" s="22" customFormat="1" x14ac:dyDescent="0.35">
      <c r="A30" s="509" t="s">
        <v>885</v>
      </c>
      <c r="B30" s="510"/>
      <c r="C30" s="510"/>
      <c r="D30" s="511"/>
      <c r="F30" s="140"/>
      <c r="G30" s="140"/>
    </row>
    <row r="31" spans="1:7" s="22" customFormat="1" x14ac:dyDescent="0.35">
      <c r="A31" s="155">
        <v>15</v>
      </c>
      <c r="B31" s="500" t="s">
        <v>886</v>
      </c>
      <c r="C31" s="502"/>
      <c r="D31" s="157">
        <f>'Schedule 5 Adjustments'!F30</f>
        <v>142787.60999999999</v>
      </c>
      <c r="G31" s="140"/>
    </row>
    <row r="32" spans="1:7" s="22" customFormat="1" x14ac:dyDescent="0.35">
      <c r="A32" s="155">
        <v>16</v>
      </c>
      <c r="B32" s="173" t="s">
        <v>887</v>
      </c>
      <c r="C32" s="168"/>
      <c r="D32" s="157">
        <f>'Schedule 5 Adjustments'!F31</f>
        <v>0</v>
      </c>
      <c r="G32" s="140"/>
    </row>
    <row r="33" spans="1:7" s="22" customFormat="1" x14ac:dyDescent="0.35">
      <c r="A33" s="155">
        <v>17</v>
      </c>
      <c r="B33" s="173" t="s">
        <v>888</v>
      </c>
      <c r="C33" s="168"/>
      <c r="D33" s="157">
        <f>'Schedule 5 Adjustments'!F32</f>
        <v>0</v>
      </c>
      <c r="G33" s="140"/>
    </row>
    <row r="34" spans="1:7" s="22" customFormat="1" x14ac:dyDescent="0.35">
      <c r="A34" s="155">
        <v>18</v>
      </c>
      <c r="B34" s="173" t="s">
        <v>889</v>
      </c>
      <c r="C34" s="168"/>
      <c r="D34" s="157">
        <f>'Schedule 5 Adjustments'!F33</f>
        <v>0</v>
      </c>
      <c r="G34" s="140"/>
    </row>
    <row r="35" spans="1:7" s="22" customFormat="1" x14ac:dyDescent="0.35">
      <c r="A35" s="155">
        <v>19</v>
      </c>
      <c r="B35" s="173" t="s">
        <v>890</v>
      </c>
      <c r="C35" s="168"/>
      <c r="D35" s="157">
        <f>'Schedule 5 Adjustments'!F34</f>
        <v>283405.07</v>
      </c>
      <c r="G35" s="140"/>
    </row>
    <row r="36" spans="1:7" s="22" customFormat="1" x14ac:dyDescent="0.35">
      <c r="A36" s="155">
        <v>20</v>
      </c>
      <c r="B36" s="506" t="s">
        <v>891</v>
      </c>
      <c r="C36" s="508"/>
      <c r="D36" s="160">
        <f>SUM(D31:D35)</f>
        <v>426192.68</v>
      </c>
      <c r="G36" s="140"/>
    </row>
    <row r="37" spans="1:7" s="22" customFormat="1" x14ac:dyDescent="0.35">
      <c r="A37" s="161"/>
      <c r="B37" s="162"/>
      <c r="C37" s="162"/>
      <c r="D37" s="164"/>
      <c r="G37" s="140"/>
    </row>
    <row r="38" spans="1:7" s="22" customFormat="1" x14ac:dyDescent="0.35">
      <c r="A38" s="509" t="s">
        <v>892</v>
      </c>
      <c r="B38" s="510"/>
      <c r="C38" s="510"/>
      <c r="D38" s="511"/>
      <c r="G38" s="140"/>
    </row>
    <row r="39" spans="1:7" s="22" customFormat="1" x14ac:dyDescent="0.35">
      <c r="A39" s="155">
        <v>21</v>
      </c>
      <c r="B39" s="500" t="s">
        <v>304</v>
      </c>
      <c r="C39" s="501"/>
      <c r="D39" s="157">
        <f>'Schedule 5 Adjustments'!F38</f>
        <v>464931.48</v>
      </c>
      <c r="G39" s="140"/>
    </row>
    <row r="40" spans="1:7" s="22" customFormat="1" x14ac:dyDescent="0.35">
      <c r="A40" s="155">
        <v>22</v>
      </c>
      <c r="B40" s="500" t="s">
        <v>893</v>
      </c>
      <c r="C40" s="501"/>
      <c r="D40" s="157">
        <f>'Schedule 5 Adjustments'!F39</f>
        <v>13852.5</v>
      </c>
      <c r="G40" s="140"/>
    </row>
    <row r="41" spans="1:7" s="22" customFormat="1" x14ac:dyDescent="0.35">
      <c r="A41" s="155">
        <v>23</v>
      </c>
      <c r="B41" s="500" t="s">
        <v>894</v>
      </c>
      <c r="C41" s="501"/>
      <c r="D41" s="157">
        <f>'Schedule 5 Adjustments'!F40</f>
        <v>134808.85999999999</v>
      </c>
      <c r="G41" s="140"/>
    </row>
    <row r="42" spans="1:7" s="22" customFormat="1" x14ac:dyDescent="0.35">
      <c r="A42" s="155">
        <v>24</v>
      </c>
      <c r="B42" s="506" t="s">
        <v>895</v>
      </c>
      <c r="C42" s="507"/>
      <c r="D42" s="160">
        <f>SUM(D39:D41)</f>
        <v>613592.84</v>
      </c>
      <c r="G42" s="140"/>
    </row>
    <row r="43" spans="1:7" s="22" customFormat="1" x14ac:dyDescent="0.35">
      <c r="A43" s="161"/>
      <c r="B43" s="162"/>
      <c r="C43" s="162"/>
      <c r="D43" s="164"/>
      <c r="G43" s="140"/>
    </row>
    <row r="44" spans="1:7" s="63" customFormat="1" ht="15.5" x14ac:dyDescent="0.35">
      <c r="A44" s="155">
        <v>25</v>
      </c>
      <c r="B44" s="503" t="s">
        <v>896</v>
      </c>
      <c r="C44" s="505"/>
      <c r="D44" s="169">
        <f>SUM(D20,D28,D36,D42)</f>
        <v>75647269.020000011</v>
      </c>
      <c r="G44" s="141"/>
    </row>
    <row r="45" spans="1:7" s="22" customFormat="1" x14ac:dyDescent="0.35">
      <c r="A45" s="170"/>
      <c r="B45" s="170"/>
      <c r="C45" s="170"/>
      <c r="D45" s="170"/>
      <c r="G45" s="140"/>
    </row>
    <row r="46" spans="1:7" s="22" customFormat="1" x14ac:dyDescent="0.35">
      <c r="A46" s="155">
        <v>26</v>
      </c>
      <c r="B46" s="499" t="s">
        <v>897</v>
      </c>
      <c r="C46" s="499"/>
      <c r="D46" s="157">
        <f>'Schedule 5 Adjustments'!F45</f>
        <v>0</v>
      </c>
      <c r="G46" s="140"/>
    </row>
    <row r="47" spans="1:7" s="22" customFormat="1" ht="15.5" x14ac:dyDescent="0.35">
      <c r="A47" s="155">
        <v>27</v>
      </c>
      <c r="B47" s="499" t="s">
        <v>10</v>
      </c>
      <c r="C47" s="499"/>
      <c r="D47" s="169">
        <f>D44-D46</f>
        <v>75647269.020000011</v>
      </c>
      <c r="E47" s="33" t="str">
        <f>IF(ABS(D47)&gt;1,"Error - This variance should be 0.","")</f>
        <v>Error - This variance should be 0.</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election activeCell="H99" sqref="H99"/>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761</v>
      </c>
      <c r="M3" s="130"/>
      <c r="N3" s="130"/>
      <c r="O3" s="130"/>
      <c r="P3" s="40"/>
      <c r="Q3" s="40"/>
      <c r="R3" s="40"/>
      <c r="S3" s="40"/>
    </row>
    <row r="4" spans="1:19" x14ac:dyDescent="0.35">
      <c r="F4" s="36"/>
      <c r="M4" s="40"/>
      <c r="N4" s="40"/>
      <c r="O4" s="40"/>
      <c r="P4" s="40"/>
      <c r="Q4" s="40"/>
      <c r="R4" s="40"/>
      <c r="S4" s="40"/>
    </row>
    <row r="5" spans="1:19" x14ac:dyDescent="0.35">
      <c r="A5" s="1" t="s">
        <v>772</v>
      </c>
      <c r="C5" s="421" t="str">
        <f>Results!$C$6</f>
        <v>SummitStone Health Partners</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13" t="s">
        <v>1</v>
      </c>
      <c r="C9" s="513"/>
      <c r="D9" s="151" t="s">
        <v>7</v>
      </c>
      <c r="E9" s="151" t="s">
        <v>6</v>
      </c>
      <c r="F9" s="151" t="s">
        <v>485</v>
      </c>
      <c r="G9" s="151" t="s">
        <v>775</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509" t="s">
        <v>280</v>
      </c>
      <c r="B11" s="510"/>
      <c r="C11" s="510"/>
      <c r="D11" s="510"/>
      <c r="E11" s="510"/>
      <c r="F11" s="510"/>
      <c r="G11" s="510"/>
      <c r="H11" s="510"/>
      <c r="I11" s="510"/>
      <c r="J11" s="511"/>
      <c r="M11" s="128"/>
      <c r="N11" s="128"/>
      <c r="O11" s="128"/>
      <c r="P11" s="128"/>
      <c r="Q11" s="128"/>
      <c r="R11" s="128"/>
      <c r="S11" s="128"/>
    </row>
    <row r="12" spans="1:19" s="22" customFormat="1" x14ac:dyDescent="0.35">
      <c r="A12" s="155">
        <v>1</v>
      </c>
      <c r="B12" s="500" t="s">
        <v>458</v>
      </c>
      <c r="C12" s="502"/>
      <c r="D12" s="156">
        <v>27</v>
      </c>
      <c r="E12" s="157">
        <v>0</v>
      </c>
      <c r="F12" s="157">
        <v>1550299.2113596662</v>
      </c>
      <c r="G12" s="157">
        <v>1058119.9601404271</v>
      </c>
      <c r="H12" s="157">
        <v>0</v>
      </c>
      <c r="I12" s="157"/>
      <c r="J12" s="158">
        <f>SUM(E12:I12)</f>
        <v>2608419.1715000933</v>
      </c>
      <c r="M12" s="140"/>
    </row>
    <row r="13" spans="1:19" s="22" customFormat="1" x14ac:dyDescent="0.35">
      <c r="A13" s="155">
        <v>2</v>
      </c>
      <c r="B13" s="500" t="s">
        <v>291</v>
      </c>
      <c r="C13" s="502"/>
      <c r="D13" s="156">
        <v>165</v>
      </c>
      <c r="E13" s="157">
        <v>348955.41944444447</v>
      </c>
      <c r="F13" s="157">
        <v>8302762.8325774837</v>
      </c>
      <c r="G13" s="157">
        <v>2882638.3891203627</v>
      </c>
      <c r="H13" s="157">
        <v>74475.442999999999</v>
      </c>
      <c r="I13" s="157"/>
      <c r="J13" s="158">
        <f>SUM(E13:I13)</f>
        <v>11608832.08414229</v>
      </c>
      <c r="M13" s="140"/>
    </row>
    <row r="14" spans="1:19" s="22" customFormat="1" x14ac:dyDescent="0.35">
      <c r="A14" s="155">
        <v>3</v>
      </c>
      <c r="B14" s="500" t="s">
        <v>301</v>
      </c>
      <c r="C14" s="502"/>
      <c r="D14" s="156">
        <v>379</v>
      </c>
      <c r="E14" s="157">
        <v>106740.48059091484</v>
      </c>
      <c r="F14" s="157">
        <v>16326166.056676615</v>
      </c>
      <c r="G14" s="157">
        <v>9314172.8591906223</v>
      </c>
      <c r="H14" s="157">
        <v>175084.17355607668</v>
      </c>
      <c r="I14" s="157"/>
      <c r="J14" s="158">
        <f>SUM(E14:I14)</f>
        <v>25922163.570014231</v>
      </c>
      <c r="M14" s="140"/>
    </row>
    <row r="15" spans="1:19" s="22" customFormat="1" x14ac:dyDescent="0.35">
      <c r="A15" s="155">
        <v>4</v>
      </c>
      <c r="B15" s="506" t="s">
        <v>290</v>
      </c>
      <c r="C15" s="508"/>
      <c r="D15" s="159">
        <f t="shared" ref="D15:I15" si="0">SUM(D12:D14)</f>
        <v>571</v>
      </c>
      <c r="E15" s="160">
        <f t="shared" si="0"/>
        <v>455695.90003535931</v>
      </c>
      <c r="F15" s="160">
        <f t="shared" si="0"/>
        <v>26179228.100613765</v>
      </c>
      <c r="G15" s="160">
        <f t="shared" si="0"/>
        <v>13254931.208451413</v>
      </c>
      <c r="H15" s="160">
        <f t="shared" si="0"/>
        <v>249559.61655607668</v>
      </c>
      <c r="I15" s="160">
        <f t="shared" si="0"/>
        <v>0</v>
      </c>
      <c r="J15" s="160">
        <f>SUM(E15:I15)</f>
        <v>40139414.825656615</v>
      </c>
      <c r="M15" s="140"/>
    </row>
    <row r="16" spans="1:19" s="22" customFormat="1" x14ac:dyDescent="0.35">
      <c r="A16" s="161"/>
      <c r="B16" s="162"/>
      <c r="C16" s="162"/>
      <c r="D16" s="163"/>
      <c r="E16" s="164"/>
      <c r="F16" s="164"/>
      <c r="G16" s="164"/>
      <c r="H16" s="164"/>
      <c r="I16" s="164"/>
      <c r="J16" s="164"/>
      <c r="M16" s="140"/>
    </row>
    <row r="17" spans="1:13" s="22" customFormat="1" x14ac:dyDescent="0.35">
      <c r="A17" s="509" t="s">
        <v>281</v>
      </c>
      <c r="B17" s="510"/>
      <c r="C17" s="510"/>
      <c r="D17" s="510"/>
      <c r="E17" s="510"/>
      <c r="F17" s="510"/>
      <c r="G17" s="510"/>
      <c r="H17" s="510"/>
      <c r="I17" s="510"/>
      <c r="J17" s="511"/>
      <c r="M17" s="140"/>
    </row>
    <row r="18" spans="1:13" s="22" customFormat="1" x14ac:dyDescent="0.35">
      <c r="A18" s="155">
        <v>5</v>
      </c>
      <c r="B18" s="500" t="s">
        <v>221</v>
      </c>
      <c r="C18" s="502"/>
      <c r="D18" s="156">
        <v>7</v>
      </c>
      <c r="E18" s="157">
        <v>1034863.8272727272</v>
      </c>
      <c r="F18" s="157">
        <v>0</v>
      </c>
      <c r="G18" s="157">
        <v>117720.43061825319</v>
      </c>
      <c r="H18" s="157">
        <v>0</v>
      </c>
      <c r="I18" s="157"/>
      <c r="J18" s="158">
        <f>SUM(E18:I18)</f>
        <v>1152584.2578909802</v>
      </c>
      <c r="M18" s="140"/>
    </row>
    <row r="19" spans="1:13" s="22" customFormat="1" x14ac:dyDescent="0.35">
      <c r="A19" s="155">
        <v>6</v>
      </c>
      <c r="B19" s="500" t="s">
        <v>293</v>
      </c>
      <c r="C19" s="502"/>
      <c r="D19" s="156">
        <v>179</v>
      </c>
      <c r="E19" s="157">
        <v>6146774.1722475821</v>
      </c>
      <c r="F19" s="157">
        <v>3318591.9863282903</v>
      </c>
      <c r="G19" s="157">
        <v>2764454.3291391227</v>
      </c>
      <c r="H19" s="157">
        <v>15965.248737413252</v>
      </c>
      <c r="I19" s="157">
        <v>21026</v>
      </c>
      <c r="J19" s="158">
        <f>SUM(E19:I19)</f>
        <v>12266811.736452408</v>
      </c>
      <c r="M19" s="140"/>
    </row>
    <row r="20" spans="1:13" s="22" customFormat="1" x14ac:dyDescent="0.35">
      <c r="A20" s="155">
        <v>7</v>
      </c>
      <c r="B20" s="506" t="s">
        <v>220</v>
      </c>
      <c r="C20" s="508"/>
      <c r="D20" s="159">
        <f t="shared" ref="D20:I20" si="1">SUM(D18:D19)</f>
        <v>186</v>
      </c>
      <c r="E20" s="160">
        <f t="shared" si="1"/>
        <v>7181637.9995203093</v>
      </c>
      <c r="F20" s="160">
        <f t="shared" si="1"/>
        <v>3318591.9863282903</v>
      </c>
      <c r="G20" s="160">
        <f t="shared" si="1"/>
        <v>2882174.7597573758</v>
      </c>
      <c r="H20" s="160">
        <f t="shared" si="1"/>
        <v>15965.248737413252</v>
      </c>
      <c r="I20" s="160">
        <f t="shared" si="1"/>
        <v>21026</v>
      </c>
      <c r="J20" s="160">
        <f>SUM(E20:I20)</f>
        <v>13419395.994343389</v>
      </c>
      <c r="M20" s="140"/>
    </row>
    <row r="21" spans="1:13" s="22" customFormat="1" x14ac:dyDescent="0.35">
      <c r="A21" s="161"/>
      <c r="B21" s="162"/>
      <c r="C21" s="162"/>
      <c r="D21" s="163"/>
      <c r="E21" s="164"/>
      <c r="F21" s="164"/>
      <c r="G21" s="164"/>
      <c r="H21" s="164"/>
      <c r="I21" s="164"/>
      <c r="J21" s="164"/>
      <c r="M21" s="140"/>
    </row>
    <row r="22" spans="1:13" s="22" customFormat="1" x14ac:dyDescent="0.35">
      <c r="A22" s="509" t="s">
        <v>275</v>
      </c>
      <c r="B22" s="510"/>
      <c r="C22" s="510"/>
      <c r="D22" s="510"/>
      <c r="E22" s="510"/>
      <c r="F22" s="510"/>
      <c r="G22" s="510"/>
      <c r="H22" s="510"/>
      <c r="I22" s="510"/>
      <c r="J22" s="511"/>
      <c r="M22" s="140"/>
    </row>
    <row r="23" spans="1:13" s="22" customFormat="1" x14ac:dyDescent="0.35">
      <c r="A23" s="155">
        <v>8</v>
      </c>
      <c r="B23" s="500" t="s">
        <v>276</v>
      </c>
      <c r="C23" s="501"/>
      <c r="D23" s="502"/>
      <c r="E23" s="165">
        <f>'As-Filed Schedule 1A'!H27*-1</f>
        <v>-562.47999999998137</v>
      </c>
      <c r="F23" s="165">
        <f>'As-Filed Schedule 1A'!H28*-1</f>
        <v>0</v>
      </c>
      <c r="G23" s="165">
        <f>-'As-Filed Schedule 1A'!H29</f>
        <v>0</v>
      </c>
      <c r="H23" s="165">
        <f>-'As-Filed Schedule 1A'!H30</f>
        <v>0</v>
      </c>
      <c r="I23" s="165">
        <f>-SUM(E23:H23)</f>
        <v>562.47999999998137</v>
      </c>
      <c r="J23" s="158">
        <f>SUM(E23:I23)</f>
        <v>0</v>
      </c>
      <c r="M23" s="140"/>
    </row>
    <row r="24" spans="1:13" s="22" customFormat="1" x14ac:dyDescent="0.35">
      <c r="A24" s="155">
        <v>9</v>
      </c>
      <c r="B24" s="506" t="s">
        <v>222</v>
      </c>
      <c r="C24" s="507"/>
      <c r="D24" s="508"/>
      <c r="E24" s="160">
        <f>SUM(E23:E23)</f>
        <v>-562.47999999998137</v>
      </c>
      <c r="F24" s="160">
        <f>SUM(F23:F23)</f>
        <v>0</v>
      </c>
      <c r="G24" s="160">
        <f>SUM(G23:G23)</f>
        <v>0</v>
      </c>
      <c r="H24" s="160">
        <f>SUM(H23:H23)</f>
        <v>0</v>
      </c>
      <c r="I24" s="160">
        <f>SUM(I23:I23)</f>
        <v>562.47999999998137</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509" t="s">
        <v>235</v>
      </c>
      <c r="B26" s="510"/>
      <c r="C26" s="510"/>
      <c r="D26" s="510"/>
      <c r="E26" s="510"/>
      <c r="F26" s="510"/>
      <c r="G26" s="510"/>
      <c r="H26" s="510"/>
      <c r="I26" s="510"/>
      <c r="J26" s="511"/>
      <c r="M26" s="140"/>
    </row>
    <row r="27" spans="1:13" s="22" customFormat="1" x14ac:dyDescent="0.35">
      <c r="A27" s="155">
        <v>10</v>
      </c>
      <c r="B27" s="500" t="s">
        <v>224</v>
      </c>
      <c r="C27" s="501"/>
      <c r="D27" s="502"/>
      <c r="E27" s="157">
        <v>169904.88937450296</v>
      </c>
      <c r="F27" s="157">
        <v>100068.09630100432</v>
      </c>
      <c r="G27" s="157">
        <v>115991.18391467171</v>
      </c>
      <c r="H27" s="157">
        <v>17.040409820989257</v>
      </c>
      <c r="I27" s="157"/>
      <c r="J27" s="158">
        <f>SUM(E27:I27)</f>
        <v>385981.20999999996</v>
      </c>
      <c r="M27" s="140"/>
    </row>
    <row r="28" spans="1:13" s="22" customFormat="1" x14ac:dyDescent="0.35">
      <c r="A28" s="166">
        <v>11</v>
      </c>
      <c r="B28" s="173" t="s">
        <v>223</v>
      </c>
      <c r="C28" s="167"/>
      <c r="D28" s="168"/>
      <c r="E28" s="157">
        <v>1638654.2306221719</v>
      </c>
      <c r="F28" s="157">
        <v>8020913.3473316226</v>
      </c>
      <c r="G28" s="157">
        <v>3973672.796284101</v>
      </c>
      <c r="H28" s="157">
        <v>88143.485762105149</v>
      </c>
      <c r="I28" s="157"/>
      <c r="J28" s="158">
        <f>SUM(E28:I28)</f>
        <v>13721383.859999999</v>
      </c>
      <c r="K28" s="128"/>
      <c r="M28" s="140"/>
    </row>
    <row r="29" spans="1:13" s="22" customFormat="1" x14ac:dyDescent="0.35">
      <c r="A29" s="155">
        <v>12</v>
      </c>
      <c r="B29" s="500" t="s">
        <v>300</v>
      </c>
      <c r="C29" s="501"/>
      <c r="D29" s="502"/>
      <c r="E29" s="157">
        <v>131933.43048601737</v>
      </c>
      <c r="F29" s="157">
        <v>31952.721601653477</v>
      </c>
      <c r="G29" s="157">
        <v>17601.674433396482</v>
      </c>
      <c r="H29" s="157">
        <v>105.02347893266889</v>
      </c>
      <c r="I29" s="157"/>
      <c r="J29" s="158">
        <f t="shared" ref="J29" si="2">SUM(E29:I29)</f>
        <v>181592.85</v>
      </c>
      <c r="M29" s="140"/>
    </row>
    <row r="30" spans="1:13" s="22" customFormat="1" x14ac:dyDescent="0.35">
      <c r="A30" s="155">
        <v>13</v>
      </c>
      <c r="B30" s="506" t="s">
        <v>225</v>
      </c>
      <c r="C30" s="507"/>
      <c r="D30" s="508"/>
      <c r="E30" s="160">
        <f>SUM(E27:E29)</f>
        <v>1940492.5504826922</v>
      </c>
      <c r="F30" s="160">
        <f>SUM(F27:F29)</f>
        <v>8152934.1652342808</v>
      </c>
      <c r="G30" s="160">
        <f>SUM(G27:G29)</f>
        <v>4107265.6546321693</v>
      </c>
      <c r="H30" s="160">
        <f>SUM(H27:H29)</f>
        <v>88265.549650858797</v>
      </c>
      <c r="I30" s="160">
        <f>SUM(I27:I29)</f>
        <v>0</v>
      </c>
      <c r="J30" s="160">
        <f>SUM(E30:I30)</f>
        <v>14288957.920000002</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506" t="s">
        <v>228</v>
      </c>
      <c r="C32" s="507"/>
      <c r="D32" s="508"/>
      <c r="E32" s="160">
        <f>E30+E24+E20+E15</f>
        <v>9577263.97003836</v>
      </c>
      <c r="F32" s="160">
        <f>F30+F24+F20+F15</f>
        <v>37650754.252176337</v>
      </c>
      <c r="G32" s="160">
        <f>G30+G24+G20+G15</f>
        <v>20244371.622840956</v>
      </c>
      <c r="H32" s="160">
        <f>H30+H24+H20+H15</f>
        <v>353790.41494434874</v>
      </c>
      <c r="I32" s="160">
        <f>I30+I24+I20+I15</f>
        <v>21588.479999999981</v>
      </c>
      <c r="J32" s="160">
        <f t="shared" ref="J32" si="3">SUM(E32:I32)</f>
        <v>67847768.74000001</v>
      </c>
      <c r="M32" s="140"/>
    </row>
    <row r="33" spans="1:13" s="22" customFormat="1" x14ac:dyDescent="0.35">
      <c r="A33" s="161"/>
      <c r="B33" s="162"/>
      <c r="C33" s="162"/>
      <c r="D33" s="163"/>
      <c r="E33" s="164"/>
      <c r="F33" s="164"/>
      <c r="G33" s="164"/>
      <c r="H33" s="164"/>
      <c r="I33" s="164"/>
      <c r="J33" s="164"/>
      <c r="M33" s="140"/>
    </row>
    <row r="34" spans="1:13" s="22" customFormat="1" x14ac:dyDescent="0.35">
      <c r="A34" s="509" t="s">
        <v>234</v>
      </c>
      <c r="B34" s="510"/>
      <c r="C34" s="510"/>
      <c r="D34" s="510"/>
      <c r="E34" s="510"/>
      <c r="F34" s="510"/>
      <c r="G34" s="510"/>
      <c r="H34" s="510"/>
      <c r="I34" s="510"/>
      <c r="J34" s="511"/>
      <c r="M34" s="140"/>
    </row>
    <row r="35" spans="1:13" s="22" customFormat="1" x14ac:dyDescent="0.35">
      <c r="A35" s="155">
        <v>15</v>
      </c>
      <c r="B35" s="500" t="s">
        <v>292</v>
      </c>
      <c r="C35" s="501"/>
      <c r="D35" s="502"/>
      <c r="E35" s="157"/>
      <c r="F35" s="157">
        <v>641742.42499999993</v>
      </c>
      <c r="G35" s="157">
        <v>670662.36</v>
      </c>
      <c r="H35" s="157">
        <v>18277.665000000001</v>
      </c>
      <c r="I35" s="157"/>
      <c r="J35" s="158">
        <f>SUM(E35:I35)</f>
        <v>1330682.45</v>
      </c>
      <c r="M35" s="140"/>
    </row>
    <row r="36" spans="1:13" s="22" customFormat="1" x14ac:dyDescent="0.35">
      <c r="A36" s="155">
        <v>16</v>
      </c>
      <c r="B36" s="500" t="s">
        <v>227</v>
      </c>
      <c r="C36" s="501"/>
      <c r="D36" s="502"/>
      <c r="E36" s="157"/>
      <c r="F36" s="157"/>
      <c r="G36" s="157"/>
      <c r="H36" s="157"/>
      <c r="I36" s="157"/>
      <c r="J36" s="158">
        <f>SUM(E36:I36)</f>
        <v>0</v>
      </c>
    </row>
    <row r="37" spans="1:13" s="22" customFormat="1" x14ac:dyDescent="0.35">
      <c r="A37" s="155">
        <v>17</v>
      </c>
      <c r="B37" s="173" t="s">
        <v>459</v>
      </c>
      <c r="C37" s="167"/>
      <c r="D37" s="168"/>
      <c r="E37" s="157"/>
      <c r="F37" s="157"/>
      <c r="G37" s="157"/>
      <c r="H37" s="157"/>
      <c r="I37" s="157"/>
      <c r="J37" s="158">
        <f>SUM(E37:I37)</f>
        <v>0</v>
      </c>
      <c r="K37" s="128"/>
    </row>
    <row r="38" spans="1:13" s="22" customFormat="1" x14ac:dyDescent="0.35">
      <c r="A38" s="155">
        <v>18</v>
      </c>
      <c r="B38" s="506" t="s">
        <v>226</v>
      </c>
      <c r="C38" s="507"/>
      <c r="D38" s="508"/>
      <c r="E38" s="160">
        <f>SUM(E35:E37)</f>
        <v>0</v>
      </c>
      <c r="F38" s="160">
        <f t="shared" ref="F38:I38" si="4">SUM(F35:F37)</f>
        <v>641742.42499999993</v>
      </c>
      <c r="G38" s="160">
        <f t="shared" si="4"/>
        <v>670662.36</v>
      </c>
      <c r="H38" s="160">
        <f t="shared" si="4"/>
        <v>18277.665000000001</v>
      </c>
      <c r="I38" s="160">
        <f t="shared" si="4"/>
        <v>0</v>
      </c>
      <c r="J38" s="160">
        <f>SUM(E38:I38)</f>
        <v>1330682.45</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506" t="s">
        <v>229</v>
      </c>
      <c r="C40" s="507"/>
      <c r="D40" s="508"/>
      <c r="E40" s="160">
        <f>E38+E32</f>
        <v>9577263.97003836</v>
      </c>
      <c r="F40" s="160">
        <f>F38+F32</f>
        <v>38292496.677176334</v>
      </c>
      <c r="G40" s="160">
        <f>G38+G32</f>
        <v>20915033.982840955</v>
      </c>
      <c r="H40" s="160">
        <f>H38+H32</f>
        <v>372068.07994434872</v>
      </c>
      <c r="I40" s="160">
        <f>I38+I32</f>
        <v>21588.479999999981</v>
      </c>
      <c r="J40" s="160">
        <f>SUM(E40:I40)</f>
        <v>69178451.189999998</v>
      </c>
      <c r="M40" s="140"/>
    </row>
    <row r="41" spans="1:13" s="22" customFormat="1" x14ac:dyDescent="0.35">
      <c r="A41" s="161"/>
      <c r="B41" s="162"/>
      <c r="C41" s="162"/>
      <c r="D41" s="163"/>
      <c r="E41" s="164"/>
      <c r="F41" s="164"/>
      <c r="G41" s="164"/>
      <c r="H41" s="164"/>
      <c r="I41" s="164"/>
      <c r="J41" s="164"/>
      <c r="M41" s="140"/>
    </row>
    <row r="42" spans="1:13" s="22" customFormat="1" x14ac:dyDescent="0.35">
      <c r="A42" s="509" t="s">
        <v>487</v>
      </c>
      <c r="B42" s="510"/>
      <c r="C42" s="510"/>
      <c r="D42" s="510"/>
      <c r="E42" s="510"/>
      <c r="F42" s="510"/>
      <c r="G42" s="510"/>
      <c r="H42" s="510"/>
      <c r="I42" s="510"/>
      <c r="J42" s="511"/>
      <c r="M42" s="140"/>
    </row>
    <row r="43" spans="1:13" s="22" customFormat="1" x14ac:dyDescent="0.35">
      <c r="A43" s="155">
        <v>20</v>
      </c>
      <c r="B43" s="500" t="s">
        <v>283</v>
      </c>
      <c r="C43" s="501"/>
      <c r="D43" s="502"/>
      <c r="E43" s="157"/>
      <c r="F43" s="157"/>
      <c r="G43" s="157"/>
      <c r="H43" s="157"/>
      <c r="I43" s="157"/>
      <c r="J43" s="158">
        <f>SUM(E43:I43)</f>
        <v>0</v>
      </c>
      <c r="M43" s="140"/>
    </row>
    <row r="44" spans="1:13" s="22" customFormat="1" x14ac:dyDescent="0.35">
      <c r="A44" s="155">
        <v>21</v>
      </c>
      <c r="B44" s="500" t="s">
        <v>230</v>
      </c>
      <c r="C44" s="501"/>
      <c r="D44" s="502"/>
      <c r="E44" s="157">
        <v>106.94999999999999</v>
      </c>
      <c r="F44" s="157">
        <v>17452.256999999998</v>
      </c>
      <c r="G44" s="157">
        <v>18540.489999999998</v>
      </c>
      <c r="H44" s="157">
        <v>2263.953</v>
      </c>
      <c r="I44" s="157"/>
      <c r="J44" s="158">
        <f t="shared" ref="J44:J50" si="5">SUM(E44:I44)</f>
        <v>38363.65</v>
      </c>
      <c r="M44" s="140"/>
    </row>
    <row r="45" spans="1:13" s="22" customFormat="1" x14ac:dyDescent="0.35">
      <c r="A45" s="155">
        <v>22</v>
      </c>
      <c r="B45" s="500" t="s">
        <v>288</v>
      </c>
      <c r="C45" s="501"/>
      <c r="D45" s="502"/>
      <c r="E45" s="157">
        <v>2150.8972817955109</v>
      </c>
      <c r="F45" s="157">
        <v>13570.913858817748</v>
      </c>
      <c r="G45" s="157">
        <v>179315.68273855164</v>
      </c>
      <c r="H45" s="157">
        <v>0.53612083508905406</v>
      </c>
      <c r="I45" s="157"/>
      <c r="J45" s="158">
        <f t="shared" si="5"/>
        <v>195038.02999999997</v>
      </c>
      <c r="M45" s="140"/>
    </row>
    <row r="46" spans="1:13" s="22" customFormat="1" x14ac:dyDescent="0.35">
      <c r="A46" s="155">
        <v>23</v>
      </c>
      <c r="B46" s="500" t="s">
        <v>284</v>
      </c>
      <c r="C46" s="501"/>
      <c r="D46" s="502"/>
      <c r="E46" s="157">
        <v>60231.036273029102</v>
      </c>
      <c r="F46" s="157">
        <v>34559.020389314195</v>
      </c>
      <c r="G46" s="157">
        <v>11598.90121033443</v>
      </c>
      <c r="H46" s="157">
        <v>116.52212732228868</v>
      </c>
      <c r="I46" s="157"/>
      <c r="J46" s="158">
        <f t="shared" si="5"/>
        <v>106505.48000000001</v>
      </c>
      <c r="M46" s="140"/>
    </row>
    <row r="47" spans="1:13" s="22" customFormat="1" x14ac:dyDescent="0.35">
      <c r="A47" s="155">
        <v>24</v>
      </c>
      <c r="B47" s="500" t="s">
        <v>314</v>
      </c>
      <c r="C47" s="501"/>
      <c r="D47" s="502"/>
      <c r="E47" s="157"/>
      <c r="F47" s="157">
        <v>279976.59397048305</v>
      </c>
      <c r="G47" s="157">
        <v>48336.188008050085</v>
      </c>
      <c r="H47" s="157">
        <v>224.84802146690524</v>
      </c>
      <c r="I47" s="157"/>
      <c r="J47" s="158">
        <f t="shared" si="5"/>
        <v>328537.63000000006</v>
      </c>
      <c r="M47" s="140"/>
    </row>
    <row r="48" spans="1:13" s="22" customFormat="1" x14ac:dyDescent="0.35">
      <c r="A48" s="155">
        <v>25</v>
      </c>
      <c r="B48" s="500" t="s">
        <v>774</v>
      </c>
      <c r="C48" s="501"/>
      <c r="D48" s="502"/>
      <c r="E48" s="157"/>
      <c r="F48" s="157"/>
      <c r="G48" s="157"/>
      <c r="H48" s="157"/>
      <c r="I48" s="157"/>
      <c r="J48" s="158">
        <f>SUM(E48:I48)</f>
        <v>0</v>
      </c>
      <c r="M48" s="140"/>
    </row>
    <row r="49" spans="1:13" s="22" customFormat="1" x14ac:dyDescent="0.35">
      <c r="A49" s="155">
        <v>26</v>
      </c>
      <c r="B49" s="500" t="s">
        <v>452</v>
      </c>
      <c r="C49" s="501"/>
      <c r="D49" s="502"/>
      <c r="E49" s="157">
        <v>3934.953601171731</v>
      </c>
      <c r="F49" s="157">
        <v>367470.85026586679</v>
      </c>
      <c r="G49" s="157">
        <v>203008.01984016993</v>
      </c>
      <c r="H49" s="157">
        <v>4260.5362927914866</v>
      </c>
      <c r="I49" s="157"/>
      <c r="J49" s="158">
        <f t="shared" si="5"/>
        <v>578674.36</v>
      </c>
      <c r="M49" s="140"/>
    </row>
    <row r="50" spans="1:13" s="22" customFormat="1" x14ac:dyDescent="0.35">
      <c r="A50" s="155">
        <v>27</v>
      </c>
      <c r="B50" s="506" t="s">
        <v>238</v>
      </c>
      <c r="C50" s="507"/>
      <c r="D50" s="508"/>
      <c r="E50" s="160">
        <f>SUM(E43:E49)</f>
        <v>66423.837155996342</v>
      </c>
      <c r="F50" s="160">
        <f>SUM(F43:F49)</f>
        <v>713029.6354844817</v>
      </c>
      <c r="G50" s="160">
        <f>SUM(G43:G49)</f>
        <v>460799.28179710609</v>
      </c>
      <c r="H50" s="160">
        <f>SUM(H43:H49)</f>
        <v>6866.3955624157697</v>
      </c>
      <c r="I50" s="160">
        <f>SUM(I43:I49)</f>
        <v>0</v>
      </c>
      <c r="J50" s="160">
        <f t="shared" si="5"/>
        <v>1247119.1499999999</v>
      </c>
      <c r="M50" s="140"/>
    </row>
    <row r="51" spans="1:13" s="22" customFormat="1" x14ac:dyDescent="0.35">
      <c r="A51" s="161"/>
      <c r="B51" s="512"/>
      <c r="C51" s="512"/>
      <c r="D51" s="512"/>
      <c r="E51" s="512"/>
      <c r="F51" s="512"/>
      <c r="G51" s="512"/>
      <c r="H51" s="164"/>
      <c r="I51" s="164"/>
      <c r="J51" s="164"/>
      <c r="M51" s="140"/>
    </row>
    <row r="52" spans="1:13" s="22" customFormat="1" x14ac:dyDescent="0.35">
      <c r="A52" s="509" t="s">
        <v>233</v>
      </c>
      <c r="B52" s="510"/>
      <c r="C52" s="510"/>
      <c r="D52" s="510"/>
      <c r="E52" s="510"/>
      <c r="F52" s="510"/>
      <c r="G52" s="510"/>
      <c r="H52" s="510"/>
      <c r="I52" s="510"/>
      <c r="J52" s="511"/>
      <c r="M52" s="140"/>
    </row>
    <row r="53" spans="1:13" s="22" customFormat="1" x14ac:dyDescent="0.35">
      <c r="A53" s="155">
        <v>28</v>
      </c>
      <c r="B53" s="500" t="s">
        <v>282</v>
      </c>
      <c r="C53" s="501"/>
      <c r="D53" s="502"/>
      <c r="E53" s="157">
        <v>1132342.7959024683</v>
      </c>
      <c r="F53" s="157">
        <v>1077463.7084370062</v>
      </c>
      <c r="G53" s="157">
        <v>520169.96661511762</v>
      </c>
      <c r="H53" s="157">
        <v>5660.3290454081061</v>
      </c>
      <c r="I53" s="157"/>
      <c r="J53" s="158">
        <f>SUM(E53:I53)</f>
        <v>2735636.8</v>
      </c>
      <c r="M53" s="140"/>
    </row>
    <row r="54" spans="1:13" s="22" customFormat="1" x14ac:dyDescent="0.35">
      <c r="A54" s="155">
        <v>29</v>
      </c>
      <c r="B54" s="500" t="s">
        <v>294</v>
      </c>
      <c r="C54" s="501"/>
      <c r="D54" s="502"/>
      <c r="E54" s="157">
        <v>102927.98</v>
      </c>
      <c r="F54" s="157">
        <v>331248.2774186047</v>
      </c>
      <c r="G54" s="157">
        <v>94742.58247674421</v>
      </c>
      <c r="H54" s="157">
        <v>19166.650104651162</v>
      </c>
      <c r="I54" s="157"/>
      <c r="J54" s="158">
        <f>SUM(E54:I54)</f>
        <v>548085.49</v>
      </c>
      <c r="M54" s="140"/>
    </row>
    <row r="55" spans="1:13" s="22" customFormat="1" x14ac:dyDescent="0.35">
      <c r="A55" s="155">
        <v>30</v>
      </c>
      <c r="B55" s="500" t="s">
        <v>295</v>
      </c>
      <c r="C55" s="501"/>
      <c r="D55" s="502"/>
      <c r="E55" s="157">
        <v>89725.697701762867</v>
      </c>
      <c r="F55" s="157">
        <v>398591.45403303503</v>
      </c>
      <c r="G55" s="157">
        <v>70991.031089708064</v>
      </c>
      <c r="H55" s="157">
        <v>3401.107175493963</v>
      </c>
      <c r="I55" s="157"/>
      <c r="J55" s="158">
        <f t="shared" ref="J55:J57" si="6">SUM(E55:I55)</f>
        <v>562709.28999999992</v>
      </c>
      <c r="M55" s="140"/>
    </row>
    <row r="56" spans="1:13" s="22" customFormat="1" x14ac:dyDescent="0.35">
      <c r="A56" s="155">
        <v>31</v>
      </c>
      <c r="B56" s="500" t="s">
        <v>296</v>
      </c>
      <c r="C56" s="501"/>
      <c r="D56" s="502"/>
      <c r="E56" s="157"/>
      <c r="F56" s="157"/>
      <c r="G56" s="157"/>
      <c r="H56" s="157"/>
      <c r="I56" s="157"/>
      <c r="J56" s="158">
        <f t="shared" si="6"/>
        <v>0</v>
      </c>
      <c r="M56" s="140"/>
    </row>
    <row r="57" spans="1:13" s="22" customFormat="1" x14ac:dyDescent="0.35">
      <c r="A57" s="155">
        <v>32</v>
      </c>
      <c r="B57" s="506" t="s">
        <v>231</v>
      </c>
      <c r="C57" s="507"/>
      <c r="D57" s="508"/>
      <c r="E57" s="160">
        <f>SUM(E53:E56)</f>
        <v>1324996.4736042311</v>
      </c>
      <c r="F57" s="160">
        <f>SUM(F53:F56)</f>
        <v>1807303.4398886461</v>
      </c>
      <c r="G57" s="160">
        <f>SUM(G53:G56)</f>
        <v>685903.58018156991</v>
      </c>
      <c r="H57" s="160">
        <f>SUM(H53:H56)</f>
        <v>28228.086325553231</v>
      </c>
      <c r="I57" s="160">
        <f>SUM(I53:I56)</f>
        <v>0</v>
      </c>
      <c r="J57" s="160">
        <f t="shared" si="6"/>
        <v>3846431.58</v>
      </c>
      <c r="M57" s="140"/>
    </row>
    <row r="58" spans="1:13" s="22" customFormat="1" x14ac:dyDescent="0.35">
      <c r="A58" s="161"/>
      <c r="B58" s="162"/>
      <c r="C58" s="162"/>
      <c r="D58" s="163"/>
      <c r="E58" s="164"/>
      <c r="F58" s="164"/>
      <c r="G58" s="164"/>
      <c r="H58" s="164"/>
      <c r="I58" s="164"/>
      <c r="J58" s="164"/>
      <c r="M58" s="140"/>
    </row>
    <row r="59" spans="1:13" s="22" customFormat="1" x14ac:dyDescent="0.35">
      <c r="A59" s="509" t="s">
        <v>232</v>
      </c>
      <c r="B59" s="510"/>
      <c r="C59" s="510"/>
      <c r="D59" s="510"/>
      <c r="E59" s="510"/>
      <c r="F59" s="510"/>
      <c r="G59" s="510"/>
      <c r="H59" s="510"/>
      <c r="I59" s="510"/>
      <c r="J59" s="511"/>
      <c r="M59" s="140"/>
    </row>
    <row r="60" spans="1:13" s="22" customFormat="1" x14ac:dyDescent="0.35">
      <c r="A60" s="155">
        <v>33</v>
      </c>
      <c r="B60" s="500" t="s">
        <v>297</v>
      </c>
      <c r="C60" s="501"/>
      <c r="D60" s="502"/>
      <c r="E60" s="157">
        <v>389280.09574980754</v>
      </c>
      <c r="F60" s="157">
        <v>1049151.0073289569</v>
      </c>
      <c r="G60" s="157">
        <v>422527.72471364896</v>
      </c>
      <c r="H60" s="157">
        <v>4688.6390028691221</v>
      </c>
      <c r="I60" s="157">
        <v>45752</v>
      </c>
      <c r="J60" s="158">
        <f>SUM(E60:I60)</f>
        <v>1911399.4667952824</v>
      </c>
      <c r="M60" s="140"/>
    </row>
    <row r="61" spans="1:13" s="22" customFormat="1" x14ac:dyDescent="0.35">
      <c r="A61" s="155">
        <v>34</v>
      </c>
      <c r="B61" s="500" t="s">
        <v>298</v>
      </c>
      <c r="C61" s="501"/>
      <c r="D61" s="502"/>
      <c r="E61" s="157">
        <v>-71242.057980629004</v>
      </c>
      <c r="F61" s="157">
        <v>970018.94376533118</v>
      </c>
      <c r="G61" s="157">
        <v>265412.18421297724</v>
      </c>
      <c r="H61" s="157">
        <v>5627.484287057594</v>
      </c>
      <c r="I61" s="157">
        <v>119457.70360000001</v>
      </c>
      <c r="J61" s="158">
        <f t="shared" ref="J61:J67" si="7">SUM(E61:I61)</f>
        <v>1289274.2578847371</v>
      </c>
      <c r="M61" s="140"/>
    </row>
    <row r="62" spans="1:13" s="22" customFormat="1" x14ac:dyDescent="0.35">
      <c r="A62" s="155">
        <v>35</v>
      </c>
      <c r="B62" s="500" t="s">
        <v>302</v>
      </c>
      <c r="C62" s="501"/>
      <c r="D62" s="502"/>
      <c r="E62" s="157"/>
      <c r="F62" s="157"/>
      <c r="G62" s="157"/>
      <c r="H62" s="157"/>
      <c r="I62" s="157">
        <v>258293.81</v>
      </c>
      <c r="J62" s="158">
        <f t="shared" si="7"/>
        <v>258293.81</v>
      </c>
      <c r="M62" s="140"/>
    </row>
    <row r="63" spans="1:13" s="22" customFormat="1" x14ac:dyDescent="0.35">
      <c r="A63" s="155">
        <v>36</v>
      </c>
      <c r="B63" s="500" t="s">
        <v>315</v>
      </c>
      <c r="C63" s="501"/>
      <c r="D63" s="502"/>
      <c r="E63" s="157">
        <v>28961.630476953756</v>
      </c>
      <c r="F63" s="157">
        <v>150143.88537319511</v>
      </c>
      <c r="G63" s="157">
        <v>26406.798169708305</v>
      </c>
      <c r="H63" s="157">
        <v>396.88598014286936</v>
      </c>
      <c r="I63" s="157"/>
      <c r="J63" s="158">
        <f t="shared" si="7"/>
        <v>205909.20000000004</v>
      </c>
      <c r="M63" s="140"/>
    </row>
    <row r="64" spans="1:13" s="22" customFormat="1" x14ac:dyDescent="0.35">
      <c r="A64" s="155">
        <v>37</v>
      </c>
      <c r="B64" s="500" t="s">
        <v>316</v>
      </c>
      <c r="C64" s="501"/>
      <c r="D64" s="502"/>
      <c r="E64" s="157">
        <v>15229.817230442308</v>
      </c>
      <c r="F64" s="157">
        <v>165875.78698228224</v>
      </c>
      <c r="G64" s="157">
        <v>50296.615826921632</v>
      </c>
      <c r="H64" s="157">
        <v>585.40996035381136</v>
      </c>
      <c r="I64" s="157"/>
      <c r="J64" s="158">
        <f t="shared" si="7"/>
        <v>231987.62999999998</v>
      </c>
      <c r="M64" s="140"/>
    </row>
    <row r="65" spans="1:13" s="22" customFormat="1" x14ac:dyDescent="0.35">
      <c r="A65" s="155">
        <v>38</v>
      </c>
      <c r="B65" s="500" t="s">
        <v>317</v>
      </c>
      <c r="C65" s="501"/>
      <c r="D65" s="502"/>
      <c r="E65" s="157">
        <v>24437.496594164386</v>
      </c>
      <c r="F65" s="157">
        <v>56210.588380193076</v>
      </c>
      <c r="G65" s="157">
        <v>9115.5096629485506</v>
      </c>
      <c r="H65" s="157">
        <v>487.13536269398583</v>
      </c>
      <c r="I65" s="157"/>
      <c r="J65" s="158">
        <f t="shared" si="7"/>
        <v>90250.73</v>
      </c>
      <c r="M65" s="140"/>
    </row>
    <row r="66" spans="1:13" s="22" customFormat="1" x14ac:dyDescent="0.35">
      <c r="A66" s="155">
        <v>39</v>
      </c>
      <c r="B66" s="500" t="s">
        <v>299</v>
      </c>
      <c r="C66" s="501"/>
      <c r="D66" s="502"/>
      <c r="E66" s="157">
        <v>161204.40053435488</v>
      </c>
      <c r="F66" s="157">
        <v>594374.05686428922</v>
      </c>
      <c r="G66" s="157">
        <v>227372.12486090709</v>
      </c>
      <c r="H66" s="157">
        <v>12070.817740448809</v>
      </c>
      <c r="I66" s="157">
        <v>85366.400000000009</v>
      </c>
      <c r="J66" s="158">
        <f t="shared" ref="J66" si="8">SUM(E66:I66)</f>
        <v>1080387.7999999998</v>
      </c>
      <c r="M66" s="140"/>
    </row>
    <row r="67" spans="1:13" s="22" customFormat="1" x14ac:dyDescent="0.35">
      <c r="A67" s="155">
        <v>40</v>
      </c>
      <c r="B67" s="506" t="s">
        <v>237</v>
      </c>
      <c r="C67" s="507"/>
      <c r="D67" s="508"/>
      <c r="E67" s="160">
        <f>SUM(E60:E66)</f>
        <v>547871.38260509388</v>
      </c>
      <c r="F67" s="160">
        <f>SUM(F60:F66)</f>
        <v>2985774.2686942471</v>
      </c>
      <c r="G67" s="160">
        <f>SUM(G60:G66)</f>
        <v>1001130.9574471118</v>
      </c>
      <c r="H67" s="160">
        <f>SUM(H60:H66)</f>
        <v>23856.372333566193</v>
      </c>
      <c r="I67" s="160">
        <f>SUM(I60:I66)</f>
        <v>508869.91360000003</v>
      </c>
      <c r="J67" s="160">
        <f t="shared" si="7"/>
        <v>5067502.8946800195</v>
      </c>
      <c r="M67" s="140"/>
    </row>
    <row r="68" spans="1:13" s="22" customFormat="1" x14ac:dyDescent="0.35">
      <c r="A68" s="161"/>
      <c r="B68" s="162"/>
      <c r="C68" s="162"/>
      <c r="D68" s="163"/>
      <c r="E68" s="164"/>
      <c r="F68" s="164"/>
      <c r="G68" s="164"/>
      <c r="H68" s="164"/>
      <c r="I68" s="164"/>
      <c r="J68" s="164"/>
      <c r="M68" s="140"/>
    </row>
    <row r="69" spans="1:13" s="22" customFormat="1" x14ac:dyDescent="0.35">
      <c r="A69" s="509" t="s">
        <v>236</v>
      </c>
      <c r="B69" s="510"/>
      <c r="C69" s="510"/>
      <c r="D69" s="510"/>
      <c r="E69" s="510"/>
      <c r="F69" s="510"/>
      <c r="G69" s="510"/>
      <c r="H69" s="510"/>
      <c r="I69" s="510"/>
      <c r="J69" s="511"/>
      <c r="M69" s="140"/>
    </row>
    <row r="70" spans="1:13" s="22" customFormat="1" x14ac:dyDescent="0.35">
      <c r="A70" s="155">
        <v>41</v>
      </c>
      <c r="B70" s="500" t="s">
        <v>239</v>
      </c>
      <c r="C70" s="501"/>
      <c r="D70" s="502"/>
      <c r="E70" s="157">
        <v>169863.0643441329</v>
      </c>
      <c r="F70" s="157">
        <v>314744.95865059545</v>
      </c>
      <c r="G70" s="157">
        <v>71951.540656279205</v>
      </c>
      <c r="H70" s="157">
        <v>1919.3263489925075</v>
      </c>
      <c r="I70" s="157"/>
      <c r="J70" s="158">
        <f t="shared" ref="J70:J73" si="9">SUM(E70:I70)</f>
        <v>558478.89000000013</v>
      </c>
      <c r="M70" s="140"/>
    </row>
    <row r="71" spans="1:13" s="22" customFormat="1" x14ac:dyDescent="0.35">
      <c r="A71" s="155">
        <v>42</v>
      </c>
      <c r="B71" s="500" t="s">
        <v>289</v>
      </c>
      <c r="C71" s="501"/>
      <c r="D71" s="502"/>
      <c r="E71" s="157">
        <v>52802.883588716111</v>
      </c>
      <c r="F71" s="157">
        <v>181888.94750383173</v>
      </c>
      <c r="G71" s="157">
        <v>26734.017215666026</v>
      </c>
      <c r="H71" s="157">
        <v>1719.1416917861268</v>
      </c>
      <c r="I71" s="157"/>
      <c r="J71" s="158">
        <f t="shared" si="9"/>
        <v>263144.99</v>
      </c>
      <c r="M71" s="140"/>
    </row>
    <row r="72" spans="1:13" s="22" customFormat="1" x14ac:dyDescent="0.35">
      <c r="A72" s="155">
        <v>43</v>
      </c>
      <c r="B72" s="500" t="s">
        <v>240</v>
      </c>
      <c r="C72" s="501"/>
      <c r="D72" s="502"/>
      <c r="E72" s="157">
        <v>2281</v>
      </c>
      <c r="F72" s="157">
        <v>184869.7608810376</v>
      </c>
      <c r="G72" s="157">
        <v>36722.012850626132</v>
      </c>
      <c r="H72" s="157">
        <v>1011.0962683363152</v>
      </c>
      <c r="I72" s="157"/>
      <c r="J72" s="158">
        <f t="shared" si="9"/>
        <v>224883.87000000005</v>
      </c>
      <c r="M72" s="140"/>
    </row>
    <row r="73" spans="1:13" s="22" customFormat="1" x14ac:dyDescent="0.35">
      <c r="A73" s="155">
        <v>44</v>
      </c>
      <c r="B73" s="500" t="s">
        <v>308</v>
      </c>
      <c r="C73" s="501"/>
      <c r="D73" s="502"/>
      <c r="E73" s="157">
        <v>139998.65</v>
      </c>
      <c r="F73" s="157">
        <v>2370.7839892665479</v>
      </c>
      <c r="G73" s="157">
        <v>255.14982110912348</v>
      </c>
      <c r="H73" s="157">
        <v>83.066189624329155</v>
      </c>
      <c r="I73" s="157"/>
      <c r="J73" s="158">
        <f t="shared" si="9"/>
        <v>142707.65</v>
      </c>
      <c r="M73" s="140"/>
    </row>
    <row r="74" spans="1:13" s="22" customFormat="1" x14ac:dyDescent="0.35">
      <c r="A74" s="155">
        <v>45</v>
      </c>
      <c r="B74" s="500" t="s">
        <v>286</v>
      </c>
      <c r="C74" s="501"/>
      <c r="D74" s="502"/>
      <c r="E74" s="157">
        <v>9816.0199999999986</v>
      </c>
      <c r="F74" s="157">
        <v>3745.3483828264757</v>
      </c>
      <c r="G74" s="157">
        <v>1021.5707137745976</v>
      </c>
      <c r="H74" s="157">
        <v>41.330903398926658</v>
      </c>
      <c r="I74" s="157">
        <v>212967.61000000002</v>
      </c>
      <c r="J74" s="158">
        <f>SUM(E74:I74)</f>
        <v>227591.88</v>
      </c>
      <c r="M74" s="140"/>
    </row>
    <row r="75" spans="1:13" s="22" customFormat="1" x14ac:dyDescent="0.35">
      <c r="A75" s="155">
        <v>46</v>
      </c>
      <c r="B75" s="500" t="s">
        <v>287</v>
      </c>
      <c r="C75" s="501"/>
      <c r="D75" s="502"/>
      <c r="E75" s="157">
        <v>1075539.8438788152</v>
      </c>
      <c r="F75" s="157">
        <v>685868.95082742046</v>
      </c>
      <c r="G75" s="157">
        <v>171022.47768132656</v>
      </c>
      <c r="H75" s="157">
        <v>41312.287612437707</v>
      </c>
      <c r="I75" s="157"/>
      <c r="J75" s="158">
        <f t="shared" ref="J75:J77" si="10">SUM(E75:I75)</f>
        <v>1973743.56</v>
      </c>
      <c r="M75" s="140"/>
    </row>
    <row r="76" spans="1:13" s="22" customFormat="1" x14ac:dyDescent="0.35">
      <c r="A76" s="155">
        <v>47</v>
      </c>
      <c r="B76" s="500" t="s">
        <v>318</v>
      </c>
      <c r="C76" s="501"/>
      <c r="D76" s="502"/>
      <c r="E76" s="157">
        <v>43639.327786502377</v>
      </c>
      <c r="F76" s="157">
        <v>244603.70469347746</v>
      </c>
      <c r="G76" s="157">
        <v>94446.463520172198</v>
      </c>
      <c r="H76" s="157">
        <v>1347.723999848022</v>
      </c>
      <c r="I76" s="157"/>
      <c r="J76" s="158">
        <f t="shared" si="10"/>
        <v>384037.22000000009</v>
      </c>
      <c r="M76" s="140"/>
    </row>
    <row r="77" spans="1:13" s="22" customFormat="1" x14ac:dyDescent="0.35">
      <c r="A77" s="155">
        <v>48</v>
      </c>
      <c r="B77" s="500" t="s">
        <v>285</v>
      </c>
      <c r="C77" s="501"/>
      <c r="D77" s="502"/>
      <c r="E77" s="157">
        <v>119217.88716926175</v>
      </c>
      <c r="F77" s="157">
        <v>243237.19851183289</v>
      </c>
      <c r="G77" s="157">
        <v>216054.0429247125</v>
      </c>
      <c r="H77" s="157">
        <v>2313.0913941928152</v>
      </c>
      <c r="I77" s="157">
        <v>4696301.9700000007</v>
      </c>
      <c r="J77" s="158">
        <f t="shared" si="10"/>
        <v>5277124.1900000004</v>
      </c>
      <c r="M77" s="140"/>
    </row>
    <row r="78" spans="1:13" s="22" customFormat="1" x14ac:dyDescent="0.35">
      <c r="A78" s="155">
        <v>49</v>
      </c>
      <c r="B78" s="506" t="s">
        <v>279</v>
      </c>
      <c r="C78" s="507"/>
      <c r="D78" s="508"/>
      <c r="E78" s="160">
        <f>SUM(E70:E77)</f>
        <v>1613158.6767674282</v>
      </c>
      <c r="F78" s="160">
        <f t="shared" ref="F78:I78" si="11">SUM(F70:F77)</f>
        <v>1861329.6534402885</v>
      </c>
      <c r="G78" s="160">
        <f t="shared" si="11"/>
        <v>618207.27538366639</v>
      </c>
      <c r="H78" s="160">
        <f t="shared" si="11"/>
        <v>49747.064408616752</v>
      </c>
      <c r="I78" s="160">
        <f t="shared" si="11"/>
        <v>4909269.580000001</v>
      </c>
      <c r="J78" s="160">
        <f t="shared" ref="J78" si="12">SUM(E78:I78)</f>
        <v>9051712.25</v>
      </c>
      <c r="M78" s="140"/>
    </row>
    <row r="79" spans="1:13" s="22" customFormat="1" x14ac:dyDescent="0.35">
      <c r="A79" s="161"/>
      <c r="B79" s="162"/>
      <c r="C79" s="162"/>
      <c r="D79" s="163"/>
      <c r="E79" s="164"/>
      <c r="F79" s="164"/>
      <c r="G79" s="164"/>
      <c r="H79" s="164"/>
      <c r="I79" s="164"/>
      <c r="J79" s="164"/>
      <c r="M79" s="140"/>
    </row>
    <row r="80" spans="1:13" s="22" customFormat="1" x14ac:dyDescent="0.35">
      <c r="A80" s="509" t="s">
        <v>303</v>
      </c>
      <c r="B80" s="510"/>
      <c r="C80" s="510"/>
      <c r="D80" s="510"/>
      <c r="E80" s="510"/>
      <c r="F80" s="510"/>
      <c r="G80" s="510"/>
      <c r="H80" s="510"/>
      <c r="I80" s="510"/>
      <c r="J80" s="511"/>
      <c r="M80" s="140"/>
    </row>
    <row r="81" spans="1:13" s="22" customFormat="1" x14ac:dyDescent="0.35">
      <c r="A81" s="155">
        <v>50</v>
      </c>
      <c r="B81" s="500" t="s">
        <v>304</v>
      </c>
      <c r="C81" s="501"/>
      <c r="D81" s="502"/>
      <c r="E81" s="98"/>
      <c r="F81" s="98"/>
      <c r="G81" s="98"/>
      <c r="H81" s="98"/>
      <c r="I81" s="157"/>
      <c r="J81" s="158">
        <f>I81</f>
        <v>0</v>
      </c>
      <c r="M81" s="140"/>
    </row>
    <row r="82" spans="1:13" s="22" customFormat="1" x14ac:dyDescent="0.35">
      <c r="A82" s="155">
        <v>51</v>
      </c>
      <c r="B82" s="500" t="s">
        <v>309</v>
      </c>
      <c r="C82" s="501"/>
      <c r="D82" s="502"/>
      <c r="E82" s="98"/>
      <c r="F82" s="98"/>
      <c r="G82" s="98"/>
      <c r="H82" s="98"/>
      <c r="I82" s="157"/>
      <c r="J82" s="158">
        <f>I82</f>
        <v>0</v>
      </c>
      <c r="M82" s="140"/>
    </row>
    <row r="83" spans="1:13" s="22" customFormat="1" x14ac:dyDescent="0.35">
      <c r="A83" s="155">
        <v>52</v>
      </c>
      <c r="B83" s="500" t="s">
        <v>310</v>
      </c>
      <c r="C83" s="501"/>
      <c r="D83" s="502"/>
      <c r="E83" s="98"/>
      <c r="F83" s="98"/>
      <c r="G83" s="98"/>
      <c r="H83" s="98"/>
      <c r="I83" s="157">
        <v>244018.90999999997</v>
      </c>
      <c r="J83" s="158">
        <f t="shared" ref="J83:J84" si="13">I83</f>
        <v>244018.90999999997</v>
      </c>
      <c r="M83" s="140"/>
    </row>
    <row r="84" spans="1:13" s="22" customFormat="1" x14ac:dyDescent="0.35">
      <c r="A84" s="155">
        <v>53</v>
      </c>
      <c r="B84" s="500" t="s">
        <v>305</v>
      </c>
      <c r="C84" s="501"/>
      <c r="D84" s="502"/>
      <c r="E84" s="98"/>
      <c r="F84" s="98"/>
      <c r="G84" s="98"/>
      <c r="H84" s="98"/>
      <c r="I84" s="157">
        <v>-14822.39</v>
      </c>
      <c r="J84" s="158">
        <f t="shared" si="13"/>
        <v>-14822.39</v>
      </c>
      <c r="M84" s="140"/>
    </row>
    <row r="85" spans="1:13" s="22" customFormat="1" x14ac:dyDescent="0.35">
      <c r="A85" s="155">
        <v>54</v>
      </c>
      <c r="B85" s="506" t="s">
        <v>306</v>
      </c>
      <c r="C85" s="507"/>
      <c r="D85" s="508"/>
      <c r="E85" s="160">
        <v>0</v>
      </c>
      <c r="F85" s="160">
        <v>0</v>
      </c>
      <c r="G85" s="160">
        <v>0</v>
      </c>
      <c r="H85" s="160">
        <v>0</v>
      </c>
      <c r="I85" s="160">
        <f>SUM(I81:I84)</f>
        <v>229196.51999999996</v>
      </c>
      <c r="J85" s="160">
        <f>SUM(E85:I85)</f>
        <v>229196.51999999996</v>
      </c>
      <c r="M85" s="140"/>
    </row>
    <row r="86" spans="1:13" s="22" customFormat="1" x14ac:dyDescent="0.35">
      <c r="A86" s="161"/>
      <c r="B86" s="162"/>
      <c r="C86" s="162"/>
      <c r="D86" s="163"/>
      <c r="E86" s="164"/>
      <c r="F86" s="164"/>
      <c r="G86" s="164"/>
      <c r="H86" s="164"/>
      <c r="I86" s="164"/>
      <c r="J86" s="164"/>
      <c r="M86" s="140"/>
    </row>
    <row r="87" spans="1:13" s="22" customFormat="1" x14ac:dyDescent="0.35">
      <c r="A87" s="509" t="s">
        <v>273</v>
      </c>
      <c r="B87" s="510"/>
      <c r="C87" s="510"/>
      <c r="D87" s="510"/>
      <c r="E87" s="510"/>
      <c r="F87" s="510"/>
      <c r="G87" s="510"/>
      <c r="H87" s="510"/>
      <c r="I87" s="510"/>
      <c r="J87" s="511"/>
      <c r="M87" s="140"/>
    </row>
    <row r="88" spans="1:13" s="22" customFormat="1" x14ac:dyDescent="0.35">
      <c r="A88" s="155">
        <v>55</v>
      </c>
      <c r="B88" s="500" t="s">
        <v>274</v>
      </c>
      <c r="C88" s="501"/>
      <c r="D88" s="502"/>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506" t="s">
        <v>270</v>
      </c>
      <c r="C89" s="507"/>
      <c r="D89" s="508"/>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506" t="s">
        <v>241</v>
      </c>
      <c r="C91" s="507"/>
      <c r="D91" s="508"/>
      <c r="E91" s="160">
        <f>E78+E67+E57+E50+E40+E89+E85</f>
        <v>13129714.34017111</v>
      </c>
      <c r="F91" s="160">
        <f>F78+F67+F57+F50+F40+F89+F85</f>
        <v>45659933.674683996</v>
      </c>
      <c r="G91" s="160">
        <f>G78+G67+G57+G50+G40+G89+G85</f>
        <v>23681075.077650409</v>
      </c>
      <c r="H91" s="160">
        <f>H78+H67+H57+H50+H40+H89+H85</f>
        <v>480765.99857450067</v>
      </c>
      <c r="I91" s="160">
        <f>I78+I67+I57+I50+I40+I89+I85</f>
        <v>5668924.4935999997</v>
      </c>
      <c r="J91" s="160">
        <f>SUM(E91:I91)</f>
        <v>88620413.584680006</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500" t="s">
        <v>2</v>
      </c>
      <c r="C93" s="501"/>
      <c r="D93" s="502"/>
      <c r="E93" s="158">
        <f>E91*-1</f>
        <v>-13129714.34017111</v>
      </c>
      <c r="F93" s="157">
        <v>7941400.9628743492</v>
      </c>
      <c r="G93" s="157">
        <v>4118729.4261844815</v>
      </c>
      <c r="H93" s="157">
        <v>83617.194698503052</v>
      </c>
      <c r="I93" s="157">
        <v>985967.23641377757</v>
      </c>
      <c r="J93" s="160">
        <f>SUM(E93:I93)</f>
        <v>0.48000000137835741</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503" t="s">
        <v>242</v>
      </c>
      <c r="C95" s="504"/>
      <c r="D95" s="505"/>
      <c r="E95" s="169">
        <f>E93+E91</f>
        <v>0</v>
      </c>
      <c r="F95" s="169">
        <f t="shared" ref="F95:I95" si="14">F93+F91</f>
        <v>53601334.637558341</v>
      </c>
      <c r="G95" s="169">
        <f t="shared" si="14"/>
        <v>27799804.503834892</v>
      </c>
      <c r="H95" s="169">
        <f t="shared" si="14"/>
        <v>564383.19327300368</v>
      </c>
      <c r="I95" s="169">
        <f t="shared" si="14"/>
        <v>6654891.7300137775</v>
      </c>
      <c r="J95" s="169">
        <f>SUM(E95:I95)</f>
        <v>88620414.06468001</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99" t="s">
        <v>4</v>
      </c>
      <c r="C97" s="499"/>
      <c r="D97" s="170"/>
      <c r="E97" s="170"/>
      <c r="F97" s="150">
        <v>11345</v>
      </c>
      <c r="G97" s="170"/>
      <c r="H97" s="170"/>
      <c r="I97" s="170"/>
      <c r="J97" s="170"/>
      <c r="M97" s="140"/>
    </row>
    <row r="98" spans="1:13" s="22" customFormat="1" x14ac:dyDescent="0.35">
      <c r="A98" s="155">
        <v>61</v>
      </c>
      <c r="B98" s="499" t="s">
        <v>5</v>
      </c>
      <c r="C98" s="499"/>
      <c r="D98" s="170"/>
      <c r="E98" s="170"/>
      <c r="F98" s="158">
        <f>IFERROR(F95/F97,"")</f>
        <v>4724.6659001814314</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99" t="s">
        <v>307</v>
      </c>
      <c r="C100" s="499"/>
      <c r="D100" s="170"/>
      <c r="E100" s="170"/>
      <c r="F100" s="170"/>
      <c r="G100" s="170"/>
      <c r="H100" s="170"/>
      <c r="I100" s="170"/>
      <c r="J100" s="157"/>
      <c r="M100" s="140"/>
    </row>
    <row r="101" spans="1:13" s="22" customFormat="1" x14ac:dyDescent="0.35">
      <c r="A101" s="155">
        <v>63</v>
      </c>
      <c r="B101" s="499" t="s">
        <v>10</v>
      </c>
      <c r="C101" s="499"/>
      <c r="D101" s="170"/>
      <c r="E101" s="170"/>
      <c r="F101" s="170"/>
      <c r="G101" s="170"/>
      <c r="H101" s="170"/>
      <c r="I101" s="170"/>
      <c r="J101" s="158">
        <f>ROUND(J95-J100,0)</f>
        <v>88620414</v>
      </c>
      <c r="K101" s="33" t="str">
        <f>IF(ABS(J101)&gt;1,"Error - This variance should be 0.","")</f>
        <v>Error - This variance should be 0.</v>
      </c>
      <c r="M101" s="140"/>
    </row>
    <row r="102" spans="1:13" x14ac:dyDescent="0.35">
      <c r="A102" s="100"/>
      <c r="B102" s="100"/>
      <c r="C102" s="100"/>
      <c r="D102" s="100"/>
      <c r="E102" s="100"/>
      <c r="F102" s="100"/>
      <c r="G102" s="100"/>
      <c r="H102" s="100"/>
      <c r="I102" s="100"/>
      <c r="J102" s="100"/>
    </row>
    <row r="103" spans="1:13" x14ac:dyDescent="0.35">
      <c r="A103" s="155">
        <v>64</v>
      </c>
      <c r="B103" s="499" t="s">
        <v>202</v>
      </c>
      <c r="C103" s="499"/>
      <c r="D103" s="100"/>
      <c r="E103" s="172">
        <f>IFERROR(E91/SUM(F91:I91),"")</f>
        <v>0.17392492679985541</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D8" sqref="D8"/>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15" t="s">
        <v>762</v>
      </c>
      <c r="B3" s="515"/>
      <c r="C3" s="515"/>
      <c r="D3" s="515"/>
      <c r="E3" s="515"/>
      <c r="F3" s="515"/>
      <c r="G3" s="515"/>
      <c r="H3" s="515"/>
      <c r="I3" s="515"/>
      <c r="J3" s="515"/>
    </row>
    <row r="4" spans="1:12" x14ac:dyDescent="0.35">
      <c r="H4" s="61"/>
      <c r="J4" s="130"/>
      <c r="K4" s="130"/>
      <c r="L4" s="130"/>
    </row>
    <row r="5" spans="1:12" x14ac:dyDescent="0.35">
      <c r="A5" s="1" t="s">
        <v>772</v>
      </c>
      <c r="C5" s="420" t="str">
        <f>'As-Filed Schedule 1'!C5</f>
        <v>SummitStone Health Partners</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516" t="s">
        <v>488</v>
      </c>
      <c r="B13" s="516"/>
      <c r="C13" s="516"/>
      <c r="D13" s="516"/>
      <c r="E13" s="516"/>
      <c r="F13" s="516"/>
      <c r="G13" s="516"/>
      <c r="H13" s="516"/>
      <c r="I13" s="79"/>
      <c r="J13" s="62"/>
    </row>
    <row r="14" spans="1:12" ht="15" customHeight="1" x14ac:dyDescent="0.35">
      <c r="A14" s="516"/>
      <c r="B14" s="516"/>
      <c r="C14" s="516"/>
      <c r="D14" s="516"/>
      <c r="E14" s="516"/>
      <c r="F14" s="516"/>
      <c r="G14" s="516"/>
      <c r="H14" s="516"/>
      <c r="I14" s="79"/>
      <c r="J14" s="62"/>
    </row>
    <row r="15" spans="1:12" ht="15" customHeight="1" x14ac:dyDescent="0.35">
      <c r="A15" s="516"/>
      <c r="B15" s="516"/>
      <c r="C15" s="516"/>
      <c r="D15" s="516"/>
      <c r="E15" s="516"/>
      <c r="F15" s="516"/>
      <c r="G15" s="516"/>
      <c r="H15" s="516"/>
      <c r="I15" s="79"/>
      <c r="J15" s="62"/>
    </row>
    <row r="16" spans="1:12" x14ac:dyDescent="0.35">
      <c r="A16" s="516"/>
      <c r="B16" s="516"/>
      <c r="C16" s="516"/>
      <c r="D16" s="516"/>
      <c r="E16" s="516"/>
      <c r="F16" s="516"/>
      <c r="G16" s="516"/>
      <c r="H16" s="516"/>
      <c r="I16" s="62"/>
    </row>
    <row r="17" spans="1:25" x14ac:dyDescent="0.35">
      <c r="A17" s="174"/>
      <c r="B17" s="174"/>
      <c r="C17" s="174"/>
      <c r="D17" s="174"/>
      <c r="E17" s="174"/>
      <c r="F17" s="174"/>
      <c r="G17" s="174"/>
      <c r="H17" s="174"/>
      <c r="I17" s="127"/>
    </row>
    <row r="18" spans="1:25" x14ac:dyDescent="0.35">
      <c r="A18" s="174"/>
      <c r="B18" s="517">
        <v>1</v>
      </c>
      <c r="C18" s="518"/>
      <c r="D18" s="175">
        <v>2</v>
      </c>
      <c r="E18" s="175">
        <v>3</v>
      </c>
      <c r="F18" s="175">
        <v>4</v>
      </c>
      <c r="G18" s="175">
        <v>5</v>
      </c>
      <c r="H18" s="175">
        <v>6</v>
      </c>
      <c r="I18" s="127"/>
    </row>
    <row r="19" spans="1:25" s="4" customFormat="1" ht="52.5" customHeight="1" x14ac:dyDescent="0.35">
      <c r="A19" s="176"/>
      <c r="B19" s="519" t="s">
        <v>181</v>
      </c>
      <c r="C19" s="519"/>
      <c r="D19" s="151" t="s">
        <v>268</v>
      </c>
      <c r="E19" s="151" t="s">
        <v>457</v>
      </c>
      <c r="F19" s="151" t="s">
        <v>453</v>
      </c>
      <c r="G19" s="151" t="s">
        <v>489</v>
      </c>
      <c r="H19" s="151" t="s">
        <v>490</v>
      </c>
      <c r="I19" s="36"/>
    </row>
    <row r="20" spans="1:25" x14ac:dyDescent="0.35">
      <c r="A20" s="177">
        <v>1</v>
      </c>
      <c r="B20" s="514" t="s">
        <v>932</v>
      </c>
      <c r="C20" s="514"/>
      <c r="D20" s="178">
        <v>2</v>
      </c>
      <c r="E20" s="179">
        <v>12</v>
      </c>
      <c r="F20" s="179">
        <v>1</v>
      </c>
      <c r="G20" s="180">
        <v>333412.47999999998</v>
      </c>
      <c r="H20" s="181">
        <f>IF(G20-$D$8&gt;0,G20-$D$8,0)</f>
        <v>562.47999999998137</v>
      </c>
      <c r="I20" s="36"/>
    </row>
    <row r="21" spans="1:25" x14ac:dyDescent="0.35">
      <c r="A21" s="177">
        <f>A20+1</f>
        <v>2</v>
      </c>
      <c r="B21" s="514" t="s">
        <v>933</v>
      </c>
      <c r="C21" s="514"/>
      <c r="D21" s="178">
        <v>2</v>
      </c>
      <c r="E21" s="179">
        <v>11</v>
      </c>
      <c r="F21" s="179">
        <v>1</v>
      </c>
      <c r="G21" s="180">
        <v>209558.48</v>
      </c>
      <c r="H21" s="181">
        <f>IF(G21-$D$8&gt;0,G21-$D$8,0)</f>
        <v>0</v>
      </c>
      <c r="I21" s="48"/>
    </row>
    <row r="22" spans="1:25" x14ac:dyDescent="0.35">
      <c r="A22" s="177">
        <f t="shared" ref="A22:A30" si="0">A21+1</f>
        <v>3</v>
      </c>
      <c r="B22" s="514" t="s">
        <v>934</v>
      </c>
      <c r="C22" s="514"/>
      <c r="D22" s="178">
        <v>2</v>
      </c>
      <c r="E22" s="179">
        <v>12</v>
      </c>
      <c r="F22" s="179">
        <v>1</v>
      </c>
      <c r="G22" s="180">
        <v>204564.38</v>
      </c>
      <c r="H22" s="181">
        <f>IF(G22-$D$8&gt;0,G22-$D$8,0)</f>
        <v>0</v>
      </c>
      <c r="I22" s="48"/>
    </row>
    <row r="23" spans="1:25" x14ac:dyDescent="0.35">
      <c r="A23" s="177">
        <f t="shared" si="0"/>
        <v>4</v>
      </c>
      <c r="B23" s="514" t="s">
        <v>935</v>
      </c>
      <c r="C23" s="514"/>
      <c r="D23" s="178">
        <v>2</v>
      </c>
      <c r="E23" s="179">
        <v>12</v>
      </c>
      <c r="F23" s="179">
        <v>1</v>
      </c>
      <c r="G23" s="180">
        <v>202803.82</v>
      </c>
      <c r="H23" s="181">
        <f>IF(G23-$D$8&gt;0,G23-$D$8,0)</f>
        <v>0</v>
      </c>
      <c r="I23" s="48"/>
    </row>
    <row r="24" spans="1:25" x14ac:dyDescent="0.35">
      <c r="A24" s="177">
        <f t="shared" si="0"/>
        <v>5</v>
      </c>
      <c r="B24" s="514" t="s">
        <v>936</v>
      </c>
      <c r="C24" s="514"/>
      <c r="D24" s="178">
        <v>2</v>
      </c>
      <c r="E24" s="179">
        <v>12</v>
      </c>
      <c r="F24" s="179">
        <v>1</v>
      </c>
      <c r="G24" s="180">
        <v>175520.85</v>
      </c>
      <c r="H24" s="181">
        <f>IF(G24-$D$8&gt;0,G24-$D$8,0)</f>
        <v>0</v>
      </c>
    </row>
    <row r="25" spans="1:25" x14ac:dyDescent="0.35">
      <c r="A25" s="182">
        <f t="shared" si="0"/>
        <v>6</v>
      </c>
      <c r="B25" s="100"/>
      <c r="C25" s="100"/>
      <c r="D25" s="100"/>
      <c r="E25" s="100"/>
      <c r="F25" s="100"/>
      <c r="G25" s="100"/>
      <c r="H25" s="183">
        <f>SUM(H20:H24)</f>
        <v>562.47999999998137</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562.47999999998137</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0:C20"/>
    <mergeCell ref="B21:C21"/>
    <mergeCell ref="A3:J3"/>
    <mergeCell ref="B19:C19"/>
    <mergeCell ref="A13:H16"/>
    <mergeCell ref="B18:C18"/>
    <mergeCell ref="B22:C22"/>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71"/>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763</v>
      </c>
    </row>
    <row r="5" spans="1:4" x14ac:dyDescent="0.35">
      <c r="A5" s="1" t="s">
        <v>772</v>
      </c>
      <c r="C5" s="420" t="str">
        <f>'As-Filed Schedule 1'!C5</f>
        <v>SummitStone Health Partners</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63" t="s">
        <v>937</v>
      </c>
      <c r="C10" s="563"/>
      <c r="D10" s="563"/>
    </row>
    <row r="11" spans="1:4" ht="15" customHeight="1" x14ac:dyDescent="0.35">
      <c r="B11" s="563"/>
      <c r="C11" s="563"/>
      <c r="D11" s="563"/>
    </row>
    <row r="12" spans="1:4" x14ac:dyDescent="0.35">
      <c r="B12" s="563"/>
      <c r="C12" s="563"/>
      <c r="D12" s="563"/>
    </row>
    <row r="13" spans="1:4" x14ac:dyDescent="0.35">
      <c r="B13" s="563"/>
      <c r="C13" s="563"/>
      <c r="D13" s="563"/>
    </row>
    <row r="15" spans="1:4" ht="15" customHeight="1" x14ac:dyDescent="0.35">
      <c r="A15" t="s">
        <v>245</v>
      </c>
      <c r="B15" s="563" t="s">
        <v>938</v>
      </c>
      <c r="C15" s="563"/>
      <c r="D15" s="563"/>
    </row>
    <row r="16" spans="1:4" ht="15" customHeight="1" x14ac:dyDescent="0.35">
      <c r="B16" s="563"/>
      <c r="C16" s="563"/>
      <c r="D16" s="563"/>
    </row>
    <row r="17" spans="1:4" x14ac:dyDescent="0.35">
      <c r="B17" s="563"/>
      <c r="C17" s="563"/>
      <c r="D17" s="563"/>
    </row>
    <row r="18" spans="1:4" x14ac:dyDescent="0.35">
      <c r="B18" s="563"/>
      <c r="C18" s="563"/>
      <c r="D18" s="563"/>
    </row>
    <row r="20" spans="1:4" ht="15" customHeight="1" x14ac:dyDescent="0.35">
      <c r="A20" t="s">
        <v>246</v>
      </c>
      <c r="B20" s="563" t="s">
        <v>939</v>
      </c>
      <c r="C20" s="563"/>
      <c r="D20" s="563"/>
    </row>
    <row r="21" spans="1:4" ht="15" customHeight="1" x14ac:dyDescent="0.35">
      <c r="B21" s="563"/>
      <c r="C21" s="563"/>
      <c r="D21" s="563"/>
    </row>
    <row r="22" spans="1:4" x14ac:dyDescent="0.35">
      <c r="B22" s="563"/>
      <c r="C22" s="563"/>
      <c r="D22" s="563"/>
    </row>
    <row r="23" spans="1:4" x14ac:dyDescent="0.35">
      <c r="B23" s="563"/>
      <c r="C23" s="563"/>
      <c r="D23" s="563"/>
    </row>
    <row r="25" spans="1:4" ht="15" customHeight="1" x14ac:dyDescent="0.35">
      <c r="A25" t="s">
        <v>247</v>
      </c>
      <c r="B25" s="563" t="s">
        <v>940</v>
      </c>
      <c r="C25" s="563"/>
      <c r="D25" s="563"/>
    </row>
    <row r="26" spans="1:4" ht="15" customHeight="1" x14ac:dyDescent="0.35">
      <c r="B26" s="563"/>
      <c r="C26" s="563"/>
      <c r="D26" s="563"/>
    </row>
    <row r="27" spans="1:4" x14ac:dyDescent="0.35">
      <c r="B27" s="563"/>
      <c r="C27" s="563"/>
      <c r="D27" s="563"/>
    </row>
    <row r="28" spans="1:4" x14ac:dyDescent="0.35">
      <c r="B28" s="563"/>
      <c r="C28" s="563"/>
      <c r="D28" s="563"/>
    </row>
    <row r="30" spans="1:4" ht="15" customHeight="1" x14ac:dyDescent="0.35">
      <c r="A30" t="s">
        <v>248</v>
      </c>
      <c r="B30" s="563" t="s">
        <v>941</v>
      </c>
      <c r="C30" s="563"/>
      <c r="D30" s="563"/>
    </row>
    <row r="31" spans="1:4" ht="15" customHeight="1" x14ac:dyDescent="0.35">
      <c r="B31" s="563"/>
      <c r="C31" s="563"/>
      <c r="D31" s="563"/>
    </row>
    <row r="32" spans="1:4" x14ac:dyDescent="0.35">
      <c r="B32" s="563"/>
      <c r="C32" s="563"/>
      <c r="D32" s="563"/>
    </row>
    <row r="33" spans="1:4" x14ac:dyDescent="0.35">
      <c r="B33" s="563"/>
      <c r="C33" s="563"/>
      <c r="D33" s="563"/>
    </row>
    <row r="35" spans="1:4" ht="15" customHeight="1" x14ac:dyDescent="0.35">
      <c r="A35" t="s">
        <v>942</v>
      </c>
      <c r="B35" s="563" t="s">
        <v>943</v>
      </c>
      <c r="C35" s="563"/>
      <c r="D35" s="563"/>
    </row>
    <row r="36" spans="1:4" ht="15" customHeight="1" x14ac:dyDescent="0.35">
      <c r="B36" s="563"/>
      <c r="C36" s="563"/>
      <c r="D36" s="563"/>
    </row>
    <row r="37" spans="1:4" x14ac:dyDescent="0.35">
      <c r="B37" s="563"/>
      <c r="C37" s="563"/>
      <c r="D37" s="563"/>
    </row>
    <row r="38" spans="1:4" x14ac:dyDescent="0.35">
      <c r="B38" s="563"/>
      <c r="C38" s="563"/>
      <c r="D38" s="563"/>
    </row>
    <row r="40" spans="1:4" ht="15" customHeight="1" x14ac:dyDescent="0.35">
      <c r="A40" t="s">
        <v>944</v>
      </c>
      <c r="B40" s="563" t="s">
        <v>945</v>
      </c>
      <c r="C40" s="563"/>
      <c r="D40" s="563"/>
    </row>
    <row r="41" spans="1:4" ht="15" customHeight="1" x14ac:dyDescent="0.35">
      <c r="B41" s="563"/>
      <c r="C41" s="563"/>
      <c r="D41" s="563"/>
    </row>
    <row r="42" spans="1:4" x14ac:dyDescent="0.35">
      <c r="B42" s="563"/>
      <c r="C42" s="563"/>
      <c r="D42" s="563"/>
    </row>
    <row r="43" spans="1:4" x14ac:dyDescent="0.35">
      <c r="B43" s="563"/>
      <c r="C43" s="563"/>
      <c r="D43" s="563"/>
    </row>
    <row r="45" spans="1:4" ht="15" customHeight="1" x14ac:dyDescent="0.35">
      <c r="A45" t="s">
        <v>946</v>
      </c>
      <c r="B45" s="563" t="s">
        <v>947</v>
      </c>
      <c r="C45" s="563"/>
      <c r="D45" s="563"/>
    </row>
    <row r="46" spans="1:4" ht="15" customHeight="1" x14ac:dyDescent="0.35">
      <c r="B46" s="563"/>
      <c r="C46" s="563"/>
      <c r="D46" s="563"/>
    </row>
    <row r="47" spans="1:4" x14ac:dyDescent="0.35">
      <c r="B47" s="563"/>
      <c r="C47" s="563"/>
      <c r="D47" s="563"/>
    </row>
    <row r="48" spans="1:4" x14ac:dyDescent="0.35">
      <c r="B48" s="563"/>
      <c r="C48" s="563"/>
      <c r="D48" s="563"/>
    </row>
    <row r="50" spans="1:4" ht="15" customHeight="1" x14ac:dyDescent="0.35">
      <c r="A50" t="s">
        <v>948</v>
      </c>
      <c r="B50" s="563" t="s">
        <v>949</v>
      </c>
      <c r="C50" s="563"/>
      <c r="D50" s="563"/>
    </row>
    <row r="51" spans="1:4" ht="15" customHeight="1" x14ac:dyDescent="0.35">
      <c r="B51" s="563"/>
      <c r="C51" s="563"/>
      <c r="D51" s="563"/>
    </row>
    <row r="52" spans="1:4" x14ac:dyDescent="0.35">
      <c r="B52" s="563"/>
      <c r="C52" s="563"/>
      <c r="D52" s="563"/>
    </row>
    <row r="53" spans="1:4" x14ac:dyDescent="0.35">
      <c r="B53" s="563"/>
      <c r="C53" s="563"/>
      <c r="D53" s="563"/>
    </row>
    <row r="55" spans="1:4" ht="15" customHeight="1" x14ac:dyDescent="0.35">
      <c r="A55" t="s">
        <v>950</v>
      </c>
      <c r="B55" s="563" t="s">
        <v>951</v>
      </c>
      <c r="C55" s="563"/>
      <c r="D55" s="563"/>
    </row>
    <row r="56" spans="1:4" ht="15" customHeight="1" x14ac:dyDescent="0.35">
      <c r="B56" s="563"/>
      <c r="C56" s="563"/>
      <c r="D56" s="563"/>
    </row>
    <row r="57" spans="1:4" x14ac:dyDescent="0.35">
      <c r="B57" s="563"/>
      <c r="C57" s="563"/>
      <c r="D57" s="563"/>
    </row>
    <row r="58" spans="1:4" x14ac:dyDescent="0.35">
      <c r="B58" s="563"/>
      <c r="C58" s="563"/>
      <c r="D58" s="563"/>
    </row>
    <row r="59" spans="1:4" x14ac:dyDescent="0.35">
      <c r="B59" s="563"/>
      <c r="C59" s="563"/>
      <c r="D59" s="563"/>
    </row>
    <row r="60" spans="1:4" x14ac:dyDescent="0.35">
      <c r="B60" s="563"/>
      <c r="C60" s="563"/>
      <c r="D60" s="563"/>
    </row>
    <row r="62" spans="1:4" x14ac:dyDescent="0.35">
      <c r="A62" t="s">
        <v>205</v>
      </c>
      <c r="D62" s="118" t="s">
        <v>952</v>
      </c>
    </row>
    <row r="64" spans="1:4" x14ac:dyDescent="0.35">
      <c r="A64" t="s">
        <v>206</v>
      </c>
    </row>
    <row r="65" spans="1:4" x14ac:dyDescent="0.35">
      <c r="A65" s="520" t="s">
        <v>953</v>
      </c>
      <c r="B65" s="520"/>
      <c r="C65" s="520"/>
      <c r="D65" s="520"/>
    </row>
    <row r="66" spans="1:4" x14ac:dyDescent="0.35">
      <c r="A66" s="520"/>
      <c r="B66" s="520"/>
      <c r="C66" s="520"/>
      <c r="D66" s="520"/>
    </row>
    <row r="67" spans="1:4" x14ac:dyDescent="0.35">
      <c r="A67" s="520"/>
      <c r="B67" s="520"/>
      <c r="C67" s="520"/>
      <c r="D67" s="520"/>
    </row>
    <row r="68" spans="1:4" x14ac:dyDescent="0.35">
      <c r="A68" s="520"/>
      <c r="B68" s="520"/>
      <c r="C68" s="520"/>
      <c r="D68" s="520"/>
    </row>
    <row r="69" spans="1:4" x14ac:dyDescent="0.35">
      <c r="A69" s="520"/>
      <c r="B69" s="520"/>
      <c r="C69" s="520"/>
      <c r="D69" s="520"/>
    </row>
    <row r="70" spans="1:4" x14ac:dyDescent="0.35">
      <c r="A70" s="520"/>
      <c r="B70" s="520"/>
      <c r="C70" s="520"/>
      <c r="D70" s="520"/>
    </row>
    <row r="71" spans="1:4" x14ac:dyDescent="0.35">
      <c r="A71" s="520"/>
      <c r="B71" s="520"/>
      <c r="C71" s="520"/>
      <c r="D71" s="520"/>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11">
    <mergeCell ref="B55:D60"/>
    <mergeCell ref="A65:D71"/>
    <mergeCell ref="B10:D13"/>
    <mergeCell ref="B15:D18"/>
    <mergeCell ref="B20:D23"/>
    <mergeCell ref="B25:D28"/>
    <mergeCell ref="B30:D33"/>
    <mergeCell ref="B35:D38"/>
    <mergeCell ref="B40:D43"/>
    <mergeCell ref="B45:D48"/>
    <mergeCell ref="B50:D5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764</v>
      </c>
    </row>
    <row r="5" spans="1:24" x14ac:dyDescent="0.35">
      <c r="A5" s="1" t="s">
        <v>772</v>
      </c>
      <c r="C5" s="420" t="str">
        <f>'As-Filed Schedule 1'!C5</f>
        <v>SummitStone Health Partners</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24" t="s">
        <v>921</v>
      </c>
      <c r="B9" s="524"/>
      <c r="C9" s="524"/>
      <c r="D9" s="524"/>
      <c r="E9" s="524"/>
      <c r="F9" s="524"/>
      <c r="G9" s="524"/>
      <c r="H9" s="524"/>
      <c r="I9" s="524"/>
      <c r="J9" s="64"/>
      <c r="K9" s="40"/>
      <c r="L9" s="40"/>
      <c r="M9" s="40"/>
      <c r="T9" s="65"/>
      <c r="U9" s="65"/>
      <c r="V9" s="65"/>
      <c r="W9" s="65"/>
      <c r="X9" s="65"/>
    </row>
    <row r="10" spans="1:24" ht="15" customHeight="1" x14ac:dyDescent="0.35">
      <c r="A10" s="524"/>
      <c r="B10" s="524"/>
      <c r="C10" s="524"/>
      <c r="D10" s="524"/>
      <c r="E10" s="524"/>
      <c r="F10" s="524"/>
      <c r="G10" s="524"/>
      <c r="H10" s="524"/>
      <c r="I10" s="524"/>
      <c r="J10" s="64"/>
      <c r="K10" s="40"/>
      <c r="L10" s="40"/>
      <c r="M10" s="40"/>
      <c r="T10" s="65"/>
      <c r="U10" s="65"/>
      <c r="V10" s="65"/>
      <c r="W10" s="65"/>
      <c r="X10" s="65"/>
    </row>
    <row r="11" spans="1:24" x14ac:dyDescent="0.35">
      <c r="A11" s="524"/>
      <c r="B11" s="524"/>
      <c r="C11" s="524"/>
      <c r="D11" s="524"/>
      <c r="E11" s="524"/>
      <c r="F11" s="524"/>
      <c r="G11" s="524"/>
      <c r="H11" s="524"/>
      <c r="I11" s="524"/>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25">
        <v>1</v>
      </c>
      <c r="C13" s="525"/>
      <c r="D13" s="175">
        <v>2</v>
      </c>
      <c r="E13" s="175">
        <v>3</v>
      </c>
      <c r="F13" s="175">
        <v>4</v>
      </c>
      <c r="G13" s="175">
        <v>5</v>
      </c>
      <c r="H13" s="175">
        <v>6</v>
      </c>
      <c r="I13" s="175">
        <v>7</v>
      </c>
      <c r="J13" s="64"/>
      <c r="T13" s="65"/>
      <c r="U13" s="65"/>
      <c r="V13" s="65"/>
      <c r="W13" s="65"/>
      <c r="X13" s="65"/>
    </row>
    <row r="14" spans="1:24" s="4" customFormat="1" ht="61.5" customHeight="1" x14ac:dyDescent="0.35">
      <c r="A14" s="191"/>
      <c r="B14" s="519" t="s">
        <v>277</v>
      </c>
      <c r="C14" s="526"/>
      <c r="D14" s="151" t="s">
        <v>780</v>
      </c>
      <c r="E14" s="192" t="s">
        <v>263</v>
      </c>
      <c r="F14" s="151" t="s">
        <v>784</v>
      </c>
      <c r="G14" s="193" t="s">
        <v>268</v>
      </c>
      <c r="H14" s="192" t="s">
        <v>243</v>
      </c>
      <c r="I14" s="151" t="s">
        <v>278</v>
      </c>
      <c r="J14" s="66"/>
      <c r="T14" s="67"/>
      <c r="U14" s="67"/>
      <c r="V14" s="67"/>
      <c r="W14" s="67"/>
      <c r="X14" s="67"/>
    </row>
    <row r="15" spans="1:24" s="4" customFormat="1" x14ac:dyDescent="0.35">
      <c r="A15" s="182">
        <v>1</v>
      </c>
      <c r="B15" s="514"/>
      <c r="C15" s="514"/>
      <c r="D15" s="180"/>
      <c r="E15" s="180"/>
      <c r="F15" s="194">
        <f>IF(D15-E15&lt;0,0,D15-E15)</f>
        <v>0</v>
      </c>
      <c r="G15" s="449"/>
      <c r="H15" s="450"/>
      <c r="I15" s="448"/>
      <c r="J15" s="66"/>
      <c r="T15" s="67"/>
      <c r="U15" s="67"/>
      <c r="V15" s="67"/>
      <c r="W15" s="67"/>
      <c r="X15" s="67"/>
    </row>
    <row r="16" spans="1:24" s="4" customFormat="1" x14ac:dyDescent="0.35">
      <c r="A16" s="182">
        <f>A15+1</f>
        <v>2</v>
      </c>
      <c r="B16" s="564"/>
      <c r="C16" s="564"/>
      <c r="D16" s="180"/>
      <c r="E16" s="447"/>
      <c r="F16" s="194">
        <f t="shared" ref="F16:F24" si="0">IF(D16-E16&lt;0,0,D16-E16)</f>
        <v>0</v>
      </c>
      <c r="G16" s="449"/>
      <c r="H16" s="450"/>
      <c r="I16" s="448"/>
      <c r="J16" s="142"/>
      <c r="T16" s="67"/>
      <c r="U16" s="67"/>
      <c r="V16" s="67"/>
      <c r="W16" s="67"/>
      <c r="X16" s="67"/>
    </row>
    <row r="17" spans="1:24" s="4" customFormat="1" ht="15" customHeight="1" x14ac:dyDescent="0.35">
      <c r="A17" s="182">
        <f t="shared" ref="A17:A30" si="1">A16+1</f>
        <v>3</v>
      </c>
      <c r="B17" s="514"/>
      <c r="C17" s="514"/>
      <c r="D17" s="180"/>
      <c r="E17" s="180"/>
      <c r="F17" s="194">
        <f t="shared" si="0"/>
        <v>0</v>
      </c>
      <c r="G17" s="195"/>
      <c r="H17" s="178"/>
      <c r="I17" s="196"/>
      <c r="J17" s="66"/>
      <c r="T17" s="67"/>
      <c r="U17" s="67"/>
      <c r="V17" s="67"/>
      <c r="W17" s="67"/>
      <c r="X17" s="67"/>
    </row>
    <row r="18" spans="1:24" s="4" customFormat="1" ht="15" customHeight="1" x14ac:dyDescent="0.35">
      <c r="A18" s="182">
        <f t="shared" si="1"/>
        <v>4</v>
      </c>
      <c r="B18" s="514"/>
      <c r="C18" s="514"/>
      <c r="D18" s="180"/>
      <c r="E18" s="180"/>
      <c r="F18" s="194">
        <f t="shared" si="0"/>
        <v>0</v>
      </c>
      <c r="G18" s="195"/>
      <c r="H18" s="178"/>
      <c r="I18" s="196"/>
      <c r="J18" s="66"/>
      <c r="T18" s="67"/>
      <c r="U18" s="67"/>
      <c r="V18" s="67"/>
      <c r="W18" s="67"/>
      <c r="X18" s="67"/>
    </row>
    <row r="19" spans="1:24" s="4" customFormat="1" ht="15" customHeight="1" x14ac:dyDescent="0.35">
      <c r="A19" s="182">
        <f t="shared" si="1"/>
        <v>5</v>
      </c>
      <c r="B19" s="514"/>
      <c r="C19" s="514"/>
      <c r="D19" s="180"/>
      <c r="E19" s="180"/>
      <c r="F19" s="194">
        <f t="shared" si="0"/>
        <v>0</v>
      </c>
      <c r="G19" s="195"/>
      <c r="H19" s="178"/>
      <c r="I19" s="196"/>
      <c r="J19" s="66"/>
      <c r="T19" s="67"/>
      <c r="U19" s="67"/>
      <c r="V19" s="67"/>
      <c r="W19" s="67"/>
      <c r="X19" s="67"/>
    </row>
    <row r="20" spans="1:24" s="4" customFormat="1" ht="15" customHeight="1" x14ac:dyDescent="0.35">
      <c r="A20" s="182">
        <f t="shared" si="1"/>
        <v>6</v>
      </c>
      <c r="B20" s="514"/>
      <c r="C20" s="514"/>
      <c r="D20" s="180"/>
      <c r="E20" s="180"/>
      <c r="F20" s="194">
        <f t="shared" si="0"/>
        <v>0</v>
      </c>
      <c r="G20" s="195"/>
      <c r="H20" s="178"/>
      <c r="I20" s="196"/>
      <c r="J20" s="66"/>
      <c r="T20" s="67"/>
      <c r="U20" s="67"/>
      <c r="V20" s="67"/>
      <c r="W20" s="67"/>
      <c r="X20" s="67"/>
    </row>
    <row r="21" spans="1:24" s="4" customFormat="1" ht="15" customHeight="1" x14ac:dyDescent="0.35">
      <c r="A21" s="182">
        <f t="shared" si="1"/>
        <v>7</v>
      </c>
      <c r="B21" s="514"/>
      <c r="C21" s="514"/>
      <c r="D21" s="180"/>
      <c r="E21" s="180"/>
      <c r="F21" s="194">
        <f t="shared" si="0"/>
        <v>0</v>
      </c>
      <c r="G21" s="195"/>
      <c r="H21" s="178"/>
      <c r="I21" s="196"/>
      <c r="J21" s="66"/>
      <c r="T21" s="67"/>
      <c r="U21" s="67"/>
      <c r="V21" s="67"/>
      <c r="W21" s="67"/>
      <c r="X21" s="67"/>
    </row>
    <row r="22" spans="1:24" s="4" customFormat="1" ht="15" customHeight="1" x14ac:dyDescent="0.35">
      <c r="A22" s="182">
        <f t="shared" si="1"/>
        <v>8</v>
      </c>
      <c r="B22" s="514"/>
      <c r="C22" s="514"/>
      <c r="D22" s="180"/>
      <c r="E22" s="180"/>
      <c r="F22" s="194">
        <f t="shared" si="0"/>
        <v>0</v>
      </c>
      <c r="G22" s="195"/>
      <c r="H22" s="178"/>
      <c r="I22" s="196"/>
      <c r="J22" s="66"/>
      <c r="T22" s="67"/>
      <c r="U22" s="67"/>
      <c r="V22" s="67"/>
      <c r="W22" s="67"/>
      <c r="X22" s="67"/>
    </row>
    <row r="23" spans="1:24" s="4" customFormat="1" ht="15" customHeight="1" x14ac:dyDescent="0.35">
      <c r="A23" s="182">
        <f t="shared" si="1"/>
        <v>9</v>
      </c>
      <c r="B23" s="514"/>
      <c r="C23" s="514"/>
      <c r="D23" s="180"/>
      <c r="E23" s="180"/>
      <c r="F23" s="194">
        <f t="shared" si="0"/>
        <v>0</v>
      </c>
      <c r="G23" s="195"/>
      <c r="H23" s="178"/>
      <c r="I23" s="196"/>
      <c r="J23" s="66"/>
      <c r="T23" s="67"/>
      <c r="U23" s="67"/>
      <c r="V23" s="67"/>
      <c r="W23" s="67"/>
      <c r="X23" s="67"/>
    </row>
    <row r="24" spans="1:24" s="4" customFormat="1" ht="15" customHeight="1" x14ac:dyDescent="0.35">
      <c r="A24" s="182">
        <f t="shared" si="1"/>
        <v>10</v>
      </c>
      <c r="B24" s="514"/>
      <c r="C24" s="514"/>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0</v>
      </c>
      <c r="G27" s="191"/>
      <c r="H27" s="100"/>
      <c r="I27" s="100"/>
    </row>
    <row r="28" spans="1:24" x14ac:dyDescent="0.35">
      <c r="A28" s="182">
        <v>13</v>
      </c>
      <c r="B28" s="100"/>
      <c r="C28" s="100"/>
      <c r="D28" s="100"/>
      <c r="E28" s="184" t="s">
        <v>182</v>
      </c>
      <c r="F28" s="185">
        <f>SUMIF($G$15:$G$24,3,$F$15:$F$24)</f>
        <v>0</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23" t="s">
        <v>922</v>
      </c>
      <c r="B34" s="523"/>
      <c r="C34" s="523"/>
      <c r="D34" s="523"/>
      <c r="E34" s="523"/>
      <c r="F34" s="523"/>
      <c r="G34" s="523"/>
      <c r="H34" s="523"/>
      <c r="I34" s="523"/>
      <c r="J34" s="64"/>
      <c r="T34" s="65"/>
      <c r="U34" s="65"/>
      <c r="V34" s="65"/>
      <c r="W34" s="65"/>
      <c r="X34" s="65"/>
    </row>
    <row r="35" spans="1:24" x14ac:dyDescent="0.35">
      <c r="A35" s="523"/>
      <c r="B35" s="523"/>
      <c r="C35" s="523"/>
      <c r="D35" s="523"/>
      <c r="E35" s="523"/>
      <c r="F35" s="523"/>
      <c r="G35" s="523"/>
      <c r="H35" s="523"/>
      <c r="I35" s="523"/>
      <c r="J35" s="64"/>
      <c r="T35" s="65"/>
      <c r="U35" s="65"/>
      <c r="V35" s="65"/>
      <c r="W35" s="65"/>
      <c r="X35" s="65"/>
    </row>
    <row r="36" spans="1:24" x14ac:dyDescent="0.35">
      <c r="A36" s="523"/>
      <c r="B36" s="523"/>
      <c r="C36" s="523"/>
      <c r="D36" s="523"/>
      <c r="E36" s="523"/>
      <c r="F36" s="523"/>
      <c r="G36" s="523"/>
      <c r="H36" s="523"/>
      <c r="I36" s="523"/>
      <c r="J36" s="64"/>
      <c r="T36" s="65"/>
      <c r="U36" s="65"/>
      <c r="V36" s="65"/>
      <c r="W36" s="65"/>
      <c r="X36" s="65"/>
    </row>
    <row r="37" spans="1:24" x14ac:dyDescent="0.35">
      <c r="A37" s="523"/>
      <c r="B37" s="523"/>
      <c r="C37" s="523"/>
      <c r="D37" s="523"/>
      <c r="E37" s="523"/>
      <c r="F37" s="523"/>
      <c r="G37" s="523"/>
      <c r="H37" s="523"/>
      <c r="I37" s="523"/>
      <c r="J37" s="64"/>
      <c r="T37" s="65"/>
      <c r="U37" s="65"/>
      <c r="V37" s="65"/>
      <c r="W37" s="65"/>
      <c r="X37" s="65"/>
    </row>
    <row r="38" spans="1:24" x14ac:dyDescent="0.35">
      <c r="A38" s="523"/>
      <c r="B38" s="523"/>
      <c r="C38" s="523"/>
      <c r="D38" s="523"/>
      <c r="E38" s="523"/>
      <c r="F38" s="523"/>
      <c r="G38" s="523"/>
      <c r="H38" s="523"/>
      <c r="I38" s="523"/>
      <c r="J38" s="64"/>
      <c r="T38" s="65"/>
      <c r="U38" s="65"/>
      <c r="V38" s="65"/>
      <c r="W38" s="65"/>
      <c r="X38" s="65"/>
    </row>
    <row r="39" spans="1:24" x14ac:dyDescent="0.35">
      <c r="A39" s="523"/>
      <c r="B39" s="523"/>
      <c r="C39" s="523"/>
      <c r="D39" s="523"/>
      <c r="E39" s="523"/>
      <c r="F39" s="523"/>
      <c r="G39" s="523"/>
      <c r="H39" s="523"/>
      <c r="I39" s="523"/>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23:C23"/>
    <mergeCell ref="B24:C24"/>
    <mergeCell ref="A34:I39"/>
    <mergeCell ref="B14:C14"/>
    <mergeCell ref="B17:C17"/>
    <mergeCell ref="B18:C18"/>
    <mergeCell ref="B19:C19"/>
    <mergeCell ref="B15:C15"/>
    <mergeCell ref="B16:C16"/>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773</v>
      </c>
    </row>
    <row r="2" spans="1:11" ht="21" x14ac:dyDescent="0.5">
      <c r="A2" s="2" t="s">
        <v>771</v>
      </c>
    </row>
    <row r="3" spans="1:11" ht="25" customHeight="1" x14ac:dyDescent="0.5">
      <c r="A3" s="515" t="s">
        <v>765</v>
      </c>
      <c r="B3" s="515"/>
      <c r="C3" s="515"/>
      <c r="D3" s="515"/>
      <c r="E3" s="515"/>
      <c r="F3" s="515"/>
      <c r="G3" s="515"/>
      <c r="H3" s="515"/>
      <c r="I3" s="515"/>
      <c r="J3" s="515"/>
    </row>
    <row r="5" spans="1:11" x14ac:dyDescent="0.35">
      <c r="A5" s="1" t="s">
        <v>772</v>
      </c>
      <c r="C5" s="420" t="str">
        <f>'As-Filed Schedule 1'!C5</f>
        <v>SummitStone Health Partners</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30">
        <v>1</v>
      </c>
      <c r="C10" s="530"/>
      <c r="D10" s="23">
        <v>2</v>
      </c>
      <c r="E10" s="23">
        <v>3</v>
      </c>
      <c r="F10" s="23">
        <v>4</v>
      </c>
      <c r="G10" s="23">
        <v>5</v>
      </c>
      <c r="H10" s="23">
        <v>6</v>
      </c>
      <c r="I10" s="23">
        <v>7</v>
      </c>
    </row>
    <row r="11" spans="1:11" x14ac:dyDescent="0.35">
      <c r="B11" s="531" t="s">
        <v>178</v>
      </c>
      <c r="C11" s="531"/>
      <c r="D11" s="532" t="s">
        <v>180</v>
      </c>
      <c r="E11" s="533" t="s">
        <v>207</v>
      </c>
      <c r="F11" s="534"/>
      <c r="G11" s="533" t="s">
        <v>210</v>
      </c>
      <c r="H11" s="534"/>
      <c r="I11" s="531" t="s">
        <v>218</v>
      </c>
    </row>
    <row r="12" spans="1:11" ht="30" customHeight="1" x14ac:dyDescent="0.35">
      <c r="B12" s="531"/>
      <c r="C12" s="531"/>
      <c r="D12" s="532"/>
      <c r="E12" s="10" t="s">
        <v>208</v>
      </c>
      <c r="F12" s="10" t="s">
        <v>209</v>
      </c>
      <c r="G12" s="10" t="s">
        <v>208</v>
      </c>
      <c r="H12" s="10" t="s">
        <v>209</v>
      </c>
      <c r="I12" s="531"/>
    </row>
    <row r="13" spans="1:11" x14ac:dyDescent="0.35">
      <c r="A13" s="425" t="s">
        <v>837</v>
      </c>
      <c r="B13" s="204"/>
      <c r="C13" s="204"/>
      <c r="D13" s="204"/>
      <c r="E13" s="204"/>
      <c r="F13" s="204"/>
      <c r="G13" s="204"/>
      <c r="H13" s="204"/>
      <c r="I13" s="204"/>
      <c r="J13" s="100"/>
    </row>
    <row r="14" spans="1:11" x14ac:dyDescent="0.35">
      <c r="A14" s="24">
        <v>1</v>
      </c>
      <c r="B14" s="527" t="s">
        <v>211</v>
      </c>
      <c r="C14" s="527"/>
      <c r="D14" s="24" t="s">
        <v>12</v>
      </c>
      <c r="E14" s="26">
        <f>'As-Filed Schedule 2A'!F73</f>
        <v>5817154.6349077979</v>
      </c>
      <c r="F14" s="26">
        <f>'As-Filed Schedule 2A'!G73</f>
        <v>1011748.1940597784</v>
      </c>
      <c r="G14" s="26">
        <f>'As-Filed Schedule 2A'!J73</f>
        <v>0</v>
      </c>
      <c r="H14" s="26">
        <f>'As-Filed Schedule 2A'!K73</f>
        <v>0</v>
      </c>
      <c r="I14" s="68">
        <f>SUM(E14:H14)</f>
        <v>6828902.8289675759</v>
      </c>
    </row>
    <row r="15" spans="1:11" x14ac:dyDescent="0.35">
      <c r="A15" s="24">
        <v>2</v>
      </c>
      <c r="B15" s="527" t="s">
        <v>213</v>
      </c>
      <c r="C15" s="527"/>
      <c r="D15" s="24" t="s">
        <v>13</v>
      </c>
      <c r="E15" s="26">
        <f>'As-Filed Schedule 2B'!$F$73</f>
        <v>524498.80867608322</v>
      </c>
      <c r="F15" s="26">
        <f>'As-Filed Schedule 2B'!G73</f>
        <v>91223.416905599122</v>
      </c>
      <c r="G15" s="26">
        <f>'As-Filed Schedule 2B'!$J$73</f>
        <v>35452.708000000006</v>
      </c>
      <c r="H15" s="26">
        <f>'As-Filed Schedule 2B'!K73</f>
        <v>6166.1096437566493</v>
      </c>
      <c r="I15" s="68">
        <f>SUM(E15:H15)</f>
        <v>657341.04322543892</v>
      </c>
    </row>
    <row r="16" spans="1:11" x14ac:dyDescent="0.35">
      <c r="A16" s="24">
        <v>3</v>
      </c>
      <c r="B16" s="527" t="s">
        <v>201</v>
      </c>
      <c r="C16" s="527"/>
      <c r="D16" s="24" t="s">
        <v>14</v>
      </c>
      <c r="E16" s="26">
        <f>'As-Filed Schedule 2C'!$F$73</f>
        <v>30504868.092349421</v>
      </c>
      <c r="F16" s="26">
        <f>'As-Filed Schedule 2C'!G73</f>
        <v>5305556.9500011187</v>
      </c>
      <c r="G16" s="26">
        <f>'As-Filed Schedule 2C'!$J$73</f>
        <v>445313.29057450063</v>
      </c>
      <c r="H16" s="26">
        <f>'As-Filed Schedule 2C'!K73</f>
        <v>77451.081466172778</v>
      </c>
      <c r="I16" s="68">
        <f>SUM(E16:H16)</f>
        <v>36333189.414391212</v>
      </c>
      <c r="K16" s="48"/>
    </row>
    <row r="17" spans="1:11" x14ac:dyDescent="0.35">
      <c r="A17" s="24">
        <v>4</v>
      </c>
      <c r="B17" s="527" t="s">
        <v>212</v>
      </c>
      <c r="C17" s="527"/>
      <c r="D17" s="24" t="s">
        <v>179</v>
      </c>
      <c r="E17" s="26">
        <f>'As-Filed Schedule 2D'!$F$73</f>
        <v>8813412.1387506947</v>
      </c>
      <c r="F17" s="26">
        <f>'As-Filed Schedule 2D'!G73</f>
        <v>1532872.0610891716</v>
      </c>
      <c r="G17" s="26">
        <f>'As-Filed Schedule 2D'!$J$73</f>
        <v>0</v>
      </c>
      <c r="H17" s="26">
        <f>'As-Filed Schedule 2D'!K73</f>
        <v>0</v>
      </c>
      <c r="I17" s="68">
        <f>SUM(E17:H17)</f>
        <v>10346284.199839866</v>
      </c>
    </row>
    <row r="18" spans="1:11" x14ac:dyDescent="0.35">
      <c r="A18" s="425" t="s">
        <v>790</v>
      </c>
      <c r="B18" s="204"/>
      <c r="C18" s="204"/>
      <c r="D18" s="204"/>
      <c r="E18" s="204"/>
      <c r="F18" s="204"/>
      <c r="G18" s="204"/>
      <c r="H18" s="204"/>
      <c r="I18" s="204"/>
      <c r="J18" s="100"/>
      <c r="K18" s="48"/>
    </row>
    <row r="19" spans="1:11" x14ac:dyDescent="0.35">
      <c r="A19" s="155">
        <v>5</v>
      </c>
      <c r="B19" s="528" t="s">
        <v>791</v>
      </c>
      <c r="C19" s="528"/>
      <c r="D19" s="155" t="s">
        <v>792</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28" t="s">
        <v>793</v>
      </c>
      <c r="C20" s="528"/>
      <c r="D20" s="155" t="s">
        <v>794</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28" t="s">
        <v>795</v>
      </c>
      <c r="C21" s="528"/>
      <c r="D21" s="155" t="s">
        <v>796</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28" t="s">
        <v>797</v>
      </c>
      <c r="C22" s="528"/>
      <c r="D22" s="155" t="s">
        <v>798</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28" t="s">
        <v>799</v>
      </c>
      <c r="C23" s="528"/>
      <c r="D23" s="155" t="s">
        <v>800</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28" t="s">
        <v>801</v>
      </c>
      <c r="C24" s="528"/>
      <c r="D24" s="155" t="s">
        <v>802</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28" t="s">
        <v>803</v>
      </c>
      <c r="C25" s="528"/>
      <c r="D25" s="155" t="s">
        <v>804</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28" t="s">
        <v>805</v>
      </c>
      <c r="C26" s="528"/>
      <c r="D26" s="155" t="s">
        <v>806</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29" t="s">
        <v>807</v>
      </c>
      <c r="C27" s="529"/>
      <c r="D27" s="155" t="s">
        <v>808</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45659933.674683996</v>
      </c>
      <c r="F28" s="18">
        <f t="shared" ref="F28:G28" si="1">SUM(F14:F27)</f>
        <v>7941400.6220556684</v>
      </c>
      <c r="G28" s="18">
        <f t="shared" si="1"/>
        <v>480765.99857450061</v>
      </c>
      <c r="H28" s="18">
        <f>SUM(H14:H27)</f>
        <v>83617.191109929423</v>
      </c>
    </row>
    <row r="29" spans="1:11" s="57" customFormat="1" ht="12" x14ac:dyDescent="0.3">
      <c r="D29" s="76" t="s">
        <v>216</v>
      </c>
      <c r="E29" s="58">
        <f>'As-Filed Schedule 1'!F91</f>
        <v>45659933.674683996</v>
      </c>
      <c r="G29" s="58">
        <f>'As-Filed Schedule 1'!H91</f>
        <v>480765.99857450067</v>
      </c>
    </row>
    <row r="30" spans="1:11" s="57" customFormat="1" ht="12" x14ac:dyDescent="0.3">
      <c r="D30" s="76" t="s">
        <v>10</v>
      </c>
      <c r="E30" s="426">
        <f>E28-E29</f>
        <v>0</v>
      </c>
      <c r="G30" s="426">
        <f>G28-G29</f>
        <v>0</v>
      </c>
    </row>
    <row r="31" spans="1:11" s="57" customFormat="1" ht="12" x14ac:dyDescent="0.3">
      <c r="E31" s="76"/>
      <c r="F31" s="426"/>
      <c r="H31" s="426"/>
    </row>
    <row r="33" spans="1:10" x14ac:dyDescent="0.35">
      <c r="E33" s="10" t="s">
        <v>218</v>
      </c>
    </row>
    <row r="34" spans="1:10" x14ac:dyDescent="0.35">
      <c r="A34" s="24">
        <v>15</v>
      </c>
      <c r="B34" s="527" t="s">
        <v>219</v>
      </c>
      <c r="C34" s="527"/>
      <c r="D34" s="24" t="s">
        <v>110</v>
      </c>
      <c r="E34" s="26">
        <f>'As-Filed Schedule 3'!M167</f>
        <v>27799804.426184483</v>
      </c>
      <c r="I34" s="18">
        <f>SUM(I14:I27)+E34</f>
        <v>81965521.912608579</v>
      </c>
      <c r="J34" s="71" t="s">
        <v>3</v>
      </c>
    </row>
    <row r="35" spans="1:10" ht="12.75" customHeight="1" x14ac:dyDescent="0.35">
      <c r="D35" s="76" t="s">
        <v>217</v>
      </c>
      <c r="E35" s="58">
        <f>'As-Filed Schedule 1'!G95</f>
        <v>27799804.503834892</v>
      </c>
    </row>
    <row r="36" spans="1:10" ht="12.75" customHeight="1" x14ac:dyDescent="0.35">
      <c r="D36" s="76" t="s">
        <v>10</v>
      </c>
      <c r="E36" s="59">
        <f>E34-E35</f>
        <v>-7.7650409191846848E-2</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15" t="s">
        <v>766</v>
      </c>
      <c r="B3" s="515"/>
      <c r="C3" s="515"/>
      <c r="D3" s="515"/>
      <c r="E3" s="515"/>
      <c r="F3" s="515"/>
    </row>
    <row r="4" spans="1:19" x14ac:dyDescent="0.35">
      <c r="A4" s="48"/>
    </row>
    <row r="5" spans="1:19" x14ac:dyDescent="0.35">
      <c r="A5" s="1" t="s">
        <v>772</v>
      </c>
      <c r="C5" s="420" t="str">
        <f>'As-Filed Schedule 1'!C5</f>
        <v>SummitStone Health Partners</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177</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30">
        <v>1</v>
      </c>
      <c r="C12" s="530"/>
      <c r="D12" s="530"/>
      <c r="F12" s="23">
        <v>2</v>
      </c>
      <c r="G12" s="23">
        <v>3</v>
      </c>
      <c r="H12" s="23">
        <v>4</v>
      </c>
      <c r="J12" s="23">
        <v>5</v>
      </c>
      <c r="K12" s="23">
        <v>6</v>
      </c>
      <c r="L12" s="23">
        <v>7</v>
      </c>
      <c r="N12" s="23">
        <v>8</v>
      </c>
      <c r="O12" s="23">
        <v>9</v>
      </c>
      <c r="Q12" s="40"/>
      <c r="R12" s="40"/>
      <c r="S12" s="40"/>
    </row>
    <row r="13" spans="1:19" x14ac:dyDescent="0.35">
      <c r="B13" s="539" t="s">
        <v>255</v>
      </c>
      <c r="C13" s="540"/>
      <c r="D13" s="541"/>
      <c r="F13" s="533" t="s">
        <v>261</v>
      </c>
      <c r="G13" s="538"/>
      <c r="H13" s="534"/>
      <c r="J13" s="533" t="s">
        <v>262</v>
      </c>
      <c r="K13" s="538"/>
      <c r="L13" s="534"/>
      <c r="N13" s="536" t="s">
        <v>250</v>
      </c>
      <c r="O13" s="536" t="s">
        <v>312</v>
      </c>
      <c r="Q13" s="40"/>
      <c r="R13" s="40"/>
      <c r="S13" s="40"/>
    </row>
    <row r="14" spans="1:19" ht="56.25" customHeight="1" x14ac:dyDescent="0.35">
      <c r="B14" s="542"/>
      <c r="C14" s="543"/>
      <c r="D14" s="544"/>
      <c r="F14" s="10" t="s">
        <v>214</v>
      </c>
      <c r="G14" s="151" t="s">
        <v>491</v>
      </c>
      <c r="H14" s="151" t="s">
        <v>215</v>
      </c>
      <c r="I14" s="100"/>
      <c r="J14" s="151" t="s">
        <v>214</v>
      </c>
      <c r="K14" s="151" t="s">
        <v>491</v>
      </c>
      <c r="L14" s="10" t="s">
        <v>215</v>
      </c>
      <c r="N14" s="537"/>
      <c r="O14" s="537"/>
    </row>
    <row r="15" spans="1:19" x14ac:dyDescent="0.35">
      <c r="A15" s="24">
        <v>1</v>
      </c>
      <c r="B15" s="535" t="s">
        <v>954</v>
      </c>
      <c r="C15" s="535"/>
      <c r="D15" s="535"/>
      <c r="F15" s="117">
        <v>1255736.4277585468</v>
      </c>
      <c r="G15" s="68">
        <f>IFERROR(F15*'As-Filed Schedule 1'!$E$103,0)</f>
        <v>218403.86627781717</v>
      </c>
      <c r="H15" s="68">
        <f>SUM(F15:G15)</f>
        <v>1474140.2940363639</v>
      </c>
      <c r="J15" s="117"/>
      <c r="K15" s="68">
        <f>IFERROR(J15*'As-Filed Schedule 1'!$E$103,0)</f>
        <v>0</v>
      </c>
      <c r="L15" s="68">
        <f>SUM(J15:K15)</f>
        <v>0</v>
      </c>
      <c r="N15" s="120">
        <v>15.5</v>
      </c>
      <c r="O15" s="120">
        <v>4796</v>
      </c>
    </row>
    <row r="16" spans="1:19" x14ac:dyDescent="0.35">
      <c r="A16" s="24">
        <v>2</v>
      </c>
      <c r="B16" s="565" t="s">
        <v>955</v>
      </c>
      <c r="C16" s="566"/>
      <c r="D16" s="567"/>
      <c r="F16" s="117">
        <v>1196156.1740377727</v>
      </c>
      <c r="G16" s="68">
        <f>IFERROR(F16*'As-Filed Schedule 1'!$E$103,0)</f>
        <v>208041.37501071472</v>
      </c>
      <c r="H16" s="68">
        <f t="shared" ref="H16:H72" si="0">SUM(F16:G16)</f>
        <v>1404197.5490484873</v>
      </c>
      <c r="J16" s="117"/>
      <c r="K16" s="68">
        <f>IFERROR(J16*'As-Filed Schedule 1'!$E$103,0)</f>
        <v>0</v>
      </c>
      <c r="L16" s="68">
        <f t="shared" ref="L16:L72" si="1">SUM(J16:K16)</f>
        <v>0</v>
      </c>
      <c r="N16" s="120">
        <v>10</v>
      </c>
      <c r="O16" s="120">
        <v>1011</v>
      </c>
    </row>
    <row r="17" spans="1:15" x14ac:dyDescent="0.35">
      <c r="A17" s="24">
        <v>3</v>
      </c>
      <c r="B17" s="565" t="s">
        <v>956</v>
      </c>
      <c r="C17" s="566"/>
      <c r="D17" s="567"/>
      <c r="F17" s="117">
        <v>2133679.5110936062</v>
      </c>
      <c r="G17" s="68">
        <f>IFERROR(F17*'As-Filed Schedule 1'!$E$103,0)</f>
        <v>371100.05278130673</v>
      </c>
      <c r="H17" s="68">
        <f t="shared" si="0"/>
        <v>2504779.5638749129</v>
      </c>
      <c r="J17" s="117"/>
      <c r="K17" s="68">
        <f>IFERROR(J17*'As-Filed Schedule 1'!$E$103,0)</f>
        <v>0</v>
      </c>
      <c r="L17" s="68">
        <f t="shared" si="1"/>
        <v>0</v>
      </c>
      <c r="N17" s="120">
        <v>19</v>
      </c>
      <c r="O17" s="120">
        <v>2387</v>
      </c>
    </row>
    <row r="18" spans="1:15" x14ac:dyDescent="0.35">
      <c r="A18" s="24">
        <v>4</v>
      </c>
      <c r="B18" s="565" t="s">
        <v>957</v>
      </c>
      <c r="C18" s="566"/>
      <c r="D18" s="567"/>
      <c r="F18" s="117">
        <v>0</v>
      </c>
      <c r="G18" s="68">
        <f>IFERROR(F18*'As-Filed Schedule 1'!$E$103,0)</f>
        <v>0</v>
      </c>
      <c r="H18" s="68">
        <f t="shared" si="0"/>
        <v>0</v>
      </c>
      <c r="J18" s="117"/>
      <c r="K18" s="68">
        <f>IFERROR(J18*'As-Filed Schedule 1'!$E$103,0)</f>
        <v>0</v>
      </c>
      <c r="L18" s="68">
        <f t="shared" si="1"/>
        <v>0</v>
      </c>
      <c r="N18" s="120">
        <v>0</v>
      </c>
      <c r="O18" s="120">
        <v>0</v>
      </c>
    </row>
    <row r="19" spans="1:15" x14ac:dyDescent="0.35">
      <c r="A19" s="24">
        <v>5</v>
      </c>
      <c r="B19" s="456" t="s">
        <v>958</v>
      </c>
      <c r="C19" s="457"/>
      <c r="D19" s="458"/>
      <c r="F19" s="117">
        <v>789505.62021133176</v>
      </c>
      <c r="G19" s="68">
        <f>IFERROR(F19*'As-Filed Schedule 1'!$E$103,0)</f>
        <v>137314.70720333033</v>
      </c>
      <c r="H19" s="68">
        <f t="shared" si="0"/>
        <v>926820.32741466211</v>
      </c>
      <c r="J19" s="117"/>
      <c r="K19" s="68">
        <f>IFERROR(J19*'As-Filed Schedule 1'!$E$103,0)</f>
        <v>0</v>
      </c>
      <c r="L19" s="68">
        <f t="shared" si="1"/>
        <v>0</v>
      </c>
      <c r="N19" s="120">
        <v>3</v>
      </c>
      <c r="O19" s="120">
        <v>0</v>
      </c>
    </row>
    <row r="20" spans="1:15" x14ac:dyDescent="0.35">
      <c r="A20" s="24">
        <v>6</v>
      </c>
      <c r="B20" s="535" t="s">
        <v>959</v>
      </c>
      <c r="C20" s="535"/>
      <c r="D20" s="535"/>
      <c r="F20" s="117">
        <v>440221.25180653954</v>
      </c>
      <c r="G20" s="68">
        <f>IFERROR(F20*'As-Filed Schedule 1'!$E$103,0)</f>
        <v>76565.44899619311</v>
      </c>
      <c r="H20" s="68">
        <f t="shared" si="0"/>
        <v>516786.70080273267</v>
      </c>
      <c r="J20" s="117"/>
      <c r="K20" s="68">
        <f>IFERROR(J20*'As-Filed Schedule 1'!$E$103,0)</f>
        <v>0</v>
      </c>
      <c r="L20" s="68">
        <f t="shared" si="1"/>
        <v>0</v>
      </c>
      <c r="N20" s="120">
        <v>2</v>
      </c>
      <c r="O20" s="120">
        <v>0</v>
      </c>
    </row>
    <row r="21" spans="1:15" x14ac:dyDescent="0.35">
      <c r="A21" s="24">
        <v>7</v>
      </c>
      <c r="B21" s="535" t="s">
        <v>960</v>
      </c>
      <c r="C21" s="535"/>
      <c r="D21" s="535"/>
      <c r="F21" s="117">
        <v>1855.6499999999999</v>
      </c>
      <c r="G21" s="68">
        <f>IFERROR(F21*'As-Filed Schedule 1'!$E$103,0)</f>
        <v>322.74379041615168</v>
      </c>
      <c r="H21" s="68">
        <f t="shared" si="0"/>
        <v>2178.3937904161517</v>
      </c>
      <c r="J21" s="117"/>
      <c r="K21" s="68">
        <f>IFERROR(J21*'As-Filed Schedule 1'!$E$103,0)</f>
        <v>0</v>
      </c>
      <c r="L21" s="68">
        <f t="shared" si="1"/>
        <v>0</v>
      </c>
      <c r="N21" s="120">
        <v>0</v>
      </c>
      <c r="O21" s="120">
        <v>0</v>
      </c>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5817154.6349077979</v>
      </c>
      <c r="G73" s="18">
        <f t="shared" ref="G73:H73" si="2">SUM(G15:G72)</f>
        <v>1011748.1940597784</v>
      </c>
      <c r="H73" s="18">
        <f t="shared" si="2"/>
        <v>6828902.828967575</v>
      </c>
      <c r="J73" s="18">
        <f>SUM(J15:J72)</f>
        <v>0</v>
      </c>
      <c r="K73" s="18">
        <f t="shared" ref="K73:L73" si="3">SUM(K15:K72)</f>
        <v>0</v>
      </c>
      <c r="L73" s="18">
        <f t="shared" si="3"/>
        <v>0</v>
      </c>
      <c r="O73" s="83" t="s">
        <v>313</v>
      </c>
    </row>
    <row r="74" spans="1:15" ht="15" thickBot="1" x14ac:dyDescent="0.4">
      <c r="H74" s="37" t="s">
        <v>257</v>
      </c>
      <c r="L74" s="37" t="s">
        <v>258</v>
      </c>
    </row>
    <row r="75" spans="1:15" ht="16" thickBot="1" x14ac:dyDescent="0.4">
      <c r="A75" s="24">
        <v>60</v>
      </c>
      <c r="B75" s="143" t="s">
        <v>463</v>
      </c>
      <c r="C75" s="72"/>
      <c r="E75" s="72"/>
      <c r="F75" s="75">
        <f>H73+L73</f>
        <v>6828902.828967575</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4">
    <mergeCell ref="B39:D39"/>
    <mergeCell ref="B17:D17"/>
    <mergeCell ref="B18:D18"/>
    <mergeCell ref="B15:D15"/>
    <mergeCell ref="B16:D16"/>
    <mergeCell ref="B34:D34"/>
    <mergeCell ref="B20:D20"/>
    <mergeCell ref="B22:D22"/>
    <mergeCell ref="B23:D23"/>
    <mergeCell ref="B24:D24"/>
    <mergeCell ref="B37:D37"/>
    <mergeCell ref="B38:D38"/>
    <mergeCell ref="B21:D21"/>
    <mergeCell ref="O13:O14"/>
    <mergeCell ref="F13:H13"/>
    <mergeCell ref="J13:L13"/>
    <mergeCell ref="B13:D14"/>
    <mergeCell ref="B31:D31"/>
    <mergeCell ref="B32:D32"/>
    <mergeCell ref="B33:D33"/>
    <mergeCell ref="B72:D72"/>
    <mergeCell ref="N13:N14"/>
    <mergeCell ref="B40:D40"/>
    <mergeCell ref="B58:D58"/>
    <mergeCell ref="B59:D59"/>
    <mergeCell ref="B53:D53"/>
    <mergeCell ref="B54:D54"/>
    <mergeCell ref="B55:D55"/>
    <mergeCell ref="B56:D56"/>
    <mergeCell ref="B57:D57"/>
    <mergeCell ref="B35:D35"/>
    <mergeCell ref="B36:D36"/>
    <mergeCell ref="B29:D29"/>
    <mergeCell ref="B25:D25"/>
    <mergeCell ref="B26:D26"/>
    <mergeCell ref="B27:D27"/>
    <mergeCell ref="B28:D28"/>
    <mergeCell ref="B30:D30"/>
    <mergeCell ref="B49:D49"/>
    <mergeCell ref="B50:D50"/>
    <mergeCell ref="B41:D41"/>
    <mergeCell ref="B42:D42"/>
    <mergeCell ref="B43:D43"/>
    <mergeCell ref="B44:D44"/>
    <mergeCell ref="B45:D45"/>
    <mergeCell ref="B46:D46"/>
    <mergeCell ref="B47:D47"/>
    <mergeCell ref="B48:D48"/>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5" t="s">
        <v>767</v>
      </c>
      <c r="B3" s="515"/>
      <c r="C3" s="515"/>
      <c r="D3" s="515"/>
      <c r="E3" s="515"/>
      <c r="F3" s="515"/>
      <c r="G3" s="515"/>
      <c r="H3" s="51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260</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9" t="s">
        <v>255</v>
      </c>
      <c r="C13" s="540"/>
      <c r="D13" s="541"/>
      <c r="F13" s="533" t="s">
        <v>261</v>
      </c>
      <c r="G13" s="538"/>
      <c r="H13" s="534"/>
      <c r="J13" s="533" t="s">
        <v>262</v>
      </c>
      <c r="K13" s="538"/>
      <c r="L13" s="534"/>
      <c r="N13" s="536" t="s">
        <v>250</v>
      </c>
      <c r="O13" s="532" t="s">
        <v>312</v>
      </c>
    </row>
    <row r="14" spans="1:15" ht="55.5" customHeight="1" x14ac:dyDescent="0.35">
      <c r="B14" s="542"/>
      <c r="C14" s="543"/>
      <c r="D14" s="544"/>
      <c r="E14" s="48"/>
      <c r="F14" s="10" t="s">
        <v>214</v>
      </c>
      <c r="G14" s="151" t="s">
        <v>491</v>
      </c>
      <c r="H14" s="151" t="s">
        <v>215</v>
      </c>
      <c r="I14" s="100"/>
      <c r="J14" s="151" t="s">
        <v>214</v>
      </c>
      <c r="K14" s="151" t="s">
        <v>491</v>
      </c>
      <c r="L14" s="10" t="s">
        <v>215</v>
      </c>
      <c r="M14" s="48"/>
      <c r="N14" s="537"/>
      <c r="O14" s="532"/>
    </row>
    <row r="15" spans="1:15" x14ac:dyDescent="0.35">
      <c r="A15" s="24">
        <v>1</v>
      </c>
      <c r="B15" s="535" t="s">
        <v>961</v>
      </c>
      <c r="C15" s="535"/>
      <c r="D15" s="535"/>
      <c r="F15" s="117">
        <v>131868.09736595655</v>
      </c>
      <c r="G15" s="181">
        <f>IFERROR(F15*'As-Filed Schedule 1'!$E$103,0)</f>
        <v>22935.149181610199</v>
      </c>
      <c r="H15" s="181">
        <f>SUM(F15:G15)</f>
        <v>154803.24654756676</v>
      </c>
      <c r="I15" s="100"/>
      <c r="J15" s="180"/>
      <c r="K15" s="181">
        <f>IFERROR(J15*'As-Filed Schedule 1'!$E$103,0)</f>
        <v>0</v>
      </c>
      <c r="L15" s="68">
        <f>SUM(J15:K15)</f>
        <v>0</v>
      </c>
      <c r="N15" s="120">
        <v>1</v>
      </c>
      <c r="O15" s="120">
        <v>125</v>
      </c>
    </row>
    <row r="16" spans="1:15" x14ac:dyDescent="0.35">
      <c r="A16" s="24">
        <v>2</v>
      </c>
      <c r="B16" s="535" t="s">
        <v>962</v>
      </c>
      <c r="C16" s="535"/>
      <c r="D16" s="535"/>
      <c r="F16" s="117">
        <v>47321.697354236756</v>
      </c>
      <c r="G16" s="68">
        <f>IFERROR(F16*'As-Filed Schedule 1'!$E$103,0)</f>
        <v>8230.4227483805389</v>
      </c>
      <c r="H16" s="68">
        <f t="shared" ref="H16:H72" si="0">SUM(F16:G16)</f>
        <v>55552.120102617293</v>
      </c>
      <c r="J16" s="117"/>
      <c r="K16" s="68">
        <f>IFERROR(J16*'As-Filed Schedule 1'!$E$103,0)</f>
        <v>0</v>
      </c>
      <c r="L16" s="68">
        <f t="shared" ref="L16:L72" si="1">SUM(J16:K16)</f>
        <v>0</v>
      </c>
      <c r="N16" s="120">
        <v>1</v>
      </c>
      <c r="O16" s="120">
        <v>478</v>
      </c>
    </row>
    <row r="17" spans="1:15" x14ac:dyDescent="0.35">
      <c r="A17" s="24">
        <v>3</v>
      </c>
      <c r="B17" s="535" t="s">
        <v>963</v>
      </c>
      <c r="C17" s="535"/>
      <c r="D17" s="535"/>
      <c r="F17" s="117">
        <v>138989.39337600995</v>
      </c>
      <c r="G17" s="68">
        <f>IFERROR(F17*'As-Filed Schedule 1'!$E$103,0)</f>
        <v>24173.72006887884</v>
      </c>
      <c r="H17" s="68">
        <f t="shared" si="0"/>
        <v>163163.11344488879</v>
      </c>
      <c r="J17" s="117"/>
      <c r="K17" s="68">
        <f>IFERROR(J17*'As-Filed Schedule 1'!$E$103,0)</f>
        <v>0</v>
      </c>
      <c r="L17" s="68">
        <f t="shared" si="1"/>
        <v>0</v>
      </c>
      <c r="N17" s="120">
        <v>0</v>
      </c>
      <c r="O17" s="120">
        <v>48</v>
      </c>
    </row>
    <row r="18" spans="1:15" x14ac:dyDescent="0.35">
      <c r="A18" s="24">
        <v>4</v>
      </c>
      <c r="B18" s="535" t="s">
        <v>964</v>
      </c>
      <c r="C18" s="535"/>
      <c r="D18" s="535"/>
      <c r="F18" s="117">
        <v>141810.83200000002</v>
      </c>
      <c r="G18" s="68">
        <f>IFERROR(F18*'As-Filed Schedule 1'!$E$103,0)</f>
        <v>24664.438575026597</v>
      </c>
      <c r="H18" s="68">
        <f t="shared" si="0"/>
        <v>166475.27057502663</v>
      </c>
      <c r="J18" s="117">
        <v>35452.708000000006</v>
      </c>
      <c r="K18" s="68">
        <f>IFERROR(J18*'As-Filed Schedule 1'!$E$103,0)</f>
        <v>6166.1096437566493</v>
      </c>
      <c r="L18" s="68">
        <f t="shared" si="1"/>
        <v>41618.817643756658</v>
      </c>
      <c r="N18" s="120">
        <v>0</v>
      </c>
      <c r="O18" s="120">
        <v>237</v>
      </c>
    </row>
    <row r="19" spans="1:15" x14ac:dyDescent="0.35">
      <c r="A19" s="24">
        <v>5</v>
      </c>
      <c r="B19" s="535" t="s">
        <v>965</v>
      </c>
      <c r="C19" s="535"/>
      <c r="D19" s="535"/>
      <c r="F19" s="117">
        <v>0</v>
      </c>
      <c r="G19" s="68">
        <f>IFERROR(F19*'As-Filed Schedule 1'!$E$103,0)</f>
        <v>0</v>
      </c>
      <c r="H19" s="68">
        <f t="shared" si="0"/>
        <v>0</v>
      </c>
      <c r="J19" s="117"/>
      <c r="K19" s="68">
        <f>IFERROR(J19*'As-Filed Schedule 1'!$E$103,0)</f>
        <v>0</v>
      </c>
      <c r="L19" s="68">
        <f t="shared" si="1"/>
        <v>0</v>
      </c>
      <c r="N19" s="120">
        <v>0</v>
      </c>
      <c r="O19" s="120">
        <v>0</v>
      </c>
    </row>
    <row r="20" spans="1:15" x14ac:dyDescent="0.35">
      <c r="A20" s="24">
        <v>6</v>
      </c>
      <c r="B20" s="535" t="s">
        <v>966</v>
      </c>
      <c r="C20" s="535"/>
      <c r="D20" s="535"/>
      <c r="F20" s="117">
        <v>26845.08</v>
      </c>
      <c r="G20" s="68">
        <f>IFERROR(F20*'As-Filed Schedule 1'!$E$103,0)</f>
        <v>4669.0285739362625</v>
      </c>
      <c r="H20" s="68">
        <f t="shared" si="0"/>
        <v>31514.108573936264</v>
      </c>
      <c r="J20" s="117"/>
      <c r="K20" s="68">
        <f>IFERROR(J20*'As-Filed Schedule 1'!$E$103,0)</f>
        <v>0</v>
      </c>
      <c r="L20" s="68">
        <f t="shared" si="1"/>
        <v>0</v>
      </c>
      <c r="N20" s="120">
        <v>0</v>
      </c>
      <c r="O20" s="120">
        <v>0</v>
      </c>
    </row>
    <row r="21" spans="1:15" x14ac:dyDescent="0.35">
      <c r="A21" s="24">
        <v>7</v>
      </c>
      <c r="B21" s="535" t="s">
        <v>967</v>
      </c>
      <c r="C21" s="535"/>
      <c r="D21" s="535"/>
      <c r="F21" s="117">
        <v>954.8</v>
      </c>
      <c r="G21" s="68">
        <f>IFERROR(F21*'As-Filed Schedule 1'!$E$103,0)</f>
        <v>166.06352010850193</v>
      </c>
      <c r="H21" s="68">
        <f t="shared" si="0"/>
        <v>1120.8635201085019</v>
      </c>
      <c r="J21" s="117"/>
      <c r="K21" s="68">
        <f>IFERROR(J21*'As-Filed Schedule 1'!$E$103,0)</f>
        <v>0</v>
      </c>
      <c r="L21" s="68">
        <f t="shared" si="1"/>
        <v>0</v>
      </c>
      <c r="N21" s="120">
        <v>3</v>
      </c>
      <c r="O21" s="120">
        <v>0</v>
      </c>
    </row>
    <row r="22" spans="1:15" x14ac:dyDescent="0.35">
      <c r="A22" s="24">
        <v>8</v>
      </c>
      <c r="B22" s="535" t="s">
        <v>968</v>
      </c>
      <c r="C22" s="535"/>
      <c r="D22" s="535"/>
      <c r="F22" s="117">
        <v>-80.66</v>
      </c>
      <c r="G22" s="68">
        <f>IFERROR(F22*'As-Filed Schedule 1'!$E$103,0)</f>
        <v>-14.028784595676337</v>
      </c>
      <c r="H22" s="68">
        <f t="shared" si="0"/>
        <v>-94.688784595676339</v>
      </c>
      <c r="J22" s="117"/>
      <c r="K22" s="68">
        <f>IFERROR(J22*'As-Filed Schedule 1'!$E$103,0)</f>
        <v>0</v>
      </c>
      <c r="L22" s="68">
        <f t="shared" si="1"/>
        <v>0</v>
      </c>
      <c r="N22" s="120">
        <v>0</v>
      </c>
      <c r="O22" s="120">
        <v>0</v>
      </c>
    </row>
    <row r="23" spans="1:15" x14ac:dyDescent="0.35">
      <c r="A23" s="24">
        <v>9</v>
      </c>
      <c r="B23" s="535" t="s">
        <v>969</v>
      </c>
      <c r="C23" s="535"/>
      <c r="D23" s="535"/>
      <c r="F23" s="117">
        <v>36321.578579879897</v>
      </c>
      <c r="G23" s="68">
        <f>IFERROR(F23*'As-Filed Schedule 1'!$E$103,0)</f>
        <v>6317.2278957608078</v>
      </c>
      <c r="H23" s="68">
        <f t="shared" si="0"/>
        <v>42638.806475640704</v>
      </c>
      <c r="J23" s="117"/>
      <c r="K23" s="68">
        <f>IFERROR(J23*'As-Filed Schedule 1'!$E$103,0)</f>
        <v>0</v>
      </c>
      <c r="L23" s="68">
        <f t="shared" si="1"/>
        <v>0</v>
      </c>
      <c r="N23" s="120">
        <v>0</v>
      </c>
      <c r="O23" s="120">
        <v>0</v>
      </c>
    </row>
    <row r="24" spans="1:15" x14ac:dyDescent="0.35">
      <c r="A24" s="24">
        <v>10</v>
      </c>
      <c r="B24" s="535" t="s">
        <v>970</v>
      </c>
      <c r="C24" s="535"/>
      <c r="D24" s="535"/>
      <c r="F24" s="117">
        <v>467.99</v>
      </c>
      <c r="G24" s="68">
        <f>IFERROR(F24*'As-Filed Schedule 1'!$E$103,0)</f>
        <v>81.395126493064339</v>
      </c>
      <c r="H24" s="68">
        <f t="shared" si="0"/>
        <v>549.38512649306438</v>
      </c>
      <c r="J24" s="117"/>
      <c r="K24" s="68">
        <f>IFERROR(J24*'As-Filed Schedule 1'!$E$103,0)</f>
        <v>0</v>
      </c>
      <c r="L24" s="68">
        <f t="shared" si="1"/>
        <v>0</v>
      </c>
      <c r="N24" s="120">
        <v>0</v>
      </c>
      <c r="O24" s="120">
        <v>0</v>
      </c>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524498.80867608322</v>
      </c>
      <c r="G73" s="18">
        <f t="shared" ref="G73:H73" si="2">SUM(G15:G72)</f>
        <v>91223.416905599122</v>
      </c>
      <c r="H73" s="18">
        <f t="shared" si="2"/>
        <v>615722.22558168229</v>
      </c>
      <c r="J73" s="18">
        <f>SUM(J15:J72)</f>
        <v>35452.708000000006</v>
      </c>
      <c r="K73" s="18">
        <f t="shared" ref="K73:L73" si="3">SUM(K15:K72)</f>
        <v>6166.1096437566493</v>
      </c>
      <c r="L73" s="18">
        <f t="shared" si="3"/>
        <v>41618.817643756658</v>
      </c>
      <c r="O73" s="83" t="s">
        <v>313</v>
      </c>
    </row>
    <row r="74" spans="1:15" ht="15" thickBot="1" x14ac:dyDescent="0.4">
      <c r="H74" s="37" t="s">
        <v>257</v>
      </c>
      <c r="L74" s="37" t="s">
        <v>258</v>
      </c>
    </row>
    <row r="75" spans="1:15" s="72" customFormat="1" ht="16" thickBot="1" x14ac:dyDescent="0.4">
      <c r="A75" s="24">
        <v>60</v>
      </c>
      <c r="B75" s="73" t="s">
        <v>460</v>
      </c>
      <c r="F75" s="75">
        <f>H73+L73</f>
        <v>657341.04322543892</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55:D55"/>
    <mergeCell ref="B56:D56"/>
    <mergeCell ref="B57:D57"/>
    <mergeCell ref="B50:D50"/>
    <mergeCell ref="B51:D51"/>
    <mergeCell ref="B52:D52"/>
    <mergeCell ref="B63:D63"/>
    <mergeCell ref="B64:D64"/>
    <mergeCell ref="B70:D70"/>
    <mergeCell ref="B58:D58"/>
    <mergeCell ref="B59:D59"/>
    <mergeCell ref="B60:D60"/>
    <mergeCell ref="B61:D61"/>
    <mergeCell ref="B62:D62"/>
    <mergeCell ref="B71:D71"/>
    <mergeCell ref="B72:D72"/>
    <mergeCell ref="B65:D65"/>
    <mergeCell ref="B66:D66"/>
    <mergeCell ref="B67:D67"/>
    <mergeCell ref="B68:D68"/>
    <mergeCell ref="B69:D69"/>
    <mergeCell ref="A3:H3"/>
    <mergeCell ref="F13:H13"/>
    <mergeCell ref="B29:D29"/>
    <mergeCell ref="B30:D30"/>
    <mergeCell ref="B31:D31"/>
    <mergeCell ref="B25:D25"/>
    <mergeCell ref="B26:D26"/>
    <mergeCell ref="B12:D12"/>
    <mergeCell ref="B16:D16"/>
    <mergeCell ref="B17:D17"/>
    <mergeCell ref="B23:D23"/>
    <mergeCell ref="B24:D24"/>
    <mergeCell ref="B19:D19"/>
    <mergeCell ref="B20:D20"/>
    <mergeCell ref="B21:D21"/>
    <mergeCell ref="B22:D22"/>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3:D14"/>
    <mergeCell ref="N13:N14"/>
    <mergeCell ref="B15:D15"/>
    <mergeCell ref="B18:D18"/>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5" t="s">
        <v>768</v>
      </c>
      <c r="B3" s="515"/>
      <c r="C3" s="515"/>
      <c r="D3" s="515"/>
      <c r="E3" s="515"/>
      <c r="F3" s="515"/>
      <c r="G3" s="515"/>
      <c r="H3" s="51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204</v>
      </c>
      <c r="C8" s="1"/>
      <c r="D8" s="119" t="s">
        <v>177</v>
      </c>
      <c r="E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9" t="s">
        <v>255</v>
      </c>
      <c r="C13" s="540"/>
      <c r="D13" s="541"/>
      <c r="F13" s="533" t="s">
        <v>261</v>
      </c>
      <c r="G13" s="538"/>
      <c r="H13" s="534"/>
      <c r="J13" s="533" t="s">
        <v>262</v>
      </c>
      <c r="K13" s="538"/>
      <c r="L13" s="534"/>
      <c r="N13" s="536" t="s">
        <v>250</v>
      </c>
      <c r="O13" s="532" t="s">
        <v>312</v>
      </c>
    </row>
    <row r="14" spans="1:15" ht="55.5" customHeight="1" x14ac:dyDescent="0.35">
      <c r="B14" s="542"/>
      <c r="C14" s="543"/>
      <c r="D14" s="544"/>
      <c r="E14" s="48"/>
      <c r="F14" s="10" t="s">
        <v>214</v>
      </c>
      <c r="G14" s="151" t="s">
        <v>491</v>
      </c>
      <c r="H14" s="151" t="s">
        <v>215</v>
      </c>
      <c r="I14" s="100"/>
      <c r="J14" s="151" t="s">
        <v>214</v>
      </c>
      <c r="K14" s="151" t="s">
        <v>491</v>
      </c>
      <c r="L14" s="10" t="s">
        <v>215</v>
      </c>
      <c r="M14" s="48"/>
      <c r="N14" s="537"/>
      <c r="O14" s="532"/>
    </row>
    <row r="15" spans="1:15" x14ac:dyDescent="0.35">
      <c r="A15" s="24">
        <v>1</v>
      </c>
      <c r="B15" s="535" t="s">
        <v>971</v>
      </c>
      <c r="C15" s="535"/>
      <c r="D15" s="535"/>
      <c r="F15" s="117">
        <v>6276952.2700817408</v>
      </c>
      <c r="G15" s="68">
        <f>IFERROR(F15*'As-Filed Schedule 1'!$E$103,0)</f>
        <v>1091718.464100153</v>
      </c>
      <c r="H15" s="68">
        <f>SUM(F15:G15)</f>
        <v>7368670.734181894</v>
      </c>
      <c r="J15" s="117">
        <v>0</v>
      </c>
      <c r="K15" s="68">
        <f>IFERROR(J15*'As-Filed Schedule 1'!$E$103,0)</f>
        <v>0</v>
      </c>
      <c r="L15" s="68">
        <f>SUM(J15:K15)</f>
        <v>0</v>
      </c>
      <c r="N15" s="120">
        <v>38.099999999999994</v>
      </c>
      <c r="O15" s="120">
        <v>8299</v>
      </c>
    </row>
    <row r="16" spans="1:15" x14ac:dyDescent="0.35">
      <c r="A16" s="24">
        <v>2</v>
      </c>
      <c r="B16" s="456" t="s">
        <v>972</v>
      </c>
      <c r="C16" s="457"/>
      <c r="D16" s="458"/>
      <c r="F16" s="117">
        <v>2659720.5485525425</v>
      </c>
      <c r="G16" s="68">
        <f>IFERROR(F16*'As-Filed Schedule 1'!$E$103,0)</f>
        <v>462591.70171507221</v>
      </c>
      <c r="H16" s="68">
        <f t="shared" ref="H16:H72" si="0">SUM(F16:G16)</f>
        <v>3122312.2502676146</v>
      </c>
      <c r="J16" s="117">
        <v>0</v>
      </c>
      <c r="K16" s="68">
        <f>IFERROR(J16*'As-Filed Schedule 1'!$E$103,0)</f>
        <v>0</v>
      </c>
      <c r="L16" s="68">
        <f t="shared" ref="L16:L72" si="1">SUM(J16:K16)</f>
        <v>0</v>
      </c>
      <c r="N16" s="120">
        <v>28.25</v>
      </c>
      <c r="O16" s="120">
        <v>2400</v>
      </c>
    </row>
    <row r="17" spans="1:15" x14ac:dyDescent="0.35">
      <c r="A17" s="24">
        <v>3</v>
      </c>
      <c r="B17" s="456" t="s">
        <v>973</v>
      </c>
      <c r="C17" s="457"/>
      <c r="D17" s="458"/>
      <c r="F17" s="117">
        <v>455447.4512426221</v>
      </c>
      <c r="G17" s="68">
        <f>IFERROR(F17*'As-Filed Schedule 1'!$E$103,0)</f>
        <v>79213.664618553768</v>
      </c>
      <c r="H17" s="68">
        <f t="shared" si="0"/>
        <v>534661.11586117581</v>
      </c>
      <c r="J17" s="117">
        <v>0</v>
      </c>
      <c r="K17" s="68">
        <f>IFERROR(J17*'As-Filed Schedule 1'!$E$103,0)</f>
        <v>0</v>
      </c>
      <c r="L17" s="68">
        <f t="shared" si="1"/>
        <v>0</v>
      </c>
      <c r="N17" s="120">
        <v>7.5</v>
      </c>
      <c r="O17" s="120">
        <v>759</v>
      </c>
    </row>
    <row r="18" spans="1:15" x14ac:dyDescent="0.35">
      <c r="A18" s="24">
        <v>4</v>
      </c>
      <c r="B18" s="456" t="s">
        <v>974</v>
      </c>
      <c r="C18" s="457"/>
      <c r="D18" s="458"/>
      <c r="F18" s="117">
        <v>322511.63680755458</v>
      </c>
      <c r="G18" s="68">
        <f>IFERROR(F18*'As-Filed Schedule 1'!$E$103,0)</f>
        <v>56092.812823855485</v>
      </c>
      <c r="H18" s="68">
        <f t="shared" si="0"/>
        <v>378604.44963141007</v>
      </c>
      <c r="J18" s="117">
        <v>0</v>
      </c>
      <c r="K18" s="68">
        <f>IFERROR(J18*'As-Filed Schedule 1'!$E$103,0)</f>
        <v>0</v>
      </c>
      <c r="L18" s="68">
        <f t="shared" si="1"/>
        <v>0</v>
      </c>
      <c r="N18" s="120">
        <v>2</v>
      </c>
      <c r="O18" s="120">
        <v>1494</v>
      </c>
    </row>
    <row r="19" spans="1:15" x14ac:dyDescent="0.35">
      <c r="A19" s="24">
        <v>5</v>
      </c>
      <c r="B19" s="456" t="s">
        <v>975</v>
      </c>
      <c r="C19" s="457"/>
      <c r="D19" s="458"/>
      <c r="F19" s="117">
        <v>2473934.9064316326</v>
      </c>
      <c r="G19" s="68">
        <f>IFERROR(F19*'As-Filed Schedule 1'!$E$103,0)</f>
        <v>430278.94750872883</v>
      </c>
      <c r="H19" s="68">
        <f t="shared" si="0"/>
        <v>2904213.8539403612</v>
      </c>
      <c r="J19" s="117">
        <v>0</v>
      </c>
      <c r="K19" s="68">
        <f>IFERROR(J19*'As-Filed Schedule 1'!$E$103,0)</f>
        <v>0</v>
      </c>
      <c r="L19" s="68">
        <f t="shared" si="1"/>
        <v>0</v>
      </c>
      <c r="N19" s="120">
        <v>20.05</v>
      </c>
      <c r="O19" s="120">
        <v>8180</v>
      </c>
    </row>
    <row r="20" spans="1:15" x14ac:dyDescent="0.35">
      <c r="A20" s="24">
        <v>6</v>
      </c>
      <c r="B20" s="456" t="s">
        <v>976</v>
      </c>
      <c r="C20" s="457"/>
      <c r="D20" s="458"/>
      <c r="F20" s="117">
        <v>281007.91305065749</v>
      </c>
      <c r="G20" s="68">
        <f>IFERROR(F20*'As-Filed Schedule 1'!$E$103,0)</f>
        <v>48874.28070751574</v>
      </c>
      <c r="H20" s="68">
        <f t="shared" si="0"/>
        <v>329882.19375817321</v>
      </c>
      <c r="J20" s="117">
        <v>0</v>
      </c>
      <c r="K20" s="68">
        <f>IFERROR(J20*'As-Filed Schedule 1'!$E$103,0)</f>
        <v>0</v>
      </c>
      <c r="L20" s="68">
        <f t="shared" si="1"/>
        <v>0</v>
      </c>
      <c r="N20" s="120">
        <v>1.6</v>
      </c>
      <c r="O20" s="120">
        <v>881</v>
      </c>
    </row>
    <row r="21" spans="1:15" x14ac:dyDescent="0.35">
      <c r="A21" s="24">
        <v>7</v>
      </c>
      <c r="B21" s="456" t="s">
        <v>977</v>
      </c>
      <c r="C21" s="457"/>
      <c r="D21" s="458"/>
      <c r="F21" s="117">
        <v>3064859.7650057347</v>
      </c>
      <c r="G21" s="68">
        <f>IFERROR(F21*'As-Filed Schedule 1'!$E$103,0)</f>
        <v>533055.51028044452</v>
      </c>
      <c r="H21" s="68">
        <f t="shared" si="0"/>
        <v>3597915.275286179</v>
      </c>
      <c r="J21" s="117">
        <v>0</v>
      </c>
      <c r="K21" s="68">
        <f>IFERROR(J21*'As-Filed Schedule 1'!$E$103,0)</f>
        <v>0</v>
      </c>
      <c r="L21" s="68">
        <f t="shared" si="1"/>
        <v>0</v>
      </c>
      <c r="N21" s="120">
        <v>26.5</v>
      </c>
      <c r="O21" s="120">
        <v>8026</v>
      </c>
    </row>
    <row r="22" spans="1:15" x14ac:dyDescent="0.35">
      <c r="A22" s="24">
        <v>8</v>
      </c>
      <c r="B22" s="456" t="s">
        <v>978</v>
      </c>
      <c r="C22" s="457"/>
      <c r="D22" s="458"/>
      <c r="F22" s="117">
        <v>1378793.5807165918</v>
      </c>
      <c r="G22" s="68">
        <f>IFERROR(F22*'As-Filed Schedule 1'!$E$103,0)</f>
        <v>239806.57259824377</v>
      </c>
      <c r="H22" s="68">
        <f t="shared" si="0"/>
        <v>1618600.1533148356</v>
      </c>
      <c r="J22" s="117">
        <v>0</v>
      </c>
      <c r="K22" s="68">
        <f>IFERROR(J22*'As-Filed Schedule 1'!$E$103,0)</f>
        <v>0</v>
      </c>
      <c r="L22" s="68">
        <f t="shared" si="1"/>
        <v>0</v>
      </c>
      <c r="N22" s="120">
        <v>11</v>
      </c>
      <c r="O22" s="120">
        <v>3605</v>
      </c>
    </row>
    <row r="23" spans="1:15" x14ac:dyDescent="0.35">
      <c r="A23" s="24">
        <v>9</v>
      </c>
      <c r="B23" s="456" t="s">
        <v>979</v>
      </c>
      <c r="C23" s="457"/>
      <c r="D23" s="458"/>
      <c r="F23" s="117">
        <v>742368.63501686754</v>
      </c>
      <c r="G23" s="68">
        <f>IFERROR(F23*'As-Filed Schedule 1'!$E$103,0)</f>
        <v>129116.41050381727</v>
      </c>
      <c r="H23" s="68">
        <f t="shared" si="0"/>
        <v>871485.0455206848</v>
      </c>
      <c r="J23" s="117">
        <v>0</v>
      </c>
      <c r="K23" s="68">
        <f>IFERROR(J23*'As-Filed Schedule 1'!$E$103,0)</f>
        <v>0</v>
      </c>
      <c r="L23" s="68">
        <f t="shared" si="1"/>
        <v>0</v>
      </c>
      <c r="N23" s="120">
        <v>6</v>
      </c>
      <c r="O23" s="120">
        <v>1787</v>
      </c>
    </row>
    <row r="24" spans="1:15" x14ac:dyDescent="0.35">
      <c r="A24" s="24">
        <v>10</v>
      </c>
      <c r="B24" s="456" t="s">
        <v>980</v>
      </c>
      <c r="C24" s="457"/>
      <c r="D24" s="458"/>
      <c r="F24" s="117">
        <v>117111.25411807009</v>
      </c>
      <c r="G24" s="68">
        <f>IFERROR(F24*'As-Filed Schedule 1'!$E$103,0)</f>
        <v>20368.566299924605</v>
      </c>
      <c r="H24" s="68">
        <f t="shared" si="0"/>
        <v>137479.82041799469</v>
      </c>
      <c r="J24" s="117">
        <v>0</v>
      </c>
      <c r="K24" s="68">
        <f>IFERROR(J24*'As-Filed Schedule 1'!$E$103,0)</f>
        <v>0</v>
      </c>
      <c r="L24" s="68">
        <f t="shared" si="1"/>
        <v>0</v>
      </c>
      <c r="N24" s="120">
        <v>1</v>
      </c>
      <c r="O24" s="120">
        <v>276</v>
      </c>
    </row>
    <row r="25" spans="1:15" x14ac:dyDescent="0.35">
      <c r="A25" s="24">
        <v>11</v>
      </c>
      <c r="B25" s="456" t="s">
        <v>981</v>
      </c>
      <c r="C25" s="457"/>
      <c r="D25" s="458"/>
      <c r="F25" s="117">
        <v>145699.66411807013</v>
      </c>
      <c r="G25" s="68">
        <f>IFERROR(F25*'As-Filed Schedule 1'!$E$103,0)</f>
        <v>25340.803416498868</v>
      </c>
      <c r="H25" s="68">
        <f t="shared" si="0"/>
        <v>171040.467534569</v>
      </c>
      <c r="J25" s="117">
        <v>0</v>
      </c>
      <c r="K25" s="68">
        <f>IFERROR(J25*'As-Filed Schedule 1'!$E$103,0)</f>
        <v>0</v>
      </c>
      <c r="L25" s="68">
        <f t="shared" si="1"/>
        <v>0</v>
      </c>
      <c r="N25" s="120">
        <v>1</v>
      </c>
      <c r="O25" s="120">
        <v>466</v>
      </c>
    </row>
    <row r="26" spans="1:15" x14ac:dyDescent="0.35">
      <c r="A26" s="24">
        <v>12</v>
      </c>
      <c r="B26" s="456" t="s">
        <v>982</v>
      </c>
      <c r="C26" s="457"/>
      <c r="D26" s="458"/>
      <c r="F26" s="117">
        <v>845871.53415467276</v>
      </c>
      <c r="G26" s="68">
        <f>IFERROR(F26*'As-Filed Schedule 1'!$E$103,0)</f>
        <v>147118.14465993285</v>
      </c>
      <c r="H26" s="68">
        <f t="shared" si="0"/>
        <v>992989.67881460558</v>
      </c>
      <c r="J26" s="117">
        <v>0</v>
      </c>
      <c r="K26" s="68">
        <f>IFERROR(J26*'As-Filed Schedule 1'!$E$103,0)</f>
        <v>0</v>
      </c>
      <c r="L26" s="68">
        <f t="shared" si="1"/>
        <v>0</v>
      </c>
      <c r="N26" s="120">
        <v>9.15</v>
      </c>
      <c r="O26" s="120">
        <v>457</v>
      </c>
    </row>
    <row r="27" spans="1:15" x14ac:dyDescent="0.35">
      <c r="A27" s="24">
        <v>13</v>
      </c>
      <c r="B27" s="456" t="s">
        <v>983</v>
      </c>
      <c r="C27" s="457"/>
      <c r="D27" s="458"/>
      <c r="F27" s="117">
        <v>593656.37362110964</v>
      </c>
      <c r="G27" s="68">
        <f>IFERROR(F27*'As-Filed Schedule 1'!$E$103,0)</f>
        <v>103251.64132631911</v>
      </c>
      <c r="H27" s="68">
        <f t="shared" si="0"/>
        <v>696908.01494742872</v>
      </c>
      <c r="J27" s="117">
        <v>0</v>
      </c>
      <c r="K27" s="68">
        <f>IFERROR(J27*'As-Filed Schedule 1'!$E$103,0)</f>
        <v>0</v>
      </c>
      <c r="L27" s="68">
        <f t="shared" si="1"/>
        <v>0</v>
      </c>
      <c r="N27" s="120">
        <v>3.75</v>
      </c>
      <c r="O27" s="120">
        <v>645</v>
      </c>
    </row>
    <row r="28" spans="1:15" x14ac:dyDescent="0.35">
      <c r="A28" s="24">
        <v>14</v>
      </c>
      <c r="B28" s="456" t="s">
        <v>984</v>
      </c>
      <c r="C28" s="457"/>
      <c r="D28" s="458"/>
      <c r="F28" s="117">
        <v>525017.95221965271</v>
      </c>
      <c r="G28" s="68">
        <f>IFERROR(F28*'As-Filed Schedule 1'!$E$103,0)</f>
        <v>91313.708908413086</v>
      </c>
      <c r="H28" s="68">
        <f t="shared" si="0"/>
        <v>616331.66112806578</v>
      </c>
      <c r="J28" s="117">
        <v>0</v>
      </c>
      <c r="K28" s="68">
        <f>IFERROR(J28*'As-Filed Schedule 1'!$E$103,0)</f>
        <v>0</v>
      </c>
      <c r="L28" s="68">
        <f t="shared" si="1"/>
        <v>0</v>
      </c>
      <c r="N28" s="120">
        <v>4</v>
      </c>
      <c r="O28" s="120">
        <v>1351</v>
      </c>
    </row>
    <row r="29" spans="1:15" x14ac:dyDescent="0.35">
      <c r="A29" s="24">
        <v>15</v>
      </c>
      <c r="B29" s="456" t="s">
        <v>985</v>
      </c>
      <c r="C29" s="457"/>
      <c r="D29" s="458"/>
      <c r="F29" s="117">
        <v>1555037.6973484256</v>
      </c>
      <c r="G29" s="68">
        <f>IFERROR(F29*'As-Filed Schedule 1'!$E$103,0)</f>
        <v>270459.81768234062</v>
      </c>
      <c r="H29" s="68">
        <f t="shared" si="0"/>
        <v>1825497.5150307664</v>
      </c>
      <c r="J29" s="117">
        <v>0</v>
      </c>
      <c r="K29" s="68">
        <f>IFERROR(J29*'As-Filed Schedule 1'!$E$103,0)</f>
        <v>0</v>
      </c>
      <c r="L29" s="68">
        <f t="shared" si="1"/>
        <v>0</v>
      </c>
      <c r="N29" s="120">
        <v>12.200000000000001</v>
      </c>
      <c r="O29" s="120">
        <v>1358</v>
      </c>
    </row>
    <row r="30" spans="1:15" x14ac:dyDescent="0.35">
      <c r="A30" s="24">
        <v>16</v>
      </c>
      <c r="B30" s="456" t="s">
        <v>986</v>
      </c>
      <c r="C30" s="457"/>
      <c r="D30" s="458"/>
      <c r="F30" s="117">
        <v>711384.42379261425</v>
      </c>
      <c r="G30" s="68">
        <f>IFERROR(F30*'As-Filed Schedule 1'!$E$103,0)</f>
        <v>123727.48383468775</v>
      </c>
      <c r="H30" s="68">
        <f t="shared" si="0"/>
        <v>835111.90762730199</v>
      </c>
      <c r="J30" s="117">
        <v>0</v>
      </c>
      <c r="K30" s="68">
        <f>IFERROR(J30*'As-Filed Schedule 1'!$E$103,0)</f>
        <v>0</v>
      </c>
      <c r="L30" s="68">
        <f t="shared" si="1"/>
        <v>0</v>
      </c>
      <c r="N30" s="120">
        <v>8.8000000000000007</v>
      </c>
      <c r="O30" s="120">
        <v>1290</v>
      </c>
    </row>
    <row r="31" spans="1:15" x14ac:dyDescent="0.35">
      <c r="A31" s="24">
        <v>17</v>
      </c>
      <c r="B31" s="456" t="s">
        <v>987</v>
      </c>
      <c r="C31" s="457"/>
      <c r="D31" s="458"/>
      <c r="F31" s="117">
        <v>289558.12980445602</v>
      </c>
      <c r="G31" s="68">
        <f>IFERROR(F31*'As-Filed Schedule 1'!$E$103,0)</f>
        <v>50361.376530543042</v>
      </c>
      <c r="H31" s="68">
        <f t="shared" si="0"/>
        <v>339919.50633499905</v>
      </c>
      <c r="J31" s="117">
        <v>0</v>
      </c>
      <c r="K31" s="68">
        <f>IFERROR(J31*'As-Filed Schedule 1'!$E$103,0)</f>
        <v>0</v>
      </c>
      <c r="L31" s="68">
        <f t="shared" si="1"/>
        <v>0</v>
      </c>
      <c r="N31" s="120">
        <v>2.5</v>
      </c>
      <c r="O31" s="120">
        <v>180</v>
      </c>
    </row>
    <row r="32" spans="1:15" x14ac:dyDescent="0.35">
      <c r="A32" s="24">
        <v>18</v>
      </c>
      <c r="B32" s="456" t="s">
        <v>988</v>
      </c>
      <c r="C32" s="457"/>
      <c r="D32" s="458"/>
      <c r="F32" s="117">
        <v>197964.42267766772</v>
      </c>
      <c r="G32" s="68">
        <f>IFERROR(F32*'As-Filed Schedule 1'!$E$103,0)</f>
        <v>34430.947723188998</v>
      </c>
      <c r="H32" s="68">
        <f t="shared" si="0"/>
        <v>232395.37040085671</v>
      </c>
      <c r="J32" s="117">
        <v>106596.22759566719</v>
      </c>
      <c r="K32" s="68">
        <f>IFERROR(J32*'As-Filed Schedule 1'!$E$103,0)</f>
        <v>18539.741081717144</v>
      </c>
      <c r="L32" s="68">
        <f t="shared" si="1"/>
        <v>125135.96867738434</v>
      </c>
      <c r="N32" s="120">
        <v>1</v>
      </c>
      <c r="O32" s="120">
        <v>243</v>
      </c>
    </row>
    <row r="33" spans="1:15" x14ac:dyDescent="0.35">
      <c r="A33" s="24">
        <v>19</v>
      </c>
      <c r="B33" s="456" t="s">
        <v>989</v>
      </c>
      <c r="C33" s="457"/>
      <c r="D33" s="458"/>
      <c r="F33" s="117">
        <v>196796.86577199507</v>
      </c>
      <c r="G33" s="68">
        <f>IFERROR(F33*'As-Filed Schedule 1'!$E$103,0)</f>
        <v>34227.880473835212</v>
      </c>
      <c r="H33" s="68">
        <f t="shared" si="0"/>
        <v>231024.74624583029</v>
      </c>
      <c r="J33" s="117">
        <v>0</v>
      </c>
      <c r="K33" s="68">
        <f>IFERROR(J33*'As-Filed Schedule 1'!$E$103,0)</f>
        <v>0</v>
      </c>
      <c r="L33" s="68">
        <f t="shared" si="1"/>
        <v>0</v>
      </c>
      <c r="N33" s="120">
        <v>3</v>
      </c>
      <c r="O33" s="120">
        <v>27</v>
      </c>
    </row>
    <row r="34" spans="1:15" x14ac:dyDescent="0.35">
      <c r="A34" s="24">
        <v>20</v>
      </c>
      <c r="B34" s="456" t="s">
        <v>990</v>
      </c>
      <c r="C34" s="457"/>
      <c r="D34" s="458"/>
      <c r="F34" s="117">
        <v>785919.81696958421</v>
      </c>
      <c r="G34" s="68">
        <f>IFERROR(F34*'As-Filed Schedule 1'!$E$103,0)</f>
        <v>136691.04663699071</v>
      </c>
      <c r="H34" s="68">
        <f t="shared" si="0"/>
        <v>922610.86360657495</v>
      </c>
      <c r="J34" s="117">
        <v>0</v>
      </c>
      <c r="K34" s="68">
        <f>IFERROR(J34*'As-Filed Schedule 1'!$E$103,0)</f>
        <v>0</v>
      </c>
      <c r="L34" s="68">
        <f t="shared" si="1"/>
        <v>0</v>
      </c>
      <c r="N34" s="120">
        <v>11</v>
      </c>
      <c r="O34" s="120">
        <v>575</v>
      </c>
    </row>
    <row r="35" spans="1:15" x14ac:dyDescent="0.35">
      <c r="A35" s="24">
        <v>21</v>
      </c>
      <c r="B35" s="456" t="s">
        <v>991</v>
      </c>
      <c r="C35" s="457"/>
      <c r="D35" s="458"/>
      <c r="F35" s="117">
        <v>36075.285473946227</v>
      </c>
      <c r="G35" s="68">
        <f>IFERROR(F35*'As-Filed Schedule 1'!$E$103,0)</f>
        <v>6274.3913853399845</v>
      </c>
      <c r="H35" s="68">
        <f t="shared" si="0"/>
        <v>42349.676859286214</v>
      </c>
      <c r="J35" s="117">
        <v>0</v>
      </c>
      <c r="K35" s="68">
        <f>IFERROR(J35*'As-Filed Schedule 1'!$E$103,0)</f>
        <v>0</v>
      </c>
      <c r="L35" s="68">
        <f t="shared" si="1"/>
        <v>0</v>
      </c>
      <c r="N35" s="120">
        <v>0</v>
      </c>
      <c r="O35" s="120">
        <v>581</v>
      </c>
    </row>
    <row r="36" spans="1:15" x14ac:dyDescent="0.35">
      <c r="A36" s="24">
        <v>22</v>
      </c>
      <c r="B36" s="456" t="s">
        <v>992</v>
      </c>
      <c r="C36" s="457"/>
      <c r="D36" s="458"/>
      <c r="F36" s="117">
        <v>110486.80037542932</v>
      </c>
      <c r="G36" s="68">
        <f>IFERROR(F36*'As-Filed Schedule 1'!$E$103,0)</f>
        <v>19216.408667646781</v>
      </c>
      <c r="H36" s="68">
        <f t="shared" si="0"/>
        <v>129703.2090430761</v>
      </c>
      <c r="J36" s="117">
        <v>0</v>
      </c>
      <c r="K36" s="68">
        <f>IFERROR(J36*'As-Filed Schedule 1'!$E$103,0)</f>
        <v>0</v>
      </c>
      <c r="L36" s="68">
        <f t="shared" si="1"/>
        <v>0</v>
      </c>
      <c r="N36" s="120">
        <v>2</v>
      </c>
      <c r="O36" s="120">
        <v>111</v>
      </c>
    </row>
    <row r="37" spans="1:15" x14ac:dyDescent="0.35">
      <c r="A37" s="24">
        <v>23</v>
      </c>
      <c r="B37" s="456" t="s">
        <v>993</v>
      </c>
      <c r="C37" s="457"/>
      <c r="D37" s="458"/>
      <c r="F37" s="117">
        <v>2946249.9456382389</v>
      </c>
      <c r="G37" s="68">
        <f>IFERROR(F37*'As-Filed Schedule 1'!$E$103,0)</f>
        <v>512426.30612920871</v>
      </c>
      <c r="H37" s="68">
        <f t="shared" si="0"/>
        <v>3458676.2517674477</v>
      </c>
      <c r="J37" s="117">
        <v>0</v>
      </c>
      <c r="K37" s="68">
        <f>IFERROR(J37*'As-Filed Schedule 1'!$E$103,0)</f>
        <v>0</v>
      </c>
      <c r="L37" s="68">
        <f t="shared" si="1"/>
        <v>0</v>
      </c>
      <c r="N37" s="120">
        <v>30</v>
      </c>
      <c r="O37" s="120">
        <v>7881</v>
      </c>
    </row>
    <row r="38" spans="1:15" x14ac:dyDescent="0.35">
      <c r="A38" s="24">
        <v>24</v>
      </c>
      <c r="B38" s="456" t="s">
        <v>994</v>
      </c>
      <c r="C38" s="457"/>
      <c r="D38" s="458"/>
      <c r="F38" s="117">
        <v>479286.14150171744</v>
      </c>
      <c r="G38" s="68">
        <f>IFERROR(F38*'As-Filed Schedule 1'!$E$103,0)</f>
        <v>83359.807076871351</v>
      </c>
      <c r="H38" s="68">
        <f t="shared" si="0"/>
        <v>562645.94857858878</v>
      </c>
      <c r="J38" s="117">
        <v>0</v>
      </c>
      <c r="K38" s="68">
        <f>IFERROR(J38*'As-Filed Schedule 1'!$E$103,0)</f>
        <v>0</v>
      </c>
      <c r="L38" s="68">
        <f t="shared" si="1"/>
        <v>0</v>
      </c>
      <c r="N38" s="120">
        <v>8</v>
      </c>
      <c r="O38" s="120">
        <v>792</v>
      </c>
    </row>
    <row r="39" spans="1:15" x14ac:dyDescent="0.35">
      <c r="A39" s="24">
        <v>25</v>
      </c>
      <c r="B39" s="456" t="s">
        <v>995</v>
      </c>
      <c r="C39" s="457"/>
      <c r="D39" s="458"/>
      <c r="F39" s="117">
        <v>594140.35788660857</v>
      </c>
      <c r="G39" s="68">
        <f>IFERROR(F39*'As-Filed Schedule 1'!$E$103,0)</f>
        <v>103335.81825426829</v>
      </c>
      <c r="H39" s="68">
        <f t="shared" si="0"/>
        <v>697476.17614087684</v>
      </c>
      <c r="J39" s="117">
        <v>0</v>
      </c>
      <c r="K39" s="68">
        <f>IFERROR(J39*'As-Filed Schedule 1'!$E$103,0)</f>
        <v>0</v>
      </c>
      <c r="L39" s="68">
        <f t="shared" si="1"/>
        <v>0</v>
      </c>
      <c r="N39" s="120">
        <v>4</v>
      </c>
      <c r="O39" s="120">
        <v>0</v>
      </c>
    </row>
    <row r="40" spans="1:15" x14ac:dyDescent="0.35">
      <c r="A40" s="24">
        <v>26</v>
      </c>
      <c r="B40" s="456" t="s">
        <v>996</v>
      </c>
      <c r="C40" s="457"/>
      <c r="D40" s="458"/>
      <c r="F40" s="117">
        <v>122557.97697165211</v>
      </c>
      <c r="G40" s="68">
        <f>IFERROR(F40*'As-Filed Schedule 1'!$E$103,0)</f>
        <v>21315.887173532959</v>
      </c>
      <c r="H40" s="68">
        <f t="shared" si="0"/>
        <v>143873.86414518507</v>
      </c>
      <c r="J40" s="117">
        <v>0</v>
      </c>
      <c r="K40" s="68">
        <f>IFERROR(J40*'As-Filed Schedule 1'!$E$103,0)</f>
        <v>0</v>
      </c>
      <c r="L40" s="68">
        <f t="shared" si="1"/>
        <v>0</v>
      </c>
      <c r="N40" s="120">
        <v>1</v>
      </c>
      <c r="O40" s="120">
        <v>264</v>
      </c>
    </row>
    <row r="41" spans="1:15" x14ac:dyDescent="0.35">
      <c r="A41" s="24">
        <v>27</v>
      </c>
      <c r="B41" s="456" t="s">
        <v>997</v>
      </c>
      <c r="C41" s="457"/>
      <c r="D41" s="458"/>
      <c r="F41" s="117">
        <v>24331.475564369761</v>
      </c>
      <c r="G41" s="68">
        <f>IFERROR(F41*'As-Filed Schedule 1'!$E$103,0)</f>
        <v>4231.8501064654811</v>
      </c>
      <c r="H41" s="68">
        <f t="shared" si="0"/>
        <v>28563.325670835242</v>
      </c>
      <c r="J41" s="117">
        <v>0</v>
      </c>
      <c r="K41" s="68">
        <f>IFERROR(J41*'As-Filed Schedule 1'!$E$103,0)</f>
        <v>0</v>
      </c>
      <c r="L41" s="68">
        <f t="shared" si="1"/>
        <v>0</v>
      </c>
      <c r="N41" s="120">
        <v>0</v>
      </c>
      <c r="O41" s="120">
        <v>324</v>
      </c>
    </row>
    <row r="42" spans="1:15" x14ac:dyDescent="0.35">
      <c r="A42" s="24">
        <v>28</v>
      </c>
      <c r="B42" s="456" t="s">
        <v>998</v>
      </c>
      <c r="C42" s="457"/>
      <c r="D42" s="458"/>
      <c r="F42" s="117">
        <v>145264.90402331797</v>
      </c>
      <c r="G42" s="68">
        <f>IFERROR(F42*'As-Filed Schedule 1'!$E$103,0)</f>
        <v>25265.187798843599</v>
      </c>
      <c r="H42" s="68">
        <f t="shared" si="0"/>
        <v>170530.09182216157</v>
      </c>
      <c r="J42" s="117">
        <v>0</v>
      </c>
      <c r="K42" s="68">
        <f>IFERROR(J42*'As-Filed Schedule 1'!$E$103,0)</f>
        <v>0</v>
      </c>
      <c r="L42" s="68">
        <f t="shared" si="1"/>
        <v>0</v>
      </c>
      <c r="N42" s="120">
        <v>1</v>
      </c>
      <c r="O42" s="120">
        <v>605</v>
      </c>
    </row>
    <row r="43" spans="1:15" x14ac:dyDescent="0.35">
      <c r="A43" s="24">
        <v>29</v>
      </c>
      <c r="B43" s="456" t="s">
        <v>999</v>
      </c>
      <c r="C43" s="457"/>
      <c r="D43" s="458"/>
      <c r="F43" s="117">
        <v>899745.25451525976</v>
      </c>
      <c r="G43" s="68">
        <f>IFERROR(F43*'As-Filed Schedule 1'!$E$103,0)</f>
        <v>156488.12753008382</v>
      </c>
      <c r="H43" s="68">
        <f t="shared" si="0"/>
        <v>1056233.3820453435</v>
      </c>
      <c r="J43" s="117">
        <v>224936.31362881494</v>
      </c>
      <c r="K43" s="68">
        <f>IFERROR(J43*'As-Filed Schedule 1'!$E$103,0)</f>
        <v>39122.031882520954</v>
      </c>
      <c r="L43" s="68">
        <f t="shared" si="1"/>
        <v>264058.34551133588</v>
      </c>
      <c r="N43" s="120">
        <v>4</v>
      </c>
      <c r="O43" s="120">
        <v>366</v>
      </c>
    </row>
    <row r="44" spans="1:15" x14ac:dyDescent="0.35">
      <c r="A44" s="24">
        <v>30</v>
      </c>
      <c r="B44" s="456" t="s">
        <v>1000</v>
      </c>
      <c r="C44" s="457"/>
      <c r="D44" s="458"/>
      <c r="F44" s="117">
        <v>321919.76037542935</v>
      </c>
      <c r="G44" s="68">
        <f>IFERROR(F44*'As-Filed Schedule 1'!$E$103,0)</f>
        <v>55989.870758723548</v>
      </c>
      <c r="H44" s="68">
        <f t="shared" si="0"/>
        <v>377909.63113415288</v>
      </c>
      <c r="J44" s="117">
        <v>0</v>
      </c>
      <c r="K44" s="68">
        <f>IFERROR(J44*'As-Filed Schedule 1'!$E$103,0)</f>
        <v>0</v>
      </c>
      <c r="L44" s="68">
        <f t="shared" si="1"/>
        <v>0</v>
      </c>
      <c r="N44" s="120">
        <v>2</v>
      </c>
      <c r="O44" s="120">
        <v>33</v>
      </c>
    </row>
    <row r="45" spans="1:15" x14ac:dyDescent="0.35">
      <c r="A45" s="24">
        <v>31</v>
      </c>
      <c r="B45" s="456" t="s">
        <v>1001</v>
      </c>
      <c r="C45" s="457"/>
      <c r="D45" s="458"/>
      <c r="F45" s="117">
        <v>-2156.8599999999997</v>
      </c>
      <c r="G45" s="68">
        <f>IFERROR(F45*'As-Filed Schedule 1'!$E$103,0)</f>
        <v>-375.13171761753608</v>
      </c>
      <c r="H45" s="68">
        <f t="shared" si="0"/>
        <v>-2531.9917176175359</v>
      </c>
      <c r="J45" s="117">
        <v>0</v>
      </c>
      <c r="K45" s="68">
        <f>IFERROR(J45*'As-Filed Schedule 1'!$E$103,0)</f>
        <v>0</v>
      </c>
      <c r="L45" s="68">
        <f t="shared" si="1"/>
        <v>0</v>
      </c>
      <c r="N45" s="120">
        <v>0</v>
      </c>
      <c r="O45" s="120">
        <v>5</v>
      </c>
    </row>
    <row r="46" spans="1:15" x14ac:dyDescent="0.35">
      <c r="A46" s="24">
        <v>32</v>
      </c>
      <c r="B46" s="456" t="s">
        <v>1002</v>
      </c>
      <c r="C46" s="457"/>
      <c r="D46" s="458"/>
      <c r="F46" s="117">
        <v>188137.47968749428</v>
      </c>
      <c r="G46" s="68">
        <f>IFERROR(F46*'As-Filed Schedule 1'!$E$103,0)</f>
        <v>32721.797382956727</v>
      </c>
      <c r="H46" s="68">
        <f t="shared" si="0"/>
        <v>220859.277070451</v>
      </c>
      <c r="J46" s="117">
        <v>0</v>
      </c>
      <c r="K46" s="68">
        <f>IFERROR(J46*'As-Filed Schedule 1'!$E$103,0)</f>
        <v>0</v>
      </c>
      <c r="L46" s="68">
        <f t="shared" si="1"/>
        <v>0</v>
      </c>
      <c r="N46" s="120">
        <v>2</v>
      </c>
      <c r="O46" s="120">
        <v>0</v>
      </c>
    </row>
    <row r="47" spans="1:15" x14ac:dyDescent="0.35">
      <c r="A47" s="24">
        <v>33</v>
      </c>
      <c r="B47" s="456" t="s">
        <v>1003</v>
      </c>
      <c r="C47" s="457"/>
      <c r="D47" s="458"/>
      <c r="F47" s="117">
        <v>226391.55355673598</v>
      </c>
      <c r="G47" s="68">
        <f>IFERROR(F47*'As-Filed Schedule 1'!$E$103,0)</f>
        <v>39375.134380460848</v>
      </c>
      <c r="H47" s="68">
        <f t="shared" si="0"/>
        <v>265766.68793719681</v>
      </c>
      <c r="J47" s="117">
        <v>0</v>
      </c>
      <c r="K47" s="68">
        <f>IFERROR(J47*'As-Filed Schedule 1'!$E$103,0)</f>
        <v>0</v>
      </c>
      <c r="L47" s="68">
        <f t="shared" si="1"/>
        <v>0</v>
      </c>
      <c r="N47" s="120">
        <v>2.5</v>
      </c>
      <c r="O47" s="120">
        <v>11</v>
      </c>
    </row>
    <row r="48" spans="1:15" x14ac:dyDescent="0.35">
      <c r="A48" s="24">
        <v>34</v>
      </c>
      <c r="B48" s="456" t="s">
        <v>1004</v>
      </c>
      <c r="C48" s="457"/>
      <c r="D48" s="458"/>
      <c r="F48" s="117">
        <v>148065.59562685771</v>
      </c>
      <c r="G48" s="68">
        <f>IFERROR(F48*'As-Filed Schedule 1'!$E$103,0)</f>
        <v>25752.297880978218</v>
      </c>
      <c r="H48" s="68">
        <f t="shared" si="0"/>
        <v>173817.89350783592</v>
      </c>
      <c r="J48" s="117">
        <v>0</v>
      </c>
      <c r="K48" s="68">
        <f>IFERROR(J48*'As-Filed Schedule 1'!$E$103,0)</f>
        <v>0</v>
      </c>
      <c r="L48" s="68">
        <f t="shared" si="1"/>
        <v>0</v>
      </c>
      <c r="N48" s="120">
        <v>5.5</v>
      </c>
      <c r="O48" s="120">
        <v>256</v>
      </c>
    </row>
    <row r="49" spans="1:15" x14ac:dyDescent="0.35">
      <c r="A49" s="24">
        <v>35</v>
      </c>
      <c r="B49" s="456" t="s">
        <v>1005</v>
      </c>
      <c r="C49" s="457"/>
      <c r="D49" s="458"/>
      <c r="F49" s="117">
        <v>270135.07057898777</v>
      </c>
      <c r="G49" s="68">
        <f>IFERROR(F49*'As-Filed Schedule 1'!$E$103,0)</f>
        <v>46983.222376524223</v>
      </c>
      <c r="H49" s="68">
        <f t="shared" si="0"/>
        <v>317118.29295551201</v>
      </c>
      <c r="J49" s="117">
        <v>47670.894808056677</v>
      </c>
      <c r="K49" s="68">
        <f>IFERROR(J49*'As-Filed Schedule 1'!$E$103,0)</f>
        <v>8291.1568899748654</v>
      </c>
      <c r="L49" s="68">
        <f t="shared" si="1"/>
        <v>55962.051698031544</v>
      </c>
      <c r="N49" s="120">
        <v>3</v>
      </c>
      <c r="O49" s="120">
        <v>0</v>
      </c>
    </row>
    <row r="50" spans="1:15" x14ac:dyDescent="0.35">
      <c r="A50" s="24">
        <v>36</v>
      </c>
      <c r="B50" s="535" t="s">
        <v>1006</v>
      </c>
      <c r="C50" s="535"/>
      <c r="D50" s="535"/>
      <c r="F50" s="117">
        <v>374622.50907111709</v>
      </c>
      <c r="G50" s="68">
        <f>IFERROR(F50*'As-Filed Schedule 1'!$E$103,0)</f>
        <v>65156.192467772213</v>
      </c>
      <c r="H50" s="68">
        <f t="shared" si="0"/>
        <v>439778.70153888932</v>
      </c>
      <c r="J50" s="117">
        <v>66109.854541961846</v>
      </c>
      <c r="K50" s="68">
        <f>IFERROR(J50*'As-Filed Schedule 1'!$E$103,0)</f>
        <v>11498.151611959804</v>
      </c>
      <c r="L50" s="68">
        <f t="shared" si="1"/>
        <v>77608.006153921655</v>
      </c>
      <c r="N50" s="120">
        <v>4</v>
      </c>
      <c r="O50" s="120">
        <v>0</v>
      </c>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30504868.092349421</v>
      </c>
      <c r="G73" s="18">
        <f t="shared" ref="G73:H73" si="2">SUM(G15:G72)</f>
        <v>5305556.9500011187</v>
      </c>
      <c r="H73" s="18">
        <f t="shared" si="2"/>
        <v>35810425.04235056</v>
      </c>
      <c r="J73" s="18">
        <f>SUM(J15:J72)</f>
        <v>445313.29057450063</v>
      </c>
      <c r="K73" s="18">
        <f>SUM(K15:K72)</f>
        <v>77451.081466172778</v>
      </c>
      <c r="L73" s="18">
        <f>SUM(L15:L72)</f>
        <v>522764.37204067339</v>
      </c>
      <c r="O73" s="83" t="s">
        <v>313</v>
      </c>
    </row>
    <row r="74" spans="1:15" ht="15" thickBot="1" x14ac:dyDescent="0.4">
      <c r="H74" s="37" t="s">
        <v>257</v>
      </c>
      <c r="L74" s="37" t="s">
        <v>258</v>
      </c>
    </row>
    <row r="75" spans="1:15" s="72" customFormat="1" ht="16" thickBot="1" x14ac:dyDescent="0.4">
      <c r="A75" s="24">
        <v>60</v>
      </c>
      <c r="B75" s="73" t="s">
        <v>461</v>
      </c>
      <c r="F75" s="75">
        <f>H73+L73</f>
        <v>36333189.414391235</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31">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5:D55"/>
    <mergeCell ref="B56:D56"/>
    <mergeCell ref="B51:D51"/>
    <mergeCell ref="B52:D52"/>
    <mergeCell ref="B53:D53"/>
    <mergeCell ref="B54:D54"/>
    <mergeCell ref="B57:D57"/>
    <mergeCell ref="B50:D50"/>
    <mergeCell ref="N13:N14"/>
    <mergeCell ref="O13:O14"/>
    <mergeCell ref="J13:L13"/>
    <mergeCell ref="A3:H3"/>
    <mergeCell ref="F13:H13"/>
    <mergeCell ref="B12:D12"/>
    <mergeCell ref="B13:D14"/>
    <mergeCell ref="B15:D1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5" t="s">
        <v>769</v>
      </c>
      <c r="B3" s="515"/>
      <c r="C3" s="515"/>
      <c r="D3" s="515"/>
      <c r="E3" s="515"/>
      <c r="F3" s="515"/>
      <c r="G3" s="515"/>
      <c r="H3" s="51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203</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t="s">
        <v>1007</v>
      </c>
      <c r="C15" s="535"/>
      <c r="D15" s="535"/>
      <c r="F15" s="117">
        <v>808629.20879499672</v>
      </c>
      <c r="G15" s="68">
        <f>IFERROR(F15*'As-Filed Schedule 1'!$E$103,0)</f>
        <v>140640.77594789481</v>
      </c>
      <c r="H15" s="68">
        <f>SUM(F15:G15)</f>
        <v>949269.98474289151</v>
      </c>
      <c r="J15" s="117"/>
      <c r="K15" s="68">
        <f>IFERROR(J15*'As-Filed Schedule 1'!$E$103,0)</f>
        <v>0</v>
      </c>
      <c r="L15" s="68">
        <f>SUM(J15:K15)</f>
        <v>0</v>
      </c>
      <c r="N15" s="120">
        <v>9.75</v>
      </c>
      <c r="O15" s="120">
        <v>1233</v>
      </c>
    </row>
    <row r="16" spans="1:15" x14ac:dyDescent="0.35">
      <c r="A16" s="24">
        <v>2</v>
      </c>
      <c r="B16" s="535" t="s">
        <v>1008</v>
      </c>
      <c r="C16" s="535"/>
      <c r="D16" s="535"/>
      <c r="F16" s="117">
        <v>847830.21024123393</v>
      </c>
      <c r="G16" s="68">
        <f>IFERROR(F16*'As-Filed Schedule 1'!$E$103,0)</f>
        <v>147458.80725491262</v>
      </c>
      <c r="H16" s="68">
        <f t="shared" ref="H16:H72" si="0">SUM(F16:G16)</f>
        <v>995289.01749614649</v>
      </c>
      <c r="J16" s="117"/>
      <c r="K16" s="68">
        <f>IFERROR(J16*'As-Filed Schedule 1'!$E$103,0)</f>
        <v>0</v>
      </c>
      <c r="L16" s="68">
        <f t="shared" ref="L16:L72" si="1">SUM(J16:K16)</f>
        <v>0</v>
      </c>
      <c r="N16" s="120">
        <v>7.7</v>
      </c>
      <c r="O16" s="120">
        <v>1036</v>
      </c>
    </row>
    <row r="17" spans="1:15" x14ac:dyDescent="0.35">
      <c r="A17" s="24">
        <v>3</v>
      </c>
      <c r="B17" s="535" t="s">
        <v>1009</v>
      </c>
      <c r="C17" s="535"/>
      <c r="D17" s="535"/>
      <c r="F17" s="117">
        <v>54125.01997315987</v>
      </c>
      <c r="G17" s="68">
        <f>IFERROR(F17*'As-Filed Schedule 1'!$E$103,0)</f>
        <v>9413.690136872543</v>
      </c>
      <c r="H17" s="68">
        <f t="shared" si="0"/>
        <v>63538.710110032414</v>
      </c>
      <c r="J17" s="117"/>
      <c r="K17" s="68">
        <f>IFERROR(J17*'As-Filed Schedule 1'!$E$103,0)</f>
        <v>0</v>
      </c>
      <c r="L17" s="68">
        <f t="shared" si="1"/>
        <v>0</v>
      </c>
      <c r="N17" s="120">
        <v>2</v>
      </c>
      <c r="O17" s="120">
        <v>48</v>
      </c>
    </row>
    <row r="18" spans="1:15" x14ac:dyDescent="0.35">
      <c r="A18" s="24">
        <v>4</v>
      </c>
      <c r="B18" s="535" t="s">
        <v>1010</v>
      </c>
      <c r="C18" s="535"/>
      <c r="D18" s="535"/>
      <c r="F18" s="117">
        <v>301622.30394330411</v>
      </c>
      <c r="G18" s="68">
        <f>IFERROR(F18*'As-Filed Schedule 1'!$E$103,0)</f>
        <v>52459.637134542907</v>
      </c>
      <c r="H18" s="68">
        <f t="shared" si="0"/>
        <v>354081.94107784703</v>
      </c>
      <c r="J18" s="117"/>
      <c r="K18" s="68">
        <f>IFERROR(J18*'As-Filed Schedule 1'!$E$103,0)</f>
        <v>0</v>
      </c>
      <c r="L18" s="68">
        <f t="shared" si="1"/>
        <v>0</v>
      </c>
      <c r="N18" s="120">
        <v>2</v>
      </c>
      <c r="O18" s="120">
        <v>343</v>
      </c>
    </row>
    <row r="19" spans="1:15" x14ac:dyDescent="0.35">
      <c r="A19" s="24">
        <v>5</v>
      </c>
      <c r="B19" s="535" t="s">
        <v>1011</v>
      </c>
      <c r="C19" s="535"/>
      <c r="D19" s="535"/>
      <c r="F19" s="117">
        <v>434869.2257208309</v>
      </c>
      <c r="G19" s="68">
        <f>IFERROR(F19*'As-Filed Schedule 1'!$E$103,0)</f>
        <v>75634.598251005315</v>
      </c>
      <c r="H19" s="68">
        <f t="shared" si="0"/>
        <v>510503.82397183625</v>
      </c>
      <c r="J19" s="117"/>
      <c r="K19" s="68">
        <f>IFERROR(J19*'As-Filed Schedule 1'!$E$103,0)</f>
        <v>0</v>
      </c>
      <c r="L19" s="68">
        <f t="shared" si="1"/>
        <v>0</v>
      </c>
      <c r="N19" s="120">
        <v>3.2</v>
      </c>
      <c r="O19" s="120">
        <v>184</v>
      </c>
    </row>
    <row r="20" spans="1:15" x14ac:dyDescent="0.35">
      <c r="A20" s="24">
        <v>6</v>
      </c>
      <c r="B20" s="535" t="s">
        <v>1012</v>
      </c>
      <c r="C20" s="535"/>
      <c r="D20" s="535"/>
      <c r="F20" s="117">
        <v>1098720.2860331039</v>
      </c>
      <c r="G20" s="68">
        <f>IFERROR(F20*'As-Filed Schedule 1'!$E$103,0)</f>
        <v>191094.84532182381</v>
      </c>
      <c r="H20" s="68">
        <f t="shared" si="0"/>
        <v>1289815.1313549278</v>
      </c>
      <c r="J20" s="117"/>
      <c r="K20" s="68">
        <f>IFERROR(J20*'As-Filed Schedule 1'!$E$103,0)</f>
        <v>0</v>
      </c>
      <c r="L20" s="68">
        <f t="shared" si="1"/>
        <v>0</v>
      </c>
      <c r="N20" s="120">
        <v>23.5</v>
      </c>
      <c r="O20" s="120">
        <v>512</v>
      </c>
    </row>
    <row r="21" spans="1:15" x14ac:dyDescent="0.35">
      <c r="A21" s="24">
        <v>7</v>
      </c>
      <c r="B21" s="535" t="s">
        <v>1013</v>
      </c>
      <c r="C21" s="535"/>
      <c r="D21" s="535"/>
      <c r="F21" s="117">
        <v>901537.30464408221</v>
      </c>
      <c r="G21" s="68">
        <f>IFERROR(F21*'As-Filed Schedule 1'!$E$103,0)</f>
        <v>156799.80971756094</v>
      </c>
      <c r="H21" s="68">
        <f t="shared" si="0"/>
        <v>1058337.1143616431</v>
      </c>
      <c r="J21" s="117"/>
      <c r="K21" s="68">
        <f>IFERROR(J21*'As-Filed Schedule 1'!$E$103,0)</f>
        <v>0</v>
      </c>
      <c r="L21" s="68">
        <f t="shared" si="1"/>
        <v>0</v>
      </c>
      <c r="N21" s="120">
        <v>6</v>
      </c>
      <c r="O21" s="120">
        <v>673</v>
      </c>
    </row>
    <row r="22" spans="1:15" x14ac:dyDescent="0.35">
      <c r="A22" s="24">
        <v>8</v>
      </c>
      <c r="B22" s="456" t="s">
        <v>1014</v>
      </c>
      <c r="C22" s="457"/>
      <c r="D22" s="458"/>
      <c r="F22" s="117">
        <v>1351262.5764587852</v>
      </c>
      <c r="G22" s="68">
        <f>IFERROR(F22*'As-Filed Schedule 1'!$E$103,0)</f>
        <v>235018.24469797825</v>
      </c>
      <c r="H22" s="68">
        <f t="shared" si="0"/>
        <v>1586280.8211567635</v>
      </c>
      <c r="J22" s="117"/>
      <c r="K22" s="68">
        <f>IFERROR(J22*'As-Filed Schedule 1'!$E$103,0)</f>
        <v>0</v>
      </c>
      <c r="L22" s="68">
        <f t="shared" si="1"/>
        <v>0</v>
      </c>
      <c r="N22" s="120">
        <v>13.5</v>
      </c>
      <c r="O22" s="120">
        <v>633</v>
      </c>
    </row>
    <row r="23" spans="1:15" x14ac:dyDescent="0.35">
      <c r="A23" s="24">
        <v>9</v>
      </c>
      <c r="B23" s="456" t="s">
        <v>1015</v>
      </c>
      <c r="C23" s="457"/>
      <c r="D23" s="458"/>
      <c r="F23" s="117">
        <v>1142191.8355112185</v>
      </c>
      <c r="G23" s="68">
        <f>IFERROR(F23*'As-Filed Schedule 1'!$E$103,0)</f>
        <v>198655.63138268117</v>
      </c>
      <c r="H23" s="68">
        <f t="shared" si="0"/>
        <v>1340847.4668938997</v>
      </c>
      <c r="J23" s="117"/>
      <c r="K23" s="68">
        <f>IFERROR(J23*'As-Filed Schedule 1'!$E$103,0)</f>
        <v>0</v>
      </c>
      <c r="L23" s="68">
        <f t="shared" si="1"/>
        <v>0</v>
      </c>
      <c r="N23" s="120">
        <v>13</v>
      </c>
      <c r="O23" s="120">
        <v>1496</v>
      </c>
    </row>
    <row r="24" spans="1:15" x14ac:dyDescent="0.35">
      <c r="A24" s="24">
        <v>10</v>
      </c>
      <c r="B24" s="456" t="s">
        <v>1016</v>
      </c>
      <c r="C24" s="457"/>
      <c r="D24" s="458"/>
      <c r="F24" s="117">
        <v>277707.29545747821</v>
      </c>
      <c r="G24" s="68">
        <f>IFERROR(F24*'As-Filed Schedule 1'!$E$103,0)</f>
        <v>48300.221034227718</v>
      </c>
      <c r="H24" s="68">
        <f t="shared" si="0"/>
        <v>326007.5164917059</v>
      </c>
      <c r="J24" s="117"/>
      <c r="K24" s="68">
        <f>IFERROR(J24*'As-Filed Schedule 1'!$E$103,0)</f>
        <v>0</v>
      </c>
      <c r="L24" s="68">
        <f t="shared" si="1"/>
        <v>0</v>
      </c>
      <c r="N24" s="120">
        <v>1.5</v>
      </c>
      <c r="O24" s="120">
        <v>211</v>
      </c>
    </row>
    <row r="25" spans="1:15" x14ac:dyDescent="0.35">
      <c r="A25" s="24">
        <v>11</v>
      </c>
      <c r="B25" s="535" t="s">
        <v>1017</v>
      </c>
      <c r="C25" s="535"/>
      <c r="D25" s="535"/>
      <c r="F25" s="117">
        <v>1594916.8719724999</v>
      </c>
      <c r="G25" s="68">
        <f>IFERROR(F25*'As-Filed Schedule 1'!$E$103,0)</f>
        <v>277395.80020967143</v>
      </c>
      <c r="H25" s="68">
        <f t="shared" si="0"/>
        <v>1872312.6721821714</v>
      </c>
      <c r="J25" s="117"/>
      <c r="K25" s="68">
        <f>IFERROR(J25*'As-Filed Schedule 1'!$E$103,0)</f>
        <v>0</v>
      </c>
      <c r="L25" s="68">
        <f t="shared" si="1"/>
        <v>0</v>
      </c>
      <c r="N25" s="120">
        <v>12.4</v>
      </c>
      <c r="O25" s="120">
        <v>462</v>
      </c>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452"/>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452"/>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452"/>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452"/>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452"/>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452"/>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452"/>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452"/>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452"/>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452"/>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452"/>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452"/>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8813412.1387506947</v>
      </c>
      <c r="G73" s="18">
        <f t="shared" ref="G73:H73" si="2">SUM(G15:G72)</f>
        <v>1532872.0610891716</v>
      </c>
      <c r="H73" s="18">
        <f t="shared" si="2"/>
        <v>10346284.199839864</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462</v>
      </c>
      <c r="F75" s="75">
        <f>H73+L73</f>
        <v>10346284.199839864</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2">
    <mergeCell ref="B25:D25"/>
    <mergeCell ref="B15:D15"/>
    <mergeCell ref="B16:D16"/>
    <mergeCell ref="B17:D17"/>
    <mergeCell ref="B18:D18"/>
    <mergeCell ref="B19:D19"/>
    <mergeCell ref="B20:D20"/>
    <mergeCell ref="B21:D21"/>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 ref="B48:D48"/>
    <mergeCell ref="B66:D66"/>
    <mergeCell ref="B72:D72"/>
    <mergeCell ref="B67:D67"/>
    <mergeCell ref="B68:D68"/>
    <mergeCell ref="B69:D69"/>
    <mergeCell ref="B70:D70"/>
    <mergeCell ref="B71:D71"/>
    <mergeCell ref="B49:D49"/>
    <mergeCell ref="B50:D50"/>
    <mergeCell ref="B51:D51"/>
    <mergeCell ref="B52:D52"/>
    <mergeCell ref="B39:D39"/>
    <mergeCell ref="B40:D40"/>
    <mergeCell ref="B41:D41"/>
    <mergeCell ref="B46:D46"/>
    <mergeCell ref="B47:D47"/>
    <mergeCell ref="B42:D42"/>
    <mergeCell ref="B43:D43"/>
    <mergeCell ref="B44:D44"/>
    <mergeCell ref="B45:D45"/>
    <mergeCell ref="B38:D38"/>
    <mergeCell ref="B34:D34"/>
    <mergeCell ref="B35:D35"/>
    <mergeCell ref="B36:D36"/>
    <mergeCell ref="B37:D37"/>
    <mergeCell ref="B33:D33"/>
    <mergeCell ref="B32:D32"/>
    <mergeCell ref="B30:D30"/>
    <mergeCell ref="B31:D31"/>
    <mergeCell ref="B28:D28"/>
    <mergeCell ref="B29:D29"/>
    <mergeCell ref="A3:H3"/>
    <mergeCell ref="F13:H13"/>
    <mergeCell ref="B12:D12"/>
    <mergeCell ref="B13:D14"/>
    <mergeCell ref="O13:O14"/>
    <mergeCell ref="N13:N14"/>
    <mergeCell ref="J13:L13"/>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811</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809</v>
      </c>
      <c r="C8" s="1"/>
      <c r="F8" s="119" t="s">
        <v>177</v>
      </c>
      <c r="G8" s="41" t="s">
        <v>259</v>
      </c>
    </row>
    <row r="10" spans="1:15" x14ac:dyDescent="0.35">
      <c r="A10" s="1" t="s">
        <v>254</v>
      </c>
      <c r="B10" s="1" t="s">
        <v>256</v>
      </c>
      <c r="C10" s="1"/>
    </row>
    <row r="12" spans="1:15" x14ac:dyDescent="0.35">
      <c r="B12" s="568">
        <v>1</v>
      </c>
      <c r="C12" s="569"/>
      <c r="D12" s="570"/>
      <c r="F12" s="23">
        <v>2</v>
      </c>
      <c r="G12" s="23">
        <v>3</v>
      </c>
      <c r="H12" s="23">
        <v>4</v>
      </c>
      <c r="J12" s="23">
        <v>5</v>
      </c>
      <c r="K12" s="23">
        <v>6</v>
      </c>
      <c r="L12" s="23">
        <v>7</v>
      </c>
      <c r="N12" s="23">
        <v>8</v>
      </c>
      <c r="O12" s="23">
        <v>9</v>
      </c>
    </row>
    <row r="13" spans="1:15" ht="15" customHeight="1" x14ac:dyDescent="0.35">
      <c r="B13" s="539" t="s">
        <v>255</v>
      </c>
      <c r="C13" s="540"/>
      <c r="D13" s="541"/>
      <c r="F13" s="533" t="s">
        <v>261</v>
      </c>
      <c r="G13" s="538"/>
      <c r="H13" s="534"/>
      <c r="J13" s="533" t="s">
        <v>262</v>
      </c>
      <c r="K13" s="538"/>
      <c r="L13" s="534"/>
      <c r="N13" s="536" t="s">
        <v>250</v>
      </c>
      <c r="O13" s="536" t="s">
        <v>312</v>
      </c>
    </row>
    <row r="14" spans="1:15" ht="55.5" customHeight="1" x14ac:dyDescent="0.35">
      <c r="B14" s="542"/>
      <c r="C14" s="543"/>
      <c r="D14" s="544"/>
      <c r="E14" s="48"/>
      <c r="F14" s="10" t="s">
        <v>214</v>
      </c>
      <c r="G14" s="151" t="s">
        <v>491</v>
      </c>
      <c r="H14" s="151" t="s">
        <v>215</v>
      </c>
      <c r="I14" s="100"/>
      <c r="J14" s="151" t="s">
        <v>214</v>
      </c>
      <c r="K14" s="151" t="s">
        <v>491</v>
      </c>
      <c r="L14" s="10" t="s">
        <v>215</v>
      </c>
      <c r="M14" s="48"/>
      <c r="N14" s="537"/>
      <c r="O14" s="537"/>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65"/>
      <c r="C16" s="566"/>
      <c r="D16" s="56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5"/>
      <c r="C17" s="566"/>
      <c r="D17" s="56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5"/>
      <c r="C18" s="566"/>
      <c r="D18" s="56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5"/>
      <c r="C19" s="566"/>
      <c r="D19" s="56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5"/>
      <c r="C20" s="566"/>
      <c r="D20" s="56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5"/>
      <c r="C21" s="566"/>
      <c r="D21" s="56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5"/>
      <c r="C22" s="566"/>
      <c r="D22" s="56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5"/>
      <c r="C23" s="566"/>
      <c r="D23" s="56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5"/>
      <c r="C24" s="566"/>
      <c r="D24" s="56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5"/>
      <c r="C25" s="566"/>
      <c r="D25" s="56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5"/>
      <c r="C26" s="566"/>
      <c r="D26" s="56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5"/>
      <c r="C27" s="566"/>
      <c r="D27" s="56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5"/>
      <c r="C28" s="566"/>
      <c r="D28" s="56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5"/>
      <c r="C29" s="566"/>
      <c r="D29" s="56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5"/>
      <c r="C30" s="566"/>
      <c r="D30" s="56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5"/>
      <c r="C31" s="566"/>
      <c r="D31" s="56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5"/>
      <c r="C32" s="566"/>
      <c r="D32" s="56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5"/>
      <c r="C33" s="566"/>
      <c r="D33" s="56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5"/>
      <c r="C34" s="566"/>
      <c r="D34" s="56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5"/>
      <c r="C35" s="566"/>
      <c r="D35" s="56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5"/>
      <c r="C36" s="566"/>
      <c r="D36" s="56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5"/>
      <c r="C37" s="566"/>
      <c r="D37" s="56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5"/>
      <c r="C38" s="566"/>
      <c r="D38" s="56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5"/>
      <c r="C39" s="566"/>
      <c r="D39" s="56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5"/>
      <c r="C40" s="566"/>
      <c r="D40" s="56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5"/>
      <c r="C41" s="566"/>
      <c r="D41" s="56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5"/>
      <c r="C42" s="566"/>
      <c r="D42" s="56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5"/>
      <c r="C43" s="566"/>
      <c r="D43" s="56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5"/>
      <c r="C44" s="566"/>
      <c r="D44" s="56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5"/>
      <c r="C45" s="566"/>
      <c r="D45" s="56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5"/>
      <c r="C46" s="566"/>
      <c r="D46" s="56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5"/>
      <c r="C47" s="566"/>
      <c r="D47" s="56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5"/>
      <c r="C48" s="566"/>
      <c r="D48" s="56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5"/>
      <c r="C49" s="566"/>
      <c r="D49" s="56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5"/>
      <c r="C50" s="566"/>
      <c r="D50" s="56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5"/>
      <c r="C51" s="566"/>
      <c r="D51" s="56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5"/>
      <c r="C52" s="566"/>
      <c r="D52" s="56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5"/>
      <c r="C53" s="566"/>
      <c r="D53" s="56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5"/>
      <c r="C54" s="566"/>
      <c r="D54" s="56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5"/>
      <c r="C55" s="566"/>
      <c r="D55" s="56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5"/>
      <c r="C56" s="566"/>
      <c r="D56" s="56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5"/>
      <c r="C57" s="566"/>
      <c r="D57" s="56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5"/>
      <c r="C58" s="566"/>
      <c r="D58" s="56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5"/>
      <c r="C59" s="566"/>
      <c r="D59" s="56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5"/>
      <c r="C60" s="566"/>
      <c r="D60" s="56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5"/>
      <c r="C61" s="566"/>
      <c r="D61" s="56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5"/>
      <c r="C62" s="566"/>
      <c r="D62" s="56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5"/>
      <c r="C63" s="566"/>
      <c r="D63" s="56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5"/>
      <c r="C64" s="566"/>
      <c r="D64" s="56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5"/>
      <c r="C65" s="566"/>
      <c r="D65" s="56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5"/>
      <c r="C66" s="566"/>
      <c r="D66" s="56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5"/>
      <c r="C67" s="566"/>
      <c r="D67" s="56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5"/>
      <c r="C68" s="566"/>
      <c r="D68" s="56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5"/>
      <c r="C69" s="566"/>
      <c r="D69" s="56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5"/>
      <c r="C70" s="566"/>
      <c r="D70" s="56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5"/>
      <c r="C71" s="566"/>
      <c r="D71" s="56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5"/>
      <c r="C72" s="566"/>
      <c r="D72" s="56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814</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812</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35"/>
      <c r="C16" s="535"/>
      <c r="D16" s="53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6"/>
      <c r="C22" s="457"/>
      <c r="D22" s="45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6"/>
      <c r="C23" s="457"/>
      <c r="D23" s="45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6"/>
      <c r="C24" s="457"/>
      <c r="D24" s="45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6"/>
      <c r="C27" s="457"/>
      <c r="D27" s="45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3"/>
      <c r="C28" s="454"/>
      <c r="D28" s="45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3"/>
      <c r="C29" s="454"/>
      <c r="D29" s="45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71"/>
      <c r="C30" s="572"/>
      <c r="D30" s="57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71"/>
      <c r="C31" s="572"/>
      <c r="D31" s="57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71"/>
      <c r="C32" s="572"/>
      <c r="D32" s="57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71"/>
      <c r="C33" s="572"/>
      <c r="D33" s="57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71"/>
      <c r="C34" s="572"/>
      <c r="D34" s="57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71"/>
      <c r="C35" s="572"/>
      <c r="D35" s="57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71"/>
      <c r="C36" s="572"/>
      <c r="D36" s="57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71"/>
      <c r="C37" s="572"/>
      <c r="D37" s="57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71"/>
      <c r="C38" s="572"/>
      <c r="D38" s="57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71"/>
      <c r="C39" s="572"/>
      <c r="D39" s="57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71"/>
      <c r="C40" s="572"/>
      <c r="D40" s="57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813</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817</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815</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71"/>
      <c r="C16" s="572"/>
      <c r="D16" s="57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816</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820</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818</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35"/>
      <c r="C16" s="535"/>
      <c r="D16" s="53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823</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821</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35"/>
      <c r="C16" s="535"/>
      <c r="D16" s="53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826</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824</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35"/>
      <c r="C16" s="535"/>
      <c r="D16" s="53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825</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829</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827</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35"/>
      <c r="C16" s="535"/>
      <c r="D16" s="53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828</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832</v>
      </c>
      <c r="B3" s="5"/>
      <c r="C3" s="5"/>
      <c r="D3" s="5"/>
      <c r="E3" s="5"/>
      <c r="F3" s="5"/>
      <c r="G3" s="5"/>
      <c r="H3" s="5"/>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830</v>
      </c>
      <c r="C8" s="1"/>
      <c r="F8" s="119" t="s">
        <v>177</v>
      </c>
      <c r="G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35"/>
      <c r="C16" s="535"/>
      <c r="D16" s="53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836</v>
      </c>
      <c r="B3" s="5"/>
      <c r="C3" s="5"/>
      <c r="D3" s="5"/>
      <c r="E3" s="5"/>
      <c r="F3" s="5"/>
      <c r="G3" s="5"/>
      <c r="H3" s="5"/>
    </row>
    <row r="4" spans="1:15" ht="21" x14ac:dyDescent="0.5">
      <c r="A4" s="242" t="s">
        <v>833</v>
      </c>
    </row>
    <row r="5" spans="1:15" x14ac:dyDescent="0.35">
      <c r="A5" s="1" t="s">
        <v>772</v>
      </c>
      <c r="C5" s="420" t="str">
        <f>'As-Filed Schedule 1'!C5</f>
        <v>SummitStone Health Partners</v>
      </c>
    </row>
    <row r="6" spans="1:15" x14ac:dyDescent="0.35">
      <c r="A6" s="1" t="s">
        <v>0</v>
      </c>
      <c r="C6" s="35">
        <f>'As-Filed Schedule 1'!C6</f>
        <v>45473</v>
      </c>
      <c r="F6" s="35"/>
    </row>
    <row r="8" spans="1:15" x14ac:dyDescent="0.35">
      <c r="A8" s="1" t="s">
        <v>253</v>
      </c>
      <c r="B8" s="1" t="s">
        <v>834</v>
      </c>
      <c r="C8" s="1"/>
      <c r="K8" s="119" t="s">
        <v>177</v>
      </c>
      <c r="L8" s="41" t="s">
        <v>259</v>
      </c>
    </row>
    <row r="10" spans="1:15" x14ac:dyDescent="0.35">
      <c r="A10" s="1" t="s">
        <v>254</v>
      </c>
      <c r="B10" s="1" t="s">
        <v>256</v>
      </c>
      <c r="C10" s="1"/>
    </row>
    <row r="12" spans="1:15" x14ac:dyDescent="0.35">
      <c r="B12" s="530">
        <v>1</v>
      </c>
      <c r="C12" s="530"/>
      <c r="D12" s="530"/>
      <c r="F12" s="23">
        <v>2</v>
      </c>
      <c r="G12" s="23">
        <v>3</v>
      </c>
      <c r="H12" s="23">
        <v>4</v>
      </c>
      <c r="J12" s="23">
        <v>5</v>
      </c>
      <c r="K12" s="23">
        <v>6</v>
      </c>
      <c r="L12" s="23">
        <v>7</v>
      </c>
      <c r="N12" s="23">
        <v>8</v>
      </c>
      <c r="O12" s="23">
        <v>9</v>
      </c>
    </row>
    <row r="13" spans="1:15" x14ac:dyDescent="0.35">
      <c r="B13" s="531" t="s">
        <v>255</v>
      </c>
      <c r="C13" s="531"/>
      <c r="D13" s="531"/>
      <c r="F13" s="533" t="s">
        <v>261</v>
      </c>
      <c r="G13" s="538"/>
      <c r="H13" s="534"/>
      <c r="J13" s="533" t="s">
        <v>262</v>
      </c>
      <c r="K13" s="538"/>
      <c r="L13" s="534"/>
      <c r="N13" s="532" t="s">
        <v>250</v>
      </c>
      <c r="O13" s="532" t="s">
        <v>312</v>
      </c>
    </row>
    <row r="14" spans="1:15" ht="55.5" customHeight="1" x14ac:dyDescent="0.35">
      <c r="B14" s="531"/>
      <c r="C14" s="531"/>
      <c r="D14" s="531"/>
      <c r="E14" s="48"/>
      <c r="F14" s="10" t="s">
        <v>214</v>
      </c>
      <c r="G14" s="151" t="s">
        <v>491</v>
      </c>
      <c r="H14" s="151" t="s">
        <v>215</v>
      </c>
      <c r="I14" s="100"/>
      <c r="J14" s="151" t="s">
        <v>214</v>
      </c>
      <c r="K14" s="151" t="s">
        <v>491</v>
      </c>
      <c r="L14" s="10" t="s">
        <v>215</v>
      </c>
      <c r="M14" s="48"/>
      <c r="N14" s="532"/>
      <c r="O14" s="532"/>
    </row>
    <row r="15" spans="1:15" x14ac:dyDescent="0.35">
      <c r="A15" s="24">
        <v>1</v>
      </c>
      <c r="B15" s="535"/>
      <c r="C15" s="535"/>
      <c r="D15" s="535"/>
      <c r="F15" s="117"/>
      <c r="G15" s="68">
        <f>IFERROR(F15*'As-Filed Schedule 1'!$E$103,0)</f>
        <v>0</v>
      </c>
      <c r="H15" s="68">
        <f>SUM(F15:G15)</f>
        <v>0</v>
      </c>
      <c r="J15" s="117"/>
      <c r="K15" s="68">
        <f>IFERROR(J15*'As-Filed Schedule 1'!$E$103,0)</f>
        <v>0</v>
      </c>
      <c r="L15" s="68">
        <f>SUM(J15:K15)</f>
        <v>0</v>
      </c>
      <c r="N15" s="120"/>
      <c r="O15" s="120"/>
    </row>
    <row r="16" spans="1:15" x14ac:dyDescent="0.35">
      <c r="A16" s="24">
        <v>2</v>
      </c>
      <c r="B16" s="535"/>
      <c r="C16" s="535"/>
      <c r="D16" s="53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5"/>
      <c r="C17" s="535"/>
      <c r="D17" s="53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5"/>
      <c r="C18" s="535"/>
      <c r="D18" s="53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5"/>
      <c r="C19" s="535"/>
      <c r="D19" s="53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5"/>
      <c r="C20" s="535"/>
      <c r="D20" s="53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5"/>
      <c r="C21" s="535"/>
      <c r="D21" s="53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5"/>
      <c r="C22" s="535"/>
      <c r="D22" s="53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5"/>
      <c r="C23" s="535"/>
      <c r="D23" s="53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5"/>
      <c r="C24" s="535"/>
      <c r="D24" s="53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5"/>
      <c r="C25" s="535"/>
      <c r="D25" s="53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5"/>
      <c r="C26" s="535"/>
      <c r="D26" s="53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5"/>
      <c r="C27" s="535"/>
      <c r="D27" s="53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5"/>
      <c r="C28" s="535"/>
      <c r="D28" s="53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5"/>
      <c r="C29" s="535"/>
      <c r="D29" s="53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5"/>
      <c r="C30" s="535"/>
      <c r="D30" s="53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5"/>
      <c r="C31" s="535"/>
      <c r="D31" s="53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5"/>
      <c r="C32" s="535"/>
      <c r="D32" s="53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5"/>
      <c r="C33" s="535"/>
      <c r="D33" s="53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5"/>
      <c r="C34" s="535"/>
      <c r="D34" s="53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5"/>
      <c r="C35" s="535"/>
      <c r="D35" s="53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5"/>
      <c r="C36" s="535"/>
      <c r="D36" s="53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5"/>
      <c r="C37" s="535"/>
      <c r="D37" s="53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5"/>
      <c r="C38" s="535"/>
      <c r="D38" s="53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5"/>
      <c r="C39" s="535"/>
      <c r="D39" s="53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5"/>
      <c r="C40" s="535"/>
      <c r="D40" s="53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5"/>
      <c r="C41" s="535"/>
      <c r="D41" s="53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5"/>
      <c r="C42" s="535"/>
      <c r="D42" s="53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5"/>
      <c r="C43" s="535"/>
      <c r="D43" s="53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5"/>
      <c r="C44" s="535"/>
      <c r="D44" s="53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5"/>
      <c r="C45" s="535"/>
      <c r="D45" s="53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5"/>
      <c r="C46" s="535"/>
      <c r="D46" s="53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5"/>
      <c r="C47" s="535"/>
      <c r="D47" s="53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5"/>
      <c r="C48" s="535"/>
      <c r="D48" s="53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5"/>
      <c r="C49" s="535"/>
      <c r="D49" s="53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5"/>
      <c r="C50" s="535"/>
      <c r="D50" s="53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5"/>
      <c r="C51" s="535"/>
      <c r="D51" s="53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5"/>
      <c r="C52" s="535"/>
      <c r="D52" s="53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5"/>
      <c r="C53" s="535"/>
      <c r="D53" s="53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5"/>
      <c r="C54" s="535"/>
      <c r="D54" s="53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5"/>
      <c r="C55" s="535"/>
      <c r="D55" s="53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5"/>
      <c r="C56" s="535"/>
      <c r="D56" s="53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5"/>
      <c r="C57" s="535"/>
      <c r="D57" s="53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5"/>
      <c r="C58" s="535"/>
      <c r="D58" s="53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5"/>
      <c r="C59" s="535"/>
      <c r="D59" s="53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5"/>
      <c r="C60" s="535"/>
      <c r="D60" s="53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5"/>
      <c r="C61" s="535"/>
      <c r="D61" s="53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5"/>
      <c r="C62" s="535"/>
      <c r="D62" s="53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5"/>
      <c r="C63" s="535"/>
      <c r="D63" s="53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5"/>
      <c r="C64" s="535"/>
      <c r="D64" s="53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5"/>
      <c r="C65" s="535"/>
      <c r="D65" s="53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5"/>
      <c r="C66" s="535"/>
      <c r="D66" s="53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5"/>
      <c r="C67" s="535"/>
      <c r="D67" s="53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5"/>
      <c r="C68" s="535"/>
      <c r="D68" s="53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5"/>
      <c r="C69" s="535"/>
      <c r="D69" s="53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5"/>
      <c r="C70" s="535"/>
      <c r="D70" s="53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5"/>
      <c r="C71" s="535"/>
      <c r="D71" s="53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5"/>
      <c r="C72" s="535"/>
      <c r="D72" s="53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835</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F20" sqref="F20"/>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924</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772</v>
      </c>
      <c r="C5" s="420" t="str">
        <f>'As-Filed Schedule 1'!C5</f>
        <v>SummitStone Health Partners</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24" t="s">
        <v>480</v>
      </c>
      <c r="B9" s="524"/>
      <c r="C9" s="524"/>
      <c r="D9" s="524"/>
      <c r="E9" s="524"/>
      <c r="F9" s="524"/>
      <c r="G9" s="524"/>
      <c r="H9" s="524"/>
      <c r="I9" s="524"/>
      <c r="J9" s="524"/>
      <c r="K9" s="524"/>
      <c r="L9" s="100"/>
      <c r="T9" s="40"/>
      <c r="U9" s="40"/>
      <c r="V9" s="40"/>
    </row>
    <row r="10" spans="1:22" x14ac:dyDescent="0.35">
      <c r="A10" s="524"/>
      <c r="B10" s="524"/>
      <c r="C10" s="524"/>
      <c r="D10" s="524"/>
      <c r="E10" s="524"/>
      <c r="F10" s="524"/>
      <c r="G10" s="524"/>
      <c r="H10" s="524"/>
      <c r="I10" s="524"/>
      <c r="J10" s="524"/>
      <c r="K10" s="524"/>
      <c r="L10" s="100"/>
      <c r="T10" s="40"/>
      <c r="U10" s="40"/>
      <c r="V10" s="40"/>
    </row>
    <row r="11" spans="1:22" x14ac:dyDescent="0.35">
      <c r="A11" s="524"/>
      <c r="B11" s="524"/>
      <c r="C11" s="524"/>
      <c r="D11" s="524"/>
      <c r="E11" s="524"/>
      <c r="F11" s="524"/>
      <c r="G11" s="524"/>
      <c r="H11" s="524"/>
      <c r="I11" s="524"/>
      <c r="J11" s="524"/>
      <c r="K11" s="524"/>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17">
        <v>1</v>
      </c>
      <c r="C13" s="518"/>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51" t="s">
        <v>158</v>
      </c>
      <c r="C14" s="552"/>
      <c r="D14" s="548" t="s">
        <v>464</v>
      </c>
      <c r="E14" s="548" t="s">
        <v>437</v>
      </c>
      <c r="F14" s="548" t="s">
        <v>441</v>
      </c>
      <c r="G14" s="555" t="s">
        <v>492</v>
      </c>
      <c r="H14" s="555" t="s">
        <v>493</v>
      </c>
      <c r="I14" s="208"/>
      <c r="J14" s="208"/>
      <c r="K14" s="548" t="s">
        <v>160</v>
      </c>
      <c r="L14" s="548" t="s">
        <v>161</v>
      </c>
      <c r="M14" s="550" t="s">
        <v>168</v>
      </c>
      <c r="N14" s="550"/>
      <c r="O14" s="550" t="s">
        <v>34</v>
      </c>
      <c r="P14" s="550"/>
      <c r="Q14" s="550" t="s">
        <v>169</v>
      </c>
      <c r="R14" s="550"/>
    </row>
    <row r="15" spans="1:22" ht="60" customHeight="1" x14ac:dyDescent="0.35">
      <c r="A15" s="100"/>
      <c r="B15" s="553"/>
      <c r="C15" s="554"/>
      <c r="D15" s="549"/>
      <c r="E15" s="549"/>
      <c r="F15" s="549"/>
      <c r="G15" s="556"/>
      <c r="H15" s="556"/>
      <c r="I15" s="209" t="s">
        <v>454</v>
      </c>
      <c r="J15" s="209" t="s">
        <v>494</v>
      </c>
      <c r="K15" s="549"/>
      <c r="L15" s="549"/>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76" t="s">
        <v>1018</v>
      </c>
      <c r="C17" s="577"/>
      <c r="D17" s="467" t="s">
        <v>175</v>
      </c>
      <c r="E17" s="467" t="s">
        <v>466</v>
      </c>
      <c r="F17" s="468">
        <v>10</v>
      </c>
      <c r="G17" s="469"/>
      <c r="H17" s="469">
        <v>45261</v>
      </c>
      <c r="I17" s="139">
        <f>IF(B17=0,"",IF(AND(G17=0,H17=0),365,IF(AND(G17&gt;0,H17=0),$C$6-G17+1,IF(AND(G17=0,H17&gt;0),H17-($C$6-365),H17-G17+1))))</f>
        <v>153</v>
      </c>
      <c r="J17" s="98"/>
      <c r="K17" s="8">
        <f>SUM(K18:K20)</f>
        <v>1372</v>
      </c>
      <c r="L17" s="91">
        <f>IF(K17&gt;0,K17/(F17*I17),"")</f>
        <v>0.89673202614379088</v>
      </c>
      <c r="M17" s="126">
        <v>1974755.394729668</v>
      </c>
      <c r="N17" s="85">
        <f>IFERROR(M17/K17,"")</f>
        <v>1439.3260894531109</v>
      </c>
      <c r="O17" s="126">
        <v>84060.891032265819</v>
      </c>
      <c r="P17" s="85">
        <f>IFERROR(O17/K17,"")</f>
        <v>61.268871014771008</v>
      </c>
      <c r="Q17" s="86">
        <f>IF(M17=0,"",M17-O17)</f>
        <v>1890694.5036974023</v>
      </c>
      <c r="R17" s="85">
        <f>IFERROR(Q17/K17,"")</f>
        <v>1378.05721843834</v>
      </c>
    </row>
    <row r="18" spans="1:18" x14ac:dyDescent="0.35">
      <c r="A18" s="101" t="s">
        <v>447</v>
      </c>
      <c r="B18" s="217"/>
      <c r="C18" s="217"/>
      <c r="D18" s="217"/>
      <c r="E18" s="217"/>
      <c r="F18" s="218"/>
      <c r="G18" s="219"/>
      <c r="H18" s="219"/>
      <c r="I18" s="104"/>
      <c r="J18" s="94" t="s">
        <v>52</v>
      </c>
      <c r="K18" s="221">
        <v>1372</v>
      </c>
      <c r="L18" s="89"/>
      <c r="M18" s="466"/>
      <c r="N18" s="87"/>
      <c r="O18" s="87"/>
      <c r="P18" s="87"/>
      <c r="Q18" s="87"/>
      <c r="R18" s="87"/>
    </row>
    <row r="19" spans="1:18" x14ac:dyDescent="0.35">
      <c r="A19" s="102" t="s">
        <v>448</v>
      </c>
      <c r="B19" s="224"/>
      <c r="C19" s="224"/>
      <c r="D19" s="224"/>
      <c r="E19" s="224"/>
      <c r="F19" s="225"/>
      <c r="G19" s="226"/>
      <c r="H19" s="226"/>
      <c r="I19" s="105"/>
      <c r="J19" s="114"/>
      <c r="K19" s="228"/>
      <c r="L19" s="90"/>
      <c r="M19" s="88"/>
      <c r="N19" s="88"/>
      <c r="O19" s="88"/>
      <c r="P19" s="88"/>
      <c r="Q19" s="88"/>
      <c r="R19" s="88"/>
    </row>
    <row r="20" spans="1:18" x14ac:dyDescent="0.35">
      <c r="A20" s="103" t="s">
        <v>449</v>
      </c>
      <c r="B20" s="224"/>
      <c r="C20" s="224"/>
      <c r="D20" s="224"/>
      <c r="E20" s="224"/>
      <c r="F20" s="225"/>
      <c r="G20" s="226"/>
      <c r="H20" s="226"/>
      <c r="I20" s="105"/>
      <c r="J20" s="115"/>
      <c r="K20" s="125"/>
      <c r="L20" s="90"/>
      <c r="M20" s="88"/>
      <c r="N20" s="88"/>
      <c r="O20" s="88"/>
      <c r="P20" s="88"/>
      <c r="Q20" s="88"/>
      <c r="R20" s="88"/>
    </row>
    <row r="21" spans="1:18" x14ac:dyDescent="0.35">
      <c r="G21"/>
      <c r="H21"/>
      <c r="J21" s="100"/>
      <c r="L21" s="28"/>
      <c r="M21" s="13"/>
    </row>
    <row r="22" spans="1:18" s="34" customFormat="1" x14ac:dyDescent="0.35">
      <c r="A22" s="84">
        <v>2</v>
      </c>
      <c r="B22" s="574" t="s">
        <v>1019</v>
      </c>
      <c r="C22" s="575"/>
      <c r="D22" s="121" t="s">
        <v>170</v>
      </c>
      <c r="E22" s="121" t="s">
        <v>159</v>
      </c>
      <c r="F22" s="122">
        <v>16</v>
      </c>
      <c r="G22" s="134"/>
      <c r="H22" s="134"/>
      <c r="I22" s="139">
        <f>IF(B22=0,"",IF(AND(G22=0,H22=0),365,IF(AND(G22&gt;0,H22=0),$C$6-G22+1,IF(AND(G22=0,H22&gt;0),H22-($C$6-365),H22-G22+1))))</f>
        <v>365</v>
      </c>
      <c r="J22" s="98"/>
      <c r="K22" s="8">
        <f>SUM(K23:K25)</f>
        <v>4190</v>
      </c>
      <c r="L22" s="91">
        <f>IF(K22&gt;0,K22/(F22*I22),"")</f>
        <v>0.71746575342465757</v>
      </c>
      <c r="M22" s="126">
        <v>4851452.5779167879</v>
      </c>
      <c r="N22" s="85">
        <f>IFERROR(M22/K22,"")</f>
        <v>1157.8645770684459</v>
      </c>
      <c r="O22" s="126">
        <v>381082.47527094866</v>
      </c>
      <c r="P22" s="85">
        <f>IFERROR(O22/K22,"")</f>
        <v>90.950471425047411</v>
      </c>
      <c r="Q22" s="86">
        <f>IF(M22=0,"",M22-O22)</f>
        <v>4470370.1026458396</v>
      </c>
      <c r="R22" s="85">
        <f>IFERROR(Q22/K22,"")</f>
        <v>1066.9141056433984</v>
      </c>
    </row>
    <row r="23" spans="1:18" x14ac:dyDescent="0.35">
      <c r="A23" s="101" t="s">
        <v>447</v>
      </c>
      <c r="B23" s="87"/>
      <c r="C23" s="87"/>
      <c r="D23" s="87"/>
      <c r="E23" s="87"/>
      <c r="F23" s="132"/>
      <c r="G23" s="135"/>
      <c r="H23" s="135"/>
      <c r="I23" s="104"/>
      <c r="J23" s="99" t="s">
        <v>451</v>
      </c>
      <c r="K23" s="123">
        <v>113</v>
      </c>
      <c r="L23" s="89"/>
      <c r="M23" s="466"/>
      <c r="N23" s="87"/>
      <c r="O23" s="87"/>
      <c r="P23" s="87"/>
      <c r="Q23" s="87"/>
      <c r="R23" s="87"/>
    </row>
    <row r="24" spans="1:18" x14ac:dyDescent="0.35">
      <c r="A24" s="102" t="s">
        <v>448</v>
      </c>
      <c r="B24" s="88"/>
      <c r="C24" s="88"/>
      <c r="D24" s="88"/>
      <c r="E24" s="88"/>
      <c r="F24" s="133"/>
      <c r="G24" s="136"/>
      <c r="H24" s="136"/>
      <c r="I24" s="105"/>
      <c r="J24" s="114" t="s">
        <v>438</v>
      </c>
      <c r="K24" s="124">
        <v>4077</v>
      </c>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c r="M26" s="13"/>
    </row>
    <row r="27" spans="1:18" s="34" customFormat="1" x14ac:dyDescent="0.35">
      <c r="A27" s="84">
        <v>3</v>
      </c>
      <c r="B27" s="574" t="s">
        <v>1020</v>
      </c>
      <c r="C27" s="575"/>
      <c r="D27" s="121" t="s">
        <v>175</v>
      </c>
      <c r="E27" s="121" t="s">
        <v>466</v>
      </c>
      <c r="F27" s="122">
        <v>26.25</v>
      </c>
      <c r="G27" s="469">
        <v>45262</v>
      </c>
      <c r="H27" s="134"/>
      <c r="I27" s="139">
        <f>IF(B27=0,"",IF(AND(G27=0,H27=0),365,IF(AND(G27&gt;0,H27=0),$C$6-G27+1,IF(AND(G27=0,H27&gt;0),H27-($C$6-365),H27-G27+1))))</f>
        <v>212</v>
      </c>
      <c r="J27" s="98"/>
      <c r="K27" s="8">
        <f>SUM(K28:K30)</f>
        <v>4001</v>
      </c>
      <c r="L27" s="91">
        <f>IF(K27&gt;0,K27/(F27*I27),"")</f>
        <v>0.7189577717879605</v>
      </c>
      <c r="M27" s="126">
        <v>20973596.45353803</v>
      </c>
      <c r="N27" s="85">
        <f>IFERROR(M27/K27,"")</f>
        <v>5242.0885912366984</v>
      </c>
      <c r="O27" s="126">
        <v>572488.26237738819</v>
      </c>
      <c r="P27" s="85">
        <f>IFERROR(O27/K27,"")</f>
        <v>143.08629402084185</v>
      </c>
      <c r="Q27" s="86">
        <f>IF(M27=0,"",M27-O27)</f>
        <v>20401108.191160642</v>
      </c>
      <c r="R27" s="85">
        <f>IFERROR(Q27/K27,"")</f>
        <v>5099.0022972158567</v>
      </c>
    </row>
    <row r="28" spans="1:18" x14ac:dyDescent="0.35">
      <c r="A28" s="101" t="s">
        <v>447</v>
      </c>
      <c r="B28" s="87"/>
      <c r="C28" s="87"/>
      <c r="D28" s="87"/>
      <c r="E28" s="87"/>
      <c r="F28" s="132"/>
      <c r="G28" s="135"/>
      <c r="H28" s="135"/>
      <c r="I28" s="104"/>
      <c r="J28" s="99" t="s">
        <v>52</v>
      </c>
      <c r="K28" s="123">
        <v>2132</v>
      </c>
      <c r="L28" s="89"/>
      <c r="M28" s="87"/>
      <c r="N28" s="87"/>
      <c r="O28" s="87"/>
      <c r="P28" s="87"/>
      <c r="Q28" s="87"/>
      <c r="R28" s="87"/>
    </row>
    <row r="29" spans="1:18" x14ac:dyDescent="0.35">
      <c r="A29" s="102" t="s">
        <v>448</v>
      </c>
      <c r="B29" s="88"/>
      <c r="C29" s="88"/>
      <c r="D29" s="88"/>
      <c r="E29" s="88"/>
      <c r="F29" s="133"/>
      <c r="G29" s="136"/>
      <c r="H29" s="136"/>
      <c r="I29" s="105"/>
      <c r="J29" s="114" t="s">
        <v>451</v>
      </c>
      <c r="K29" s="124">
        <v>1168</v>
      </c>
      <c r="L29" s="90"/>
      <c r="M29" s="88"/>
      <c r="N29" s="88"/>
      <c r="O29" s="88"/>
      <c r="P29" s="88"/>
      <c r="Q29" s="88"/>
      <c r="R29" s="88"/>
    </row>
    <row r="30" spans="1:18" x14ac:dyDescent="0.35">
      <c r="A30" s="103" t="s">
        <v>449</v>
      </c>
      <c r="B30" s="88"/>
      <c r="C30" s="88"/>
      <c r="D30" s="88"/>
      <c r="E30" s="88"/>
      <c r="F30" s="133"/>
      <c r="G30" s="136"/>
      <c r="H30" s="136"/>
      <c r="I30" s="105"/>
      <c r="J30" s="115" t="s">
        <v>450</v>
      </c>
      <c r="K30" s="125">
        <v>701</v>
      </c>
      <c r="L30" s="90"/>
      <c r="M30" s="88"/>
      <c r="N30" s="88"/>
      <c r="O30" s="88"/>
      <c r="P30" s="88"/>
      <c r="Q30" s="88"/>
      <c r="R30" s="88"/>
    </row>
    <row r="31" spans="1:18" x14ac:dyDescent="0.35">
      <c r="G31"/>
      <c r="H31"/>
      <c r="J31" s="114" t="s">
        <v>438</v>
      </c>
      <c r="K31" s="125">
        <v>1</v>
      </c>
      <c r="L31" s="28"/>
    </row>
    <row r="32" spans="1:18" s="34" customFormat="1" x14ac:dyDescent="0.35">
      <c r="A32" s="84">
        <v>4</v>
      </c>
      <c r="B32" s="574"/>
      <c r="C32" s="575"/>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1"/>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74"/>
      <c r="C37" s="575"/>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74"/>
      <c r="C42" s="575"/>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74"/>
      <c r="C47" s="575"/>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74"/>
      <c r="C52" s="575"/>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74"/>
      <c r="C57" s="575"/>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74"/>
      <c r="C62" s="575"/>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74"/>
      <c r="C67" s="575"/>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74"/>
      <c r="C72" s="575"/>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74"/>
      <c r="C77" s="575"/>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74"/>
      <c r="C82" s="575"/>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74"/>
      <c r="C87" s="575"/>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74"/>
      <c r="C92" s="575"/>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74"/>
      <c r="C97" s="575"/>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74"/>
      <c r="C102" s="575"/>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74"/>
      <c r="C107" s="575"/>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74"/>
      <c r="C112" s="575"/>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74"/>
      <c r="C117" s="575"/>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74"/>
      <c r="C122" s="575"/>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74"/>
      <c r="C127" s="575"/>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74"/>
      <c r="C132" s="575"/>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74"/>
      <c r="C137" s="575"/>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74"/>
      <c r="C142" s="575"/>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74"/>
      <c r="C147" s="575"/>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74"/>
      <c r="C152" s="575"/>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74"/>
      <c r="C157" s="575"/>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74"/>
      <c r="C162" s="575"/>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45" t="s">
        <v>173</v>
      </c>
      <c r="C167" s="545"/>
      <c r="D167" s="545"/>
      <c r="E167" s="545"/>
      <c r="F167" s="27">
        <f>F162+F157+F152+F147+F142+F137+F132+F127+F122+F117+F112+F107+F102+F97+F92+F87+F82+F77+F72+F67+F62+F57+F52+F47+F42+F37+F32+F27+F22+F17</f>
        <v>52.25</v>
      </c>
      <c r="G167" s="32"/>
      <c r="H167" s="32"/>
      <c r="I167" s="32"/>
      <c r="J167" s="32"/>
      <c r="K167" s="27">
        <f>K162+K157+K152+K147+K142+K137+K132+K127+K122+K117+K112+K107+K102+K97+K92+K87+K82+K77+K72+K67+K62+K57+K52+K47+K42+K37+K32+K27+K22+K17</f>
        <v>9563</v>
      </c>
      <c r="L167" s="29">
        <f>IF(K167&gt;0,K167/(F167*365),"")</f>
        <v>0.50143540669856457</v>
      </c>
      <c r="M167" s="27">
        <f>M162+M157+M152+M147+M142+M137+M132+M127+M122+M117+M112+M107+M102+M97+M92+M87+M82+M77+M72+M67+M62+M57+M52+M47+M42+M37+M32+M27+M22+M17</f>
        <v>27799804.426184483</v>
      </c>
      <c r="N167" s="17">
        <f t="shared" ref="N167" si="0">IFERROR(M167/K167,"")</f>
        <v>2907.0170894263811</v>
      </c>
      <c r="O167" s="27">
        <f>O162+O157+O152+O147+O142+O137+O132+O127+O122+O117+O112+O107+O102+O97+O92+O87+O82+O77+O72+O67+O62+O57+O52+O47+O42+O37+O32+O27+O22+O17</f>
        <v>1037631.6286806028</v>
      </c>
      <c r="P167" s="17">
        <f t="shared" ref="P167" si="1">IFERROR(O167/K167,"")</f>
        <v>108.50482366209377</v>
      </c>
      <c r="Q167" s="30">
        <f t="shared" ref="Q167" si="2">IF(M167=0,"",M167-O167)</f>
        <v>26762172.797503881</v>
      </c>
      <c r="R167" s="17">
        <f t="shared" ref="R167" si="3">IFERROR(Q167/K167,"")</f>
        <v>2798.5122657642873</v>
      </c>
    </row>
    <row r="169" spans="1:18" x14ac:dyDescent="0.35">
      <c r="A169" s="19">
        <v>32</v>
      </c>
      <c r="L169" s="37" t="s">
        <v>199</v>
      </c>
      <c r="M169" s="39">
        <f>'As-Filed Schedule 1'!G91</f>
        <v>23681075.077650409</v>
      </c>
    </row>
    <row r="170" spans="1:18" x14ac:dyDescent="0.35">
      <c r="A170" s="19">
        <v>33</v>
      </c>
      <c r="L170" s="37" t="s">
        <v>186</v>
      </c>
      <c r="M170" s="39">
        <f>'As-Filed Schedule 1'!G93</f>
        <v>4118729.4261844815</v>
      </c>
    </row>
    <row r="171" spans="1:18" x14ac:dyDescent="0.35">
      <c r="A171" s="19">
        <v>34</v>
      </c>
      <c r="L171" s="37" t="s">
        <v>200</v>
      </c>
      <c r="M171" s="18">
        <f>SUM(M169:M170)</f>
        <v>27799804.503834892</v>
      </c>
    </row>
    <row r="172" spans="1:18" x14ac:dyDescent="0.35">
      <c r="A172" s="19">
        <v>35</v>
      </c>
      <c r="L172" s="37" t="s">
        <v>10</v>
      </c>
      <c r="M172" s="18">
        <f>M167-M171</f>
        <v>-7.7650409191846848E-2</v>
      </c>
    </row>
    <row r="173" spans="1:18" x14ac:dyDescent="0.35">
      <c r="M173" s="38" t="str">
        <f>IF(M172&lt;&gt;0,"ERROR","")</f>
        <v>ERROR</v>
      </c>
    </row>
    <row r="174" spans="1:18" ht="39" customHeight="1" x14ac:dyDescent="0.35">
      <c r="J174" s="6" t="s">
        <v>40</v>
      </c>
      <c r="K174" s="6" t="s">
        <v>446</v>
      </c>
      <c r="L174" s="6" t="s">
        <v>445</v>
      </c>
      <c r="M174" s="78" t="s">
        <v>10</v>
      </c>
    </row>
    <row r="175" spans="1:18" x14ac:dyDescent="0.35">
      <c r="A175" s="19">
        <v>36</v>
      </c>
      <c r="J175" s="93" t="s">
        <v>442</v>
      </c>
      <c r="K175" s="27">
        <f>SUMIF($J$17:$J$167,"H0010 3.2 WM",$K$17:$K$167)</f>
        <v>701</v>
      </c>
      <c r="L175" s="27">
        <f>'As-Filed Schedule 4'!D122+'As-Filed Schedule 4'!H122</f>
        <v>701</v>
      </c>
      <c r="M175" s="27">
        <f>L175-K175</f>
        <v>0</v>
      </c>
      <c r="N175" s="92" t="str">
        <f>IF(M175&lt;&gt;0,"ERROR","")</f>
        <v/>
      </c>
    </row>
    <row r="176" spans="1:18" x14ac:dyDescent="0.35">
      <c r="A176" s="19">
        <v>37</v>
      </c>
      <c r="J176" s="94" t="s">
        <v>443</v>
      </c>
      <c r="K176" s="27">
        <f>SUMIF($J$17:$J$167,"H0011 3.7 WM",$K$17:$K$167)</f>
        <v>1281</v>
      </c>
      <c r="L176" s="27">
        <f>'As-Filed Schedule 4'!D123+'As-Filed Schedule 4'!H123</f>
        <v>1281</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468</v>
      </c>
      <c r="D178" s="235"/>
      <c r="E178" s="235" t="s">
        <v>472</v>
      </c>
      <c r="F178" s="100"/>
      <c r="G178" s="146"/>
      <c r="J178" s="94" t="s">
        <v>52</v>
      </c>
      <c r="K178" s="27">
        <f t="shared" si="6"/>
        <v>3504</v>
      </c>
      <c r="L178" s="27">
        <f>'As-Filed Schedule 4'!D126+'As-Filed Schedule 4'!H126</f>
        <v>3504</v>
      </c>
      <c r="M178" s="27">
        <f t="shared" si="4"/>
        <v>0</v>
      </c>
      <c r="N178" s="92" t="str">
        <f t="shared" si="5"/>
        <v/>
      </c>
    </row>
    <row r="179" spans="1:14" x14ac:dyDescent="0.35">
      <c r="A179" s="19">
        <v>40</v>
      </c>
      <c r="C179" s="234" t="s">
        <v>477</v>
      </c>
      <c r="D179" s="235"/>
      <c r="E179" s="235"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0</v>
      </c>
      <c r="L182" s="109"/>
      <c r="M182" s="110"/>
    </row>
    <row r="183" spans="1:14" x14ac:dyDescent="0.35">
      <c r="A183" s="19">
        <v>44</v>
      </c>
      <c r="C183" s="100"/>
      <c r="D183" s="100"/>
      <c r="E183" s="100"/>
      <c r="F183" s="100"/>
      <c r="J183" s="96" t="s">
        <v>438</v>
      </c>
      <c r="K183" s="107">
        <f t="shared" si="6"/>
        <v>4078</v>
      </c>
      <c r="L183" s="27">
        <f>'As-Filed Schedule 4'!D180+'As-Filed Schedule 4'!H180</f>
        <v>4078</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17:C17"/>
    <mergeCell ref="B27:C27"/>
    <mergeCell ref="B22:C22"/>
    <mergeCell ref="B37:C37"/>
    <mergeCell ref="B32:C32"/>
    <mergeCell ref="B67:C67"/>
    <mergeCell ref="B72:C72"/>
    <mergeCell ref="B42:C42"/>
    <mergeCell ref="B52:C52"/>
    <mergeCell ref="B47:C47"/>
    <mergeCell ref="B57:C57"/>
    <mergeCell ref="B62:C62"/>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162:C162"/>
    <mergeCell ref="B132:C132"/>
    <mergeCell ref="B137:C137"/>
    <mergeCell ref="B142:C142"/>
    <mergeCell ref="B147:C147"/>
    <mergeCell ref="B152:C152"/>
    <mergeCell ref="B77:C77"/>
    <mergeCell ref="B82:C82"/>
    <mergeCell ref="B87:C87"/>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H17" sqref="H17:H196"/>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928</v>
      </c>
      <c r="B3" s="5"/>
      <c r="C3" s="7"/>
      <c r="D3" s="54"/>
      <c r="E3" s="51"/>
      <c r="F3" s="51"/>
      <c r="G3" s="52"/>
      <c r="H3" s="52"/>
      <c r="I3" s="14"/>
      <c r="J3" s="14"/>
    </row>
    <row r="4" spans="1:12" x14ac:dyDescent="0.35">
      <c r="D4" s="54"/>
      <c r="E4" s="49"/>
      <c r="F4" s="49"/>
      <c r="G4" s="50"/>
      <c r="H4" s="50"/>
      <c r="K4" s="557"/>
      <c r="L4" s="557"/>
    </row>
    <row r="5" spans="1:12" ht="15" customHeight="1" x14ac:dyDescent="0.35">
      <c r="A5" s="1" t="s">
        <v>772</v>
      </c>
      <c r="C5" s="420" t="str">
        <f>'As-Filed Schedule 1'!C5</f>
        <v>SummitStone Health Partners</v>
      </c>
      <c r="D5" s="55"/>
      <c r="E5" s="53"/>
      <c r="F5" s="53"/>
      <c r="G5" s="50"/>
      <c r="H5" s="50"/>
      <c r="K5" s="557"/>
      <c r="L5" s="557"/>
    </row>
    <row r="6" spans="1:12" x14ac:dyDescent="0.35">
      <c r="A6" s="1" t="s">
        <v>0</v>
      </c>
      <c r="C6" s="35">
        <f>'As-Filed Schedule 1'!C6</f>
        <v>45473</v>
      </c>
      <c r="D6" s="35"/>
      <c r="E6" s="35"/>
      <c r="F6" s="35"/>
      <c r="K6" s="557"/>
      <c r="L6" s="557"/>
    </row>
    <row r="7" spans="1:12" x14ac:dyDescent="0.35">
      <c r="A7" s="1"/>
      <c r="C7" s="35"/>
      <c r="D7" s="23">
        <v>1</v>
      </c>
      <c r="E7" s="35"/>
      <c r="F7" s="23">
        <v>3</v>
      </c>
      <c r="H7" s="205"/>
      <c r="I7" s="175">
        <v>6</v>
      </c>
      <c r="J7" s="205"/>
      <c r="K7" s="175">
        <v>8</v>
      </c>
      <c r="L7" s="81"/>
    </row>
    <row r="8" spans="1:12" x14ac:dyDescent="0.35">
      <c r="A8" s="19">
        <v>1</v>
      </c>
      <c r="C8" s="46" t="s">
        <v>193</v>
      </c>
      <c r="D8" s="26">
        <f>'As-Filed Schedule 1'!F95</f>
        <v>53601334.637558341</v>
      </c>
      <c r="E8" s="46" t="s">
        <v>197</v>
      </c>
      <c r="F8" s="31">
        <f>F197</f>
        <v>320727.75</v>
      </c>
      <c r="H8" s="427" t="s">
        <v>856</v>
      </c>
      <c r="I8" s="26">
        <f>'As-Filed Schedule 1'!F95</f>
        <v>53601334.637558341</v>
      </c>
      <c r="J8" s="427" t="s">
        <v>857</v>
      </c>
      <c r="K8" s="470">
        <v>162332</v>
      </c>
      <c r="L8" s="25"/>
    </row>
    <row r="9" spans="1:12" x14ac:dyDescent="0.35">
      <c r="A9" s="19">
        <v>2</v>
      </c>
      <c r="C9" s="46" t="s">
        <v>251</v>
      </c>
      <c r="D9" s="117">
        <v>0</v>
      </c>
      <c r="E9" s="46" t="s">
        <v>198</v>
      </c>
      <c r="F9" s="31">
        <f>J197</f>
        <v>112135.2</v>
      </c>
      <c r="H9" s="427" t="s">
        <v>858</v>
      </c>
      <c r="I9" s="180">
        <v>0</v>
      </c>
      <c r="J9" s="561"/>
      <c r="K9" s="561"/>
      <c r="L9" s="45"/>
    </row>
    <row r="10" spans="1:12" x14ac:dyDescent="0.35">
      <c r="A10" s="19">
        <v>3</v>
      </c>
      <c r="C10" s="42" t="s">
        <v>194</v>
      </c>
      <c r="D10" s="18">
        <f>D8-D9</f>
        <v>53601334.637558341</v>
      </c>
      <c r="E10" s="42" t="s">
        <v>195</v>
      </c>
      <c r="F10" s="9">
        <f>SUM(F8:F9)</f>
        <v>432862.95</v>
      </c>
      <c r="H10" s="428" t="s">
        <v>859</v>
      </c>
      <c r="I10" s="185">
        <f>I8-I9</f>
        <v>53601334.637558341</v>
      </c>
      <c r="J10" s="561"/>
      <c r="K10" s="561"/>
      <c r="L10" s="45"/>
    </row>
    <row r="11" spans="1:12" x14ac:dyDescent="0.35">
      <c r="A11" s="1"/>
      <c r="H11" s="206"/>
      <c r="I11" s="206"/>
      <c r="J11" s="561"/>
      <c r="K11" s="562"/>
      <c r="L11" s="45"/>
    </row>
    <row r="12" spans="1:12" ht="18.5" x14ac:dyDescent="0.45">
      <c r="A12" s="19">
        <v>4</v>
      </c>
      <c r="E12" s="44" t="s">
        <v>196</v>
      </c>
      <c r="F12" s="43">
        <f>D10/F10</f>
        <v>123.82980487833005</v>
      </c>
      <c r="H12" s="206"/>
      <c r="I12" s="206"/>
      <c r="J12" s="429" t="s">
        <v>860</v>
      </c>
      <c r="K12" s="430">
        <f>I10/K8</f>
        <v>330.19573859472155</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58" t="s">
        <v>191</v>
      </c>
      <c r="E15" s="559"/>
      <c r="F15" s="559"/>
      <c r="G15" s="560"/>
      <c r="H15" s="558" t="s">
        <v>192</v>
      </c>
      <c r="I15" s="559"/>
      <c r="J15" s="559"/>
      <c r="K15" s="560"/>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4" t="s">
        <v>786</v>
      </c>
      <c r="C17" s="20" t="s">
        <v>787</v>
      </c>
      <c r="D17" s="116">
        <v>0</v>
      </c>
      <c r="E17" s="410">
        <v>0</v>
      </c>
      <c r="F17" s="148">
        <f>D17*E17</f>
        <v>0</v>
      </c>
      <c r="G17" s="149">
        <f t="shared" ref="G17" si="0">E17*$F$12</f>
        <v>0</v>
      </c>
      <c r="H17" s="150">
        <v>0</v>
      </c>
      <c r="I17" s="410">
        <v>0</v>
      </c>
      <c r="J17" s="47">
        <f>H17*I17</f>
        <v>0</v>
      </c>
      <c r="K17" s="21">
        <f t="shared" ref="K17" si="1">I17*$F$12</f>
        <v>0</v>
      </c>
    </row>
    <row r="18" spans="1:11" s="22" customFormat="1" x14ac:dyDescent="0.35">
      <c r="A18" s="19">
        <v>6</v>
      </c>
      <c r="B18" s="19">
        <v>80305</v>
      </c>
      <c r="C18" s="20" t="s">
        <v>111</v>
      </c>
      <c r="D18" s="116">
        <v>2988</v>
      </c>
      <c r="E18" s="410">
        <v>0</v>
      </c>
      <c r="F18" s="148">
        <f>D18*E18</f>
        <v>0</v>
      </c>
      <c r="G18" s="149">
        <f t="shared" ref="G18:G73" si="2">E18*$F$12</f>
        <v>0</v>
      </c>
      <c r="H18" s="150">
        <v>14</v>
      </c>
      <c r="I18" s="410">
        <v>0</v>
      </c>
      <c r="J18" s="47">
        <f>H18*I18</f>
        <v>0</v>
      </c>
      <c r="K18" s="21">
        <f t="shared" ref="K18:K73" si="3">I18*$F$12</f>
        <v>0</v>
      </c>
    </row>
    <row r="19" spans="1:11" s="22" customFormat="1" x14ac:dyDescent="0.35">
      <c r="A19" s="19">
        <v>7</v>
      </c>
      <c r="B19" s="19">
        <v>80306</v>
      </c>
      <c r="C19" s="20" t="s">
        <v>41</v>
      </c>
      <c r="D19" s="116">
        <v>0</v>
      </c>
      <c r="E19" s="410">
        <v>0</v>
      </c>
      <c r="F19" s="148">
        <f>D19*E19</f>
        <v>0</v>
      </c>
      <c r="G19" s="149">
        <f t="shared" si="2"/>
        <v>0</v>
      </c>
      <c r="H19" s="150">
        <v>0</v>
      </c>
      <c r="I19" s="410">
        <v>0</v>
      </c>
      <c r="J19" s="47">
        <f t="shared" ref="J19:J74" si="4">H19*I19</f>
        <v>0</v>
      </c>
      <c r="K19" s="21">
        <f t="shared" si="3"/>
        <v>0</v>
      </c>
    </row>
    <row r="20" spans="1:11" s="22" customFormat="1" x14ac:dyDescent="0.35">
      <c r="A20" s="19">
        <v>8</v>
      </c>
      <c r="B20" s="19">
        <v>82075</v>
      </c>
      <c r="C20" s="20" t="s">
        <v>112</v>
      </c>
      <c r="D20" s="116">
        <v>2</v>
      </c>
      <c r="E20" s="410">
        <v>0</v>
      </c>
      <c r="F20" s="148">
        <f t="shared" ref="F20:F74" si="5">D20*E20</f>
        <v>0</v>
      </c>
      <c r="G20" s="149">
        <f t="shared" si="2"/>
        <v>0</v>
      </c>
      <c r="H20" s="150">
        <v>4</v>
      </c>
      <c r="I20" s="410">
        <v>0</v>
      </c>
      <c r="J20" s="47">
        <f t="shared" si="4"/>
        <v>0</v>
      </c>
      <c r="K20" s="21">
        <f t="shared" si="3"/>
        <v>0</v>
      </c>
    </row>
    <row r="21" spans="1:11" s="22" customFormat="1" x14ac:dyDescent="0.35">
      <c r="A21" s="19">
        <v>9</v>
      </c>
      <c r="B21" s="19">
        <v>90785</v>
      </c>
      <c r="C21" s="20" t="s">
        <v>319</v>
      </c>
      <c r="D21" s="116">
        <v>307</v>
      </c>
      <c r="E21" s="410">
        <v>0.44</v>
      </c>
      <c r="F21" s="47">
        <f t="shared" si="5"/>
        <v>135.08000000000001</v>
      </c>
      <c r="G21" s="21">
        <f t="shared" si="2"/>
        <v>54.485114146465222</v>
      </c>
      <c r="H21" s="150">
        <v>494</v>
      </c>
      <c r="I21" s="410">
        <v>0.39</v>
      </c>
      <c r="J21" s="47">
        <f t="shared" si="4"/>
        <v>192.66</v>
      </c>
      <c r="K21" s="21">
        <f t="shared" si="3"/>
        <v>48.293623902548724</v>
      </c>
    </row>
    <row r="22" spans="1:11" s="22" customFormat="1" x14ac:dyDescent="0.35">
      <c r="A22" s="19">
        <v>10</v>
      </c>
      <c r="B22" s="19">
        <v>90791</v>
      </c>
      <c r="C22" s="20" t="s">
        <v>320</v>
      </c>
      <c r="D22" s="116">
        <v>2490</v>
      </c>
      <c r="E22" s="410">
        <v>5.17</v>
      </c>
      <c r="F22" s="47">
        <f t="shared" si="5"/>
        <v>12873.3</v>
      </c>
      <c r="G22" s="21">
        <f t="shared" si="2"/>
        <v>640.20009122096633</v>
      </c>
      <c r="H22" s="150">
        <v>213</v>
      </c>
      <c r="I22" s="410">
        <v>4.43</v>
      </c>
      <c r="J22" s="47">
        <f t="shared" si="4"/>
        <v>943.58999999999992</v>
      </c>
      <c r="K22" s="21">
        <f t="shared" si="3"/>
        <v>548.56603561100212</v>
      </c>
    </row>
    <row r="23" spans="1:11" s="22" customFormat="1" x14ac:dyDescent="0.35">
      <c r="A23" s="19">
        <v>11</v>
      </c>
      <c r="B23" s="19">
        <v>90792</v>
      </c>
      <c r="C23" s="20" t="s">
        <v>321</v>
      </c>
      <c r="D23" s="116">
        <v>192</v>
      </c>
      <c r="E23" s="410">
        <v>5.82</v>
      </c>
      <c r="F23" s="47">
        <f t="shared" si="5"/>
        <v>1117.44</v>
      </c>
      <c r="G23" s="21">
        <f t="shared" si="2"/>
        <v>720.68946439188096</v>
      </c>
      <c r="H23" s="150">
        <v>472</v>
      </c>
      <c r="I23" s="410">
        <v>5.08</v>
      </c>
      <c r="J23" s="47">
        <f t="shared" si="4"/>
        <v>2397.7600000000002</v>
      </c>
      <c r="K23" s="21">
        <f t="shared" si="3"/>
        <v>629.05540878191664</v>
      </c>
    </row>
    <row r="24" spans="1:11" s="22" customFormat="1" x14ac:dyDescent="0.35">
      <c r="A24" s="19">
        <v>12</v>
      </c>
      <c r="B24" s="19">
        <v>90832</v>
      </c>
      <c r="C24" s="20" t="s">
        <v>325</v>
      </c>
      <c r="D24" s="116">
        <v>3913</v>
      </c>
      <c r="E24" s="410">
        <v>2.35</v>
      </c>
      <c r="F24" s="47">
        <f t="shared" si="5"/>
        <v>9195.5500000000011</v>
      </c>
      <c r="G24" s="21">
        <f t="shared" si="2"/>
        <v>291.00004146407565</v>
      </c>
      <c r="H24" s="150">
        <v>743</v>
      </c>
      <c r="I24" s="410">
        <v>2.0499999999999998</v>
      </c>
      <c r="J24" s="47">
        <f t="shared" si="4"/>
        <v>1523.1499999999999</v>
      </c>
      <c r="K24" s="21">
        <f t="shared" si="3"/>
        <v>253.85110000057659</v>
      </c>
    </row>
    <row r="25" spans="1:11" s="22" customFormat="1" x14ac:dyDescent="0.35">
      <c r="A25" s="19">
        <v>13</v>
      </c>
      <c r="B25" s="19">
        <v>90833</v>
      </c>
      <c r="C25" s="20" t="s">
        <v>322</v>
      </c>
      <c r="D25" s="116">
        <v>10</v>
      </c>
      <c r="E25" s="410">
        <v>2.16</v>
      </c>
      <c r="F25" s="47">
        <f t="shared" si="5"/>
        <v>21.6</v>
      </c>
      <c r="G25" s="21">
        <f t="shared" si="2"/>
        <v>267.47237853719292</v>
      </c>
      <c r="H25" s="150">
        <v>0</v>
      </c>
      <c r="I25" s="410">
        <v>1.92</v>
      </c>
      <c r="J25" s="47">
        <f t="shared" si="4"/>
        <v>0</v>
      </c>
      <c r="K25" s="21">
        <f t="shared" si="3"/>
        <v>237.75322536639368</v>
      </c>
    </row>
    <row r="26" spans="1:11" s="22" customFormat="1" x14ac:dyDescent="0.35">
      <c r="A26" s="19">
        <v>14</v>
      </c>
      <c r="B26" s="19">
        <v>90834</v>
      </c>
      <c r="C26" s="20" t="s">
        <v>323</v>
      </c>
      <c r="D26" s="116">
        <v>8477</v>
      </c>
      <c r="E26" s="410">
        <v>3.1</v>
      </c>
      <c r="F26" s="47">
        <f t="shared" si="5"/>
        <v>26278.7</v>
      </c>
      <c r="G26" s="21">
        <f t="shared" si="2"/>
        <v>383.87239512282315</v>
      </c>
      <c r="H26" s="150">
        <v>1178</v>
      </c>
      <c r="I26" s="410">
        <v>2.71</v>
      </c>
      <c r="J26" s="47">
        <f t="shared" si="4"/>
        <v>3192.38</v>
      </c>
      <c r="K26" s="21">
        <f t="shared" si="3"/>
        <v>335.57877122027446</v>
      </c>
    </row>
    <row r="27" spans="1:11" s="22" customFormat="1" x14ac:dyDescent="0.35">
      <c r="A27" s="19">
        <v>15</v>
      </c>
      <c r="B27" s="19">
        <v>90836</v>
      </c>
      <c r="C27" s="20" t="s">
        <v>326</v>
      </c>
      <c r="D27" s="116">
        <v>2</v>
      </c>
      <c r="E27" s="410">
        <v>2.73</v>
      </c>
      <c r="F27" s="47">
        <f t="shared" si="5"/>
        <v>5.46</v>
      </c>
      <c r="G27" s="21">
        <f t="shared" si="2"/>
        <v>338.05536731784105</v>
      </c>
      <c r="H27" s="150">
        <v>0</v>
      </c>
      <c r="I27" s="410">
        <v>2.4300000000000002</v>
      </c>
      <c r="J27" s="47">
        <f t="shared" si="4"/>
        <v>0</v>
      </c>
      <c r="K27" s="21">
        <f t="shared" si="3"/>
        <v>300.90642585434205</v>
      </c>
    </row>
    <row r="28" spans="1:11" s="22" customFormat="1" x14ac:dyDescent="0.35">
      <c r="A28" s="19">
        <v>16</v>
      </c>
      <c r="B28" s="19">
        <v>90837</v>
      </c>
      <c r="C28" s="20" t="s">
        <v>324</v>
      </c>
      <c r="D28" s="116">
        <v>23096</v>
      </c>
      <c r="E28" s="410">
        <v>4.57</v>
      </c>
      <c r="F28" s="47">
        <f t="shared" si="5"/>
        <v>105548.72</v>
      </c>
      <c r="G28" s="21">
        <f t="shared" si="2"/>
        <v>565.90220829396833</v>
      </c>
      <c r="H28" s="150">
        <v>4615</v>
      </c>
      <c r="I28" s="410">
        <v>4</v>
      </c>
      <c r="J28" s="47">
        <f t="shared" si="4"/>
        <v>18460</v>
      </c>
      <c r="K28" s="21">
        <f t="shared" si="3"/>
        <v>495.31921951332021</v>
      </c>
    </row>
    <row r="29" spans="1:11" s="22" customFormat="1" x14ac:dyDescent="0.35">
      <c r="A29" s="19">
        <v>17</v>
      </c>
      <c r="B29" s="19">
        <v>90838</v>
      </c>
      <c r="C29" s="20" t="s">
        <v>327</v>
      </c>
      <c r="D29" s="116">
        <v>1</v>
      </c>
      <c r="E29" s="410">
        <v>3.62</v>
      </c>
      <c r="F29" s="47">
        <f t="shared" si="5"/>
        <v>3.62</v>
      </c>
      <c r="G29" s="21">
        <f t="shared" si="2"/>
        <v>448.26389365955481</v>
      </c>
      <c r="H29" s="150">
        <v>0</v>
      </c>
      <c r="I29" s="410">
        <v>3.22</v>
      </c>
      <c r="J29" s="47">
        <f t="shared" si="4"/>
        <v>0</v>
      </c>
      <c r="K29" s="21">
        <f t="shared" si="3"/>
        <v>398.73197170822277</v>
      </c>
    </row>
    <row r="30" spans="1:11" s="22" customFormat="1" x14ac:dyDescent="0.35">
      <c r="A30" s="19">
        <v>18</v>
      </c>
      <c r="B30" s="19">
        <v>90839</v>
      </c>
      <c r="C30" s="20" t="s">
        <v>329</v>
      </c>
      <c r="D30" s="116">
        <v>49</v>
      </c>
      <c r="E30" s="410">
        <v>4.4000000000000004</v>
      </c>
      <c r="F30" s="47">
        <f t="shared" si="5"/>
        <v>215.60000000000002</v>
      </c>
      <c r="G30" s="21">
        <f t="shared" si="2"/>
        <v>544.8511414646523</v>
      </c>
      <c r="H30" s="150">
        <v>26</v>
      </c>
      <c r="I30" s="410">
        <v>3.87</v>
      </c>
      <c r="J30" s="47">
        <f t="shared" si="4"/>
        <v>100.62</v>
      </c>
      <c r="K30" s="21">
        <f t="shared" si="3"/>
        <v>479.22134487913729</v>
      </c>
    </row>
    <row r="31" spans="1:11" s="22" customFormat="1" x14ac:dyDescent="0.35">
      <c r="A31" s="19">
        <v>19</v>
      </c>
      <c r="B31" s="19">
        <v>90840</v>
      </c>
      <c r="C31" s="20" t="s">
        <v>328</v>
      </c>
      <c r="D31" s="116">
        <v>6</v>
      </c>
      <c r="E31" s="410">
        <v>2.1800000000000002</v>
      </c>
      <c r="F31" s="47">
        <f t="shared" si="5"/>
        <v>13.080000000000002</v>
      </c>
      <c r="G31" s="21">
        <f t="shared" si="2"/>
        <v>269.94897463475951</v>
      </c>
      <c r="H31" s="150">
        <v>1</v>
      </c>
      <c r="I31" s="410">
        <v>1.94</v>
      </c>
      <c r="J31" s="47">
        <f t="shared" si="4"/>
        <v>1.94</v>
      </c>
      <c r="K31" s="21">
        <f t="shared" si="3"/>
        <v>240.22982146396029</v>
      </c>
    </row>
    <row r="32" spans="1:11" s="22" customFormat="1" x14ac:dyDescent="0.35">
      <c r="A32" s="19">
        <v>20</v>
      </c>
      <c r="B32" s="19">
        <v>90846</v>
      </c>
      <c r="C32" s="20" t="s">
        <v>113</v>
      </c>
      <c r="D32" s="116">
        <v>538</v>
      </c>
      <c r="E32" s="410">
        <v>2.93</v>
      </c>
      <c r="F32" s="47">
        <f t="shared" si="5"/>
        <v>1576.3400000000001</v>
      </c>
      <c r="G32" s="21">
        <f t="shared" si="2"/>
        <v>362.82132829350707</v>
      </c>
      <c r="H32" s="150">
        <v>68</v>
      </c>
      <c r="I32" s="410">
        <v>2.92</v>
      </c>
      <c r="J32" s="47">
        <f t="shared" si="4"/>
        <v>198.56</v>
      </c>
      <c r="K32" s="21">
        <f t="shared" si="3"/>
        <v>361.58303024472372</v>
      </c>
    </row>
    <row r="33" spans="1:11" s="22" customFormat="1" x14ac:dyDescent="0.35">
      <c r="A33" s="19">
        <v>21</v>
      </c>
      <c r="B33" s="19">
        <v>90847</v>
      </c>
      <c r="C33" s="20" t="s">
        <v>114</v>
      </c>
      <c r="D33" s="116">
        <v>1322</v>
      </c>
      <c r="E33" s="410">
        <v>3.07</v>
      </c>
      <c r="F33" s="47">
        <f t="shared" si="5"/>
        <v>4058.54</v>
      </c>
      <c r="G33" s="21">
        <f t="shared" si="2"/>
        <v>380.15750097647322</v>
      </c>
      <c r="H33" s="150">
        <v>182</v>
      </c>
      <c r="I33" s="410">
        <v>3.05</v>
      </c>
      <c r="J33" s="47">
        <f t="shared" si="4"/>
        <v>555.1</v>
      </c>
      <c r="K33" s="21">
        <f t="shared" si="3"/>
        <v>377.68090487890663</v>
      </c>
    </row>
    <row r="34" spans="1:11" s="22" customFormat="1" x14ac:dyDescent="0.35">
      <c r="A34" s="19">
        <v>22</v>
      </c>
      <c r="B34" s="19">
        <v>90849</v>
      </c>
      <c r="C34" s="20" t="s">
        <v>115</v>
      </c>
      <c r="D34" s="116">
        <v>8</v>
      </c>
      <c r="E34" s="410">
        <v>1.1299999999999999</v>
      </c>
      <c r="F34" s="47">
        <f t="shared" si="5"/>
        <v>9.0399999999999991</v>
      </c>
      <c r="G34" s="21">
        <f t="shared" si="2"/>
        <v>139.92767951251295</v>
      </c>
      <c r="H34" s="150">
        <v>10</v>
      </c>
      <c r="I34" s="410">
        <v>0.88</v>
      </c>
      <c r="J34" s="47">
        <f t="shared" si="4"/>
        <v>8.8000000000000007</v>
      </c>
      <c r="K34" s="21">
        <f t="shared" si="3"/>
        <v>108.97022829293044</v>
      </c>
    </row>
    <row r="35" spans="1:11" s="22" customFormat="1" x14ac:dyDescent="0.35">
      <c r="A35" s="19">
        <v>23</v>
      </c>
      <c r="B35" s="19">
        <v>90853</v>
      </c>
      <c r="C35" s="20" t="s">
        <v>116</v>
      </c>
      <c r="D35" s="116">
        <v>8627</v>
      </c>
      <c r="E35" s="410">
        <v>0.83</v>
      </c>
      <c r="F35" s="47">
        <f t="shared" si="5"/>
        <v>7160.41</v>
      </c>
      <c r="G35" s="21">
        <f t="shared" si="2"/>
        <v>102.77873804901394</v>
      </c>
      <c r="H35" s="150">
        <v>3966</v>
      </c>
      <c r="I35" s="410">
        <v>0.72</v>
      </c>
      <c r="J35" s="47">
        <f t="shared" si="4"/>
        <v>2855.52</v>
      </c>
      <c r="K35" s="21">
        <f t="shared" si="3"/>
        <v>89.157459512397637</v>
      </c>
    </row>
    <row r="36" spans="1:11" s="22" customFormat="1" x14ac:dyDescent="0.35">
      <c r="A36" s="19">
        <v>24</v>
      </c>
      <c r="B36" s="19">
        <v>90870</v>
      </c>
      <c r="C36" s="20" t="s">
        <v>117</v>
      </c>
      <c r="D36" s="116">
        <v>0</v>
      </c>
      <c r="E36" s="410">
        <v>5.18</v>
      </c>
      <c r="F36" s="47">
        <f t="shared" si="5"/>
        <v>0</v>
      </c>
      <c r="G36" s="21">
        <f t="shared" si="2"/>
        <v>641.43838926974968</v>
      </c>
      <c r="H36" s="150">
        <v>0</v>
      </c>
      <c r="I36" s="410">
        <v>3.12</v>
      </c>
      <c r="J36" s="47">
        <f t="shared" si="4"/>
        <v>0</v>
      </c>
      <c r="K36" s="21">
        <f t="shared" si="3"/>
        <v>386.34899122038979</v>
      </c>
    </row>
    <row r="37" spans="1:11" s="22" customFormat="1" x14ac:dyDescent="0.35">
      <c r="A37" s="19">
        <v>25</v>
      </c>
      <c r="B37" s="19">
        <v>90875</v>
      </c>
      <c r="C37" s="20" t="s">
        <v>152</v>
      </c>
      <c r="D37" s="116">
        <v>36</v>
      </c>
      <c r="E37" s="410">
        <v>1.75</v>
      </c>
      <c r="F37" s="47">
        <f t="shared" si="5"/>
        <v>63</v>
      </c>
      <c r="G37" s="21">
        <f t="shared" si="2"/>
        <v>216.70215853707759</v>
      </c>
      <c r="H37" s="150">
        <v>15</v>
      </c>
      <c r="I37" s="410">
        <v>1.74</v>
      </c>
      <c r="J37" s="47">
        <f t="shared" si="4"/>
        <v>26.1</v>
      </c>
      <c r="K37" s="21">
        <f t="shared" si="3"/>
        <v>215.4638604882943</v>
      </c>
    </row>
    <row r="38" spans="1:11" s="22" customFormat="1" x14ac:dyDescent="0.35">
      <c r="A38" s="19">
        <v>26</v>
      </c>
      <c r="B38" s="19">
        <v>90876</v>
      </c>
      <c r="C38" s="20" t="s">
        <v>153</v>
      </c>
      <c r="D38" s="116">
        <v>839</v>
      </c>
      <c r="E38" s="410">
        <v>3.08</v>
      </c>
      <c r="F38" s="47">
        <f t="shared" si="5"/>
        <v>2584.12</v>
      </c>
      <c r="G38" s="21">
        <f t="shared" si="2"/>
        <v>381.39579902525657</v>
      </c>
      <c r="H38" s="150">
        <v>665</v>
      </c>
      <c r="I38" s="410">
        <v>2.76</v>
      </c>
      <c r="J38" s="47">
        <f t="shared" si="4"/>
        <v>1835.3999999999999</v>
      </c>
      <c r="K38" s="21">
        <f t="shared" si="3"/>
        <v>341.77026146419092</v>
      </c>
    </row>
    <row r="39" spans="1:11" s="22" customFormat="1" x14ac:dyDescent="0.35">
      <c r="A39" s="19">
        <v>27</v>
      </c>
      <c r="B39" s="19">
        <v>90887</v>
      </c>
      <c r="C39" s="20" t="s">
        <v>330</v>
      </c>
      <c r="D39" s="116">
        <v>0</v>
      </c>
      <c r="E39" s="410">
        <v>2.56</v>
      </c>
      <c r="F39" s="47">
        <f t="shared" si="5"/>
        <v>0</v>
      </c>
      <c r="G39" s="21">
        <f t="shared" si="2"/>
        <v>317.00430048852496</v>
      </c>
      <c r="H39" s="150">
        <v>0</v>
      </c>
      <c r="I39" s="410">
        <v>2.14</v>
      </c>
      <c r="J39" s="47">
        <f t="shared" si="4"/>
        <v>0</v>
      </c>
      <c r="K39" s="21">
        <f t="shared" si="3"/>
        <v>264.99578243962634</v>
      </c>
    </row>
    <row r="40" spans="1:11" s="22" customFormat="1" x14ac:dyDescent="0.35">
      <c r="A40" s="19">
        <v>28</v>
      </c>
      <c r="B40" s="19">
        <v>96116</v>
      </c>
      <c r="C40" s="20" t="s">
        <v>341</v>
      </c>
      <c r="D40" s="116">
        <v>0</v>
      </c>
      <c r="E40" s="410">
        <v>2.76</v>
      </c>
      <c r="F40" s="47">
        <f t="shared" si="5"/>
        <v>0</v>
      </c>
      <c r="G40" s="21">
        <f t="shared" si="2"/>
        <v>341.77026146419092</v>
      </c>
      <c r="H40" s="150">
        <v>0</v>
      </c>
      <c r="I40" s="410">
        <v>2.37</v>
      </c>
      <c r="J40" s="47">
        <f t="shared" si="4"/>
        <v>0</v>
      </c>
      <c r="K40" s="21">
        <f t="shared" si="3"/>
        <v>293.47663756164224</v>
      </c>
    </row>
    <row r="41" spans="1:11" s="22" customFormat="1" x14ac:dyDescent="0.35">
      <c r="A41" s="19">
        <v>29</v>
      </c>
      <c r="B41" s="19">
        <v>96121</v>
      </c>
      <c r="C41" s="20" t="s">
        <v>340</v>
      </c>
      <c r="D41" s="116">
        <v>0</v>
      </c>
      <c r="E41" s="410">
        <v>2.25</v>
      </c>
      <c r="F41" s="47">
        <f t="shared" si="5"/>
        <v>0</v>
      </c>
      <c r="G41" s="21">
        <f t="shared" si="2"/>
        <v>278.61706097624261</v>
      </c>
      <c r="H41" s="150">
        <v>0</v>
      </c>
      <c r="I41" s="410">
        <v>1.97</v>
      </c>
      <c r="J41" s="47">
        <f t="shared" si="4"/>
        <v>0</v>
      </c>
      <c r="K41" s="21">
        <f t="shared" si="3"/>
        <v>243.9447156103102</v>
      </c>
    </row>
    <row r="42" spans="1:11" s="22" customFormat="1" x14ac:dyDescent="0.35">
      <c r="A42" s="19">
        <v>30</v>
      </c>
      <c r="B42" s="19">
        <v>96130</v>
      </c>
      <c r="C42" s="20" t="s">
        <v>338</v>
      </c>
      <c r="D42" s="116">
        <v>0</v>
      </c>
      <c r="E42" s="410">
        <v>3.6</v>
      </c>
      <c r="F42" s="47">
        <f t="shared" si="5"/>
        <v>0</v>
      </c>
      <c r="G42" s="21">
        <f t="shared" si="2"/>
        <v>445.78729756198817</v>
      </c>
      <c r="H42" s="150">
        <v>0</v>
      </c>
      <c r="I42" s="410">
        <v>3.25</v>
      </c>
      <c r="J42" s="47">
        <f t="shared" si="4"/>
        <v>0</v>
      </c>
      <c r="K42" s="21">
        <f t="shared" si="3"/>
        <v>402.44686585457265</v>
      </c>
    </row>
    <row r="43" spans="1:11" s="22" customFormat="1" x14ac:dyDescent="0.35">
      <c r="A43" s="19">
        <v>31</v>
      </c>
      <c r="B43" s="19">
        <v>96131</v>
      </c>
      <c r="C43" s="20" t="s">
        <v>339</v>
      </c>
      <c r="D43" s="116">
        <v>0</v>
      </c>
      <c r="E43" s="410">
        <v>2.57</v>
      </c>
      <c r="F43" s="47">
        <f t="shared" si="5"/>
        <v>0</v>
      </c>
      <c r="G43" s="21">
        <f t="shared" si="2"/>
        <v>318.2425985373082</v>
      </c>
      <c r="H43" s="150">
        <v>0</v>
      </c>
      <c r="I43" s="410">
        <v>2.25</v>
      </c>
      <c r="J43" s="47">
        <f t="shared" si="4"/>
        <v>0</v>
      </c>
      <c r="K43" s="21">
        <f t="shared" si="3"/>
        <v>278.61706097624261</v>
      </c>
    </row>
    <row r="44" spans="1:11" s="22" customFormat="1" x14ac:dyDescent="0.35">
      <c r="A44" s="19">
        <v>32</v>
      </c>
      <c r="B44" s="19">
        <v>96132</v>
      </c>
      <c r="C44" s="20" t="s">
        <v>332</v>
      </c>
      <c r="D44" s="116">
        <v>0</v>
      </c>
      <c r="E44" s="410">
        <v>3.85</v>
      </c>
      <c r="F44" s="47">
        <f t="shared" si="5"/>
        <v>0</v>
      </c>
      <c r="G44" s="21">
        <f t="shared" si="2"/>
        <v>476.74474878157071</v>
      </c>
      <c r="H44" s="150">
        <v>0</v>
      </c>
      <c r="I44" s="410">
        <v>3.14</v>
      </c>
      <c r="J44" s="47">
        <f t="shared" si="4"/>
        <v>0</v>
      </c>
      <c r="K44" s="21">
        <f t="shared" si="3"/>
        <v>388.82558731795638</v>
      </c>
    </row>
    <row r="45" spans="1:11" s="22" customFormat="1" x14ac:dyDescent="0.35">
      <c r="A45" s="19">
        <v>33</v>
      </c>
      <c r="B45" s="19">
        <v>96133</v>
      </c>
      <c r="C45" s="20" t="s">
        <v>333</v>
      </c>
      <c r="D45" s="116">
        <v>0</v>
      </c>
      <c r="E45" s="410">
        <v>2.92</v>
      </c>
      <c r="F45" s="47">
        <f t="shared" si="5"/>
        <v>0</v>
      </c>
      <c r="G45" s="21">
        <f t="shared" si="2"/>
        <v>361.58303024472372</v>
      </c>
      <c r="H45" s="150">
        <v>0</v>
      </c>
      <c r="I45" s="410">
        <v>2.2599999999999998</v>
      </c>
      <c r="J45" s="47">
        <f t="shared" si="4"/>
        <v>0</v>
      </c>
      <c r="K45" s="21">
        <f t="shared" si="3"/>
        <v>279.8553590250259</v>
      </c>
    </row>
    <row r="46" spans="1:11" s="22" customFormat="1" x14ac:dyDescent="0.35">
      <c r="A46" s="19">
        <v>34</v>
      </c>
      <c r="B46" s="19">
        <v>96136</v>
      </c>
      <c r="C46" s="20" t="s">
        <v>334</v>
      </c>
      <c r="D46" s="116">
        <v>0</v>
      </c>
      <c r="E46" s="410">
        <v>1.25</v>
      </c>
      <c r="F46" s="47">
        <f t="shared" si="5"/>
        <v>0</v>
      </c>
      <c r="G46" s="21">
        <f t="shared" si="2"/>
        <v>154.78725609791258</v>
      </c>
      <c r="H46" s="150">
        <v>0</v>
      </c>
      <c r="I46" s="410">
        <v>0.69</v>
      </c>
      <c r="J46" s="47">
        <f t="shared" si="4"/>
        <v>0</v>
      </c>
      <c r="K46" s="21">
        <f t="shared" si="3"/>
        <v>85.442565366047731</v>
      </c>
    </row>
    <row r="47" spans="1:11" s="22" customFormat="1" x14ac:dyDescent="0.35">
      <c r="A47" s="19">
        <v>35</v>
      </c>
      <c r="B47" s="19">
        <v>96137</v>
      </c>
      <c r="C47" s="20" t="s">
        <v>335</v>
      </c>
      <c r="D47" s="116">
        <v>0</v>
      </c>
      <c r="E47" s="410">
        <v>1.1299999999999999</v>
      </c>
      <c r="F47" s="47">
        <f t="shared" si="5"/>
        <v>0</v>
      </c>
      <c r="G47" s="21">
        <f t="shared" si="2"/>
        <v>139.92767951251295</v>
      </c>
      <c r="H47" s="150">
        <v>0</v>
      </c>
      <c r="I47" s="410">
        <v>0.53</v>
      </c>
      <c r="J47" s="47">
        <f t="shared" si="4"/>
        <v>0</v>
      </c>
      <c r="K47" s="21">
        <f t="shared" si="3"/>
        <v>65.629796585514924</v>
      </c>
    </row>
    <row r="48" spans="1:11" s="22" customFormat="1" x14ac:dyDescent="0.35">
      <c r="A48" s="19">
        <v>36</v>
      </c>
      <c r="B48" s="19">
        <v>96138</v>
      </c>
      <c r="C48" s="20" t="s">
        <v>336</v>
      </c>
      <c r="D48" s="116">
        <v>0</v>
      </c>
      <c r="E48" s="410">
        <v>1.03</v>
      </c>
      <c r="F48" s="47">
        <f t="shared" si="5"/>
        <v>0</v>
      </c>
      <c r="G48" s="21">
        <f t="shared" si="2"/>
        <v>127.54469902467996</v>
      </c>
      <c r="H48" s="150">
        <v>0</v>
      </c>
      <c r="I48" s="410">
        <v>0.56999999999999995</v>
      </c>
      <c r="J48" s="47">
        <f t="shared" si="4"/>
        <v>0</v>
      </c>
      <c r="K48" s="21">
        <f t="shared" si="3"/>
        <v>70.582988780648122</v>
      </c>
    </row>
    <row r="49" spans="1:11" s="22" customFormat="1" x14ac:dyDescent="0.35">
      <c r="A49" s="19">
        <v>37</v>
      </c>
      <c r="B49" s="19">
        <v>96139</v>
      </c>
      <c r="C49" s="20" t="s">
        <v>337</v>
      </c>
      <c r="D49" s="116">
        <v>0</v>
      </c>
      <c r="E49" s="410">
        <v>1.06</v>
      </c>
      <c r="F49" s="47">
        <f t="shared" si="5"/>
        <v>0</v>
      </c>
      <c r="G49" s="21">
        <f t="shared" si="2"/>
        <v>131.25959317102985</v>
      </c>
      <c r="H49" s="150">
        <v>0</v>
      </c>
      <c r="I49" s="410">
        <v>0.5</v>
      </c>
      <c r="J49" s="47">
        <f t="shared" si="4"/>
        <v>0</v>
      </c>
      <c r="K49" s="21">
        <f t="shared" si="3"/>
        <v>61.914902439165026</v>
      </c>
    </row>
    <row r="50" spans="1:11" s="22" customFormat="1" x14ac:dyDescent="0.35">
      <c r="A50" s="19">
        <v>38</v>
      </c>
      <c r="B50" s="19">
        <v>96146</v>
      </c>
      <c r="C50" s="20" t="s">
        <v>331</v>
      </c>
      <c r="D50" s="116">
        <v>0</v>
      </c>
      <c r="E50" s="410">
        <v>7.0000000000000007E-2</v>
      </c>
      <c r="F50" s="47">
        <f t="shared" si="5"/>
        <v>0</v>
      </c>
      <c r="G50" s="21">
        <f t="shared" si="2"/>
        <v>8.6680863414831038</v>
      </c>
      <c r="H50" s="150">
        <v>0</v>
      </c>
      <c r="I50" s="410">
        <v>7.0000000000000007E-2</v>
      </c>
      <c r="J50" s="47">
        <f t="shared" si="4"/>
        <v>0</v>
      </c>
      <c r="K50" s="21">
        <f t="shared" si="3"/>
        <v>8.6680863414831038</v>
      </c>
    </row>
    <row r="51" spans="1:11" s="22" customFormat="1" x14ac:dyDescent="0.35">
      <c r="A51" s="19">
        <v>39</v>
      </c>
      <c r="B51" s="19">
        <v>96372</v>
      </c>
      <c r="C51" s="20" t="s">
        <v>118</v>
      </c>
      <c r="D51" s="116">
        <v>883</v>
      </c>
      <c r="E51" s="410">
        <v>0.43</v>
      </c>
      <c r="F51" s="47">
        <f t="shared" si="5"/>
        <v>379.69</v>
      </c>
      <c r="G51" s="21">
        <f t="shared" si="2"/>
        <v>53.246816097681922</v>
      </c>
      <c r="H51" s="150">
        <v>1436</v>
      </c>
      <c r="I51" s="410">
        <v>0.43</v>
      </c>
      <c r="J51" s="47">
        <f t="shared" si="4"/>
        <v>617.48</v>
      </c>
      <c r="K51" s="21">
        <f t="shared" si="3"/>
        <v>53.246816097681922</v>
      </c>
    </row>
    <row r="52" spans="1:11" s="22" customFormat="1" x14ac:dyDescent="0.35">
      <c r="A52" s="19">
        <v>40</v>
      </c>
      <c r="B52" s="19">
        <v>97535</v>
      </c>
      <c r="C52" s="20" t="s">
        <v>119</v>
      </c>
      <c r="D52" s="116">
        <v>6</v>
      </c>
      <c r="E52" s="410">
        <v>0.98</v>
      </c>
      <c r="F52" s="47">
        <f t="shared" si="5"/>
        <v>5.88</v>
      </c>
      <c r="G52" s="21">
        <f t="shared" si="2"/>
        <v>121.35320878076345</v>
      </c>
      <c r="H52" s="150">
        <v>0</v>
      </c>
      <c r="I52" s="410">
        <v>0.98</v>
      </c>
      <c r="J52" s="47">
        <f t="shared" si="4"/>
        <v>0</v>
      </c>
      <c r="K52" s="21">
        <f t="shared" si="3"/>
        <v>121.35320878076345</v>
      </c>
    </row>
    <row r="53" spans="1:11" s="22" customFormat="1" x14ac:dyDescent="0.35">
      <c r="A53" s="19">
        <v>41</v>
      </c>
      <c r="B53" s="19">
        <v>97537</v>
      </c>
      <c r="C53" s="20" t="s">
        <v>120</v>
      </c>
      <c r="D53" s="116">
        <v>0</v>
      </c>
      <c r="E53" s="410">
        <v>0.95</v>
      </c>
      <c r="F53" s="47">
        <f t="shared" si="5"/>
        <v>0</v>
      </c>
      <c r="G53" s="21">
        <f t="shared" si="2"/>
        <v>117.63831463441355</v>
      </c>
      <c r="H53" s="150">
        <v>0</v>
      </c>
      <c r="I53" s="410">
        <v>0.95</v>
      </c>
      <c r="J53" s="47">
        <f t="shared" si="4"/>
        <v>0</v>
      </c>
      <c r="K53" s="21">
        <f t="shared" si="3"/>
        <v>117.63831463441355</v>
      </c>
    </row>
    <row r="54" spans="1:11" s="22" customFormat="1" x14ac:dyDescent="0.35">
      <c r="A54" s="19">
        <v>42</v>
      </c>
      <c r="B54" s="19">
        <v>98966</v>
      </c>
      <c r="C54" s="20" t="s">
        <v>342</v>
      </c>
      <c r="D54" s="116">
        <v>21</v>
      </c>
      <c r="E54" s="410">
        <v>0.39</v>
      </c>
      <c r="F54" s="47">
        <f t="shared" si="5"/>
        <v>8.19</v>
      </c>
      <c r="G54" s="21">
        <f t="shared" si="2"/>
        <v>48.293623902548724</v>
      </c>
      <c r="H54" s="150">
        <v>0</v>
      </c>
      <c r="I54" s="410">
        <v>0.34</v>
      </c>
      <c r="J54" s="47">
        <f t="shared" si="4"/>
        <v>0</v>
      </c>
      <c r="K54" s="21">
        <f t="shared" si="3"/>
        <v>42.102133658632219</v>
      </c>
    </row>
    <row r="55" spans="1:11" s="22" customFormat="1" x14ac:dyDescent="0.35">
      <c r="A55" s="19">
        <v>43</v>
      </c>
      <c r="B55" s="19">
        <v>98967</v>
      </c>
      <c r="C55" s="20" t="s">
        <v>343</v>
      </c>
      <c r="D55" s="116">
        <v>12</v>
      </c>
      <c r="E55" s="410">
        <v>0.72</v>
      </c>
      <c r="F55" s="47">
        <f t="shared" si="5"/>
        <v>8.64</v>
      </c>
      <c r="G55" s="21">
        <f t="shared" si="2"/>
        <v>89.157459512397637</v>
      </c>
      <c r="H55" s="150">
        <v>0</v>
      </c>
      <c r="I55" s="410">
        <v>0.66</v>
      </c>
      <c r="J55" s="47">
        <f t="shared" si="4"/>
        <v>0</v>
      </c>
      <c r="K55" s="21">
        <f t="shared" si="3"/>
        <v>81.727671219697839</v>
      </c>
    </row>
    <row r="56" spans="1:11" s="22" customFormat="1" x14ac:dyDescent="0.35">
      <c r="A56" s="19">
        <v>44</v>
      </c>
      <c r="B56" s="19">
        <v>98968</v>
      </c>
      <c r="C56" s="20" t="s">
        <v>344</v>
      </c>
      <c r="D56" s="116">
        <v>8</v>
      </c>
      <c r="E56" s="410">
        <v>0.99</v>
      </c>
      <c r="F56" s="47">
        <f t="shared" si="5"/>
        <v>7.92</v>
      </c>
      <c r="G56" s="21">
        <f t="shared" si="2"/>
        <v>122.59150682954674</v>
      </c>
      <c r="H56" s="150">
        <v>0</v>
      </c>
      <c r="I56" s="410">
        <v>0.92</v>
      </c>
      <c r="J56" s="47">
        <f t="shared" si="4"/>
        <v>0</v>
      </c>
      <c r="K56" s="21">
        <f t="shared" si="3"/>
        <v>113.92342048806366</v>
      </c>
    </row>
    <row r="57" spans="1:11" s="22" customFormat="1" x14ac:dyDescent="0.35">
      <c r="A57" s="19">
        <v>45</v>
      </c>
      <c r="B57" s="19">
        <v>99202</v>
      </c>
      <c r="C57" s="20" t="s">
        <v>154</v>
      </c>
      <c r="D57" s="116">
        <v>14</v>
      </c>
      <c r="E57" s="410">
        <v>2.17</v>
      </c>
      <c r="F57" s="47">
        <f t="shared" si="5"/>
        <v>30.38</v>
      </c>
      <c r="G57" s="21">
        <f t="shared" si="2"/>
        <v>268.71067658597622</v>
      </c>
      <c r="H57" s="150">
        <v>56</v>
      </c>
      <c r="I57" s="410">
        <v>1.41</v>
      </c>
      <c r="J57" s="47">
        <f t="shared" si="4"/>
        <v>78.959999999999994</v>
      </c>
      <c r="K57" s="21">
        <f t="shared" si="3"/>
        <v>174.60002487844537</v>
      </c>
    </row>
    <row r="58" spans="1:11" s="22" customFormat="1" x14ac:dyDescent="0.35">
      <c r="A58" s="19">
        <v>46</v>
      </c>
      <c r="B58" s="19">
        <v>99203</v>
      </c>
      <c r="C58" s="20" t="s">
        <v>154</v>
      </c>
      <c r="D58" s="116">
        <v>110</v>
      </c>
      <c r="E58" s="410">
        <v>3.35</v>
      </c>
      <c r="F58" s="47">
        <f t="shared" si="5"/>
        <v>368.5</v>
      </c>
      <c r="G58" s="21">
        <f t="shared" si="2"/>
        <v>414.82984634240569</v>
      </c>
      <c r="H58" s="150">
        <v>261</v>
      </c>
      <c r="I58" s="410">
        <v>2.44</v>
      </c>
      <c r="J58" s="47">
        <f t="shared" si="4"/>
        <v>636.84</v>
      </c>
      <c r="K58" s="21">
        <f t="shared" si="3"/>
        <v>302.14472390312534</v>
      </c>
    </row>
    <row r="59" spans="1:11" s="22" customFormat="1" x14ac:dyDescent="0.35">
      <c r="A59" s="19">
        <v>47</v>
      </c>
      <c r="B59" s="19">
        <v>99204</v>
      </c>
      <c r="C59" s="20" t="s">
        <v>154</v>
      </c>
      <c r="D59" s="116">
        <v>253</v>
      </c>
      <c r="E59" s="410">
        <v>5.0199999999999996</v>
      </c>
      <c r="F59" s="47">
        <f t="shared" si="5"/>
        <v>1270.06</v>
      </c>
      <c r="G59" s="21">
        <f t="shared" si="2"/>
        <v>621.62562048921677</v>
      </c>
      <c r="H59" s="150">
        <v>618</v>
      </c>
      <c r="I59" s="410">
        <v>3.97</v>
      </c>
      <c r="J59" s="47">
        <f t="shared" si="4"/>
        <v>2453.46</v>
      </c>
      <c r="K59" s="21">
        <f t="shared" si="3"/>
        <v>491.60432536697033</v>
      </c>
    </row>
    <row r="60" spans="1:11" s="22" customFormat="1" x14ac:dyDescent="0.35">
      <c r="A60" s="19">
        <v>48</v>
      </c>
      <c r="B60" s="19">
        <v>99205</v>
      </c>
      <c r="C60" s="20" t="s">
        <v>154</v>
      </c>
      <c r="D60" s="116">
        <v>149</v>
      </c>
      <c r="E60" s="410">
        <v>6.62</v>
      </c>
      <c r="F60" s="47">
        <f t="shared" si="5"/>
        <v>986.38</v>
      </c>
      <c r="G60" s="21">
        <f t="shared" si="2"/>
        <v>819.75330829454492</v>
      </c>
      <c r="H60" s="150">
        <v>176</v>
      </c>
      <c r="I60" s="410">
        <v>5.4</v>
      </c>
      <c r="J60" s="47">
        <f t="shared" si="4"/>
        <v>950.40000000000009</v>
      </c>
      <c r="K60" s="21">
        <f t="shared" si="3"/>
        <v>668.68094634298234</v>
      </c>
    </row>
    <row r="61" spans="1:11" s="22" customFormat="1" ht="43.5" x14ac:dyDescent="0.35">
      <c r="A61" s="19">
        <v>49</v>
      </c>
      <c r="B61" s="19">
        <v>99211</v>
      </c>
      <c r="C61" s="20" t="s">
        <v>345</v>
      </c>
      <c r="D61" s="116">
        <v>1318</v>
      </c>
      <c r="E61" s="410">
        <v>0.7</v>
      </c>
      <c r="F61" s="47">
        <f t="shared" si="5"/>
        <v>922.59999999999991</v>
      </c>
      <c r="G61" s="21">
        <f t="shared" si="2"/>
        <v>86.680863414831038</v>
      </c>
      <c r="H61" s="150">
        <v>42</v>
      </c>
      <c r="I61" s="410">
        <v>0.26</v>
      </c>
      <c r="J61" s="47">
        <f t="shared" si="4"/>
        <v>10.92</v>
      </c>
      <c r="K61" s="21">
        <f t="shared" si="3"/>
        <v>32.195749268365816</v>
      </c>
    </row>
    <row r="62" spans="1:11" s="22" customFormat="1" x14ac:dyDescent="0.35">
      <c r="A62" s="19">
        <v>50</v>
      </c>
      <c r="B62" s="19">
        <v>99212</v>
      </c>
      <c r="C62" s="20" t="s">
        <v>155</v>
      </c>
      <c r="D62" s="116">
        <v>113</v>
      </c>
      <c r="E62" s="410">
        <v>1.7</v>
      </c>
      <c r="F62" s="47">
        <f t="shared" si="5"/>
        <v>192.1</v>
      </c>
      <c r="G62" s="21">
        <f t="shared" si="2"/>
        <v>210.51066829316107</v>
      </c>
      <c r="H62" s="150">
        <v>48</v>
      </c>
      <c r="I62" s="410">
        <v>1.05</v>
      </c>
      <c r="J62" s="47">
        <f t="shared" si="4"/>
        <v>50.400000000000006</v>
      </c>
      <c r="K62" s="21">
        <f t="shared" si="3"/>
        <v>130.02129512224656</v>
      </c>
    </row>
    <row r="63" spans="1:11" s="22" customFormat="1" x14ac:dyDescent="0.35">
      <c r="A63" s="19">
        <v>51</v>
      </c>
      <c r="B63" s="19">
        <v>99213</v>
      </c>
      <c r="C63" s="20" t="s">
        <v>155</v>
      </c>
      <c r="D63" s="116">
        <v>1883</v>
      </c>
      <c r="E63" s="410">
        <v>2.73</v>
      </c>
      <c r="F63" s="47">
        <f t="shared" si="5"/>
        <v>5140.59</v>
      </c>
      <c r="G63" s="21">
        <f t="shared" si="2"/>
        <v>338.05536731784105</v>
      </c>
      <c r="H63" s="150">
        <v>388</v>
      </c>
      <c r="I63" s="410">
        <v>1.96</v>
      </c>
      <c r="J63" s="47">
        <f t="shared" si="4"/>
        <v>760.48</v>
      </c>
      <c r="K63" s="21">
        <f t="shared" si="3"/>
        <v>242.70641756152691</v>
      </c>
    </row>
    <row r="64" spans="1:11" s="22" customFormat="1" x14ac:dyDescent="0.35">
      <c r="A64" s="19">
        <v>52</v>
      </c>
      <c r="B64" s="19">
        <v>99214</v>
      </c>
      <c r="C64" s="20" t="s">
        <v>155</v>
      </c>
      <c r="D64" s="116">
        <v>6698</v>
      </c>
      <c r="E64" s="410">
        <v>3.85</v>
      </c>
      <c r="F64" s="47">
        <f t="shared" si="5"/>
        <v>25787.3</v>
      </c>
      <c r="G64" s="21">
        <f t="shared" si="2"/>
        <v>476.74474878157071</v>
      </c>
      <c r="H64" s="150">
        <v>2295</v>
      </c>
      <c r="I64" s="410">
        <v>2.89</v>
      </c>
      <c r="J64" s="47">
        <f t="shared" si="4"/>
        <v>6632.55</v>
      </c>
      <c r="K64" s="21">
        <f t="shared" si="3"/>
        <v>357.86813609837384</v>
      </c>
    </row>
    <row r="65" spans="1:11" s="22" customFormat="1" x14ac:dyDescent="0.35">
      <c r="A65" s="19">
        <v>53</v>
      </c>
      <c r="B65" s="19">
        <v>99215</v>
      </c>
      <c r="C65" s="20" t="s">
        <v>155</v>
      </c>
      <c r="D65" s="116">
        <v>1186</v>
      </c>
      <c r="E65" s="410">
        <v>5.42</v>
      </c>
      <c r="F65" s="47">
        <f t="shared" si="5"/>
        <v>6428.12</v>
      </c>
      <c r="G65" s="21">
        <f t="shared" si="2"/>
        <v>671.15754244054892</v>
      </c>
      <c r="H65" s="150">
        <v>1686</v>
      </c>
      <c r="I65" s="410">
        <v>4.29</v>
      </c>
      <c r="J65" s="47">
        <f t="shared" si="4"/>
        <v>7232.9400000000005</v>
      </c>
      <c r="K65" s="21">
        <f t="shared" si="3"/>
        <v>531.22986292803591</v>
      </c>
    </row>
    <row r="66" spans="1:11" s="22" customFormat="1" x14ac:dyDescent="0.35">
      <c r="A66" s="19">
        <v>54</v>
      </c>
      <c r="B66" s="19">
        <v>99221</v>
      </c>
      <c r="C66" s="20" t="s">
        <v>121</v>
      </c>
      <c r="D66" s="116">
        <v>0</v>
      </c>
      <c r="E66" s="410">
        <v>2.46</v>
      </c>
      <c r="F66" s="47">
        <f t="shared" si="5"/>
        <v>0</v>
      </c>
      <c r="G66" s="21">
        <f t="shared" si="2"/>
        <v>304.62132000069192</v>
      </c>
      <c r="H66" s="150">
        <v>0</v>
      </c>
      <c r="I66" s="410">
        <v>2.46</v>
      </c>
      <c r="J66" s="47">
        <f t="shared" si="4"/>
        <v>0</v>
      </c>
      <c r="K66" s="21">
        <f t="shared" si="3"/>
        <v>304.62132000069192</v>
      </c>
    </row>
    <row r="67" spans="1:11" s="22" customFormat="1" x14ac:dyDescent="0.35">
      <c r="A67" s="19">
        <v>55</v>
      </c>
      <c r="B67" s="19">
        <v>99222</v>
      </c>
      <c r="C67" s="20" t="s">
        <v>122</v>
      </c>
      <c r="D67" s="116">
        <v>0</v>
      </c>
      <c r="E67" s="410">
        <v>3.88</v>
      </c>
      <c r="F67" s="47">
        <f t="shared" si="5"/>
        <v>0</v>
      </c>
      <c r="G67" s="21">
        <f t="shared" si="2"/>
        <v>480.45964292792058</v>
      </c>
      <c r="H67" s="150">
        <v>0</v>
      </c>
      <c r="I67" s="410">
        <v>3.88</v>
      </c>
      <c r="J67" s="47">
        <f t="shared" si="4"/>
        <v>0</v>
      </c>
      <c r="K67" s="21">
        <f t="shared" si="3"/>
        <v>480.45964292792058</v>
      </c>
    </row>
    <row r="68" spans="1:11" s="22" customFormat="1" x14ac:dyDescent="0.35">
      <c r="A68" s="19">
        <v>56</v>
      </c>
      <c r="B68" s="19">
        <v>99223</v>
      </c>
      <c r="C68" s="20" t="s">
        <v>123</v>
      </c>
      <c r="D68" s="116">
        <v>0</v>
      </c>
      <c r="E68" s="410">
        <v>5.14</v>
      </c>
      <c r="F68" s="47">
        <f t="shared" si="5"/>
        <v>0</v>
      </c>
      <c r="G68" s="21">
        <f t="shared" si="2"/>
        <v>636.48519707461639</v>
      </c>
      <c r="H68" s="150">
        <v>0</v>
      </c>
      <c r="I68" s="410">
        <v>5.14</v>
      </c>
      <c r="J68" s="47">
        <f t="shared" si="4"/>
        <v>0</v>
      </c>
      <c r="K68" s="21">
        <f t="shared" si="3"/>
        <v>636.48519707461639</v>
      </c>
    </row>
    <row r="69" spans="1:11" s="22" customFormat="1" x14ac:dyDescent="0.35">
      <c r="A69" s="19">
        <v>57</v>
      </c>
      <c r="B69" s="19">
        <v>99231</v>
      </c>
      <c r="C69" s="20" t="s">
        <v>124</v>
      </c>
      <c r="D69" s="116">
        <v>0</v>
      </c>
      <c r="E69" s="410">
        <v>1.47</v>
      </c>
      <c r="F69" s="47">
        <f t="shared" si="5"/>
        <v>0</v>
      </c>
      <c r="G69" s="21">
        <f t="shared" si="2"/>
        <v>182.02981317114518</v>
      </c>
      <c r="H69" s="150">
        <v>0</v>
      </c>
      <c r="I69" s="410">
        <v>1.47</v>
      </c>
      <c r="J69" s="47">
        <f t="shared" si="4"/>
        <v>0</v>
      </c>
      <c r="K69" s="21">
        <f t="shared" si="3"/>
        <v>182.02981317114518</v>
      </c>
    </row>
    <row r="70" spans="1:11" s="22" customFormat="1" x14ac:dyDescent="0.35">
      <c r="A70" s="19">
        <v>58</v>
      </c>
      <c r="B70" s="19">
        <v>99232</v>
      </c>
      <c r="C70" s="20" t="s">
        <v>125</v>
      </c>
      <c r="D70" s="116">
        <v>0</v>
      </c>
      <c r="E70" s="410">
        <v>2.34</v>
      </c>
      <c r="F70" s="47">
        <f t="shared" si="5"/>
        <v>0</v>
      </c>
      <c r="G70" s="21">
        <f t="shared" si="2"/>
        <v>289.7617434152923</v>
      </c>
      <c r="H70" s="150">
        <v>0</v>
      </c>
      <c r="I70" s="410">
        <v>2.34</v>
      </c>
      <c r="J70" s="47">
        <f t="shared" si="4"/>
        <v>0</v>
      </c>
      <c r="K70" s="21">
        <f t="shared" si="3"/>
        <v>289.7617434152923</v>
      </c>
    </row>
    <row r="71" spans="1:11" s="22" customFormat="1" x14ac:dyDescent="0.35">
      <c r="A71" s="19">
        <v>59</v>
      </c>
      <c r="B71" s="19">
        <v>99233</v>
      </c>
      <c r="C71" s="20" t="s">
        <v>126</v>
      </c>
      <c r="D71" s="116">
        <v>0</v>
      </c>
      <c r="E71" s="410">
        <v>3.52</v>
      </c>
      <c r="F71" s="47">
        <f t="shared" si="5"/>
        <v>0</v>
      </c>
      <c r="G71" s="21">
        <f t="shared" si="2"/>
        <v>435.88091317172177</v>
      </c>
      <c r="H71" s="150">
        <v>0</v>
      </c>
      <c r="I71" s="410">
        <v>3.52</v>
      </c>
      <c r="J71" s="47">
        <f t="shared" si="4"/>
        <v>0</v>
      </c>
      <c r="K71" s="21">
        <f t="shared" si="3"/>
        <v>435.88091317172177</v>
      </c>
    </row>
    <row r="72" spans="1:11" s="22" customFormat="1" ht="29" x14ac:dyDescent="0.35">
      <c r="A72" s="19">
        <v>60</v>
      </c>
      <c r="B72" s="19">
        <v>99234</v>
      </c>
      <c r="C72" s="20" t="s">
        <v>360</v>
      </c>
      <c r="D72" s="116">
        <v>0</v>
      </c>
      <c r="E72" s="410">
        <v>2.9</v>
      </c>
      <c r="F72" s="47">
        <f t="shared" si="5"/>
        <v>0</v>
      </c>
      <c r="G72" s="21">
        <f t="shared" si="2"/>
        <v>359.10643414715713</v>
      </c>
      <c r="H72" s="150">
        <v>0</v>
      </c>
      <c r="I72" s="410">
        <v>2.9</v>
      </c>
      <c r="J72" s="47">
        <f t="shared" si="4"/>
        <v>0</v>
      </c>
      <c r="K72" s="21">
        <f t="shared" si="3"/>
        <v>359.10643414715713</v>
      </c>
    </row>
    <row r="73" spans="1:11" s="22" customFormat="1" ht="29" x14ac:dyDescent="0.35">
      <c r="A73" s="19">
        <v>61</v>
      </c>
      <c r="B73" s="19">
        <v>99235</v>
      </c>
      <c r="C73" s="20" t="s">
        <v>361</v>
      </c>
      <c r="D73" s="116">
        <v>0</v>
      </c>
      <c r="E73" s="410">
        <v>4.7300000000000004</v>
      </c>
      <c r="F73" s="47">
        <f t="shared" si="5"/>
        <v>0</v>
      </c>
      <c r="G73" s="21">
        <f t="shared" si="2"/>
        <v>585.71497707450123</v>
      </c>
      <c r="H73" s="150">
        <v>0</v>
      </c>
      <c r="I73" s="410">
        <v>4.7300000000000004</v>
      </c>
      <c r="J73" s="47">
        <f t="shared" si="4"/>
        <v>0</v>
      </c>
      <c r="K73" s="21">
        <f t="shared" si="3"/>
        <v>585.71497707450123</v>
      </c>
    </row>
    <row r="74" spans="1:11" s="22" customFormat="1" ht="29" x14ac:dyDescent="0.35">
      <c r="A74" s="19">
        <v>62</v>
      </c>
      <c r="B74" s="19">
        <v>99236</v>
      </c>
      <c r="C74" s="20" t="s">
        <v>362</v>
      </c>
      <c r="D74" s="116">
        <v>0</v>
      </c>
      <c r="E74" s="410">
        <v>6.18</v>
      </c>
      <c r="F74" s="47">
        <f t="shared" si="5"/>
        <v>0</v>
      </c>
      <c r="G74" s="21">
        <f t="shared" ref="G74:G123" si="6">E74*$F$12</f>
        <v>765.26819414807971</v>
      </c>
      <c r="H74" s="150">
        <v>0</v>
      </c>
      <c r="I74" s="410">
        <v>6.18</v>
      </c>
      <c r="J74" s="47">
        <f t="shared" si="4"/>
        <v>0</v>
      </c>
      <c r="K74" s="21">
        <f t="shared" ref="K74:K123" si="7">I74*$F$12</f>
        <v>765.26819414807971</v>
      </c>
    </row>
    <row r="75" spans="1:11" s="22" customFormat="1" x14ac:dyDescent="0.35">
      <c r="A75" s="19">
        <v>63</v>
      </c>
      <c r="B75" s="19">
        <v>99238</v>
      </c>
      <c r="C75" s="20" t="s">
        <v>346</v>
      </c>
      <c r="D75" s="116">
        <v>0</v>
      </c>
      <c r="E75" s="410">
        <v>2.41</v>
      </c>
      <c r="F75" s="47">
        <f t="shared" ref="F75:F123" si="8">D75*E75</f>
        <v>0</v>
      </c>
      <c r="G75" s="21">
        <f t="shared" si="6"/>
        <v>298.42982975677546</v>
      </c>
      <c r="H75" s="150">
        <v>0</v>
      </c>
      <c r="I75" s="410">
        <v>2.41</v>
      </c>
      <c r="J75" s="47">
        <f t="shared" ref="J75:J123" si="9">H75*I75</f>
        <v>0</v>
      </c>
      <c r="K75" s="21">
        <f t="shared" si="7"/>
        <v>298.42982975677546</v>
      </c>
    </row>
    <row r="76" spans="1:11" s="22" customFormat="1" x14ac:dyDescent="0.35">
      <c r="A76" s="19">
        <v>64</v>
      </c>
      <c r="B76" s="19">
        <v>99239</v>
      </c>
      <c r="C76" s="20" t="s">
        <v>127</v>
      </c>
      <c r="D76" s="116">
        <v>0</v>
      </c>
      <c r="E76" s="410">
        <v>3.4</v>
      </c>
      <c r="F76" s="47">
        <f t="shared" si="8"/>
        <v>0</v>
      </c>
      <c r="G76" s="21">
        <f t="shared" si="6"/>
        <v>421.02133658632215</v>
      </c>
      <c r="H76" s="150">
        <v>0</v>
      </c>
      <c r="I76" s="410">
        <v>3.4</v>
      </c>
      <c r="J76" s="47">
        <f t="shared" si="9"/>
        <v>0</v>
      </c>
      <c r="K76" s="21">
        <f t="shared" si="7"/>
        <v>421.02133658632215</v>
      </c>
    </row>
    <row r="77" spans="1:11" s="22" customFormat="1" x14ac:dyDescent="0.35">
      <c r="A77" s="19">
        <v>65</v>
      </c>
      <c r="B77" s="19">
        <v>99242</v>
      </c>
      <c r="C77" s="20" t="s">
        <v>347</v>
      </c>
      <c r="D77" s="116">
        <v>0</v>
      </c>
      <c r="E77" s="410">
        <v>2.25</v>
      </c>
      <c r="F77" s="148">
        <f t="shared" si="8"/>
        <v>0</v>
      </c>
      <c r="G77" s="149">
        <f t="shared" si="6"/>
        <v>278.61706097624261</v>
      </c>
      <c r="H77" s="150">
        <v>0</v>
      </c>
      <c r="I77" s="410">
        <v>1.66</v>
      </c>
      <c r="J77" s="47">
        <f t="shared" si="9"/>
        <v>0</v>
      </c>
      <c r="K77" s="21">
        <f t="shared" si="7"/>
        <v>205.55747609802788</v>
      </c>
    </row>
    <row r="78" spans="1:11" s="22" customFormat="1" x14ac:dyDescent="0.35">
      <c r="A78" s="19">
        <v>66</v>
      </c>
      <c r="B78" s="19">
        <v>99243</v>
      </c>
      <c r="C78" s="20" t="s">
        <v>348</v>
      </c>
      <c r="D78" s="116">
        <v>0</v>
      </c>
      <c r="E78" s="410">
        <v>3.37</v>
      </c>
      <c r="F78" s="47">
        <f t="shared" si="8"/>
        <v>0</v>
      </c>
      <c r="G78" s="21">
        <f t="shared" si="6"/>
        <v>417.30644243997227</v>
      </c>
      <c r="H78" s="150">
        <v>0</v>
      </c>
      <c r="I78" s="410">
        <v>2.62</v>
      </c>
      <c r="J78" s="47">
        <f t="shared" si="9"/>
        <v>0</v>
      </c>
      <c r="K78" s="21">
        <f t="shared" si="7"/>
        <v>324.43408878122477</v>
      </c>
    </row>
    <row r="79" spans="1:11" s="22" customFormat="1" x14ac:dyDescent="0.35">
      <c r="A79" s="19">
        <v>67</v>
      </c>
      <c r="B79" s="19">
        <v>99244</v>
      </c>
      <c r="C79" s="20" t="s">
        <v>349</v>
      </c>
      <c r="D79" s="116">
        <v>0</v>
      </c>
      <c r="E79" s="410">
        <v>4.8099999999999996</v>
      </c>
      <c r="F79" s="47">
        <f t="shared" si="8"/>
        <v>0</v>
      </c>
      <c r="G79" s="21">
        <f t="shared" si="6"/>
        <v>595.62136146476746</v>
      </c>
      <c r="H79" s="150">
        <v>0</v>
      </c>
      <c r="I79" s="410">
        <v>3.99</v>
      </c>
      <c r="J79" s="47">
        <f t="shared" si="9"/>
        <v>0</v>
      </c>
      <c r="K79" s="21">
        <f t="shared" si="7"/>
        <v>494.08092146453691</v>
      </c>
    </row>
    <row r="80" spans="1:11" s="22" customFormat="1" x14ac:dyDescent="0.35">
      <c r="A80" s="19">
        <v>68</v>
      </c>
      <c r="B80" s="19">
        <v>99245</v>
      </c>
      <c r="C80" s="20" t="s">
        <v>350</v>
      </c>
      <c r="D80" s="116">
        <v>0</v>
      </c>
      <c r="E80" s="410">
        <v>6.28</v>
      </c>
      <c r="F80" s="47">
        <f t="shared" si="8"/>
        <v>0</v>
      </c>
      <c r="G80" s="21">
        <f t="shared" si="6"/>
        <v>777.65117463591275</v>
      </c>
      <c r="H80" s="150">
        <v>0</v>
      </c>
      <c r="I80" s="410">
        <v>5.36</v>
      </c>
      <c r="J80" s="47">
        <f t="shared" si="9"/>
        <v>0</v>
      </c>
      <c r="K80" s="21">
        <f t="shared" si="7"/>
        <v>663.72775414784917</v>
      </c>
    </row>
    <row r="81" spans="1:11" s="22" customFormat="1" x14ac:dyDescent="0.35">
      <c r="A81" s="19">
        <v>69</v>
      </c>
      <c r="B81" s="19">
        <v>99252</v>
      </c>
      <c r="C81" s="20" t="s">
        <v>351</v>
      </c>
      <c r="D81" s="116">
        <v>0</v>
      </c>
      <c r="E81" s="410">
        <v>2.11</v>
      </c>
      <c r="F81" s="47">
        <f t="shared" si="8"/>
        <v>0</v>
      </c>
      <c r="G81" s="21">
        <f t="shared" si="6"/>
        <v>261.2808882932764</v>
      </c>
      <c r="H81" s="150">
        <v>0</v>
      </c>
      <c r="I81" s="410">
        <v>2.11</v>
      </c>
      <c r="J81" s="47">
        <f t="shared" si="9"/>
        <v>0</v>
      </c>
      <c r="K81" s="21">
        <f t="shared" si="7"/>
        <v>261.2808882932764</v>
      </c>
    </row>
    <row r="82" spans="1:11" s="22" customFormat="1" x14ac:dyDescent="0.35">
      <c r="A82" s="19">
        <v>70</v>
      </c>
      <c r="B82" s="19">
        <v>99253</v>
      </c>
      <c r="C82" s="20" t="s">
        <v>352</v>
      </c>
      <c r="D82" s="116">
        <v>0</v>
      </c>
      <c r="E82" s="410">
        <v>2.96</v>
      </c>
      <c r="F82" s="47">
        <f t="shared" si="8"/>
        <v>0</v>
      </c>
      <c r="G82" s="21">
        <f t="shared" si="6"/>
        <v>366.53622243985694</v>
      </c>
      <c r="H82" s="150">
        <v>0</v>
      </c>
      <c r="I82" s="410">
        <v>2.96</v>
      </c>
      <c r="J82" s="47">
        <f t="shared" si="9"/>
        <v>0</v>
      </c>
      <c r="K82" s="21">
        <f t="shared" si="7"/>
        <v>366.53622243985694</v>
      </c>
    </row>
    <row r="83" spans="1:11" s="22" customFormat="1" x14ac:dyDescent="0.35">
      <c r="A83" s="19">
        <v>71</v>
      </c>
      <c r="B83" s="19">
        <v>99254</v>
      </c>
      <c r="C83" s="20" t="s">
        <v>353</v>
      </c>
      <c r="D83" s="116">
        <v>0</v>
      </c>
      <c r="E83" s="410">
        <v>4.1100000000000003</v>
      </c>
      <c r="F83" s="47">
        <f t="shared" si="8"/>
        <v>0</v>
      </c>
      <c r="G83" s="21">
        <f t="shared" si="6"/>
        <v>508.94049804993654</v>
      </c>
      <c r="H83" s="150">
        <v>0</v>
      </c>
      <c r="I83" s="410">
        <v>4.1100000000000003</v>
      </c>
      <c r="J83" s="47">
        <f t="shared" si="9"/>
        <v>0</v>
      </c>
      <c r="K83" s="21">
        <f t="shared" si="7"/>
        <v>508.94049804993654</v>
      </c>
    </row>
    <row r="84" spans="1:11" s="22" customFormat="1" x14ac:dyDescent="0.35">
      <c r="A84" s="19">
        <v>72</v>
      </c>
      <c r="B84" s="19">
        <v>99255</v>
      </c>
      <c r="C84" s="20" t="s">
        <v>354</v>
      </c>
      <c r="D84" s="116">
        <v>0</v>
      </c>
      <c r="E84" s="410">
        <v>5.53</v>
      </c>
      <c r="F84" s="47">
        <f t="shared" si="8"/>
        <v>0</v>
      </c>
      <c r="G84" s="21">
        <f t="shared" si="6"/>
        <v>684.7788209771652</v>
      </c>
      <c r="H84" s="150">
        <v>0</v>
      </c>
      <c r="I84" s="410">
        <v>5.53</v>
      </c>
      <c r="J84" s="47">
        <f t="shared" si="9"/>
        <v>0</v>
      </c>
      <c r="K84" s="21">
        <f t="shared" si="7"/>
        <v>684.7788209771652</v>
      </c>
    </row>
    <row r="85" spans="1:11" s="22" customFormat="1" x14ac:dyDescent="0.35">
      <c r="A85" s="19">
        <v>73</v>
      </c>
      <c r="B85" s="19">
        <v>99281</v>
      </c>
      <c r="C85" s="20" t="s">
        <v>355</v>
      </c>
      <c r="D85" s="116">
        <v>0</v>
      </c>
      <c r="E85" s="410">
        <v>0.34</v>
      </c>
      <c r="F85" s="47">
        <f t="shared" si="8"/>
        <v>0</v>
      </c>
      <c r="G85" s="21">
        <f t="shared" si="6"/>
        <v>42.102133658632219</v>
      </c>
      <c r="H85" s="150">
        <v>0</v>
      </c>
      <c r="I85" s="410">
        <v>0.34</v>
      </c>
      <c r="J85" s="47">
        <f t="shared" si="9"/>
        <v>0</v>
      </c>
      <c r="K85" s="21">
        <f t="shared" si="7"/>
        <v>42.102133658632219</v>
      </c>
    </row>
    <row r="86" spans="1:11" s="22" customFormat="1" x14ac:dyDescent="0.35">
      <c r="A86" s="19">
        <v>74</v>
      </c>
      <c r="B86" s="19">
        <v>99282</v>
      </c>
      <c r="C86" s="20" t="s">
        <v>356</v>
      </c>
      <c r="D86" s="116">
        <v>0</v>
      </c>
      <c r="E86" s="410">
        <v>1.24</v>
      </c>
      <c r="F86" s="47">
        <f t="shared" si="8"/>
        <v>0</v>
      </c>
      <c r="G86" s="21">
        <f t="shared" si="6"/>
        <v>153.54895804912925</v>
      </c>
      <c r="H86" s="150">
        <v>0</v>
      </c>
      <c r="I86" s="410">
        <v>1.24</v>
      </c>
      <c r="J86" s="47">
        <f t="shared" si="9"/>
        <v>0</v>
      </c>
      <c r="K86" s="21">
        <f t="shared" si="7"/>
        <v>153.54895804912925</v>
      </c>
    </row>
    <row r="87" spans="1:11" s="22" customFormat="1" x14ac:dyDescent="0.35">
      <c r="A87" s="19">
        <v>75</v>
      </c>
      <c r="B87" s="19">
        <v>99283</v>
      </c>
      <c r="C87" s="20" t="s">
        <v>357</v>
      </c>
      <c r="D87" s="116">
        <v>0</v>
      </c>
      <c r="E87" s="410">
        <v>2.11</v>
      </c>
      <c r="F87" s="47">
        <f t="shared" si="8"/>
        <v>0</v>
      </c>
      <c r="G87" s="21">
        <f t="shared" si="6"/>
        <v>261.2808882932764</v>
      </c>
      <c r="H87" s="150">
        <v>0</v>
      </c>
      <c r="I87" s="410">
        <v>2.11</v>
      </c>
      <c r="J87" s="47">
        <f t="shared" si="9"/>
        <v>0</v>
      </c>
      <c r="K87" s="21">
        <f t="shared" si="7"/>
        <v>261.2808882932764</v>
      </c>
    </row>
    <row r="88" spans="1:11" s="22" customFormat="1" x14ac:dyDescent="0.35">
      <c r="A88" s="19">
        <v>76</v>
      </c>
      <c r="B88" s="19">
        <v>99284</v>
      </c>
      <c r="C88" s="20" t="s">
        <v>358</v>
      </c>
      <c r="D88" s="116">
        <v>0</v>
      </c>
      <c r="E88" s="410">
        <v>3.59</v>
      </c>
      <c r="F88" s="47">
        <f t="shared" si="8"/>
        <v>0</v>
      </c>
      <c r="G88" s="21">
        <f t="shared" si="6"/>
        <v>444.54899951320488</v>
      </c>
      <c r="H88" s="150">
        <v>0</v>
      </c>
      <c r="I88" s="410">
        <v>3.59</v>
      </c>
      <c r="J88" s="47">
        <f t="shared" si="9"/>
        <v>0</v>
      </c>
      <c r="K88" s="21">
        <f t="shared" si="7"/>
        <v>444.54899951320488</v>
      </c>
    </row>
    <row r="89" spans="1:11" s="22" customFormat="1" x14ac:dyDescent="0.35">
      <c r="A89" s="19">
        <v>77</v>
      </c>
      <c r="B89" s="19">
        <v>99285</v>
      </c>
      <c r="C89" s="20" t="s">
        <v>359</v>
      </c>
      <c r="D89" s="116">
        <v>0</v>
      </c>
      <c r="E89" s="410">
        <v>5.2</v>
      </c>
      <c r="F89" s="47">
        <f t="shared" si="8"/>
        <v>0</v>
      </c>
      <c r="G89" s="21">
        <f t="shared" si="6"/>
        <v>643.91498536731626</v>
      </c>
      <c r="H89" s="150">
        <v>0</v>
      </c>
      <c r="I89" s="410">
        <v>5.2</v>
      </c>
      <c r="J89" s="47">
        <f t="shared" si="9"/>
        <v>0</v>
      </c>
      <c r="K89" s="21">
        <f t="shared" si="7"/>
        <v>643.91498536731626</v>
      </c>
    </row>
    <row r="90" spans="1:11" s="22" customFormat="1" x14ac:dyDescent="0.35">
      <c r="A90" s="19">
        <v>78</v>
      </c>
      <c r="B90" s="19">
        <v>99304</v>
      </c>
      <c r="C90" s="20" t="s">
        <v>363</v>
      </c>
      <c r="D90" s="116">
        <v>0</v>
      </c>
      <c r="E90" s="410">
        <v>2.39</v>
      </c>
      <c r="F90" s="47">
        <f t="shared" si="8"/>
        <v>0</v>
      </c>
      <c r="G90" s="21">
        <f t="shared" si="6"/>
        <v>295.95323365920882</v>
      </c>
      <c r="H90" s="150">
        <v>0</v>
      </c>
      <c r="I90" s="410">
        <v>2.39</v>
      </c>
      <c r="J90" s="47">
        <f t="shared" si="9"/>
        <v>0</v>
      </c>
      <c r="K90" s="21">
        <f t="shared" si="7"/>
        <v>295.95323365920882</v>
      </c>
    </row>
    <row r="91" spans="1:11" s="22" customFormat="1" x14ac:dyDescent="0.35">
      <c r="A91" s="19">
        <v>79</v>
      </c>
      <c r="B91" s="19">
        <v>99305</v>
      </c>
      <c r="C91" s="20" t="s">
        <v>364</v>
      </c>
      <c r="D91" s="116">
        <v>0</v>
      </c>
      <c r="E91" s="410">
        <v>3.97</v>
      </c>
      <c r="F91" s="47">
        <f t="shared" si="8"/>
        <v>0</v>
      </c>
      <c r="G91" s="21">
        <f t="shared" si="6"/>
        <v>491.60432536697033</v>
      </c>
      <c r="H91" s="150">
        <v>1</v>
      </c>
      <c r="I91" s="410">
        <v>3.97</v>
      </c>
      <c r="J91" s="47">
        <f t="shared" si="9"/>
        <v>3.97</v>
      </c>
      <c r="K91" s="21">
        <f t="shared" si="7"/>
        <v>491.60432536697033</v>
      </c>
    </row>
    <row r="92" spans="1:11" s="22" customFormat="1" x14ac:dyDescent="0.35">
      <c r="A92" s="19">
        <v>80</v>
      </c>
      <c r="B92" s="19">
        <v>99306</v>
      </c>
      <c r="C92" s="20" t="s">
        <v>365</v>
      </c>
      <c r="D92" s="116">
        <v>0</v>
      </c>
      <c r="E92" s="410">
        <v>5.42</v>
      </c>
      <c r="F92" s="47">
        <f t="shared" si="8"/>
        <v>0</v>
      </c>
      <c r="G92" s="21">
        <f t="shared" si="6"/>
        <v>671.15754244054892</v>
      </c>
      <c r="H92" s="150">
        <v>0</v>
      </c>
      <c r="I92" s="410">
        <v>5.42</v>
      </c>
      <c r="J92" s="47">
        <f t="shared" si="9"/>
        <v>0</v>
      </c>
      <c r="K92" s="21">
        <f t="shared" si="7"/>
        <v>671.15754244054892</v>
      </c>
    </row>
    <row r="93" spans="1:11" s="22" customFormat="1" x14ac:dyDescent="0.35">
      <c r="A93" s="19">
        <v>81</v>
      </c>
      <c r="B93" s="19">
        <v>99307</v>
      </c>
      <c r="C93" s="20" t="s">
        <v>366</v>
      </c>
      <c r="D93" s="116">
        <v>0</v>
      </c>
      <c r="E93" s="410">
        <v>1.2</v>
      </c>
      <c r="F93" s="47">
        <f t="shared" si="8"/>
        <v>0</v>
      </c>
      <c r="G93" s="21">
        <f t="shared" si="6"/>
        <v>148.59576585399606</v>
      </c>
      <c r="H93" s="150">
        <v>0</v>
      </c>
      <c r="I93" s="410">
        <v>1.2</v>
      </c>
      <c r="J93" s="47">
        <f t="shared" si="9"/>
        <v>0</v>
      </c>
      <c r="K93" s="21">
        <f t="shared" si="7"/>
        <v>148.59576585399606</v>
      </c>
    </row>
    <row r="94" spans="1:11" s="22" customFormat="1" x14ac:dyDescent="0.35">
      <c r="A94" s="19">
        <v>82</v>
      </c>
      <c r="B94" s="19">
        <v>99308</v>
      </c>
      <c r="C94" s="20" t="s">
        <v>367</v>
      </c>
      <c r="D94" s="116">
        <v>5</v>
      </c>
      <c r="E94" s="410">
        <v>2.2200000000000002</v>
      </c>
      <c r="F94" s="47">
        <f t="shared" si="8"/>
        <v>11.100000000000001</v>
      </c>
      <c r="G94" s="21">
        <f t="shared" si="6"/>
        <v>274.90216682989274</v>
      </c>
      <c r="H94" s="150">
        <v>0</v>
      </c>
      <c r="I94" s="410">
        <v>2.2200000000000002</v>
      </c>
      <c r="J94" s="47">
        <f t="shared" si="9"/>
        <v>0</v>
      </c>
      <c r="K94" s="21">
        <f t="shared" si="7"/>
        <v>274.90216682989274</v>
      </c>
    </row>
    <row r="95" spans="1:11" s="22" customFormat="1" x14ac:dyDescent="0.35">
      <c r="A95" s="19">
        <v>83</v>
      </c>
      <c r="B95" s="19">
        <v>99309</v>
      </c>
      <c r="C95" s="20" t="s">
        <v>368</v>
      </c>
      <c r="D95" s="116">
        <v>3</v>
      </c>
      <c r="E95" s="410">
        <v>3.21</v>
      </c>
      <c r="F95" s="47">
        <f t="shared" si="8"/>
        <v>9.629999999999999</v>
      </c>
      <c r="G95" s="21">
        <f t="shared" si="6"/>
        <v>397.49367365943948</v>
      </c>
      <c r="H95" s="150">
        <v>0</v>
      </c>
      <c r="I95" s="410">
        <v>3.21</v>
      </c>
      <c r="J95" s="47">
        <f t="shared" si="9"/>
        <v>0</v>
      </c>
      <c r="K95" s="21">
        <f t="shared" si="7"/>
        <v>397.49367365943948</v>
      </c>
    </row>
    <row r="96" spans="1:11" s="22" customFormat="1" x14ac:dyDescent="0.35">
      <c r="A96" s="19">
        <v>84</v>
      </c>
      <c r="B96" s="19">
        <v>99310</v>
      </c>
      <c r="C96" s="20" t="s">
        <v>369</v>
      </c>
      <c r="D96" s="116">
        <v>0</v>
      </c>
      <c r="E96" s="410">
        <v>4.58</v>
      </c>
      <c r="F96" s="47">
        <f t="shared" si="8"/>
        <v>0</v>
      </c>
      <c r="G96" s="21">
        <f t="shared" si="6"/>
        <v>567.14050634275168</v>
      </c>
      <c r="H96" s="150">
        <v>0</v>
      </c>
      <c r="I96" s="410">
        <v>4.58</v>
      </c>
      <c r="J96" s="47">
        <f t="shared" si="9"/>
        <v>0</v>
      </c>
      <c r="K96" s="21">
        <f t="shared" si="7"/>
        <v>567.14050634275168</v>
      </c>
    </row>
    <row r="97" spans="1:11" s="22" customFormat="1" x14ac:dyDescent="0.35">
      <c r="A97" s="19">
        <v>85</v>
      </c>
      <c r="B97" s="19">
        <v>99315</v>
      </c>
      <c r="C97" s="20" t="s">
        <v>370</v>
      </c>
      <c r="D97" s="116">
        <v>0</v>
      </c>
      <c r="E97" s="410">
        <v>2.4300000000000002</v>
      </c>
      <c r="F97" s="47">
        <f t="shared" si="8"/>
        <v>0</v>
      </c>
      <c r="G97" s="21">
        <f t="shared" si="6"/>
        <v>300.90642585434205</v>
      </c>
      <c r="H97" s="150">
        <v>0</v>
      </c>
      <c r="I97" s="410">
        <v>2.4300000000000002</v>
      </c>
      <c r="J97" s="47">
        <f t="shared" si="9"/>
        <v>0</v>
      </c>
      <c r="K97" s="21">
        <f t="shared" si="7"/>
        <v>300.90642585434205</v>
      </c>
    </row>
    <row r="98" spans="1:11" s="22" customFormat="1" x14ac:dyDescent="0.35">
      <c r="A98" s="19">
        <v>86</v>
      </c>
      <c r="B98" s="19">
        <v>99316</v>
      </c>
      <c r="C98" s="20" t="s">
        <v>128</v>
      </c>
      <c r="D98" s="116">
        <v>0</v>
      </c>
      <c r="E98" s="410">
        <v>3.9</v>
      </c>
      <c r="F98" s="47">
        <f t="shared" si="8"/>
        <v>0</v>
      </c>
      <c r="G98" s="21">
        <f t="shared" si="6"/>
        <v>482.93623902548717</v>
      </c>
      <c r="H98" s="150">
        <v>0</v>
      </c>
      <c r="I98" s="410">
        <v>3.9</v>
      </c>
      <c r="J98" s="47">
        <f t="shared" si="9"/>
        <v>0</v>
      </c>
      <c r="K98" s="21">
        <f t="shared" si="7"/>
        <v>482.93623902548717</v>
      </c>
    </row>
    <row r="99" spans="1:11" s="22" customFormat="1" x14ac:dyDescent="0.35">
      <c r="A99" s="19">
        <v>87</v>
      </c>
      <c r="B99" s="19">
        <v>99341</v>
      </c>
      <c r="C99" s="20" t="s">
        <v>371</v>
      </c>
      <c r="D99" s="116">
        <v>3</v>
      </c>
      <c r="E99" s="410">
        <v>1.47</v>
      </c>
      <c r="F99" s="47">
        <f t="shared" si="8"/>
        <v>4.41</v>
      </c>
      <c r="G99" s="21">
        <f t="shared" si="6"/>
        <v>182.02981317114518</v>
      </c>
      <c r="H99" s="150">
        <v>0</v>
      </c>
      <c r="I99" s="410">
        <v>1.47</v>
      </c>
      <c r="J99" s="47">
        <f t="shared" si="9"/>
        <v>0</v>
      </c>
      <c r="K99" s="21">
        <f t="shared" si="7"/>
        <v>182.02981317114518</v>
      </c>
    </row>
    <row r="100" spans="1:11" s="22" customFormat="1" x14ac:dyDescent="0.35">
      <c r="A100" s="19">
        <v>88</v>
      </c>
      <c r="B100" s="19">
        <v>99342</v>
      </c>
      <c r="C100" s="20" t="s">
        <v>372</v>
      </c>
      <c r="D100" s="116">
        <v>0</v>
      </c>
      <c r="E100" s="410">
        <v>2.33</v>
      </c>
      <c r="F100" s="47">
        <f t="shared" si="8"/>
        <v>0</v>
      </c>
      <c r="G100" s="21">
        <f t="shared" si="6"/>
        <v>288.52344536650901</v>
      </c>
      <c r="H100" s="150">
        <v>0</v>
      </c>
      <c r="I100" s="410">
        <v>2.33</v>
      </c>
      <c r="J100" s="47">
        <f t="shared" si="9"/>
        <v>0</v>
      </c>
      <c r="K100" s="21">
        <f t="shared" si="7"/>
        <v>288.52344536650901</v>
      </c>
    </row>
    <row r="101" spans="1:11" s="22" customFormat="1" x14ac:dyDescent="0.35">
      <c r="A101" s="19">
        <v>89</v>
      </c>
      <c r="B101" s="19">
        <v>99344</v>
      </c>
      <c r="C101" s="20" t="s">
        <v>373</v>
      </c>
      <c r="D101" s="116">
        <v>0</v>
      </c>
      <c r="E101" s="410">
        <v>4.2300000000000004</v>
      </c>
      <c r="F101" s="47">
        <f t="shared" si="8"/>
        <v>0</v>
      </c>
      <c r="G101" s="21">
        <f t="shared" si="6"/>
        <v>523.80007463533616</v>
      </c>
      <c r="H101" s="150">
        <v>0</v>
      </c>
      <c r="I101" s="410">
        <v>4.2300000000000004</v>
      </c>
      <c r="J101" s="47">
        <f t="shared" si="9"/>
        <v>0</v>
      </c>
      <c r="K101" s="21">
        <f t="shared" si="7"/>
        <v>523.80007463533616</v>
      </c>
    </row>
    <row r="102" spans="1:11" s="22" customFormat="1" x14ac:dyDescent="0.35">
      <c r="A102" s="19">
        <v>90</v>
      </c>
      <c r="B102" s="19">
        <v>99345</v>
      </c>
      <c r="C102" s="20" t="s">
        <v>374</v>
      </c>
      <c r="D102" s="116">
        <v>0</v>
      </c>
      <c r="E102" s="410">
        <v>6.01</v>
      </c>
      <c r="F102" s="47">
        <f t="shared" si="8"/>
        <v>0</v>
      </c>
      <c r="G102" s="21">
        <f t="shared" si="6"/>
        <v>744.21712731876357</v>
      </c>
      <c r="H102" s="150">
        <v>0</v>
      </c>
      <c r="I102" s="410">
        <v>6.01</v>
      </c>
      <c r="J102" s="47">
        <f t="shared" si="9"/>
        <v>0</v>
      </c>
      <c r="K102" s="21">
        <f t="shared" si="7"/>
        <v>744.21712731876357</v>
      </c>
    </row>
    <row r="103" spans="1:11" s="22" customFormat="1" x14ac:dyDescent="0.35">
      <c r="A103" s="19">
        <v>91</v>
      </c>
      <c r="B103" s="19">
        <v>99347</v>
      </c>
      <c r="C103" s="20" t="s">
        <v>375</v>
      </c>
      <c r="D103" s="116">
        <v>142</v>
      </c>
      <c r="E103" s="410">
        <v>1.35</v>
      </c>
      <c r="F103" s="47">
        <f t="shared" si="8"/>
        <v>191.70000000000002</v>
      </c>
      <c r="G103" s="21">
        <f t="shared" si="6"/>
        <v>167.17023658574558</v>
      </c>
      <c r="H103" s="150">
        <v>0</v>
      </c>
      <c r="I103" s="410">
        <v>1.35</v>
      </c>
      <c r="J103" s="47">
        <f t="shared" si="9"/>
        <v>0</v>
      </c>
      <c r="K103" s="21">
        <f t="shared" si="7"/>
        <v>167.17023658574558</v>
      </c>
    </row>
    <row r="104" spans="1:11" s="22" customFormat="1" x14ac:dyDescent="0.35">
      <c r="A104" s="19">
        <v>92</v>
      </c>
      <c r="B104" s="19">
        <v>99348</v>
      </c>
      <c r="C104" s="20" t="s">
        <v>376</v>
      </c>
      <c r="D104" s="116">
        <v>187</v>
      </c>
      <c r="E104" s="410">
        <v>2.2799999999999998</v>
      </c>
      <c r="F104" s="47">
        <f t="shared" si="8"/>
        <v>426.35999999999996</v>
      </c>
      <c r="G104" s="21">
        <f t="shared" si="6"/>
        <v>282.33195512259249</v>
      </c>
      <c r="H104" s="150">
        <v>0</v>
      </c>
      <c r="I104" s="410">
        <v>2.2799999999999998</v>
      </c>
      <c r="J104" s="47">
        <f t="shared" si="9"/>
        <v>0</v>
      </c>
      <c r="K104" s="21">
        <f t="shared" si="7"/>
        <v>282.33195512259249</v>
      </c>
    </row>
    <row r="105" spans="1:11" s="22" customFormat="1" x14ac:dyDescent="0.35">
      <c r="A105" s="19">
        <v>93</v>
      </c>
      <c r="B105" s="19">
        <v>99349</v>
      </c>
      <c r="C105" s="20" t="s">
        <v>377</v>
      </c>
      <c r="D105" s="116">
        <v>144</v>
      </c>
      <c r="E105" s="410">
        <v>3.79</v>
      </c>
      <c r="F105" s="47">
        <f t="shared" si="8"/>
        <v>545.76</v>
      </c>
      <c r="G105" s="21">
        <f t="shared" si="6"/>
        <v>469.3149604888709</v>
      </c>
      <c r="H105" s="150">
        <v>0</v>
      </c>
      <c r="I105" s="410">
        <v>3.79</v>
      </c>
      <c r="J105" s="47">
        <f t="shared" si="9"/>
        <v>0</v>
      </c>
      <c r="K105" s="21">
        <f t="shared" si="7"/>
        <v>469.3149604888709</v>
      </c>
    </row>
    <row r="106" spans="1:11" s="22" customFormat="1" x14ac:dyDescent="0.35">
      <c r="A106" s="19">
        <v>94</v>
      </c>
      <c r="B106" s="19">
        <v>99350</v>
      </c>
      <c r="C106" s="20" t="s">
        <v>378</v>
      </c>
      <c r="D106" s="116">
        <v>6</v>
      </c>
      <c r="E106" s="410">
        <v>5.52</v>
      </c>
      <c r="F106" s="47">
        <f t="shared" si="8"/>
        <v>33.119999999999997</v>
      </c>
      <c r="G106" s="21">
        <f t="shared" si="6"/>
        <v>683.54052292838185</v>
      </c>
      <c r="H106" s="150">
        <v>0</v>
      </c>
      <c r="I106" s="410">
        <v>5.52</v>
      </c>
      <c r="J106" s="47">
        <f t="shared" si="9"/>
        <v>0</v>
      </c>
      <c r="K106" s="21">
        <f t="shared" si="7"/>
        <v>683.54052292838185</v>
      </c>
    </row>
    <row r="107" spans="1:11" s="22" customFormat="1" x14ac:dyDescent="0.35">
      <c r="A107" s="19">
        <v>95</v>
      </c>
      <c r="B107" s="19">
        <v>99366</v>
      </c>
      <c r="C107" s="20" t="s">
        <v>379</v>
      </c>
      <c r="D107" s="116">
        <v>0</v>
      </c>
      <c r="E107" s="410">
        <v>1.22</v>
      </c>
      <c r="F107" s="47">
        <f t="shared" si="8"/>
        <v>0</v>
      </c>
      <c r="G107" s="21">
        <f t="shared" si="6"/>
        <v>151.07236195156267</v>
      </c>
      <c r="H107" s="150">
        <v>0</v>
      </c>
      <c r="I107" s="410">
        <v>1.19</v>
      </c>
      <c r="J107" s="47">
        <f t="shared" si="9"/>
        <v>0</v>
      </c>
      <c r="K107" s="21">
        <f t="shared" si="7"/>
        <v>147.35746780521276</v>
      </c>
    </row>
    <row r="108" spans="1:11" s="22" customFormat="1" x14ac:dyDescent="0.35">
      <c r="A108" s="19">
        <v>96</v>
      </c>
      <c r="B108" s="19">
        <v>99367</v>
      </c>
      <c r="C108" s="20" t="s">
        <v>380</v>
      </c>
      <c r="D108" s="116">
        <v>0</v>
      </c>
      <c r="E108" s="410">
        <v>1.6</v>
      </c>
      <c r="F108" s="47">
        <f t="shared" si="8"/>
        <v>0</v>
      </c>
      <c r="G108" s="21">
        <f t="shared" si="6"/>
        <v>198.12768780532809</v>
      </c>
      <c r="H108" s="150">
        <v>0</v>
      </c>
      <c r="I108" s="410">
        <v>1.6</v>
      </c>
      <c r="J108" s="47">
        <f t="shared" si="9"/>
        <v>0</v>
      </c>
      <c r="K108" s="21">
        <f t="shared" si="7"/>
        <v>198.12768780532809</v>
      </c>
    </row>
    <row r="109" spans="1:11" s="22" customFormat="1" x14ac:dyDescent="0.35">
      <c r="A109" s="19">
        <v>97</v>
      </c>
      <c r="B109" s="19">
        <v>99368</v>
      </c>
      <c r="C109" s="20" t="s">
        <v>381</v>
      </c>
      <c r="D109" s="116">
        <v>3</v>
      </c>
      <c r="E109" s="410">
        <v>1.04</v>
      </c>
      <c r="F109" s="47">
        <f t="shared" si="8"/>
        <v>3.12</v>
      </c>
      <c r="G109" s="21">
        <f t="shared" si="6"/>
        <v>128.78299707346326</v>
      </c>
      <c r="H109" s="150">
        <v>0</v>
      </c>
      <c r="I109" s="410">
        <v>1.04</v>
      </c>
      <c r="J109" s="47">
        <f t="shared" si="9"/>
        <v>0</v>
      </c>
      <c r="K109" s="21">
        <f t="shared" si="7"/>
        <v>128.78299707346326</v>
      </c>
    </row>
    <row r="110" spans="1:11" s="22" customFormat="1" x14ac:dyDescent="0.35">
      <c r="A110" s="19">
        <v>98</v>
      </c>
      <c r="B110" s="19">
        <v>99441</v>
      </c>
      <c r="C110" s="20" t="s">
        <v>382</v>
      </c>
      <c r="D110" s="116">
        <v>10</v>
      </c>
      <c r="E110" s="410">
        <v>1.69</v>
      </c>
      <c r="F110" s="47">
        <f t="shared" si="8"/>
        <v>16.899999999999999</v>
      </c>
      <c r="G110" s="21">
        <f t="shared" si="6"/>
        <v>209.27237024437778</v>
      </c>
      <c r="H110" s="150">
        <v>0</v>
      </c>
      <c r="I110" s="410">
        <v>1.04</v>
      </c>
      <c r="J110" s="47">
        <f t="shared" si="9"/>
        <v>0</v>
      </c>
      <c r="K110" s="21">
        <f t="shared" si="7"/>
        <v>128.78299707346326</v>
      </c>
    </row>
    <row r="111" spans="1:11" s="22" customFormat="1" x14ac:dyDescent="0.35">
      <c r="A111" s="19">
        <v>99</v>
      </c>
      <c r="B111" s="19">
        <v>99442</v>
      </c>
      <c r="C111" s="20" t="s">
        <v>383</v>
      </c>
      <c r="D111" s="116">
        <v>16</v>
      </c>
      <c r="E111" s="410">
        <v>2.72</v>
      </c>
      <c r="F111" s="47">
        <f t="shared" si="8"/>
        <v>43.52</v>
      </c>
      <c r="G111" s="21">
        <f t="shared" si="6"/>
        <v>336.81706926905775</v>
      </c>
      <c r="H111" s="150">
        <v>0</v>
      </c>
      <c r="I111" s="410">
        <v>1.95</v>
      </c>
      <c r="J111" s="47">
        <f t="shared" si="9"/>
        <v>0</v>
      </c>
      <c r="K111" s="21">
        <f t="shared" si="7"/>
        <v>241.46811951274358</v>
      </c>
    </row>
    <row r="112" spans="1:11" s="22" customFormat="1" x14ac:dyDescent="0.35">
      <c r="A112" s="19">
        <v>100</v>
      </c>
      <c r="B112" s="19">
        <v>99443</v>
      </c>
      <c r="C112" s="20" t="s">
        <v>384</v>
      </c>
      <c r="D112" s="116">
        <v>34</v>
      </c>
      <c r="E112" s="410">
        <v>3.85</v>
      </c>
      <c r="F112" s="47">
        <f t="shared" si="8"/>
        <v>130.9</v>
      </c>
      <c r="G112" s="21">
        <f t="shared" si="6"/>
        <v>476.74474878157071</v>
      </c>
      <c r="H112" s="150">
        <v>0</v>
      </c>
      <c r="I112" s="410">
        <v>2.89</v>
      </c>
      <c r="J112" s="47">
        <f t="shared" si="9"/>
        <v>0</v>
      </c>
      <c r="K112" s="21">
        <f t="shared" si="7"/>
        <v>357.86813609837384</v>
      </c>
    </row>
    <row r="113" spans="1:11" s="22" customFormat="1" ht="34.5" customHeight="1" x14ac:dyDescent="0.35">
      <c r="A113" s="19">
        <v>101</v>
      </c>
      <c r="B113" s="19" t="s">
        <v>42</v>
      </c>
      <c r="C113" s="20" t="s">
        <v>385</v>
      </c>
      <c r="D113" s="116">
        <v>0</v>
      </c>
      <c r="E113" s="410">
        <v>1.27</v>
      </c>
      <c r="F113" s="47">
        <f t="shared" si="8"/>
        <v>0</v>
      </c>
      <c r="G113" s="21">
        <f t="shared" si="6"/>
        <v>157.26385219547916</v>
      </c>
      <c r="H113" s="150">
        <v>0</v>
      </c>
      <c r="I113" s="410">
        <v>1.1100000000000001</v>
      </c>
      <c r="J113" s="47">
        <f t="shared" si="9"/>
        <v>0</v>
      </c>
      <c r="K113" s="21">
        <f t="shared" si="7"/>
        <v>137.45108341494637</v>
      </c>
    </row>
    <row r="114" spans="1:11" s="22" customFormat="1" ht="29" x14ac:dyDescent="0.35">
      <c r="A114" s="19">
        <v>102</v>
      </c>
      <c r="B114" s="19" t="s">
        <v>43</v>
      </c>
      <c r="C114" s="20" t="s">
        <v>386</v>
      </c>
      <c r="D114" s="116">
        <v>0</v>
      </c>
      <c r="E114" s="410">
        <v>0.75</v>
      </c>
      <c r="F114" s="47">
        <f t="shared" si="8"/>
        <v>0</v>
      </c>
      <c r="G114" s="21">
        <f t="shared" si="6"/>
        <v>92.872353658747542</v>
      </c>
      <c r="H114" s="150">
        <v>0</v>
      </c>
      <c r="I114" s="410">
        <v>0.37</v>
      </c>
      <c r="J114" s="47">
        <f t="shared" si="9"/>
        <v>0</v>
      </c>
      <c r="K114" s="21">
        <f t="shared" si="7"/>
        <v>45.817027804982118</v>
      </c>
    </row>
    <row r="115" spans="1:11" s="22" customFormat="1" x14ac:dyDescent="0.35">
      <c r="A115" s="19">
        <v>103</v>
      </c>
      <c r="B115" s="19" t="s">
        <v>44</v>
      </c>
      <c r="C115" s="20" t="s">
        <v>129</v>
      </c>
      <c r="D115" s="116">
        <v>314</v>
      </c>
      <c r="E115" s="410">
        <v>5.17</v>
      </c>
      <c r="F115" s="47">
        <f t="shared" si="8"/>
        <v>1623.3799999999999</v>
      </c>
      <c r="G115" s="21">
        <f t="shared" si="6"/>
        <v>640.20009122096633</v>
      </c>
      <c r="H115" s="150">
        <v>7</v>
      </c>
      <c r="I115" s="410">
        <v>4.43</v>
      </c>
      <c r="J115" s="47">
        <f t="shared" si="9"/>
        <v>31.009999999999998</v>
      </c>
      <c r="K115" s="21">
        <f t="shared" si="7"/>
        <v>548.56603561100212</v>
      </c>
    </row>
    <row r="116" spans="1:11" s="22" customFormat="1" x14ac:dyDescent="0.35">
      <c r="A116" s="19">
        <v>104</v>
      </c>
      <c r="B116" s="19" t="s">
        <v>45</v>
      </c>
      <c r="C116" s="20" t="s">
        <v>387</v>
      </c>
      <c r="D116" s="116">
        <v>979</v>
      </c>
      <c r="E116" s="410">
        <v>0.72</v>
      </c>
      <c r="F116" s="47">
        <f t="shared" si="8"/>
        <v>704.88</v>
      </c>
      <c r="G116" s="21">
        <f t="shared" si="6"/>
        <v>89.157459512397637</v>
      </c>
      <c r="H116" s="150">
        <v>486</v>
      </c>
      <c r="I116" s="410">
        <v>0.66</v>
      </c>
      <c r="J116" s="47">
        <f t="shared" si="9"/>
        <v>320.76</v>
      </c>
      <c r="K116" s="21">
        <f t="shared" si="7"/>
        <v>81.727671219697839</v>
      </c>
    </row>
    <row r="117" spans="1:11" s="22" customFormat="1" ht="29" x14ac:dyDescent="0.35">
      <c r="A117" s="19">
        <v>105</v>
      </c>
      <c r="B117" s="19" t="s">
        <v>19</v>
      </c>
      <c r="C117" s="20" t="s">
        <v>39</v>
      </c>
      <c r="D117" s="116">
        <v>0</v>
      </c>
      <c r="E117" s="410">
        <v>0</v>
      </c>
      <c r="F117" s="47">
        <f t="shared" si="8"/>
        <v>0</v>
      </c>
      <c r="G117" s="21">
        <f t="shared" si="6"/>
        <v>0</v>
      </c>
      <c r="H117" s="150">
        <v>0</v>
      </c>
      <c r="I117" s="410">
        <v>0</v>
      </c>
      <c r="J117" s="47">
        <f t="shared" si="9"/>
        <v>0</v>
      </c>
      <c r="K117" s="21">
        <f t="shared" si="7"/>
        <v>0</v>
      </c>
    </row>
    <row r="118" spans="1:11" s="22" customFormat="1" x14ac:dyDescent="0.35">
      <c r="A118" s="19">
        <v>106</v>
      </c>
      <c r="B118" s="19" t="s">
        <v>46</v>
      </c>
      <c r="C118" s="20" t="s">
        <v>130</v>
      </c>
      <c r="D118" s="116">
        <v>19172</v>
      </c>
      <c r="E118" s="410">
        <v>1.18</v>
      </c>
      <c r="F118" s="47">
        <f t="shared" si="8"/>
        <v>22622.959999999999</v>
      </c>
      <c r="G118" s="21">
        <f t="shared" si="6"/>
        <v>146.11916975642944</v>
      </c>
      <c r="H118" s="150">
        <v>1924</v>
      </c>
      <c r="I118" s="410">
        <v>1.03</v>
      </c>
      <c r="J118" s="47">
        <f t="shared" si="9"/>
        <v>1981.72</v>
      </c>
      <c r="K118" s="21">
        <f t="shared" si="7"/>
        <v>127.54469902467996</v>
      </c>
    </row>
    <row r="119" spans="1:11" s="22" customFormat="1" x14ac:dyDescent="0.35">
      <c r="A119" s="19">
        <v>107</v>
      </c>
      <c r="B119" s="19" t="s">
        <v>47</v>
      </c>
      <c r="C119" s="20" t="s">
        <v>131</v>
      </c>
      <c r="D119" s="116">
        <v>6469</v>
      </c>
      <c r="E119" s="410">
        <v>0.83</v>
      </c>
      <c r="F119" s="47">
        <f t="shared" si="8"/>
        <v>5369.2699999999995</v>
      </c>
      <c r="G119" s="21">
        <f t="shared" si="6"/>
        <v>102.77873804901394</v>
      </c>
      <c r="H119" s="150">
        <v>777</v>
      </c>
      <c r="I119" s="410">
        <v>0.72</v>
      </c>
      <c r="J119" s="47">
        <f t="shared" si="9"/>
        <v>559.43999999999994</v>
      </c>
      <c r="K119" s="21">
        <f t="shared" si="7"/>
        <v>89.157459512397637</v>
      </c>
    </row>
    <row r="120" spans="1:11" s="22" customFormat="1" x14ac:dyDescent="0.35">
      <c r="A120" s="19">
        <v>108</v>
      </c>
      <c r="B120" s="19" t="s">
        <v>48</v>
      </c>
      <c r="C120" s="20" t="s">
        <v>132</v>
      </c>
      <c r="D120" s="116">
        <v>5509</v>
      </c>
      <c r="E120" s="410">
        <v>0.64</v>
      </c>
      <c r="F120" s="47">
        <f t="shared" si="8"/>
        <v>3525.76</v>
      </c>
      <c r="G120" s="21">
        <f t="shared" si="6"/>
        <v>79.25107512213124</v>
      </c>
      <c r="H120" s="150">
        <v>1313</v>
      </c>
      <c r="I120" s="410">
        <v>0.6</v>
      </c>
      <c r="J120" s="47">
        <f t="shared" si="9"/>
        <v>787.8</v>
      </c>
      <c r="K120" s="21">
        <f t="shared" si="7"/>
        <v>74.297882926998028</v>
      </c>
    </row>
    <row r="121" spans="1:11" s="22" customFormat="1" x14ac:dyDescent="0.35">
      <c r="A121" s="19">
        <v>109</v>
      </c>
      <c r="B121" s="19" t="s">
        <v>21</v>
      </c>
      <c r="C121" s="20" t="s">
        <v>24</v>
      </c>
      <c r="D121" s="116">
        <v>1</v>
      </c>
      <c r="E121" s="410">
        <v>0</v>
      </c>
      <c r="F121" s="47">
        <f t="shared" si="8"/>
        <v>0</v>
      </c>
      <c r="G121" s="21">
        <f t="shared" si="6"/>
        <v>0</v>
      </c>
      <c r="H121" s="150">
        <v>3</v>
      </c>
      <c r="I121" s="410">
        <v>0</v>
      </c>
      <c r="J121" s="47">
        <f t="shared" si="9"/>
        <v>0</v>
      </c>
      <c r="K121" s="21">
        <f t="shared" si="7"/>
        <v>0</v>
      </c>
    </row>
    <row r="122" spans="1:11" s="22" customFormat="1" ht="29" x14ac:dyDescent="0.35">
      <c r="A122" s="19">
        <v>110</v>
      </c>
      <c r="B122" s="19" t="s">
        <v>49</v>
      </c>
      <c r="C122" s="20" t="s">
        <v>388</v>
      </c>
      <c r="D122" s="116">
        <v>0</v>
      </c>
      <c r="E122" s="410">
        <v>0</v>
      </c>
      <c r="F122" s="47">
        <f t="shared" si="8"/>
        <v>0</v>
      </c>
      <c r="G122" s="21">
        <f t="shared" si="6"/>
        <v>0</v>
      </c>
      <c r="H122" s="150">
        <v>701</v>
      </c>
      <c r="I122" s="410">
        <v>0</v>
      </c>
      <c r="J122" s="47">
        <f t="shared" si="9"/>
        <v>0</v>
      </c>
      <c r="K122" s="21">
        <f t="shared" si="7"/>
        <v>0</v>
      </c>
    </row>
    <row r="123" spans="1:11" s="22" customFormat="1" ht="29" x14ac:dyDescent="0.35">
      <c r="A123" s="19">
        <v>111</v>
      </c>
      <c r="B123" s="19" t="s">
        <v>33</v>
      </c>
      <c r="C123" s="20" t="s">
        <v>389</v>
      </c>
      <c r="D123" s="116">
        <v>5</v>
      </c>
      <c r="E123" s="410">
        <v>0</v>
      </c>
      <c r="F123" s="47">
        <f t="shared" si="8"/>
        <v>0</v>
      </c>
      <c r="G123" s="21">
        <f t="shared" si="6"/>
        <v>0</v>
      </c>
      <c r="H123" s="150">
        <v>1276</v>
      </c>
      <c r="I123" s="410">
        <v>0</v>
      </c>
      <c r="J123" s="47">
        <f t="shared" si="9"/>
        <v>0</v>
      </c>
      <c r="K123" s="21">
        <f t="shared" si="7"/>
        <v>0</v>
      </c>
    </row>
    <row r="124" spans="1:11" s="22" customFormat="1" x14ac:dyDescent="0.35">
      <c r="A124" s="19">
        <v>112</v>
      </c>
      <c r="B124" s="19" t="s">
        <v>50</v>
      </c>
      <c r="C124" s="20" t="s">
        <v>390</v>
      </c>
      <c r="D124" s="116">
        <v>2441</v>
      </c>
      <c r="E124" s="410">
        <v>2.64</v>
      </c>
      <c r="F124" s="47">
        <f t="shared" ref="F124:F187" si="10">D124*E124</f>
        <v>6444.2400000000007</v>
      </c>
      <c r="G124" s="21">
        <f t="shared" ref="G124:G186" si="11">E124*$F$12</f>
        <v>326.91068487879136</v>
      </c>
      <c r="H124" s="150">
        <v>717</v>
      </c>
      <c r="I124" s="410">
        <v>2.64</v>
      </c>
      <c r="J124" s="47">
        <f t="shared" ref="J124:J187" si="12">H124*I124</f>
        <v>1892.88</v>
      </c>
      <c r="K124" s="21">
        <f t="shared" ref="K124:K186" si="13">I124*$F$12</f>
        <v>326.91068487879136</v>
      </c>
    </row>
    <row r="125" spans="1:11" s="22" customFormat="1" x14ac:dyDescent="0.35">
      <c r="A125" s="19">
        <v>113</v>
      </c>
      <c r="B125" s="19" t="s">
        <v>51</v>
      </c>
      <c r="C125" s="20" t="s">
        <v>133</v>
      </c>
      <c r="D125" s="116">
        <v>0</v>
      </c>
      <c r="E125" s="410">
        <v>0</v>
      </c>
      <c r="F125" s="47">
        <f t="shared" si="10"/>
        <v>0</v>
      </c>
      <c r="G125" s="21">
        <f t="shared" si="11"/>
        <v>0</v>
      </c>
      <c r="H125" s="150">
        <v>0</v>
      </c>
      <c r="I125" s="410">
        <v>0</v>
      </c>
      <c r="J125" s="47">
        <f t="shared" si="12"/>
        <v>0</v>
      </c>
      <c r="K125" s="21">
        <f t="shared" si="13"/>
        <v>0</v>
      </c>
    </row>
    <row r="126" spans="1:11" s="22" customFormat="1" x14ac:dyDescent="0.35">
      <c r="A126" s="19">
        <v>114</v>
      </c>
      <c r="B126" s="19" t="s">
        <v>52</v>
      </c>
      <c r="C126" s="20" t="s">
        <v>134</v>
      </c>
      <c r="D126" s="116">
        <v>0</v>
      </c>
      <c r="E126" s="410">
        <v>0</v>
      </c>
      <c r="F126" s="47">
        <f t="shared" si="10"/>
        <v>0</v>
      </c>
      <c r="G126" s="21">
        <f t="shared" si="11"/>
        <v>0</v>
      </c>
      <c r="H126" s="150">
        <v>3504</v>
      </c>
      <c r="I126" s="410">
        <v>0</v>
      </c>
      <c r="J126" s="47">
        <f t="shared" si="12"/>
        <v>0</v>
      </c>
      <c r="K126" s="21">
        <f t="shared" si="13"/>
        <v>0</v>
      </c>
    </row>
    <row r="127" spans="1:11" s="22" customFormat="1" x14ac:dyDescent="0.35">
      <c r="A127" s="19">
        <v>115</v>
      </c>
      <c r="B127" s="19" t="s">
        <v>53</v>
      </c>
      <c r="C127" s="20" t="s">
        <v>135</v>
      </c>
      <c r="D127" s="116">
        <v>0</v>
      </c>
      <c r="E127" s="410">
        <v>0</v>
      </c>
      <c r="F127" s="47">
        <f t="shared" si="10"/>
        <v>0</v>
      </c>
      <c r="G127" s="21">
        <f t="shared" si="11"/>
        <v>0</v>
      </c>
      <c r="H127" s="150">
        <v>0</v>
      </c>
      <c r="I127" s="410">
        <v>0</v>
      </c>
      <c r="J127" s="47">
        <f t="shared" si="12"/>
        <v>0</v>
      </c>
      <c r="K127" s="21">
        <f t="shared" si="13"/>
        <v>0</v>
      </c>
    </row>
    <row r="128" spans="1:11" s="22" customFormat="1" ht="29" x14ac:dyDescent="0.35">
      <c r="A128" s="19">
        <v>116</v>
      </c>
      <c r="B128" s="19" t="s">
        <v>54</v>
      </c>
      <c r="C128" s="20" t="s">
        <v>391</v>
      </c>
      <c r="D128" s="116">
        <v>0</v>
      </c>
      <c r="E128" s="410">
        <v>1.02</v>
      </c>
      <c r="F128" s="47">
        <f t="shared" si="10"/>
        <v>0</v>
      </c>
      <c r="G128" s="21">
        <f t="shared" si="11"/>
        <v>126.30640097589665</v>
      </c>
      <c r="H128" s="150">
        <v>0</v>
      </c>
      <c r="I128" s="410">
        <v>0.94</v>
      </c>
      <c r="J128" s="47">
        <f t="shared" si="12"/>
        <v>0</v>
      </c>
      <c r="K128" s="21">
        <f t="shared" si="13"/>
        <v>116.40001658563024</v>
      </c>
    </row>
    <row r="129" spans="1:11" s="22" customFormat="1" x14ac:dyDescent="0.35">
      <c r="A129" s="19">
        <v>117</v>
      </c>
      <c r="B129" s="19" t="s">
        <v>22</v>
      </c>
      <c r="C129" s="20" t="s">
        <v>25</v>
      </c>
      <c r="D129" s="116">
        <v>0</v>
      </c>
      <c r="E129" s="410">
        <v>0</v>
      </c>
      <c r="F129" s="47">
        <f t="shared" si="10"/>
        <v>0</v>
      </c>
      <c r="G129" s="21">
        <f t="shared" si="11"/>
        <v>0</v>
      </c>
      <c r="H129" s="150">
        <v>0</v>
      </c>
      <c r="I129" s="410">
        <v>0</v>
      </c>
      <c r="J129" s="47">
        <f t="shared" si="12"/>
        <v>0</v>
      </c>
      <c r="K129" s="21">
        <f t="shared" si="13"/>
        <v>0</v>
      </c>
    </row>
    <row r="130" spans="1:11" s="22" customFormat="1" x14ac:dyDescent="0.35">
      <c r="A130" s="19">
        <v>118</v>
      </c>
      <c r="B130" s="19" t="s">
        <v>55</v>
      </c>
      <c r="C130" s="20" t="s">
        <v>392</v>
      </c>
      <c r="D130" s="116">
        <v>0</v>
      </c>
      <c r="E130" s="410">
        <v>0.12</v>
      </c>
      <c r="F130" s="47">
        <f t="shared" si="10"/>
        <v>0</v>
      </c>
      <c r="G130" s="21">
        <f t="shared" si="11"/>
        <v>14.859576585399605</v>
      </c>
      <c r="H130" s="150">
        <v>0</v>
      </c>
      <c r="I130" s="410">
        <v>0.09</v>
      </c>
      <c r="J130" s="47">
        <f t="shared" si="12"/>
        <v>0</v>
      </c>
      <c r="K130" s="21">
        <f t="shared" si="13"/>
        <v>11.144682439049705</v>
      </c>
    </row>
    <row r="131" spans="1:11" s="22" customFormat="1" x14ac:dyDescent="0.35">
      <c r="A131" s="19">
        <v>119</v>
      </c>
      <c r="B131" s="19" t="s">
        <v>56</v>
      </c>
      <c r="C131" s="20" t="s">
        <v>393</v>
      </c>
      <c r="D131" s="116">
        <v>0</v>
      </c>
      <c r="E131" s="410">
        <v>0.59</v>
      </c>
      <c r="F131" s="47">
        <f t="shared" si="10"/>
        <v>0</v>
      </c>
      <c r="G131" s="21">
        <f t="shared" si="11"/>
        <v>73.059584878214721</v>
      </c>
      <c r="H131" s="150">
        <v>0</v>
      </c>
      <c r="I131" s="410">
        <v>0.55000000000000004</v>
      </c>
      <c r="J131" s="47">
        <f t="shared" si="12"/>
        <v>0</v>
      </c>
      <c r="K131" s="21">
        <f t="shared" si="13"/>
        <v>68.106392683081538</v>
      </c>
    </row>
    <row r="132" spans="1:11" s="22" customFormat="1" ht="29" x14ac:dyDescent="0.35">
      <c r="A132" s="19">
        <v>120</v>
      </c>
      <c r="B132" s="19" t="s">
        <v>57</v>
      </c>
      <c r="C132" s="20" t="s">
        <v>136</v>
      </c>
      <c r="D132" s="116">
        <v>0</v>
      </c>
      <c r="E132" s="410">
        <v>0.75</v>
      </c>
      <c r="F132" s="47">
        <f t="shared" si="10"/>
        <v>0</v>
      </c>
      <c r="G132" s="21">
        <f t="shared" si="11"/>
        <v>92.872353658747542</v>
      </c>
      <c r="H132" s="150">
        <v>0</v>
      </c>
      <c r="I132" s="410">
        <v>0.37</v>
      </c>
      <c r="J132" s="47">
        <f t="shared" si="12"/>
        <v>0</v>
      </c>
      <c r="K132" s="21">
        <f t="shared" si="13"/>
        <v>45.817027804982118</v>
      </c>
    </row>
    <row r="133" spans="1:11" s="22" customFormat="1" ht="29" x14ac:dyDescent="0.35">
      <c r="A133" s="19">
        <v>121</v>
      </c>
      <c r="B133" s="19" t="s">
        <v>58</v>
      </c>
      <c r="C133" s="20" t="s">
        <v>137</v>
      </c>
      <c r="D133" s="116">
        <v>297</v>
      </c>
      <c r="E133" s="410">
        <v>0.75</v>
      </c>
      <c r="F133" s="47">
        <f t="shared" si="10"/>
        <v>222.75</v>
      </c>
      <c r="G133" s="21">
        <f t="shared" si="11"/>
        <v>92.872353658747542</v>
      </c>
      <c r="H133" s="150">
        <v>310</v>
      </c>
      <c r="I133" s="410">
        <v>0.37</v>
      </c>
      <c r="J133" s="47">
        <f t="shared" si="12"/>
        <v>114.7</v>
      </c>
      <c r="K133" s="21">
        <f t="shared" si="13"/>
        <v>45.817027804982118</v>
      </c>
    </row>
    <row r="134" spans="1:11" s="22" customFormat="1" ht="43.5" x14ac:dyDescent="0.35">
      <c r="A134" s="19">
        <v>122</v>
      </c>
      <c r="B134" s="19" t="s">
        <v>15</v>
      </c>
      <c r="C134" s="20" t="s">
        <v>18</v>
      </c>
      <c r="D134" s="116">
        <v>6</v>
      </c>
      <c r="E134" s="410">
        <v>0</v>
      </c>
      <c r="F134" s="47">
        <f t="shared" si="10"/>
        <v>0</v>
      </c>
      <c r="G134" s="21">
        <f t="shared" si="11"/>
        <v>0</v>
      </c>
      <c r="H134" s="150">
        <v>0</v>
      </c>
      <c r="I134" s="410">
        <v>0</v>
      </c>
      <c r="J134" s="47">
        <f t="shared" si="12"/>
        <v>0</v>
      </c>
      <c r="K134" s="21">
        <f t="shared" si="13"/>
        <v>0</v>
      </c>
    </row>
    <row r="135" spans="1:11" s="22" customFormat="1" ht="29" x14ac:dyDescent="0.35">
      <c r="A135" s="19">
        <v>123</v>
      </c>
      <c r="B135" s="19" t="s">
        <v>16</v>
      </c>
      <c r="C135" s="20" t="s">
        <v>138</v>
      </c>
      <c r="D135" s="116">
        <v>0</v>
      </c>
      <c r="E135" s="410">
        <v>0</v>
      </c>
      <c r="F135" s="47">
        <f t="shared" si="10"/>
        <v>0</v>
      </c>
      <c r="G135" s="21">
        <f t="shared" si="11"/>
        <v>0</v>
      </c>
      <c r="H135" s="150">
        <v>0</v>
      </c>
      <c r="I135" s="410">
        <v>0</v>
      </c>
      <c r="J135" s="47">
        <f t="shared" si="12"/>
        <v>0</v>
      </c>
      <c r="K135" s="21">
        <f t="shared" si="13"/>
        <v>0</v>
      </c>
    </row>
    <row r="136" spans="1:11" s="22" customFormat="1" ht="29" x14ac:dyDescent="0.35">
      <c r="A136" s="19">
        <v>124</v>
      </c>
      <c r="B136" s="19" t="s">
        <v>17</v>
      </c>
      <c r="C136" s="20" t="s">
        <v>139</v>
      </c>
      <c r="D136" s="116">
        <v>0</v>
      </c>
      <c r="E136" s="410">
        <v>0</v>
      </c>
      <c r="F136" s="47">
        <f t="shared" si="10"/>
        <v>0</v>
      </c>
      <c r="G136" s="21">
        <f t="shared" si="11"/>
        <v>0</v>
      </c>
      <c r="H136" s="150">
        <v>0</v>
      </c>
      <c r="I136" s="410">
        <v>0</v>
      </c>
      <c r="J136" s="47">
        <f t="shared" si="12"/>
        <v>0</v>
      </c>
      <c r="K136" s="21">
        <f t="shared" si="13"/>
        <v>0</v>
      </c>
    </row>
    <row r="137" spans="1:11" s="22" customFormat="1" x14ac:dyDescent="0.35">
      <c r="A137" s="19">
        <v>125</v>
      </c>
      <c r="B137" s="19" t="s">
        <v>23</v>
      </c>
      <c r="C137" s="20" t="s">
        <v>140</v>
      </c>
      <c r="D137" s="116">
        <v>0</v>
      </c>
      <c r="E137" s="410">
        <v>0</v>
      </c>
      <c r="F137" s="47">
        <f t="shared" si="10"/>
        <v>0</v>
      </c>
      <c r="G137" s="21">
        <f t="shared" si="11"/>
        <v>0</v>
      </c>
      <c r="H137" s="150">
        <v>0</v>
      </c>
      <c r="I137" s="410">
        <v>0</v>
      </c>
      <c r="J137" s="47">
        <f t="shared" si="12"/>
        <v>0</v>
      </c>
      <c r="K137" s="21">
        <f t="shared" si="13"/>
        <v>0</v>
      </c>
    </row>
    <row r="138" spans="1:11" s="22" customFormat="1" x14ac:dyDescent="0.35">
      <c r="A138" s="19">
        <v>126</v>
      </c>
      <c r="B138" s="19" t="s">
        <v>59</v>
      </c>
      <c r="C138" s="20" t="s">
        <v>395</v>
      </c>
      <c r="D138" s="116">
        <v>316</v>
      </c>
      <c r="E138" s="410">
        <v>3.27</v>
      </c>
      <c r="F138" s="47">
        <f t="shared" si="10"/>
        <v>1033.32</v>
      </c>
      <c r="G138" s="21">
        <f t="shared" si="11"/>
        <v>404.92346195213929</v>
      </c>
      <c r="H138" s="150">
        <v>104</v>
      </c>
      <c r="I138" s="410">
        <v>2.17</v>
      </c>
      <c r="J138" s="47">
        <f t="shared" si="12"/>
        <v>225.68</v>
      </c>
      <c r="K138" s="21">
        <f t="shared" si="13"/>
        <v>268.71067658597622</v>
      </c>
    </row>
    <row r="139" spans="1:11" s="22" customFormat="1" x14ac:dyDescent="0.35">
      <c r="A139" s="19">
        <v>127</v>
      </c>
      <c r="B139" s="19" t="s">
        <v>60</v>
      </c>
      <c r="C139" s="20" t="s">
        <v>394</v>
      </c>
      <c r="D139" s="116">
        <v>451</v>
      </c>
      <c r="E139" s="410">
        <v>1.1499999999999999</v>
      </c>
      <c r="F139" s="47">
        <f t="shared" si="10"/>
        <v>518.65</v>
      </c>
      <c r="G139" s="21">
        <f t="shared" si="11"/>
        <v>142.40427561007954</v>
      </c>
      <c r="H139" s="150">
        <v>60</v>
      </c>
      <c r="I139" s="410">
        <v>0.7</v>
      </c>
      <c r="J139" s="47">
        <f t="shared" si="12"/>
        <v>42</v>
      </c>
      <c r="K139" s="21">
        <f t="shared" si="13"/>
        <v>86.680863414831038</v>
      </c>
    </row>
    <row r="140" spans="1:11" s="22" customFormat="1" x14ac:dyDescent="0.35">
      <c r="A140" s="19">
        <v>128</v>
      </c>
      <c r="B140" s="19" t="s">
        <v>61</v>
      </c>
      <c r="C140" s="20" t="s">
        <v>141</v>
      </c>
      <c r="D140" s="116">
        <v>5888</v>
      </c>
      <c r="E140" s="410">
        <v>0.44</v>
      </c>
      <c r="F140" s="47">
        <f t="shared" si="10"/>
        <v>2590.7199999999998</v>
      </c>
      <c r="G140" s="21">
        <f t="shared" si="11"/>
        <v>54.485114146465222</v>
      </c>
      <c r="H140" s="150">
        <v>28933</v>
      </c>
      <c r="I140" s="410">
        <v>0.44</v>
      </c>
      <c r="J140" s="47">
        <f t="shared" si="12"/>
        <v>12730.52</v>
      </c>
      <c r="K140" s="21">
        <f t="shared" si="13"/>
        <v>54.485114146465222</v>
      </c>
    </row>
    <row r="141" spans="1:11" s="22" customFormat="1" x14ac:dyDescent="0.35">
      <c r="A141" s="19">
        <v>129</v>
      </c>
      <c r="B141" s="19" t="s">
        <v>62</v>
      </c>
      <c r="C141" s="20" t="s">
        <v>396</v>
      </c>
      <c r="D141" s="116">
        <v>718</v>
      </c>
      <c r="E141" s="410">
        <v>0.92</v>
      </c>
      <c r="F141" s="47">
        <f t="shared" si="10"/>
        <v>660.56000000000006</v>
      </c>
      <c r="G141" s="21">
        <f t="shared" si="11"/>
        <v>113.92342048806366</v>
      </c>
      <c r="H141" s="150">
        <v>319</v>
      </c>
      <c r="I141" s="410">
        <v>0.92</v>
      </c>
      <c r="J141" s="47">
        <f t="shared" si="12"/>
        <v>293.48</v>
      </c>
      <c r="K141" s="21">
        <f t="shared" si="13"/>
        <v>113.92342048806366</v>
      </c>
    </row>
    <row r="142" spans="1:11" s="22" customFormat="1" x14ac:dyDescent="0.35">
      <c r="A142" s="19">
        <v>130</v>
      </c>
      <c r="B142" s="19" t="s">
        <v>63</v>
      </c>
      <c r="C142" s="20" t="s">
        <v>397</v>
      </c>
      <c r="D142" s="116">
        <v>0</v>
      </c>
      <c r="E142" s="410">
        <v>5.28</v>
      </c>
      <c r="F142" s="47">
        <f t="shared" si="10"/>
        <v>0</v>
      </c>
      <c r="G142" s="21">
        <f t="shared" si="11"/>
        <v>653.82136975758272</v>
      </c>
      <c r="H142" s="150">
        <v>0</v>
      </c>
      <c r="I142" s="410">
        <v>5.28</v>
      </c>
      <c r="J142" s="47">
        <f t="shared" si="12"/>
        <v>0</v>
      </c>
      <c r="K142" s="21">
        <f t="shared" si="13"/>
        <v>653.82136975758272</v>
      </c>
    </row>
    <row r="143" spans="1:11" s="22" customFormat="1" x14ac:dyDescent="0.35">
      <c r="A143" s="19">
        <v>131</v>
      </c>
      <c r="B143" s="19" t="s">
        <v>64</v>
      </c>
      <c r="C143" s="20" t="s">
        <v>399</v>
      </c>
      <c r="D143" s="116">
        <v>184</v>
      </c>
      <c r="E143" s="410">
        <v>0.44</v>
      </c>
      <c r="F143" s="47">
        <f t="shared" si="10"/>
        <v>80.959999999999994</v>
      </c>
      <c r="G143" s="21">
        <f t="shared" si="11"/>
        <v>54.485114146465222</v>
      </c>
      <c r="H143" s="150">
        <v>0</v>
      </c>
      <c r="I143" s="410">
        <v>0.44</v>
      </c>
      <c r="J143" s="47">
        <f t="shared" si="12"/>
        <v>0</v>
      </c>
      <c r="K143" s="21">
        <f t="shared" si="13"/>
        <v>54.485114146465222</v>
      </c>
    </row>
    <row r="144" spans="1:11" s="22" customFormat="1" x14ac:dyDescent="0.35">
      <c r="A144" s="19">
        <v>132</v>
      </c>
      <c r="B144" s="19" t="s">
        <v>65</v>
      </c>
      <c r="C144" s="20" t="s">
        <v>398</v>
      </c>
      <c r="D144" s="116">
        <v>0</v>
      </c>
      <c r="E144" s="410">
        <v>5.28</v>
      </c>
      <c r="F144" s="47">
        <f t="shared" si="10"/>
        <v>0</v>
      </c>
      <c r="G144" s="21">
        <f t="shared" si="11"/>
        <v>653.82136975758272</v>
      </c>
      <c r="H144" s="150">
        <v>0</v>
      </c>
      <c r="I144" s="410">
        <v>5.28</v>
      </c>
      <c r="J144" s="47">
        <f t="shared" si="12"/>
        <v>0</v>
      </c>
      <c r="K144" s="21">
        <f t="shared" si="13"/>
        <v>653.82136975758272</v>
      </c>
    </row>
    <row r="145" spans="1:11" s="22" customFormat="1" x14ac:dyDescent="0.35">
      <c r="A145" s="19">
        <v>133</v>
      </c>
      <c r="B145" s="19" t="s">
        <v>66</v>
      </c>
      <c r="C145" s="20" t="s">
        <v>142</v>
      </c>
      <c r="D145" s="116">
        <v>27677</v>
      </c>
      <c r="E145" s="410">
        <v>0.54</v>
      </c>
      <c r="F145" s="47">
        <f t="shared" si="10"/>
        <v>14945.580000000002</v>
      </c>
      <c r="G145" s="21">
        <f t="shared" si="11"/>
        <v>66.868094634298231</v>
      </c>
      <c r="H145" s="150">
        <v>1239</v>
      </c>
      <c r="I145" s="410">
        <v>0.54</v>
      </c>
      <c r="J145" s="47">
        <f t="shared" si="12"/>
        <v>669.06000000000006</v>
      </c>
      <c r="K145" s="21">
        <f t="shared" si="13"/>
        <v>66.868094634298231</v>
      </c>
    </row>
    <row r="146" spans="1:11" s="22" customFormat="1" x14ac:dyDescent="0.35">
      <c r="A146" s="19">
        <v>134</v>
      </c>
      <c r="B146" s="19" t="s">
        <v>67</v>
      </c>
      <c r="C146" s="20" t="s">
        <v>400</v>
      </c>
      <c r="D146" s="116">
        <v>412</v>
      </c>
      <c r="E146" s="410">
        <v>1.29</v>
      </c>
      <c r="F146" s="47">
        <f t="shared" si="10"/>
        <v>531.48</v>
      </c>
      <c r="G146" s="21">
        <f t="shared" si="11"/>
        <v>159.74044829304577</v>
      </c>
      <c r="H146" s="150">
        <v>30</v>
      </c>
      <c r="I146" s="410">
        <v>1.1299999999999999</v>
      </c>
      <c r="J146" s="47">
        <f t="shared" si="12"/>
        <v>33.9</v>
      </c>
      <c r="K146" s="21">
        <f t="shared" si="13"/>
        <v>139.92767951251295</v>
      </c>
    </row>
    <row r="147" spans="1:11" s="22" customFormat="1" x14ac:dyDescent="0.35">
      <c r="A147" s="19">
        <v>135</v>
      </c>
      <c r="B147" s="19" t="s">
        <v>68</v>
      </c>
      <c r="C147" s="20" t="s">
        <v>401</v>
      </c>
      <c r="D147" s="116">
        <v>0</v>
      </c>
      <c r="E147" s="410">
        <v>5.28</v>
      </c>
      <c r="F147" s="47">
        <f t="shared" si="10"/>
        <v>0</v>
      </c>
      <c r="G147" s="21">
        <f t="shared" si="11"/>
        <v>653.82136975758272</v>
      </c>
      <c r="H147" s="150">
        <v>0</v>
      </c>
      <c r="I147" s="410">
        <v>5.28</v>
      </c>
      <c r="J147" s="47">
        <f t="shared" si="12"/>
        <v>0</v>
      </c>
      <c r="K147" s="21">
        <f t="shared" si="13"/>
        <v>653.82136975758272</v>
      </c>
    </row>
    <row r="148" spans="1:11" s="22" customFormat="1" x14ac:dyDescent="0.35">
      <c r="A148" s="19">
        <v>136</v>
      </c>
      <c r="B148" s="19" t="s">
        <v>69</v>
      </c>
      <c r="C148" s="20" t="s">
        <v>402</v>
      </c>
      <c r="D148" s="116">
        <v>0</v>
      </c>
      <c r="E148" s="410">
        <v>0.14000000000000001</v>
      </c>
      <c r="F148" s="47">
        <f t="shared" si="10"/>
        <v>0</v>
      </c>
      <c r="G148" s="21">
        <f t="shared" si="11"/>
        <v>17.336172682966208</v>
      </c>
      <c r="H148" s="150">
        <v>0</v>
      </c>
      <c r="I148" s="410">
        <v>0.12</v>
      </c>
      <c r="J148" s="47">
        <f t="shared" si="12"/>
        <v>0</v>
      </c>
      <c r="K148" s="21">
        <f t="shared" si="13"/>
        <v>14.859576585399605</v>
      </c>
    </row>
    <row r="149" spans="1:11" s="22" customFormat="1" x14ac:dyDescent="0.35">
      <c r="A149" s="19">
        <v>137</v>
      </c>
      <c r="B149" s="19" t="s">
        <v>70</v>
      </c>
      <c r="C149" s="20" t="s">
        <v>403</v>
      </c>
      <c r="D149" s="116">
        <v>0</v>
      </c>
      <c r="E149" s="410">
        <v>3.08</v>
      </c>
      <c r="F149" s="47">
        <f t="shared" si="10"/>
        <v>0</v>
      </c>
      <c r="G149" s="21">
        <f t="shared" si="11"/>
        <v>381.39579902525657</v>
      </c>
      <c r="H149" s="150">
        <v>0</v>
      </c>
      <c r="I149" s="410">
        <v>2.6399999999999997</v>
      </c>
      <c r="J149" s="47">
        <f t="shared" si="12"/>
        <v>0</v>
      </c>
      <c r="K149" s="21">
        <f t="shared" si="13"/>
        <v>326.9106848787913</v>
      </c>
    </row>
    <row r="150" spans="1:11" s="22" customFormat="1" x14ac:dyDescent="0.35">
      <c r="A150" s="19">
        <v>138</v>
      </c>
      <c r="B150" s="19" t="s">
        <v>71</v>
      </c>
      <c r="C150" s="20" t="s">
        <v>404</v>
      </c>
      <c r="D150" s="116">
        <v>0</v>
      </c>
      <c r="E150" s="410">
        <v>5.28</v>
      </c>
      <c r="F150" s="47">
        <f t="shared" si="10"/>
        <v>0</v>
      </c>
      <c r="G150" s="21">
        <f t="shared" si="11"/>
        <v>653.82136975758272</v>
      </c>
      <c r="H150" s="150">
        <v>0</v>
      </c>
      <c r="I150" s="410">
        <v>5.28</v>
      </c>
      <c r="J150" s="47">
        <f t="shared" si="12"/>
        <v>0</v>
      </c>
      <c r="K150" s="21">
        <f t="shared" si="13"/>
        <v>653.82136975758272</v>
      </c>
    </row>
    <row r="151" spans="1:11" s="22" customFormat="1" x14ac:dyDescent="0.35">
      <c r="A151" s="19">
        <v>139</v>
      </c>
      <c r="B151" s="19" t="s">
        <v>788</v>
      </c>
      <c r="C151" s="20" t="s">
        <v>789</v>
      </c>
      <c r="D151" s="116">
        <v>0</v>
      </c>
      <c r="E151" s="410">
        <v>0.12</v>
      </c>
      <c r="F151" s="47">
        <f t="shared" ref="F151" si="14">D151*E151</f>
        <v>0</v>
      </c>
      <c r="G151" s="21">
        <f t="shared" ref="G151" si="15">E151*$F$12</f>
        <v>14.859576585399605</v>
      </c>
      <c r="H151" s="150">
        <v>0</v>
      </c>
      <c r="I151" s="410">
        <v>0.09</v>
      </c>
      <c r="J151" s="47">
        <f t="shared" ref="J151" si="16">H151*I151</f>
        <v>0</v>
      </c>
      <c r="K151" s="21">
        <f t="shared" ref="K151" si="17">I151*$F$12</f>
        <v>11.144682439049705</v>
      </c>
    </row>
    <row r="152" spans="1:11" s="22" customFormat="1" x14ac:dyDescent="0.35">
      <c r="A152" s="19">
        <v>140</v>
      </c>
      <c r="B152" s="19" t="s">
        <v>72</v>
      </c>
      <c r="C152" s="20" t="s">
        <v>405</v>
      </c>
      <c r="D152" s="116">
        <v>0</v>
      </c>
      <c r="E152" s="410">
        <v>1.02</v>
      </c>
      <c r="F152" s="47">
        <f t="shared" si="10"/>
        <v>0</v>
      </c>
      <c r="G152" s="21">
        <f t="shared" si="11"/>
        <v>126.30640097589665</v>
      </c>
      <c r="H152" s="150">
        <v>0</v>
      </c>
      <c r="I152" s="410">
        <v>0.94</v>
      </c>
      <c r="J152" s="47">
        <f t="shared" si="12"/>
        <v>0</v>
      </c>
      <c r="K152" s="21">
        <f t="shared" si="13"/>
        <v>116.40001658563024</v>
      </c>
    </row>
    <row r="153" spans="1:11" s="22" customFormat="1" x14ac:dyDescent="0.35">
      <c r="A153" s="19">
        <v>141</v>
      </c>
      <c r="B153" s="19" t="s">
        <v>20</v>
      </c>
      <c r="C153" s="20" t="s">
        <v>406</v>
      </c>
      <c r="D153" s="116">
        <v>0</v>
      </c>
      <c r="E153" s="410">
        <v>0</v>
      </c>
      <c r="F153" s="47">
        <f t="shared" si="10"/>
        <v>0</v>
      </c>
      <c r="G153" s="21">
        <f t="shared" si="11"/>
        <v>0</v>
      </c>
      <c r="H153" s="150">
        <v>5</v>
      </c>
      <c r="I153" s="410">
        <v>0</v>
      </c>
      <c r="J153" s="47">
        <f t="shared" si="12"/>
        <v>0</v>
      </c>
      <c r="K153" s="21">
        <f t="shared" si="13"/>
        <v>0</v>
      </c>
    </row>
    <row r="154" spans="1:11" s="22" customFormat="1" x14ac:dyDescent="0.35">
      <c r="A154" s="19">
        <v>142</v>
      </c>
      <c r="B154" s="19" t="s">
        <v>73</v>
      </c>
      <c r="C154" s="20" t="s">
        <v>143</v>
      </c>
      <c r="D154" s="116">
        <v>0</v>
      </c>
      <c r="E154" s="410">
        <v>5.17</v>
      </c>
      <c r="F154" s="47">
        <f t="shared" si="10"/>
        <v>0</v>
      </c>
      <c r="G154" s="21">
        <f t="shared" si="11"/>
        <v>640.20009122096633</v>
      </c>
      <c r="H154" s="150">
        <v>0</v>
      </c>
      <c r="I154" s="410">
        <v>4.43</v>
      </c>
      <c r="J154" s="47">
        <f t="shared" si="12"/>
        <v>0</v>
      </c>
      <c r="K154" s="21">
        <f t="shared" si="13"/>
        <v>548.56603561100212</v>
      </c>
    </row>
    <row r="155" spans="1:11" s="22" customFormat="1" x14ac:dyDescent="0.35">
      <c r="A155" s="19">
        <v>143</v>
      </c>
      <c r="B155" s="19" t="s">
        <v>74</v>
      </c>
      <c r="C155" s="20" t="s">
        <v>144</v>
      </c>
      <c r="D155" s="116">
        <v>0</v>
      </c>
      <c r="E155" s="410">
        <v>1.7</v>
      </c>
      <c r="F155" s="47">
        <f t="shared" si="10"/>
        <v>0</v>
      </c>
      <c r="G155" s="21">
        <f t="shared" si="11"/>
        <v>210.51066829316107</v>
      </c>
      <c r="H155" s="150">
        <v>0</v>
      </c>
      <c r="I155" s="410">
        <v>1.05</v>
      </c>
      <c r="J155" s="47">
        <f t="shared" si="12"/>
        <v>0</v>
      </c>
      <c r="K155" s="21">
        <f t="shared" si="13"/>
        <v>130.02129512224656</v>
      </c>
    </row>
    <row r="156" spans="1:11" s="22" customFormat="1" x14ac:dyDescent="0.35">
      <c r="A156" s="19">
        <v>144</v>
      </c>
      <c r="B156" s="19" t="s">
        <v>26</v>
      </c>
      <c r="C156" s="20" t="s">
        <v>143</v>
      </c>
      <c r="D156" s="116">
        <v>0</v>
      </c>
      <c r="E156" s="410">
        <v>0</v>
      </c>
      <c r="F156" s="47">
        <f t="shared" si="10"/>
        <v>0</v>
      </c>
      <c r="G156" s="21">
        <f t="shared" si="11"/>
        <v>0</v>
      </c>
      <c r="H156" s="150">
        <v>0</v>
      </c>
      <c r="I156" s="410">
        <v>0</v>
      </c>
      <c r="J156" s="47">
        <f t="shared" si="12"/>
        <v>0</v>
      </c>
      <c r="K156" s="21">
        <f t="shared" si="13"/>
        <v>0</v>
      </c>
    </row>
    <row r="157" spans="1:11" s="22" customFormat="1" x14ac:dyDescent="0.35">
      <c r="A157" s="19">
        <v>145</v>
      </c>
      <c r="B157" s="19" t="s">
        <v>75</v>
      </c>
      <c r="C157" s="20" t="s">
        <v>145</v>
      </c>
      <c r="D157" s="116">
        <v>0</v>
      </c>
      <c r="E157" s="410">
        <v>1.35</v>
      </c>
      <c r="F157" s="47">
        <f t="shared" si="10"/>
        <v>0</v>
      </c>
      <c r="G157" s="21">
        <f t="shared" si="11"/>
        <v>167.17023658574558</v>
      </c>
      <c r="H157" s="150">
        <v>0</v>
      </c>
      <c r="I157" s="410">
        <v>1.35</v>
      </c>
      <c r="J157" s="47">
        <f t="shared" si="12"/>
        <v>0</v>
      </c>
      <c r="K157" s="21">
        <f t="shared" si="13"/>
        <v>167.17023658574558</v>
      </c>
    </row>
    <row r="158" spans="1:11" s="22" customFormat="1" x14ac:dyDescent="0.35">
      <c r="A158" s="19">
        <v>146</v>
      </c>
      <c r="B158" s="19" t="s">
        <v>76</v>
      </c>
      <c r="C158" s="20" t="s">
        <v>146</v>
      </c>
      <c r="D158" s="116">
        <v>0</v>
      </c>
      <c r="E158" s="410">
        <v>2.56</v>
      </c>
      <c r="F158" s="47">
        <f t="shared" si="10"/>
        <v>0</v>
      </c>
      <c r="G158" s="21">
        <f t="shared" si="11"/>
        <v>317.00430048852496</v>
      </c>
      <c r="H158" s="150">
        <v>0</v>
      </c>
      <c r="I158" s="410">
        <v>2.14</v>
      </c>
      <c r="J158" s="47">
        <f t="shared" si="12"/>
        <v>0</v>
      </c>
      <c r="K158" s="21">
        <f t="shared" si="13"/>
        <v>264.99578243962634</v>
      </c>
    </row>
    <row r="159" spans="1:11" s="22" customFormat="1" x14ac:dyDescent="0.35">
      <c r="A159" s="19">
        <v>147</v>
      </c>
      <c r="B159" s="19" t="s">
        <v>77</v>
      </c>
      <c r="C159" s="20" t="s">
        <v>407</v>
      </c>
      <c r="D159" s="116">
        <v>1631</v>
      </c>
      <c r="E159" s="410">
        <v>1.6</v>
      </c>
      <c r="F159" s="47">
        <f t="shared" si="10"/>
        <v>2609.6000000000004</v>
      </c>
      <c r="G159" s="21">
        <f t="shared" si="11"/>
        <v>198.12768780532809</v>
      </c>
      <c r="H159" s="150">
        <v>2077</v>
      </c>
      <c r="I159" s="410">
        <v>1.6</v>
      </c>
      <c r="J159" s="47">
        <f t="shared" si="12"/>
        <v>3323.2000000000003</v>
      </c>
      <c r="K159" s="21">
        <f t="shared" si="13"/>
        <v>198.12768780532809</v>
      </c>
    </row>
    <row r="160" spans="1:11" s="22" customFormat="1" x14ac:dyDescent="0.35">
      <c r="A160" s="19">
        <v>148</v>
      </c>
      <c r="B160" s="19" t="s">
        <v>78</v>
      </c>
      <c r="C160" s="20" t="s">
        <v>408</v>
      </c>
      <c r="D160" s="116">
        <v>1</v>
      </c>
      <c r="E160" s="410">
        <v>2.64</v>
      </c>
      <c r="F160" s="47">
        <f t="shared" si="10"/>
        <v>2.64</v>
      </c>
      <c r="G160" s="21">
        <f t="shared" si="11"/>
        <v>326.91068487879136</v>
      </c>
      <c r="H160" s="150">
        <v>0</v>
      </c>
      <c r="I160" s="410">
        <v>2.64</v>
      </c>
      <c r="J160" s="47">
        <f t="shared" si="12"/>
        <v>0</v>
      </c>
      <c r="K160" s="21">
        <f t="shared" si="13"/>
        <v>326.91068487879136</v>
      </c>
    </row>
    <row r="161" spans="1:11" s="22" customFormat="1" x14ac:dyDescent="0.35">
      <c r="A161" s="19">
        <v>149</v>
      </c>
      <c r="B161" s="19" t="s">
        <v>79</v>
      </c>
      <c r="C161" s="20" t="s">
        <v>409</v>
      </c>
      <c r="D161" s="116">
        <v>10129</v>
      </c>
      <c r="E161" s="410">
        <v>1.24</v>
      </c>
      <c r="F161" s="47">
        <f t="shared" si="10"/>
        <v>12559.96</v>
      </c>
      <c r="G161" s="21">
        <f t="shared" si="11"/>
        <v>153.54895804912925</v>
      </c>
      <c r="H161" s="150">
        <v>21950</v>
      </c>
      <c r="I161" s="410">
        <v>1.24</v>
      </c>
      <c r="J161" s="47">
        <f t="shared" si="12"/>
        <v>27218</v>
      </c>
      <c r="K161" s="21">
        <f t="shared" si="13"/>
        <v>153.54895804912925</v>
      </c>
    </row>
    <row r="162" spans="1:11" s="22" customFormat="1" x14ac:dyDescent="0.35">
      <c r="A162" s="19">
        <v>150</v>
      </c>
      <c r="B162" s="19" t="s">
        <v>80</v>
      </c>
      <c r="C162" s="20" t="s">
        <v>410</v>
      </c>
      <c r="D162" s="116">
        <v>0</v>
      </c>
      <c r="E162" s="410">
        <v>0.83</v>
      </c>
      <c r="F162" s="47">
        <f t="shared" si="10"/>
        <v>0</v>
      </c>
      <c r="G162" s="21">
        <f t="shared" si="11"/>
        <v>102.77873804901394</v>
      </c>
      <c r="H162" s="150">
        <v>0</v>
      </c>
      <c r="I162" s="410">
        <v>0.72</v>
      </c>
      <c r="J162" s="47">
        <f t="shared" si="12"/>
        <v>0</v>
      </c>
      <c r="K162" s="21">
        <f t="shared" si="13"/>
        <v>89.157459512397637</v>
      </c>
    </row>
    <row r="163" spans="1:11" s="22" customFormat="1" x14ac:dyDescent="0.35">
      <c r="A163" s="19">
        <v>151</v>
      </c>
      <c r="B163" s="19" t="s">
        <v>81</v>
      </c>
      <c r="C163" s="20" t="s">
        <v>411</v>
      </c>
      <c r="D163" s="116">
        <v>1696</v>
      </c>
      <c r="E163" s="410">
        <v>0.92</v>
      </c>
      <c r="F163" s="47">
        <f t="shared" si="10"/>
        <v>1560.3200000000002</v>
      </c>
      <c r="G163" s="21">
        <f t="shared" si="11"/>
        <v>113.92342048806366</v>
      </c>
      <c r="H163" s="150">
        <v>1161</v>
      </c>
      <c r="I163" s="410">
        <v>0.92</v>
      </c>
      <c r="J163" s="47">
        <f t="shared" si="12"/>
        <v>1068.1200000000001</v>
      </c>
      <c r="K163" s="21">
        <f t="shared" si="13"/>
        <v>113.92342048806366</v>
      </c>
    </row>
    <row r="164" spans="1:11" s="22" customFormat="1" x14ac:dyDescent="0.35">
      <c r="A164" s="19">
        <v>152</v>
      </c>
      <c r="B164" s="19" t="s">
        <v>82</v>
      </c>
      <c r="C164" s="20" t="s">
        <v>412</v>
      </c>
      <c r="D164" s="116">
        <v>22</v>
      </c>
      <c r="E164" s="410">
        <v>0.14000000000000001</v>
      </c>
      <c r="F164" s="47">
        <f t="shared" si="10"/>
        <v>3.08</v>
      </c>
      <c r="G164" s="21">
        <f t="shared" si="11"/>
        <v>17.336172682966208</v>
      </c>
      <c r="H164" s="150">
        <v>0</v>
      </c>
      <c r="I164" s="410">
        <v>0.12</v>
      </c>
      <c r="J164" s="47">
        <f t="shared" si="12"/>
        <v>0</v>
      </c>
      <c r="K164" s="21">
        <f t="shared" si="13"/>
        <v>14.859576585399605</v>
      </c>
    </row>
    <row r="165" spans="1:11" s="22" customFormat="1" x14ac:dyDescent="0.35">
      <c r="A165" s="19">
        <v>153</v>
      </c>
      <c r="B165" s="19" t="s">
        <v>83</v>
      </c>
      <c r="C165" s="20" t="s">
        <v>417</v>
      </c>
      <c r="D165" s="116">
        <v>0</v>
      </c>
      <c r="E165" s="410">
        <v>3.3600000000000003</v>
      </c>
      <c r="F165" s="47">
        <f t="shared" si="10"/>
        <v>0</v>
      </c>
      <c r="G165" s="21">
        <f t="shared" si="11"/>
        <v>416.06814439118904</v>
      </c>
      <c r="H165" s="150">
        <v>0</v>
      </c>
      <c r="I165" s="410">
        <v>2.88</v>
      </c>
      <c r="J165" s="47">
        <f t="shared" si="12"/>
        <v>0</v>
      </c>
      <c r="K165" s="21">
        <f t="shared" si="13"/>
        <v>356.62983804959055</v>
      </c>
    </row>
    <row r="166" spans="1:11" s="22" customFormat="1" x14ac:dyDescent="0.35">
      <c r="A166" s="19">
        <v>154</v>
      </c>
      <c r="B166" s="19" t="s">
        <v>84</v>
      </c>
      <c r="C166" s="20" t="s">
        <v>415</v>
      </c>
      <c r="D166" s="116">
        <v>16</v>
      </c>
      <c r="E166" s="410">
        <v>0.44</v>
      </c>
      <c r="F166" s="47">
        <f t="shared" si="10"/>
        <v>7.04</v>
      </c>
      <c r="G166" s="21">
        <f t="shared" si="11"/>
        <v>54.485114146465222</v>
      </c>
      <c r="H166" s="150">
        <v>0</v>
      </c>
      <c r="I166" s="410">
        <v>0.44</v>
      </c>
      <c r="J166" s="47">
        <f t="shared" si="12"/>
        <v>0</v>
      </c>
      <c r="K166" s="21">
        <f t="shared" si="13"/>
        <v>54.485114146465222</v>
      </c>
    </row>
    <row r="167" spans="1:11" s="22" customFormat="1" x14ac:dyDescent="0.35">
      <c r="A167" s="19">
        <v>155</v>
      </c>
      <c r="B167" s="19" t="s">
        <v>85</v>
      </c>
      <c r="C167" s="20" t="s">
        <v>416</v>
      </c>
      <c r="D167" s="116">
        <v>0</v>
      </c>
      <c r="E167" s="410">
        <v>5.28</v>
      </c>
      <c r="F167" s="47">
        <f t="shared" si="10"/>
        <v>0</v>
      </c>
      <c r="G167" s="21">
        <f t="shared" si="11"/>
        <v>653.82136975758272</v>
      </c>
      <c r="H167" s="150">
        <v>0</v>
      </c>
      <c r="I167" s="410">
        <v>5.28</v>
      </c>
      <c r="J167" s="47">
        <f t="shared" si="12"/>
        <v>0</v>
      </c>
      <c r="K167" s="21">
        <f t="shared" si="13"/>
        <v>653.82136975758272</v>
      </c>
    </row>
    <row r="168" spans="1:11" s="22" customFormat="1" x14ac:dyDescent="0.35">
      <c r="A168" s="19">
        <v>156</v>
      </c>
      <c r="B168" s="19" t="s">
        <v>86</v>
      </c>
      <c r="C168" s="20" t="s">
        <v>414</v>
      </c>
      <c r="D168" s="116">
        <v>3</v>
      </c>
      <c r="E168" s="410">
        <v>0.44</v>
      </c>
      <c r="F168" s="47">
        <f t="shared" si="10"/>
        <v>1.32</v>
      </c>
      <c r="G168" s="21">
        <f t="shared" si="11"/>
        <v>54.485114146465222</v>
      </c>
      <c r="H168" s="150">
        <v>8</v>
      </c>
      <c r="I168" s="410">
        <v>0.44</v>
      </c>
      <c r="J168" s="47">
        <f t="shared" si="12"/>
        <v>3.52</v>
      </c>
      <c r="K168" s="21">
        <f t="shared" si="13"/>
        <v>54.485114146465222</v>
      </c>
    </row>
    <row r="169" spans="1:11" s="22" customFormat="1" x14ac:dyDescent="0.35">
      <c r="A169" s="19">
        <v>157</v>
      </c>
      <c r="B169" s="19" t="s">
        <v>87</v>
      </c>
      <c r="C169" s="20" t="s">
        <v>413</v>
      </c>
      <c r="D169" s="116">
        <v>0</v>
      </c>
      <c r="E169" s="410">
        <v>5.28</v>
      </c>
      <c r="F169" s="47">
        <f t="shared" si="10"/>
        <v>0</v>
      </c>
      <c r="G169" s="21">
        <f t="shared" si="11"/>
        <v>653.82136975758272</v>
      </c>
      <c r="H169" s="150">
        <v>0</v>
      </c>
      <c r="I169" s="410">
        <v>5.28</v>
      </c>
      <c r="J169" s="47">
        <f t="shared" si="12"/>
        <v>0</v>
      </c>
      <c r="K169" s="21">
        <f t="shared" si="13"/>
        <v>653.82136975758272</v>
      </c>
    </row>
    <row r="170" spans="1:11" s="22" customFormat="1" x14ac:dyDescent="0.35">
      <c r="A170" s="19">
        <v>158</v>
      </c>
      <c r="B170" s="19" t="s">
        <v>88</v>
      </c>
      <c r="C170" s="20" t="s">
        <v>418</v>
      </c>
      <c r="D170" s="116">
        <v>3403</v>
      </c>
      <c r="E170" s="410">
        <v>0.14000000000000001</v>
      </c>
      <c r="F170" s="47">
        <f t="shared" si="10"/>
        <v>476.42000000000007</v>
      </c>
      <c r="G170" s="21">
        <f t="shared" si="11"/>
        <v>17.336172682966208</v>
      </c>
      <c r="H170" s="150">
        <v>61</v>
      </c>
      <c r="I170" s="410">
        <v>0.12</v>
      </c>
      <c r="J170" s="47">
        <f t="shared" si="12"/>
        <v>7.3199999999999994</v>
      </c>
      <c r="K170" s="21">
        <f t="shared" si="13"/>
        <v>14.859576585399605</v>
      </c>
    </row>
    <row r="171" spans="1:11" s="22" customFormat="1" x14ac:dyDescent="0.35">
      <c r="A171" s="19">
        <v>159</v>
      </c>
      <c r="B171" s="19" t="s">
        <v>89</v>
      </c>
      <c r="C171" s="20" t="s">
        <v>419</v>
      </c>
      <c r="D171" s="116">
        <v>2</v>
      </c>
      <c r="E171" s="410">
        <v>3.3600000000000003</v>
      </c>
      <c r="F171" s="47">
        <f t="shared" si="10"/>
        <v>6.7200000000000006</v>
      </c>
      <c r="G171" s="21">
        <f t="shared" si="11"/>
        <v>416.06814439118904</v>
      </c>
      <c r="H171" s="150">
        <v>0</v>
      </c>
      <c r="I171" s="410">
        <v>2.88</v>
      </c>
      <c r="J171" s="47">
        <f t="shared" si="12"/>
        <v>0</v>
      </c>
      <c r="K171" s="21">
        <f t="shared" si="13"/>
        <v>356.62983804959055</v>
      </c>
    </row>
    <row r="172" spans="1:11" s="22" customFormat="1" x14ac:dyDescent="0.35">
      <c r="A172" s="19">
        <v>160</v>
      </c>
      <c r="B172" s="19" t="s">
        <v>90</v>
      </c>
      <c r="C172" s="20" t="s">
        <v>420</v>
      </c>
      <c r="D172" s="116">
        <v>6</v>
      </c>
      <c r="E172" s="410">
        <v>0.14000000000000001</v>
      </c>
      <c r="F172" s="47">
        <f t="shared" si="10"/>
        <v>0.84000000000000008</v>
      </c>
      <c r="G172" s="21">
        <f t="shared" si="11"/>
        <v>17.336172682966208</v>
      </c>
      <c r="H172" s="150">
        <v>10</v>
      </c>
      <c r="I172" s="410">
        <v>0.12</v>
      </c>
      <c r="J172" s="47">
        <f t="shared" si="12"/>
        <v>1.2</v>
      </c>
      <c r="K172" s="21">
        <f t="shared" si="13"/>
        <v>14.859576585399605</v>
      </c>
    </row>
    <row r="173" spans="1:11" s="22" customFormat="1" x14ac:dyDescent="0.35">
      <c r="A173" s="19">
        <v>161</v>
      </c>
      <c r="B173" s="19" t="s">
        <v>91</v>
      </c>
      <c r="C173" s="20" t="s">
        <v>421</v>
      </c>
      <c r="D173" s="116">
        <v>0</v>
      </c>
      <c r="E173" s="410">
        <v>3.3600000000000003</v>
      </c>
      <c r="F173" s="47">
        <f t="shared" si="10"/>
        <v>0</v>
      </c>
      <c r="G173" s="21">
        <f t="shared" si="11"/>
        <v>416.06814439118904</v>
      </c>
      <c r="H173" s="150">
        <v>0</v>
      </c>
      <c r="I173" s="410">
        <v>2.88</v>
      </c>
      <c r="J173" s="47">
        <f t="shared" si="12"/>
        <v>0</v>
      </c>
      <c r="K173" s="21">
        <f t="shared" si="13"/>
        <v>356.62983804959055</v>
      </c>
    </row>
    <row r="174" spans="1:11" s="22" customFormat="1" x14ac:dyDescent="0.35">
      <c r="A174" s="19">
        <v>162</v>
      </c>
      <c r="B174" s="19" t="s">
        <v>92</v>
      </c>
      <c r="C174" s="20" t="s">
        <v>422</v>
      </c>
      <c r="D174" s="116">
        <v>5753</v>
      </c>
      <c r="E174" s="410">
        <v>0.14000000000000001</v>
      </c>
      <c r="F174" s="47">
        <f t="shared" si="10"/>
        <v>805.42000000000007</v>
      </c>
      <c r="G174" s="21">
        <f t="shared" si="11"/>
        <v>17.336172682966208</v>
      </c>
      <c r="H174" s="150">
        <v>7462</v>
      </c>
      <c r="I174" s="410">
        <v>0.12</v>
      </c>
      <c r="J174" s="47">
        <f t="shared" si="12"/>
        <v>895.43999999999994</v>
      </c>
      <c r="K174" s="21">
        <f t="shared" si="13"/>
        <v>14.859576585399605</v>
      </c>
    </row>
    <row r="175" spans="1:11" s="22" customFormat="1" x14ac:dyDescent="0.35">
      <c r="A175" s="19">
        <v>163</v>
      </c>
      <c r="B175" s="19" t="s">
        <v>93</v>
      </c>
      <c r="C175" s="20" t="s">
        <v>423</v>
      </c>
      <c r="D175" s="116">
        <v>11972</v>
      </c>
      <c r="E175" s="410">
        <v>0.14000000000000001</v>
      </c>
      <c r="F175" s="47">
        <f t="shared" si="10"/>
        <v>1676.0800000000002</v>
      </c>
      <c r="G175" s="21">
        <f t="shared" si="11"/>
        <v>17.336172682966208</v>
      </c>
      <c r="H175" s="150">
        <v>8269</v>
      </c>
      <c r="I175" s="410">
        <v>0.12</v>
      </c>
      <c r="J175" s="47">
        <f t="shared" si="12"/>
        <v>992.28</v>
      </c>
      <c r="K175" s="21">
        <f t="shared" si="13"/>
        <v>14.859576585399605</v>
      </c>
    </row>
    <row r="176" spans="1:11" s="22" customFormat="1" x14ac:dyDescent="0.35">
      <c r="A176" s="19">
        <v>164</v>
      </c>
      <c r="B176" s="19" t="s">
        <v>94</v>
      </c>
      <c r="C176" s="20" t="s">
        <v>424</v>
      </c>
      <c r="D176" s="116">
        <v>2320</v>
      </c>
      <c r="E176" s="410">
        <v>3.3600000000000003</v>
      </c>
      <c r="F176" s="47">
        <f t="shared" si="10"/>
        <v>7795.2000000000007</v>
      </c>
      <c r="G176" s="21">
        <f t="shared" si="11"/>
        <v>416.06814439118904</v>
      </c>
      <c r="H176" s="150">
        <v>1089</v>
      </c>
      <c r="I176" s="410">
        <v>2.88</v>
      </c>
      <c r="J176" s="47">
        <f t="shared" si="12"/>
        <v>3136.3199999999997</v>
      </c>
      <c r="K176" s="21">
        <f t="shared" si="13"/>
        <v>356.62983804959055</v>
      </c>
    </row>
    <row r="177" spans="1:11" s="22" customFormat="1" x14ac:dyDescent="0.35">
      <c r="A177" s="19">
        <v>165</v>
      </c>
      <c r="B177" s="19" t="s">
        <v>95</v>
      </c>
      <c r="C177" s="20" t="s">
        <v>425</v>
      </c>
      <c r="D177" s="116">
        <v>9661</v>
      </c>
      <c r="E177" s="410">
        <v>0.14000000000000001</v>
      </c>
      <c r="F177" s="47">
        <f t="shared" si="10"/>
        <v>1352.5400000000002</v>
      </c>
      <c r="G177" s="21">
        <f t="shared" si="11"/>
        <v>17.336172682966208</v>
      </c>
      <c r="H177" s="150">
        <v>761</v>
      </c>
      <c r="I177" s="410">
        <v>0.12</v>
      </c>
      <c r="J177" s="47">
        <f t="shared" si="12"/>
        <v>91.32</v>
      </c>
      <c r="K177" s="21">
        <f t="shared" si="13"/>
        <v>14.859576585399605</v>
      </c>
    </row>
    <row r="178" spans="1:11" s="22" customFormat="1" x14ac:dyDescent="0.35">
      <c r="A178" s="19">
        <v>166</v>
      </c>
      <c r="B178" s="19" t="s">
        <v>96</v>
      </c>
      <c r="C178" s="20" t="s">
        <v>426</v>
      </c>
      <c r="D178" s="116">
        <v>0</v>
      </c>
      <c r="E178" s="410">
        <v>1.29</v>
      </c>
      <c r="F178" s="47">
        <f t="shared" si="10"/>
        <v>0</v>
      </c>
      <c r="G178" s="21">
        <f t="shared" si="11"/>
        <v>159.74044829304577</v>
      </c>
      <c r="H178" s="150">
        <v>1</v>
      </c>
      <c r="I178" s="410">
        <v>1.1299999999999999</v>
      </c>
      <c r="J178" s="47">
        <f t="shared" si="12"/>
        <v>1.1299999999999999</v>
      </c>
      <c r="K178" s="21">
        <f t="shared" si="13"/>
        <v>139.92767951251295</v>
      </c>
    </row>
    <row r="179" spans="1:11" s="22" customFormat="1" x14ac:dyDescent="0.35">
      <c r="A179" s="19">
        <v>167</v>
      </c>
      <c r="B179" s="19" t="s">
        <v>35</v>
      </c>
      <c r="C179" s="20" t="s">
        <v>37</v>
      </c>
      <c r="D179" s="116">
        <v>0</v>
      </c>
      <c r="E179" s="410">
        <v>0</v>
      </c>
      <c r="F179" s="47">
        <f t="shared" si="10"/>
        <v>0</v>
      </c>
      <c r="G179" s="21">
        <f t="shared" si="11"/>
        <v>0</v>
      </c>
      <c r="H179" s="150">
        <v>0</v>
      </c>
      <c r="I179" s="410">
        <v>0</v>
      </c>
      <c r="J179" s="47">
        <f t="shared" si="12"/>
        <v>0</v>
      </c>
      <c r="K179" s="21">
        <f t="shared" si="13"/>
        <v>0</v>
      </c>
    </row>
    <row r="180" spans="1:11" s="22" customFormat="1" x14ac:dyDescent="0.35">
      <c r="A180" s="19">
        <v>168</v>
      </c>
      <c r="B180" s="19" t="s">
        <v>97</v>
      </c>
      <c r="C180" s="20" t="s">
        <v>427</v>
      </c>
      <c r="D180" s="116">
        <v>0</v>
      </c>
      <c r="E180" s="410">
        <v>0</v>
      </c>
      <c r="F180" s="47">
        <f t="shared" si="10"/>
        <v>0</v>
      </c>
      <c r="G180" s="21">
        <f t="shared" si="11"/>
        <v>0</v>
      </c>
      <c r="H180" s="150">
        <v>4078</v>
      </c>
      <c r="I180" s="410">
        <v>0</v>
      </c>
      <c r="J180" s="47">
        <f t="shared" si="12"/>
        <v>0</v>
      </c>
      <c r="K180" s="21">
        <f t="shared" si="13"/>
        <v>0</v>
      </c>
    </row>
    <row r="181" spans="1:11" s="22" customFormat="1" x14ac:dyDescent="0.35">
      <c r="A181" s="19">
        <v>169</v>
      </c>
      <c r="B181" s="19" t="s">
        <v>98</v>
      </c>
      <c r="C181" s="20" t="s">
        <v>428</v>
      </c>
      <c r="D181" s="116">
        <v>433</v>
      </c>
      <c r="E181" s="410">
        <v>0.22</v>
      </c>
      <c r="F181" s="47">
        <f t="shared" si="10"/>
        <v>95.26</v>
      </c>
      <c r="G181" s="21">
        <f t="shared" si="11"/>
        <v>27.242557073232611</v>
      </c>
      <c r="H181" s="150">
        <v>390</v>
      </c>
      <c r="I181" s="410">
        <v>0.22</v>
      </c>
      <c r="J181" s="47">
        <f t="shared" si="12"/>
        <v>85.8</v>
      </c>
      <c r="K181" s="21">
        <f t="shared" si="13"/>
        <v>27.242557073232611</v>
      </c>
    </row>
    <row r="182" spans="1:11" s="22" customFormat="1" x14ac:dyDescent="0.35">
      <c r="A182" s="19">
        <v>170</v>
      </c>
      <c r="B182" s="19" t="s">
        <v>99</v>
      </c>
      <c r="C182" s="20" t="s">
        <v>429</v>
      </c>
      <c r="D182" s="116">
        <v>78</v>
      </c>
      <c r="E182" s="410">
        <v>4.4000000000000004</v>
      </c>
      <c r="F182" s="47">
        <f t="shared" si="10"/>
        <v>343.20000000000005</v>
      </c>
      <c r="G182" s="21">
        <f t="shared" si="11"/>
        <v>544.8511414646523</v>
      </c>
      <c r="H182" s="150">
        <v>75</v>
      </c>
      <c r="I182" s="410">
        <v>4.4000000000000004</v>
      </c>
      <c r="J182" s="47">
        <f t="shared" si="12"/>
        <v>330</v>
      </c>
      <c r="K182" s="21">
        <f t="shared" si="13"/>
        <v>544.8511414646523</v>
      </c>
    </row>
    <row r="183" spans="1:11" s="22" customFormat="1" x14ac:dyDescent="0.35">
      <c r="A183" s="19">
        <v>171</v>
      </c>
      <c r="B183" s="19" t="s">
        <v>100</v>
      </c>
      <c r="C183" s="20" t="s">
        <v>147</v>
      </c>
      <c r="D183" s="116">
        <v>0</v>
      </c>
      <c r="E183" s="410">
        <v>1.02</v>
      </c>
      <c r="F183" s="47">
        <f t="shared" si="10"/>
        <v>0</v>
      </c>
      <c r="G183" s="21">
        <f t="shared" si="11"/>
        <v>126.30640097589665</v>
      </c>
      <c r="H183" s="150">
        <v>0</v>
      </c>
      <c r="I183" s="410">
        <v>0.94</v>
      </c>
      <c r="J183" s="47">
        <f t="shared" si="12"/>
        <v>0</v>
      </c>
      <c r="K183" s="21">
        <f t="shared" si="13"/>
        <v>116.40001658563024</v>
      </c>
    </row>
    <row r="184" spans="1:11" s="22" customFormat="1" x14ac:dyDescent="0.35">
      <c r="A184" s="19">
        <v>172</v>
      </c>
      <c r="B184" s="19" t="s">
        <v>101</v>
      </c>
      <c r="C184" s="20" t="s">
        <v>148</v>
      </c>
      <c r="D184" s="116">
        <v>0</v>
      </c>
      <c r="E184" s="410">
        <v>0.75</v>
      </c>
      <c r="F184" s="47">
        <f t="shared" si="10"/>
        <v>0</v>
      </c>
      <c r="G184" s="21">
        <f t="shared" si="11"/>
        <v>92.872353658747542</v>
      </c>
      <c r="H184" s="150">
        <v>0</v>
      </c>
      <c r="I184" s="410">
        <v>0.37</v>
      </c>
      <c r="J184" s="47">
        <f t="shared" si="12"/>
        <v>0</v>
      </c>
      <c r="K184" s="21">
        <f t="shared" si="13"/>
        <v>45.817027804982118</v>
      </c>
    </row>
    <row r="185" spans="1:11" s="22" customFormat="1" x14ac:dyDescent="0.35">
      <c r="A185" s="19">
        <v>173</v>
      </c>
      <c r="B185" s="19" t="s">
        <v>102</v>
      </c>
      <c r="C185" s="20" t="s">
        <v>430</v>
      </c>
      <c r="D185" s="116">
        <v>10</v>
      </c>
      <c r="E185" s="410">
        <v>0.75</v>
      </c>
      <c r="F185" s="47">
        <f t="shared" si="10"/>
        <v>7.5</v>
      </c>
      <c r="G185" s="21">
        <f t="shared" si="11"/>
        <v>92.872353658747542</v>
      </c>
      <c r="H185" s="150">
        <v>0</v>
      </c>
      <c r="I185" s="410">
        <v>0.37</v>
      </c>
      <c r="J185" s="47">
        <f t="shared" si="12"/>
        <v>0</v>
      </c>
      <c r="K185" s="21">
        <f t="shared" si="13"/>
        <v>45.817027804982118</v>
      </c>
    </row>
    <row r="186" spans="1:11" s="22" customFormat="1" x14ac:dyDescent="0.35">
      <c r="A186" s="19">
        <v>174</v>
      </c>
      <c r="B186" s="19" t="s">
        <v>103</v>
      </c>
      <c r="C186" s="20" t="s">
        <v>431</v>
      </c>
      <c r="D186" s="116">
        <v>268</v>
      </c>
      <c r="E186" s="410">
        <v>3.96</v>
      </c>
      <c r="F186" s="47">
        <f t="shared" si="10"/>
        <v>1061.28</v>
      </c>
      <c r="G186" s="21">
        <f t="shared" si="11"/>
        <v>490.36602731818698</v>
      </c>
      <c r="H186" s="150">
        <v>4</v>
      </c>
      <c r="I186" s="410">
        <v>3.96</v>
      </c>
      <c r="J186" s="47">
        <f t="shared" si="12"/>
        <v>15.84</v>
      </c>
      <c r="K186" s="21">
        <f t="shared" si="13"/>
        <v>490.36602731818698</v>
      </c>
    </row>
    <row r="187" spans="1:11" s="22" customFormat="1" x14ac:dyDescent="0.35">
      <c r="A187" s="19">
        <v>175</v>
      </c>
      <c r="B187" s="19" t="s">
        <v>104</v>
      </c>
      <c r="C187" s="20" t="s">
        <v>432</v>
      </c>
      <c r="D187" s="116">
        <v>3</v>
      </c>
      <c r="E187" s="410">
        <v>3.59</v>
      </c>
      <c r="F187" s="47">
        <f t="shared" si="10"/>
        <v>10.77</v>
      </c>
      <c r="G187" s="21">
        <f t="shared" ref="G187:G196" si="18">E187*$F$12</f>
        <v>444.54899951320488</v>
      </c>
      <c r="H187" s="150">
        <v>542</v>
      </c>
      <c r="I187" s="410">
        <v>3.59</v>
      </c>
      <c r="J187" s="47">
        <f t="shared" si="12"/>
        <v>1945.78</v>
      </c>
      <c r="K187" s="21">
        <f t="shared" ref="K187:K196" si="19">I187*$F$12</f>
        <v>444.54899951320488</v>
      </c>
    </row>
    <row r="188" spans="1:11" s="22" customFormat="1" x14ac:dyDescent="0.35">
      <c r="A188" s="19">
        <v>176</v>
      </c>
      <c r="B188" s="19" t="s">
        <v>36</v>
      </c>
      <c r="C188" s="20" t="s">
        <v>38</v>
      </c>
      <c r="D188" s="116">
        <v>0</v>
      </c>
      <c r="E188" s="410">
        <v>0</v>
      </c>
      <c r="F188" s="47">
        <f t="shared" ref="F188:F196" si="20">D188*E188</f>
        <v>0</v>
      </c>
      <c r="G188" s="21">
        <f t="shared" si="18"/>
        <v>0</v>
      </c>
      <c r="H188" s="150">
        <v>1907</v>
      </c>
      <c r="I188" s="410">
        <v>0</v>
      </c>
      <c r="J188" s="47">
        <f t="shared" ref="J188:J196" si="21">H188*I188</f>
        <v>0</v>
      </c>
      <c r="K188" s="21">
        <f t="shared" si="19"/>
        <v>0</v>
      </c>
    </row>
    <row r="189" spans="1:11" s="22" customFormat="1" x14ac:dyDescent="0.35">
      <c r="A189" s="19">
        <v>177</v>
      </c>
      <c r="B189" s="19" t="s">
        <v>105</v>
      </c>
      <c r="C189" s="20" t="s">
        <v>433</v>
      </c>
      <c r="D189" s="116">
        <v>0</v>
      </c>
      <c r="E189" s="410">
        <v>0.28999999999999998</v>
      </c>
      <c r="F189" s="47">
        <f t="shared" si="20"/>
        <v>0</v>
      </c>
      <c r="G189" s="21">
        <f t="shared" si="18"/>
        <v>35.910643414715715</v>
      </c>
      <c r="H189" s="150">
        <v>0</v>
      </c>
      <c r="I189" s="410">
        <v>0.28999999999999998</v>
      </c>
      <c r="J189" s="47">
        <f t="shared" si="21"/>
        <v>0</v>
      </c>
      <c r="K189" s="21">
        <f t="shared" si="19"/>
        <v>35.910643414715715</v>
      </c>
    </row>
    <row r="190" spans="1:11" s="22" customFormat="1" x14ac:dyDescent="0.35">
      <c r="A190" s="19">
        <v>178</v>
      </c>
      <c r="B190" s="19" t="s">
        <v>106</v>
      </c>
      <c r="C190" s="20" t="s">
        <v>149</v>
      </c>
      <c r="D190" s="116">
        <v>0</v>
      </c>
      <c r="E190" s="410">
        <v>3.07</v>
      </c>
      <c r="F190" s="47">
        <f t="shared" si="20"/>
        <v>0</v>
      </c>
      <c r="G190" s="21">
        <f t="shared" si="18"/>
        <v>380.15750097647322</v>
      </c>
      <c r="H190" s="150">
        <v>0</v>
      </c>
      <c r="I190" s="410">
        <v>3.05</v>
      </c>
      <c r="J190" s="47">
        <f t="shared" si="21"/>
        <v>0</v>
      </c>
      <c r="K190" s="21">
        <f t="shared" si="19"/>
        <v>377.68090487890663</v>
      </c>
    </row>
    <row r="191" spans="1:11" s="22" customFormat="1" ht="29" x14ac:dyDescent="0.35">
      <c r="A191" s="19">
        <v>179</v>
      </c>
      <c r="B191" s="19" t="s">
        <v>27</v>
      </c>
      <c r="C191" s="20" t="s">
        <v>30</v>
      </c>
      <c r="D191" s="116">
        <v>0</v>
      </c>
      <c r="E191" s="410">
        <v>0</v>
      </c>
      <c r="F191" s="47">
        <f t="shared" si="20"/>
        <v>0</v>
      </c>
      <c r="G191" s="21">
        <f t="shared" si="18"/>
        <v>0</v>
      </c>
      <c r="H191" s="150">
        <v>0</v>
      </c>
      <c r="I191" s="410">
        <v>0</v>
      </c>
      <c r="J191" s="47">
        <f t="shared" si="21"/>
        <v>0</v>
      </c>
      <c r="K191" s="21">
        <f t="shared" si="19"/>
        <v>0</v>
      </c>
    </row>
    <row r="192" spans="1:11" s="22" customFormat="1" x14ac:dyDescent="0.35">
      <c r="A192" s="19">
        <v>180</v>
      </c>
      <c r="B192" s="19" t="s">
        <v>107</v>
      </c>
      <c r="C192" s="20" t="s">
        <v>150</v>
      </c>
      <c r="D192" s="116">
        <v>0</v>
      </c>
      <c r="E192" s="410">
        <v>0.59</v>
      </c>
      <c r="F192" s="47">
        <f t="shared" si="20"/>
        <v>0</v>
      </c>
      <c r="G192" s="21">
        <f t="shared" si="18"/>
        <v>73.059584878214721</v>
      </c>
      <c r="H192" s="150">
        <v>0</v>
      </c>
      <c r="I192" s="410">
        <v>0.55000000000000004</v>
      </c>
      <c r="J192" s="47">
        <f t="shared" si="21"/>
        <v>0</v>
      </c>
      <c r="K192" s="21">
        <f t="shared" si="19"/>
        <v>68.106392683081538</v>
      </c>
    </row>
    <row r="193" spans="1:11" s="22" customFormat="1" x14ac:dyDescent="0.35">
      <c r="A193" s="19">
        <v>181</v>
      </c>
      <c r="B193" s="19" t="s">
        <v>28</v>
      </c>
      <c r="C193" s="20" t="s">
        <v>31</v>
      </c>
      <c r="D193" s="116">
        <v>0</v>
      </c>
      <c r="E193" s="410">
        <v>0</v>
      </c>
      <c r="F193" s="47">
        <f t="shared" si="20"/>
        <v>0</v>
      </c>
      <c r="G193" s="21">
        <f t="shared" si="18"/>
        <v>0</v>
      </c>
      <c r="H193" s="150">
        <v>0</v>
      </c>
      <c r="I193" s="410">
        <v>0</v>
      </c>
      <c r="J193" s="47">
        <f t="shared" si="21"/>
        <v>0</v>
      </c>
      <c r="K193" s="21">
        <f t="shared" si="19"/>
        <v>0</v>
      </c>
    </row>
    <row r="194" spans="1:11" s="22" customFormat="1" x14ac:dyDescent="0.35">
      <c r="A194" s="19">
        <v>182</v>
      </c>
      <c r="B194" s="19" t="s">
        <v>108</v>
      </c>
      <c r="C194" s="20" t="s">
        <v>434</v>
      </c>
      <c r="D194" s="116">
        <v>7</v>
      </c>
      <c r="E194" s="410">
        <v>0.64</v>
      </c>
      <c r="F194" s="47">
        <f t="shared" si="20"/>
        <v>4.4800000000000004</v>
      </c>
      <c r="G194" s="21">
        <f t="shared" si="18"/>
        <v>79.25107512213124</v>
      </c>
      <c r="H194" s="150">
        <v>0</v>
      </c>
      <c r="I194" s="410">
        <v>0.6</v>
      </c>
      <c r="J194" s="47">
        <f t="shared" si="21"/>
        <v>0</v>
      </c>
      <c r="K194" s="21">
        <f t="shared" si="19"/>
        <v>74.297882926998028</v>
      </c>
    </row>
    <row r="195" spans="1:11" s="22" customFormat="1" x14ac:dyDescent="0.35">
      <c r="A195" s="19">
        <v>183</v>
      </c>
      <c r="B195" s="19" t="s">
        <v>109</v>
      </c>
      <c r="C195" s="20" t="s">
        <v>151</v>
      </c>
      <c r="D195" s="116">
        <v>24094</v>
      </c>
      <c r="E195" s="410">
        <v>0.65000000000000013</v>
      </c>
      <c r="F195" s="47">
        <f t="shared" si="20"/>
        <v>15661.100000000004</v>
      </c>
      <c r="G195" s="21">
        <f t="shared" si="18"/>
        <v>80.489373170914547</v>
      </c>
      <c r="H195" s="150">
        <v>2695</v>
      </c>
      <c r="I195" s="410">
        <v>0.59999999999999987</v>
      </c>
      <c r="J195" s="47">
        <f t="shared" si="21"/>
        <v>1616.9999999999995</v>
      </c>
      <c r="K195" s="21">
        <f t="shared" si="19"/>
        <v>74.297882926998014</v>
      </c>
    </row>
    <row r="196" spans="1:11" s="22" customFormat="1" x14ac:dyDescent="0.35">
      <c r="A196" s="19">
        <v>184</v>
      </c>
      <c r="B196" s="19" t="s">
        <v>29</v>
      </c>
      <c r="C196" s="20" t="s">
        <v>32</v>
      </c>
      <c r="D196" s="116">
        <v>0</v>
      </c>
      <c r="E196" s="410">
        <v>0</v>
      </c>
      <c r="F196" s="47">
        <f t="shared" si="20"/>
        <v>0</v>
      </c>
      <c r="G196" s="21">
        <f t="shared" si="18"/>
        <v>0</v>
      </c>
      <c r="H196" s="150">
        <v>0</v>
      </c>
      <c r="I196" s="410">
        <v>0</v>
      </c>
      <c r="J196" s="47">
        <f t="shared" si="21"/>
        <v>0</v>
      </c>
      <c r="K196" s="21">
        <f t="shared" si="19"/>
        <v>0</v>
      </c>
    </row>
    <row r="197" spans="1:11" x14ac:dyDescent="0.35">
      <c r="A197" s="19">
        <v>185</v>
      </c>
      <c r="D197" s="9">
        <f>SUM(D18:D196)</f>
        <v>208457</v>
      </c>
      <c r="E197" s="13"/>
      <c r="F197" s="9">
        <f>SUM(F18:F196)</f>
        <v>320727.75</v>
      </c>
      <c r="H197" s="9">
        <f>SUM(H18:H196)</f>
        <v>113921</v>
      </c>
      <c r="J197" s="9">
        <f>SUM(J18:J196)</f>
        <v>112135.2</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H43" sqref="H43"/>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898</v>
      </c>
      <c r="G3" s="130"/>
      <c r="H3" s="130"/>
      <c r="I3" s="130"/>
      <c r="J3" s="40"/>
      <c r="K3" s="40"/>
      <c r="L3" s="40"/>
      <c r="M3" s="40"/>
    </row>
    <row r="4" spans="1:13" x14ac:dyDescent="0.35">
      <c r="G4" s="40"/>
      <c r="H4" s="40"/>
      <c r="I4" s="40"/>
      <c r="J4" s="40"/>
      <c r="K4" s="40"/>
      <c r="L4" s="40"/>
      <c r="M4" s="40"/>
    </row>
    <row r="5" spans="1:13" ht="15" customHeight="1" x14ac:dyDescent="0.35">
      <c r="A5" s="1" t="s">
        <v>772</v>
      </c>
      <c r="C5" s="420" t="str">
        <f>'As-Filed Schedule 1'!C5</f>
        <v>SummitStone Health Partners</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513" t="s">
        <v>867</v>
      </c>
      <c r="C9" s="513"/>
      <c r="D9" s="151" t="s">
        <v>868</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509" t="s">
        <v>869</v>
      </c>
      <c r="B11" s="510"/>
      <c r="C11" s="510"/>
      <c r="D11" s="511"/>
      <c r="G11" s="128"/>
      <c r="H11" s="128"/>
      <c r="I11" s="128"/>
      <c r="J11" s="128"/>
      <c r="K11" s="128"/>
      <c r="L11" s="128"/>
      <c r="M11" s="128"/>
    </row>
    <row r="12" spans="1:13" s="22" customFormat="1" x14ac:dyDescent="0.35">
      <c r="A12" s="155">
        <v>1</v>
      </c>
      <c r="B12" s="500" t="s">
        <v>870</v>
      </c>
      <c r="C12" s="502"/>
      <c r="D12" s="157">
        <v>34659507.82</v>
      </c>
      <c r="G12" s="140"/>
    </row>
    <row r="13" spans="1:13" s="22" customFormat="1" x14ac:dyDescent="0.35">
      <c r="A13" s="155">
        <v>2</v>
      </c>
      <c r="B13" s="500" t="s">
        <v>871</v>
      </c>
      <c r="C13" s="502"/>
      <c r="D13" s="157">
        <v>1957119.87</v>
      </c>
      <c r="G13" s="140"/>
    </row>
    <row r="14" spans="1:13" s="22" customFormat="1" x14ac:dyDescent="0.35">
      <c r="A14" s="155">
        <v>3</v>
      </c>
      <c r="B14" s="173" t="s">
        <v>872</v>
      </c>
      <c r="C14" s="168"/>
      <c r="D14" s="157">
        <v>1012716.57</v>
      </c>
      <c r="G14" s="140"/>
    </row>
    <row r="15" spans="1:13" s="22" customFormat="1" x14ac:dyDescent="0.35">
      <c r="A15" s="155">
        <v>4</v>
      </c>
      <c r="B15" s="173" t="s">
        <v>873</v>
      </c>
      <c r="C15" s="168"/>
      <c r="D15" s="157">
        <v>1073722.03</v>
      </c>
      <c r="G15" s="140"/>
    </row>
    <row r="16" spans="1:13" s="22" customFormat="1" x14ac:dyDescent="0.35">
      <c r="A16" s="155">
        <v>5</v>
      </c>
      <c r="B16" s="173" t="s">
        <v>874</v>
      </c>
      <c r="C16" s="168"/>
      <c r="D16" s="157">
        <v>64768.75</v>
      </c>
      <c r="G16" s="140"/>
    </row>
    <row r="17" spans="1:7" s="22" customFormat="1" x14ac:dyDescent="0.35">
      <c r="A17" s="155">
        <v>6</v>
      </c>
      <c r="B17" s="173" t="s">
        <v>875</v>
      </c>
      <c r="C17" s="168"/>
      <c r="D17" s="157">
        <v>-272.39999999999998</v>
      </c>
      <c r="G17" s="140"/>
    </row>
    <row r="18" spans="1:7" s="22" customFormat="1" x14ac:dyDescent="0.35">
      <c r="A18" s="155">
        <v>7</v>
      </c>
      <c r="B18" s="500" t="s">
        <v>876</v>
      </c>
      <c r="C18" s="502"/>
      <c r="D18" s="157">
        <v>45</v>
      </c>
      <c r="G18" s="140"/>
    </row>
    <row r="19" spans="1:7" s="22" customFormat="1" x14ac:dyDescent="0.35">
      <c r="A19" s="155">
        <v>8</v>
      </c>
      <c r="B19" s="506" t="s">
        <v>877</v>
      </c>
      <c r="C19" s="508"/>
      <c r="D19" s="160">
        <f>SUM(D12:D18)</f>
        <v>38767607.640000001</v>
      </c>
      <c r="G19" s="140"/>
    </row>
    <row r="20" spans="1:7" s="22" customFormat="1" x14ac:dyDescent="0.35">
      <c r="A20" s="161"/>
      <c r="B20" s="162"/>
      <c r="C20" s="162"/>
      <c r="D20" s="164"/>
      <c r="G20" s="140"/>
    </row>
    <row r="21" spans="1:7" s="22" customFormat="1" x14ac:dyDescent="0.35">
      <c r="A21" s="509" t="s">
        <v>878</v>
      </c>
      <c r="B21" s="510"/>
      <c r="C21" s="510"/>
      <c r="D21" s="511"/>
      <c r="E21" s="140"/>
      <c r="F21" s="140"/>
      <c r="G21" s="140"/>
    </row>
    <row r="22" spans="1:7" s="22" customFormat="1" x14ac:dyDescent="0.35">
      <c r="A22" s="155">
        <v>9</v>
      </c>
      <c r="B22" s="500" t="s">
        <v>879</v>
      </c>
      <c r="C22" s="502"/>
      <c r="D22" s="157">
        <v>1312829.8</v>
      </c>
      <c r="E22" s="140"/>
      <c r="F22" s="140"/>
      <c r="G22" s="140"/>
    </row>
    <row r="23" spans="1:7" s="22" customFormat="1" x14ac:dyDescent="0.35">
      <c r="A23" s="155">
        <v>10</v>
      </c>
      <c r="B23" s="173" t="s">
        <v>880</v>
      </c>
      <c r="C23" s="168"/>
      <c r="D23" s="157">
        <v>2731813.49</v>
      </c>
      <c r="E23" s="140"/>
      <c r="F23" s="140"/>
      <c r="G23" s="140"/>
    </row>
    <row r="24" spans="1:7" s="22" customFormat="1" x14ac:dyDescent="0.35">
      <c r="A24" s="155">
        <v>11</v>
      </c>
      <c r="B24" s="173" t="s">
        <v>881</v>
      </c>
      <c r="C24" s="168"/>
      <c r="D24" s="157">
        <v>11316879.67</v>
      </c>
      <c r="E24" s="140"/>
      <c r="F24" s="140"/>
      <c r="G24" s="140"/>
    </row>
    <row r="25" spans="1:7" s="22" customFormat="1" x14ac:dyDescent="0.35">
      <c r="A25" s="155">
        <v>12</v>
      </c>
      <c r="B25" s="173" t="s">
        <v>882</v>
      </c>
      <c r="C25" s="168"/>
      <c r="D25" s="157">
        <v>20403019.43</v>
      </c>
      <c r="E25" s="140"/>
      <c r="F25" s="140"/>
      <c r="G25" s="140"/>
    </row>
    <row r="26" spans="1:7" s="22" customFormat="1" x14ac:dyDescent="0.35">
      <c r="A26" s="155">
        <v>13</v>
      </c>
      <c r="B26" s="173" t="s">
        <v>883</v>
      </c>
      <c r="C26" s="168"/>
      <c r="D26" s="157">
        <v>75333.47</v>
      </c>
      <c r="E26" s="140"/>
      <c r="F26" s="140"/>
      <c r="G26" s="140"/>
    </row>
    <row r="27" spans="1:7" s="22" customFormat="1" x14ac:dyDescent="0.35">
      <c r="A27" s="155">
        <v>14</v>
      </c>
      <c r="B27" s="506" t="s">
        <v>884</v>
      </c>
      <c r="C27" s="508"/>
      <c r="D27" s="160">
        <f>SUM(D22:D26)</f>
        <v>35839875.859999999</v>
      </c>
      <c r="E27" s="140"/>
      <c r="F27" s="140"/>
      <c r="G27" s="140"/>
    </row>
    <row r="28" spans="1:7" s="22" customFormat="1" x14ac:dyDescent="0.35">
      <c r="A28" s="161"/>
      <c r="B28" s="162"/>
      <c r="C28" s="162"/>
      <c r="D28" s="164"/>
      <c r="F28" s="140"/>
      <c r="G28" s="140"/>
    </row>
    <row r="29" spans="1:7" s="22" customFormat="1" x14ac:dyDescent="0.35">
      <c r="A29" s="509" t="s">
        <v>885</v>
      </c>
      <c r="B29" s="510"/>
      <c r="C29" s="510"/>
      <c r="D29" s="511"/>
      <c r="F29" s="140"/>
      <c r="G29" s="140"/>
    </row>
    <row r="30" spans="1:7" s="22" customFormat="1" x14ac:dyDescent="0.35">
      <c r="A30" s="155">
        <v>15</v>
      </c>
      <c r="B30" s="500" t="s">
        <v>886</v>
      </c>
      <c r="C30" s="502"/>
      <c r="D30" s="157">
        <v>142787.60999999999</v>
      </c>
      <c r="G30" s="140"/>
    </row>
    <row r="31" spans="1:7" s="22" customFormat="1" x14ac:dyDescent="0.35">
      <c r="A31" s="155">
        <v>16</v>
      </c>
      <c r="B31" s="173" t="s">
        <v>887</v>
      </c>
      <c r="C31" s="168"/>
      <c r="D31" s="157"/>
      <c r="G31" s="140"/>
    </row>
    <row r="32" spans="1:7" s="22" customFormat="1" x14ac:dyDescent="0.35">
      <c r="A32" s="155">
        <v>17</v>
      </c>
      <c r="B32" s="173" t="s">
        <v>888</v>
      </c>
      <c r="C32" s="168"/>
      <c r="D32" s="157"/>
      <c r="G32" s="140"/>
    </row>
    <row r="33" spans="1:7" s="22" customFormat="1" x14ac:dyDescent="0.35">
      <c r="A33" s="155">
        <v>18</v>
      </c>
      <c r="B33" s="173" t="s">
        <v>889</v>
      </c>
      <c r="C33" s="168"/>
      <c r="D33" s="157"/>
      <c r="G33" s="140"/>
    </row>
    <row r="34" spans="1:7" s="22" customFormat="1" x14ac:dyDescent="0.35">
      <c r="A34" s="155">
        <v>19</v>
      </c>
      <c r="B34" s="173" t="s">
        <v>890</v>
      </c>
      <c r="C34" s="168"/>
      <c r="D34" s="157">
        <v>283405.07</v>
      </c>
      <c r="G34" s="140"/>
    </row>
    <row r="35" spans="1:7" s="22" customFormat="1" x14ac:dyDescent="0.35">
      <c r="A35" s="155">
        <v>20</v>
      </c>
      <c r="B35" s="506" t="s">
        <v>891</v>
      </c>
      <c r="C35" s="508"/>
      <c r="D35" s="160">
        <f>SUM(D30:D34)</f>
        <v>426192.68</v>
      </c>
      <c r="G35" s="140"/>
    </row>
    <row r="36" spans="1:7" s="22" customFormat="1" x14ac:dyDescent="0.35">
      <c r="A36" s="161"/>
      <c r="B36" s="162"/>
      <c r="C36" s="162"/>
      <c r="D36" s="164"/>
      <c r="G36" s="140"/>
    </row>
    <row r="37" spans="1:7" s="22" customFormat="1" x14ac:dyDescent="0.35">
      <c r="A37" s="509" t="s">
        <v>892</v>
      </c>
      <c r="B37" s="510"/>
      <c r="C37" s="510"/>
      <c r="D37" s="511"/>
      <c r="G37" s="140"/>
    </row>
    <row r="38" spans="1:7" s="22" customFormat="1" x14ac:dyDescent="0.35">
      <c r="A38" s="155">
        <v>21</v>
      </c>
      <c r="B38" s="500" t="s">
        <v>304</v>
      </c>
      <c r="C38" s="501"/>
      <c r="D38" s="157">
        <v>464931.48</v>
      </c>
      <c r="G38" s="140"/>
    </row>
    <row r="39" spans="1:7" s="22" customFormat="1" x14ac:dyDescent="0.35">
      <c r="A39" s="155">
        <v>22</v>
      </c>
      <c r="B39" s="500" t="s">
        <v>893</v>
      </c>
      <c r="C39" s="501"/>
      <c r="D39" s="157">
        <v>13852.5</v>
      </c>
      <c r="G39" s="140"/>
    </row>
    <row r="40" spans="1:7" s="22" customFormat="1" x14ac:dyDescent="0.35">
      <c r="A40" s="155">
        <v>23</v>
      </c>
      <c r="B40" s="500" t="s">
        <v>894</v>
      </c>
      <c r="C40" s="501"/>
      <c r="D40" s="157">
        <v>134808.85999999999</v>
      </c>
      <c r="G40" s="140"/>
    </row>
    <row r="41" spans="1:7" s="22" customFormat="1" x14ac:dyDescent="0.35">
      <c r="A41" s="155">
        <v>24</v>
      </c>
      <c r="B41" s="506" t="s">
        <v>895</v>
      </c>
      <c r="C41" s="507"/>
      <c r="D41" s="160">
        <f>SUM(D38:D40)</f>
        <v>613592.84</v>
      </c>
      <c r="G41" s="140"/>
    </row>
    <row r="42" spans="1:7" s="22" customFormat="1" x14ac:dyDescent="0.35">
      <c r="A42" s="161"/>
      <c r="B42" s="162"/>
      <c r="C42" s="162"/>
      <c r="D42" s="164"/>
      <c r="G42" s="140"/>
    </row>
    <row r="43" spans="1:7" s="63" customFormat="1" ht="15.5" x14ac:dyDescent="0.35">
      <c r="A43" s="155">
        <v>25</v>
      </c>
      <c r="B43" s="503" t="s">
        <v>896</v>
      </c>
      <c r="C43" s="505"/>
      <c r="D43" s="169">
        <f>SUM(D19,D27,D35,D41)</f>
        <v>75647269.020000011</v>
      </c>
      <c r="G43" s="141"/>
    </row>
    <row r="44" spans="1:7" s="22" customFormat="1" x14ac:dyDescent="0.35">
      <c r="A44" s="170"/>
      <c r="B44" s="170"/>
      <c r="C44" s="170"/>
      <c r="D44" s="170"/>
      <c r="G44" s="140"/>
    </row>
    <row r="45" spans="1:7" s="22" customFormat="1" x14ac:dyDescent="0.35">
      <c r="A45" s="155">
        <v>26</v>
      </c>
      <c r="B45" s="499" t="s">
        <v>897</v>
      </c>
      <c r="C45" s="499"/>
      <c r="D45" s="157"/>
      <c r="G45" s="140"/>
    </row>
    <row r="46" spans="1:7" s="22" customFormat="1" ht="15.5" x14ac:dyDescent="0.35">
      <c r="A46" s="155">
        <v>27</v>
      </c>
      <c r="B46" s="499" t="s">
        <v>10</v>
      </c>
      <c r="C46" s="499"/>
      <c r="D46" s="169">
        <f>D43-D45</f>
        <v>75647269.020000011</v>
      </c>
      <c r="E46" s="33" t="str">
        <f>IF(ABS(D46)&gt;1,"Error - This variance should be 0.","")</f>
        <v>Error - This variance should be 0.</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61" t="s">
        <v>773</v>
      </c>
      <c r="F1" s="53"/>
    </row>
    <row r="2" spans="1:31" ht="21" x14ac:dyDescent="0.5">
      <c r="A2" s="2" t="s">
        <v>771</v>
      </c>
      <c r="Z2" s="40"/>
      <c r="AA2" s="40"/>
      <c r="AB2" s="40"/>
      <c r="AC2" s="40"/>
      <c r="AD2" s="40"/>
      <c r="AE2" s="40"/>
    </row>
    <row r="3" spans="1:31" ht="25" customHeight="1" x14ac:dyDescent="0.5">
      <c r="A3" s="5" t="s">
        <v>551</v>
      </c>
      <c r="Y3" s="130"/>
      <c r="Z3" s="130"/>
      <c r="AA3" s="130"/>
      <c r="AB3" s="40"/>
      <c r="AC3" s="40"/>
      <c r="AD3" s="40"/>
      <c r="AE3" s="40"/>
    </row>
    <row r="4" spans="1:31" ht="25"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772</v>
      </c>
      <c r="C6" s="421" t="str">
        <f>Results!$C$6</f>
        <v>SummitStone Health Partners</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513" t="s">
        <v>1</v>
      </c>
      <c r="C10" s="513"/>
      <c r="D10" s="151" t="s">
        <v>7</v>
      </c>
      <c r="E10" s="258" t="s">
        <v>554</v>
      </c>
      <c r="F10" s="259" t="s">
        <v>555</v>
      </c>
      <c r="G10" s="151" t="s">
        <v>6</v>
      </c>
      <c r="H10" s="258" t="s">
        <v>558</v>
      </c>
      <c r="I10" s="259" t="s">
        <v>559</v>
      </c>
      <c r="J10" s="151" t="s">
        <v>485</v>
      </c>
      <c r="K10" s="258" t="s">
        <v>562</v>
      </c>
      <c r="L10" s="259" t="s">
        <v>563</v>
      </c>
      <c r="M10" s="151" t="s">
        <v>775</v>
      </c>
      <c r="N10" s="258" t="s">
        <v>776</v>
      </c>
      <c r="O10" s="259" t="s">
        <v>777</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509" t="s">
        <v>280</v>
      </c>
      <c r="B12" s="510"/>
      <c r="C12" s="510"/>
      <c r="D12" s="510"/>
      <c r="E12" s="510"/>
      <c r="F12" s="510"/>
      <c r="G12" s="510"/>
      <c r="H12" s="510"/>
      <c r="I12" s="510"/>
      <c r="J12" s="510"/>
      <c r="K12" s="510"/>
      <c r="L12" s="510"/>
      <c r="M12" s="510"/>
      <c r="N12" s="510"/>
      <c r="O12" s="510"/>
      <c r="P12" s="510"/>
      <c r="Q12" s="510"/>
      <c r="R12" s="510"/>
      <c r="S12" s="510"/>
      <c r="T12" s="510"/>
      <c r="U12" s="510"/>
      <c r="V12" s="510"/>
      <c r="W12" s="510"/>
      <c r="X12" s="511"/>
      <c r="Y12" s="128"/>
      <c r="Z12" s="128"/>
      <c r="AA12" s="128"/>
      <c r="AB12" s="128"/>
      <c r="AC12" s="128"/>
      <c r="AD12" s="128"/>
      <c r="AE12" s="128"/>
    </row>
    <row r="13" spans="1:31" s="22" customFormat="1" x14ac:dyDescent="0.35">
      <c r="A13" s="155">
        <v>1</v>
      </c>
      <c r="B13" s="500" t="s">
        <v>458</v>
      </c>
      <c r="C13" s="502"/>
      <c r="D13" s="156">
        <f>'As-Filed Schedule 1'!D12</f>
        <v>27</v>
      </c>
      <c r="E13" s="263">
        <f>SUMIFS(Adjustments!$G:$G,Adjustments!$H:$H,"1",Adjustments!$I:$I,$D$9,Adjustments!$J:$J,$A13)</f>
        <v>0</v>
      </c>
      <c r="F13" s="272">
        <f>SUM(D13:E13)</f>
        <v>27</v>
      </c>
      <c r="G13" s="157">
        <f>'As-Filed Schedule 1'!E12</f>
        <v>0</v>
      </c>
      <c r="H13" s="263">
        <f>SUMIFS(Adjustments!$G:$G,Adjustments!$H:$H,"1",Adjustments!$I:$I,$G$9,Adjustments!$J:$J,$A13)</f>
        <v>0</v>
      </c>
      <c r="I13" s="274">
        <f>SUM(G13:H13)</f>
        <v>0</v>
      </c>
      <c r="J13" s="157">
        <f>'As-Filed Schedule 1'!F12</f>
        <v>1550299.2113596662</v>
      </c>
      <c r="K13" s="263">
        <f>SUMIFS(Adjustments!$G:$G,Adjustments!$H:$H,"1",Adjustments!$I:$I,$J$9,Adjustments!$J:$J,$A13)</f>
        <v>0</v>
      </c>
      <c r="L13" s="274">
        <f>SUM(J13:K13)</f>
        <v>1550299.2113596662</v>
      </c>
      <c r="M13" s="157">
        <f>'As-Filed Schedule 1'!G12</f>
        <v>1058119.9601404271</v>
      </c>
      <c r="N13" s="263">
        <f>SUMIFS(Adjustments!$G:$G,Adjustments!$H:$H,"1",Adjustments!$I:$I,$M$9,Adjustments!$J:$J,$A13)</f>
        <v>0</v>
      </c>
      <c r="O13" s="274">
        <f t="shared" ref="O13:O15" si="0">SUM(M13:N13)</f>
        <v>1058119.9601404271</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2608446.1715000933</v>
      </c>
      <c r="W13" s="266">
        <f>SUM(E13,H13,K13,N13,Q13,T13)</f>
        <v>0</v>
      </c>
      <c r="X13" s="275">
        <f>SUM(F13,I13,L13,O13,R13,U13)</f>
        <v>2608446.1715000933</v>
      </c>
      <c r="Y13" s="140"/>
    </row>
    <row r="14" spans="1:31" s="22" customFormat="1" x14ac:dyDescent="0.35">
      <c r="A14" s="155">
        <v>2</v>
      </c>
      <c r="B14" s="500" t="s">
        <v>291</v>
      </c>
      <c r="C14" s="502"/>
      <c r="D14" s="156">
        <f>'As-Filed Schedule 1'!D13</f>
        <v>165</v>
      </c>
      <c r="E14" s="263">
        <f>SUMIFS(Adjustments!$G:$G,Adjustments!$H:$H,"1",Adjustments!$I:$I,$D$9,Adjustments!$J:$J,$A14)</f>
        <v>0</v>
      </c>
      <c r="F14" s="272">
        <f>SUM(D14:E14)</f>
        <v>165</v>
      </c>
      <c r="G14" s="157">
        <f>'As-Filed Schedule 1'!E13</f>
        <v>348955.41944444447</v>
      </c>
      <c r="H14" s="263">
        <f>SUMIFS(Adjustments!$G:$G,Adjustments!$H:$H,"1",Adjustments!$I:$I,$G$9,Adjustments!$J:$J,$A14)</f>
        <v>0</v>
      </c>
      <c r="I14" s="274">
        <f t="shared" ref="I14:I15" si="2">SUM(G14:H14)</f>
        <v>348955.41944444447</v>
      </c>
      <c r="J14" s="157">
        <f>'As-Filed Schedule 1'!F13</f>
        <v>8302762.8325774837</v>
      </c>
      <c r="K14" s="263">
        <f>SUMIFS(Adjustments!$G:$G,Adjustments!$H:$H,"1",Adjustments!$I:$I,$J$9,Adjustments!$J:$J,$A14)</f>
        <v>-268082.58</v>
      </c>
      <c r="L14" s="274">
        <f t="shared" ref="L14:L15" si="3">SUM(J14:K14)</f>
        <v>8034680.2525774837</v>
      </c>
      <c r="M14" s="157">
        <f>'As-Filed Schedule 1'!G13</f>
        <v>2882638.3891203627</v>
      </c>
      <c r="N14" s="263">
        <f>SUMIFS(Adjustments!$G:$G,Adjustments!$H:$H,"1",Adjustments!$I:$I,$M$9,Adjustments!$J:$J,$A14)</f>
        <v>0</v>
      </c>
      <c r="O14" s="274">
        <f t="shared" si="0"/>
        <v>2882638.3891203627</v>
      </c>
      <c r="P14" s="157">
        <f>'As-Filed Schedule 1'!H13</f>
        <v>74475.442999999999</v>
      </c>
      <c r="Q14" s="263">
        <f>SUMIFS(Adjustments!$G:$G,Adjustments!$H:$H,"1",Adjustments!$I:$I,$P$9,Adjustments!$J:$J,$A14)</f>
        <v>268082.58</v>
      </c>
      <c r="R14" s="274">
        <f t="shared" ref="R14:R15" si="4">SUM(P14:Q14)</f>
        <v>342558.02300000004</v>
      </c>
      <c r="S14" s="157">
        <f>'As-Filed Schedule 1'!I13</f>
        <v>0</v>
      </c>
      <c r="T14" s="263">
        <f>SUMIFS(Adjustments!$G:$G,Adjustments!$H:$H,"1",Adjustments!$I:$I,$S$9,Adjustments!$J:$J,$A14)</f>
        <v>0</v>
      </c>
      <c r="U14" s="274">
        <f t="shared" si="1"/>
        <v>0</v>
      </c>
      <c r="V14" s="160">
        <f t="shared" ref="V14:V15" si="5">SUM(D14,G14,J14,M14,P14,S14)</f>
        <v>11608997.08414229</v>
      </c>
      <c r="W14" s="266">
        <f t="shared" ref="W14:W15" si="6">SUM(E14,H14,K14,N14,Q14,T14)</f>
        <v>0</v>
      </c>
      <c r="X14" s="275">
        <f t="shared" ref="X14:X15" si="7">SUM(F14,I14,L14,O14,R14,U14)</f>
        <v>11608997.084142292</v>
      </c>
      <c r="Y14" s="140"/>
    </row>
    <row r="15" spans="1:31" s="22" customFormat="1" x14ac:dyDescent="0.35">
      <c r="A15" s="155">
        <v>3</v>
      </c>
      <c r="B15" s="500" t="s">
        <v>301</v>
      </c>
      <c r="C15" s="502"/>
      <c r="D15" s="156">
        <f>'As-Filed Schedule 1'!D14</f>
        <v>379</v>
      </c>
      <c r="E15" s="263">
        <f>SUMIFS(Adjustments!$G:$G,Adjustments!$H:$H,"1",Adjustments!$I:$I,$D$9,Adjustments!$J:$J,$A15)</f>
        <v>0</v>
      </c>
      <c r="F15" s="272">
        <f>SUM(D15:E15)</f>
        <v>379</v>
      </c>
      <c r="G15" s="157">
        <f>'As-Filed Schedule 1'!E14</f>
        <v>106740.48059091484</v>
      </c>
      <c r="H15" s="263">
        <f>SUMIFS(Adjustments!$G:$G,Adjustments!$H:$H,"1",Adjustments!$I:$I,$G$9,Adjustments!$J:$J,$A15)</f>
        <v>0</v>
      </c>
      <c r="I15" s="274">
        <f t="shared" si="2"/>
        <v>106740.48059091484</v>
      </c>
      <c r="J15" s="157">
        <f>'As-Filed Schedule 1'!F14</f>
        <v>16326166.056676615</v>
      </c>
      <c r="K15" s="263">
        <f>SUMIFS(Adjustments!$G:$G,Adjustments!$H:$H,"1",Adjustments!$I:$I,$J$9,Adjustments!$J:$J,$A15)</f>
        <v>-514484.93333018862</v>
      </c>
      <c r="L15" s="274">
        <f t="shared" si="3"/>
        <v>15811681.123346426</v>
      </c>
      <c r="M15" s="157">
        <f>'As-Filed Schedule 1'!G14</f>
        <v>9314172.8591906223</v>
      </c>
      <c r="N15" s="263">
        <f>SUMIFS(Adjustments!$G:$G,Adjustments!$H:$H,"1",Adjustments!$I:$I,$M$9,Adjustments!$J:$J,$A15)</f>
        <v>0</v>
      </c>
      <c r="O15" s="274">
        <f t="shared" si="0"/>
        <v>9314172.8591906223</v>
      </c>
      <c r="P15" s="157">
        <f>'As-Filed Schedule 1'!H14</f>
        <v>175084.17355607668</v>
      </c>
      <c r="Q15" s="263">
        <f>SUMIFS(Adjustments!$G:$G,Adjustments!$H:$H,"1",Adjustments!$I:$I,$P$9,Adjustments!$J:$J,$A15)</f>
        <v>513103.77192292246</v>
      </c>
      <c r="R15" s="274">
        <f t="shared" si="4"/>
        <v>688187.94547899917</v>
      </c>
      <c r="S15" s="157">
        <f>'As-Filed Schedule 1'!I14</f>
        <v>0</v>
      </c>
      <c r="T15" s="263">
        <f>SUMIFS(Adjustments!$G:$G,Adjustments!$H:$H,"1",Adjustments!$I:$I,$S$9,Adjustments!$J:$J,$A15)</f>
        <v>1381.1614072661337</v>
      </c>
      <c r="U15" s="274">
        <f t="shared" si="1"/>
        <v>1381.1614072661337</v>
      </c>
      <c r="V15" s="160">
        <f t="shared" si="5"/>
        <v>25922542.570014231</v>
      </c>
      <c r="W15" s="266">
        <f t="shared" si="6"/>
        <v>-2.7739588404074311E-11</v>
      </c>
      <c r="X15" s="275">
        <f t="shared" si="7"/>
        <v>25922542.570014227</v>
      </c>
      <c r="Y15" s="140"/>
    </row>
    <row r="16" spans="1:31" s="22" customFormat="1" x14ac:dyDescent="0.35">
      <c r="A16" s="155">
        <v>4</v>
      </c>
      <c r="B16" s="506" t="s">
        <v>290</v>
      </c>
      <c r="C16" s="508"/>
      <c r="D16" s="159">
        <f>SUM(D13:D15)</f>
        <v>571</v>
      </c>
      <c r="E16" s="159">
        <f t="shared" ref="E16:F16" si="8">SUM(E13:E15)</f>
        <v>0</v>
      </c>
      <c r="F16" s="159">
        <f t="shared" si="8"/>
        <v>571</v>
      </c>
      <c r="G16" s="160">
        <f>SUM(G13:G15)</f>
        <v>455695.90003535931</v>
      </c>
      <c r="H16" s="160">
        <f t="shared" ref="H16:U16" si="9">SUM(H13:H15)</f>
        <v>0</v>
      </c>
      <c r="I16" s="160">
        <f t="shared" si="9"/>
        <v>455695.90003535931</v>
      </c>
      <c r="J16" s="160">
        <f t="shared" si="9"/>
        <v>26179228.100613765</v>
      </c>
      <c r="K16" s="160">
        <f t="shared" si="9"/>
        <v>-782567.51333018858</v>
      </c>
      <c r="L16" s="160">
        <f t="shared" si="9"/>
        <v>25396660.587283574</v>
      </c>
      <c r="M16" s="160">
        <f t="shared" si="9"/>
        <v>13254931.208451413</v>
      </c>
      <c r="N16" s="160">
        <f t="shared" si="9"/>
        <v>0</v>
      </c>
      <c r="O16" s="160">
        <f t="shared" si="9"/>
        <v>13254931.208451413</v>
      </c>
      <c r="P16" s="160">
        <f t="shared" si="9"/>
        <v>249559.61655607668</v>
      </c>
      <c r="Q16" s="160">
        <f t="shared" si="9"/>
        <v>781186.35192292253</v>
      </c>
      <c r="R16" s="160">
        <f t="shared" si="9"/>
        <v>1030745.9684789992</v>
      </c>
      <c r="S16" s="160">
        <f t="shared" si="9"/>
        <v>0</v>
      </c>
      <c r="T16" s="160">
        <f t="shared" si="9"/>
        <v>1381.1614072661337</v>
      </c>
      <c r="U16" s="160">
        <f t="shared" si="9"/>
        <v>1381.1614072661337</v>
      </c>
      <c r="V16" s="160">
        <f>SUM(D16,G16,J16,M16,P16,S16)</f>
        <v>40139985.825656615</v>
      </c>
      <c r="W16" s="266">
        <f>SUM(E16,H16,K16,N16,Q16,T16)</f>
        <v>8.8675733422860503E-11</v>
      </c>
      <c r="X16" s="275">
        <f>SUM(F16,I16,L16,O16,R16,U16)</f>
        <v>40139985.825656615</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509" t="s">
        <v>281</v>
      </c>
      <c r="B18" s="510"/>
      <c r="C18" s="510"/>
      <c r="D18" s="510"/>
      <c r="E18" s="510"/>
      <c r="F18" s="510"/>
      <c r="G18" s="510"/>
      <c r="H18" s="510"/>
      <c r="I18" s="510"/>
      <c r="J18" s="510"/>
      <c r="K18" s="510"/>
      <c r="L18" s="510"/>
      <c r="M18" s="510"/>
      <c r="N18" s="510"/>
      <c r="O18" s="510"/>
      <c r="P18" s="510"/>
      <c r="Q18" s="510"/>
      <c r="R18" s="510"/>
      <c r="S18" s="510"/>
      <c r="T18" s="510"/>
      <c r="U18" s="510"/>
      <c r="V18" s="510"/>
      <c r="W18" s="510"/>
      <c r="X18" s="511"/>
      <c r="Y18" s="140"/>
    </row>
    <row r="19" spans="1:25" s="22" customFormat="1" x14ac:dyDescent="0.35">
      <c r="A19" s="155">
        <v>5</v>
      </c>
      <c r="B19" s="500" t="s">
        <v>221</v>
      </c>
      <c r="C19" s="502"/>
      <c r="D19" s="156">
        <f>'As-Filed Schedule 1'!D18</f>
        <v>7</v>
      </c>
      <c r="E19" s="263">
        <f>SUMIFS(Adjustments!$G:$G,Adjustments!$H:$H,"1",Adjustments!$I:$I,$D$9,Adjustments!$J:$J,$A19)</f>
        <v>0</v>
      </c>
      <c r="F19" s="272">
        <f>SUM(D19:E19)</f>
        <v>7</v>
      </c>
      <c r="G19" s="157">
        <f>'As-Filed Schedule 1'!E18</f>
        <v>1034863.8272727272</v>
      </c>
      <c r="H19" s="263">
        <f>SUMIFS(Adjustments!$G:$G,Adjustments!$H:$H,"1",Adjustments!$I:$I,$G$9,Adjustments!$J:$J,$A19)</f>
        <v>0</v>
      </c>
      <c r="I19" s="274">
        <f t="shared" ref="I19:I20" si="10">SUM(G19:H19)</f>
        <v>1034863.8272727272</v>
      </c>
      <c r="J19" s="157">
        <f>'As-Filed Schedule 1'!F18</f>
        <v>0</v>
      </c>
      <c r="K19" s="263">
        <f>SUMIFS(Adjustments!$G:$G,Adjustments!$H:$H,"1",Adjustments!$I:$I,$J$9,Adjustments!$J:$J,$A19)</f>
        <v>0</v>
      </c>
      <c r="L19" s="274">
        <f t="shared" ref="L19:L20" si="11">SUM(J19:K19)</f>
        <v>0</v>
      </c>
      <c r="M19" s="157">
        <f>'As-Filed Schedule 1'!G18</f>
        <v>117720.43061825319</v>
      </c>
      <c r="N19" s="263">
        <f>SUMIFS(Adjustments!$G:$G,Adjustments!$H:$H,"1",Adjustments!$I:$I,$M$9,Adjustments!$J:$J,$A19)</f>
        <v>0</v>
      </c>
      <c r="O19" s="274">
        <f t="shared" ref="O19:O20" si="12">SUM(M19:N19)</f>
        <v>117720.43061825319</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1152591.2578909802</v>
      </c>
      <c r="W19" s="266">
        <f t="shared" ref="W19:W20" si="16">SUM(E19,H19,K19,N19,Q19,T19)</f>
        <v>0</v>
      </c>
      <c r="X19" s="275">
        <f t="shared" ref="X19:X20" si="17">SUM(F19,I19,L19,O19,R19,U19)</f>
        <v>1152591.2578909802</v>
      </c>
      <c r="Y19" s="140"/>
    </row>
    <row r="20" spans="1:25" s="22" customFormat="1" x14ac:dyDescent="0.35">
      <c r="A20" s="155">
        <v>6</v>
      </c>
      <c r="B20" s="500" t="s">
        <v>293</v>
      </c>
      <c r="C20" s="502"/>
      <c r="D20" s="156">
        <f>'As-Filed Schedule 1'!D19</f>
        <v>179</v>
      </c>
      <c r="E20" s="263">
        <f>SUMIFS(Adjustments!$G:$G,Adjustments!$H:$H,"1",Adjustments!$I:$I,$D$9,Adjustments!$J:$J,$A20)</f>
        <v>0</v>
      </c>
      <c r="F20" s="272">
        <f>SUM(D20:E20)</f>
        <v>179</v>
      </c>
      <c r="G20" s="157">
        <f>'As-Filed Schedule 1'!E19</f>
        <v>6146774.1722475821</v>
      </c>
      <c r="H20" s="263">
        <f>SUMIFS(Adjustments!$G:$G,Adjustments!$H:$H,"1",Adjustments!$I:$I,$G$9,Adjustments!$J:$J,$A20)</f>
        <v>0</v>
      </c>
      <c r="I20" s="274">
        <f t="shared" si="10"/>
        <v>6146774.1722475821</v>
      </c>
      <c r="J20" s="157">
        <f>'As-Filed Schedule 1'!F19</f>
        <v>3318591.9863282903</v>
      </c>
      <c r="K20" s="263">
        <f>SUMIFS(Adjustments!$G:$G,Adjustments!$H:$H,"1",Adjustments!$I:$I,$J$9,Adjustments!$J:$J,$A20)</f>
        <v>-105163.95518301429</v>
      </c>
      <c r="L20" s="274">
        <f t="shared" si="11"/>
        <v>3213428.031145276</v>
      </c>
      <c r="M20" s="157">
        <f>'As-Filed Schedule 1'!G19</f>
        <v>2764454.3291391227</v>
      </c>
      <c r="N20" s="263">
        <f>SUMIFS(Adjustments!$G:$G,Adjustments!$H:$H,"1",Adjustments!$I:$I,$M$9,Adjustments!$J:$J,$A20)</f>
        <v>0</v>
      </c>
      <c r="O20" s="274">
        <f t="shared" si="12"/>
        <v>2764454.3291391227</v>
      </c>
      <c r="P20" s="157">
        <f>'As-Filed Schedule 1'!H19</f>
        <v>15965.248737413252</v>
      </c>
      <c r="Q20" s="263">
        <f>SUMIFS(Adjustments!$G:$G,Adjustments!$H:$H,"1",Adjustments!$I:$I,$P$9,Adjustments!$J:$J,$A20)</f>
        <v>90339.702874959461</v>
      </c>
      <c r="R20" s="274">
        <f t="shared" si="13"/>
        <v>106304.95161237271</v>
      </c>
      <c r="S20" s="157">
        <f>'As-Filed Schedule 1'!I19</f>
        <v>21026</v>
      </c>
      <c r="T20" s="263">
        <f>SUMIFS(Adjustments!$G:$G,Adjustments!$H:$H,"1",Adjustments!$I:$I,$S$9,Adjustments!$J:$J,$A20)</f>
        <v>14824.252308054824</v>
      </c>
      <c r="U20" s="274">
        <f t="shared" si="14"/>
        <v>35850.252308054827</v>
      </c>
      <c r="V20" s="160">
        <f t="shared" si="15"/>
        <v>12266990.736452408</v>
      </c>
      <c r="W20" s="266">
        <f t="shared" si="16"/>
        <v>0</v>
      </c>
      <c r="X20" s="275">
        <f t="shared" si="17"/>
        <v>12266990.736452408</v>
      </c>
      <c r="Y20" s="140"/>
    </row>
    <row r="21" spans="1:25" s="22" customFormat="1" x14ac:dyDescent="0.35">
      <c r="A21" s="155">
        <v>7</v>
      </c>
      <c r="B21" s="506" t="s">
        <v>220</v>
      </c>
      <c r="C21" s="508"/>
      <c r="D21" s="159">
        <f>SUM(D19:D20)</f>
        <v>186</v>
      </c>
      <c r="E21" s="159">
        <f t="shared" ref="E21:F21" si="18">SUM(E19:E20)</f>
        <v>0</v>
      </c>
      <c r="F21" s="159">
        <f t="shared" si="18"/>
        <v>186</v>
      </c>
      <c r="G21" s="160">
        <f>SUM(G19:G20)</f>
        <v>7181637.9995203093</v>
      </c>
      <c r="H21" s="160">
        <f t="shared" ref="H21:U21" si="19">SUM(H19:H20)</f>
        <v>0</v>
      </c>
      <c r="I21" s="160">
        <f t="shared" si="19"/>
        <v>7181637.9995203093</v>
      </c>
      <c r="J21" s="160">
        <f t="shared" si="19"/>
        <v>3318591.9863282903</v>
      </c>
      <c r="K21" s="160">
        <f t="shared" si="19"/>
        <v>-105163.95518301429</v>
      </c>
      <c r="L21" s="160">
        <f t="shared" si="19"/>
        <v>3213428.031145276</v>
      </c>
      <c r="M21" s="160">
        <f t="shared" si="19"/>
        <v>2882174.7597573758</v>
      </c>
      <c r="N21" s="160">
        <f t="shared" si="19"/>
        <v>0</v>
      </c>
      <c r="O21" s="160">
        <f t="shared" si="19"/>
        <v>2882174.7597573758</v>
      </c>
      <c r="P21" s="160">
        <f t="shared" si="19"/>
        <v>15965.248737413252</v>
      </c>
      <c r="Q21" s="160">
        <f t="shared" si="19"/>
        <v>90339.702874959461</v>
      </c>
      <c r="R21" s="160">
        <f t="shared" si="19"/>
        <v>106304.95161237271</v>
      </c>
      <c r="S21" s="160">
        <f t="shared" si="19"/>
        <v>21026</v>
      </c>
      <c r="T21" s="160">
        <f t="shared" si="19"/>
        <v>14824.252308054824</v>
      </c>
      <c r="U21" s="160">
        <f t="shared" si="19"/>
        <v>35850.252308054827</v>
      </c>
      <c r="V21" s="160">
        <f>SUM(D21,G21,J21,M21,P21,S21)</f>
        <v>13419581.994343389</v>
      </c>
      <c r="W21" s="266">
        <f>SUM(E21,H21,K21,N21,Q21,T21)</f>
        <v>0</v>
      </c>
      <c r="X21" s="275">
        <f>SUM(F21,I21,L21,O21,R21,U21)</f>
        <v>13419581.994343389</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509" t="s">
        <v>275</v>
      </c>
      <c r="B23" s="510"/>
      <c r="C23" s="510"/>
      <c r="D23" s="510"/>
      <c r="E23" s="510"/>
      <c r="F23" s="510"/>
      <c r="G23" s="510"/>
      <c r="H23" s="510"/>
      <c r="I23" s="510"/>
      <c r="J23" s="510"/>
      <c r="K23" s="510"/>
      <c r="L23" s="510"/>
      <c r="M23" s="510"/>
      <c r="N23" s="510"/>
      <c r="O23" s="510"/>
      <c r="P23" s="510"/>
      <c r="Q23" s="510"/>
      <c r="R23" s="510"/>
      <c r="S23" s="510"/>
      <c r="T23" s="510"/>
      <c r="U23" s="510"/>
      <c r="V23" s="510"/>
      <c r="W23" s="510"/>
      <c r="X23" s="511"/>
      <c r="Y23" s="140"/>
    </row>
    <row r="24" spans="1:25" s="22" customFormat="1" x14ac:dyDescent="0.35">
      <c r="A24" s="155">
        <v>8</v>
      </c>
      <c r="B24" s="500" t="s">
        <v>276</v>
      </c>
      <c r="C24" s="501"/>
      <c r="D24" s="501"/>
      <c r="E24" s="501"/>
      <c r="F24" s="502"/>
      <c r="G24" s="165">
        <f>'As-Filed Schedule 1A'!H27*-1</f>
        <v>-562.47999999998137</v>
      </c>
      <c r="H24" s="160"/>
      <c r="I24" s="165">
        <f>'Schedule 1A Adjustments'!K27*-1</f>
        <v>-562.47999999998137</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562.47999999998137</v>
      </c>
      <c r="T24" s="160"/>
      <c r="U24" s="277">
        <f>-SUM(I24,L24,O24,R24)</f>
        <v>562.47999999998137</v>
      </c>
      <c r="V24" s="160">
        <f>SUM(G24,J24,M24,P24,S24)</f>
        <v>0</v>
      </c>
      <c r="W24" s="266"/>
      <c r="X24" s="275">
        <f>SUM(I24,L24,O24,R24,U24)</f>
        <v>0</v>
      </c>
      <c r="Y24" s="140"/>
    </row>
    <row r="25" spans="1:25" s="22" customFormat="1" x14ac:dyDescent="0.35">
      <c r="A25" s="155">
        <v>9</v>
      </c>
      <c r="B25" s="506" t="s">
        <v>222</v>
      </c>
      <c r="C25" s="507"/>
      <c r="D25" s="507"/>
      <c r="E25" s="507"/>
      <c r="F25" s="508"/>
      <c r="G25" s="160">
        <f>SUM(G24:G24)</f>
        <v>-562.47999999998137</v>
      </c>
      <c r="H25" s="160">
        <f t="shared" ref="H25:I25" si="20">SUM(H24:H24)</f>
        <v>0</v>
      </c>
      <c r="I25" s="160">
        <f t="shared" si="20"/>
        <v>-562.47999999998137</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562.47999999998137</v>
      </c>
      <c r="T25" s="160">
        <f t="shared" ref="T25:U25" si="24">SUM(T24:T24)</f>
        <v>0</v>
      </c>
      <c r="U25" s="160">
        <f t="shared" si="24"/>
        <v>562.47999999998137</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509" t="s">
        <v>235</v>
      </c>
      <c r="B27" s="510"/>
      <c r="C27" s="510"/>
      <c r="D27" s="510"/>
      <c r="E27" s="510"/>
      <c r="F27" s="510"/>
      <c r="G27" s="510"/>
      <c r="H27" s="510"/>
      <c r="I27" s="510"/>
      <c r="J27" s="510"/>
      <c r="K27" s="510"/>
      <c r="L27" s="510"/>
      <c r="M27" s="510"/>
      <c r="N27" s="510"/>
      <c r="O27" s="510"/>
      <c r="P27" s="510"/>
      <c r="Q27" s="510"/>
      <c r="R27" s="510"/>
      <c r="S27" s="510"/>
      <c r="T27" s="510"/>
      <c r="U27" s="510"/>
      <c r="V27" s="510"/>
      <c r="W27" s="510"/>
      <c r="X27" s="511"/>
      <c r="Y27" s="140"/>
    </row>
    <row r="28" spans="1:25" s="22" customFormat="1" x14ac:dyDescent="0.35">
      <c r="A28" s="155">
        <v>10</v>
      </c>
      <c r="B28" s="500" t="s">
        <v>224</v>
      </c>
      <c r="C28" s="501"/>
      <c r="D28" s="501"/>
      <c r="E28" s="501"/>
      <c r="F28" s="502"/>
      <c r="G28" s="157">
        <f>'As-Filed Schedule 1'!E27</f>
        <v>169904.88937450296</v>
      </c>
      <c r="H28" s="263">
        <f>SUMIFS(Adjustments!$G:$G,Adjustments!$H:$H,"1",Adjustments!$I:$I,$G$9,Adjustments!$J:$J,$A28)</f>
        <v>0</v>
      </c>
      <c r="I28" s="274">
        <f t="shared" ref="I28:I30" si="25">SUM(G28:H28)</f>
        <v>169904.88937450296</v>
      </c>
      <c r="J28" s="157">
        <f>'As-Filed Schedule 1'!F27</f>
        <v>100068.09630100432</v>
      </c>
      <c r="K28" s="263">
        <f>SUMIFS(Adjustments!$G:$G,Adjustments!$H:$H,"1",Adjustments!$I:$I,$J$9,Adjustments!$J:$J,$A28)</f>
        <v>-99.302109435093556</v>
      </c>
      <c r="L28" s="274">
        <f t="shared" ref="L28:L30" si="26">SUM(J28:K28)</f>
        <v>99968.794191569221</v>
      </c>
      <c r="M28" s="157">
        <f>'As-Filed Schedule 1'!G27</f>
        <v>115991.18391467171</v>
      </c>
      <c r="N28" s="263">
        <f>SUMIFS(Adjustments!$G:$G,Adjustments!$H:$H,"1",Adjustments!$I:$I,$M$9,Adjustments!$J:$J,$A28)</f>
        <v>0</v>
      </c>
      <c r="O28" s="274">
        <f t="shared" ref="O28:O30" si="27">SUM(M28:N28)</f>
        <v>115991.18391467171</v>
      </c>
      <c r="P28" s="157">
        <f>'As-Filed Schedule 1'!H27</f>
        <v>17.040409820989257</v>
      </c>
      <c r="Q28" s="263">
        <f>SUMIFS(Adjustments!$G:$G,Adjustments!$H:$H,"1",Adjustments!$I:$I,$P$9,Adjustments!$J:$J,$A28)</f>
        <v>88.550482560884575</v>
      </c>
      <c r="R28" s="274">
        <f t="shared" ref="R28:R30" si="28">SUM(P28:Q28)</f>
        <v>105.59089238187383</v>
      </c>
      <c r="S28" s="157">
        <f>'As-Filed Schedule 1'!I27</f>
        <v>0</v>
      </c>
      <c r="T28" s="263">
        <f>SUMIFS(Adjustments!$G:$G,Adjustments!$H:$H,"1",Adjustments!$I:$I,$S$9,Adjustments!$J:$J,$A28)</f>
        <v>10.751626874208988</v>
      </c>
      <c r="U28" s="274">
        <f t="shared" ref="U28:U30" si="29">SUM(S28:T28)</f>
        <v>10.751626874208988</v>
      </c>
      <c r="V28" s="160">
        <f t="shared" ref="V28:V30" si="30">SUM(G28,J28,M28,P28,S28)</f>
        <v>385981.20999999996</v>
      </c>
      <c r="W28" s="266">
        <f t="shared" ref="W28:W30" si="31">SUM(,H28,K28,N28,Q28,T28)</f>
        <v>0</v>
      </c>
      <c r="X28" s="275">
        <f t="shared" ref="X28:X30" si="32">SUM(I28,L28,O28,R28,U28)</f>
        <v>385981.20999999996</v>
      </c>
      <c r="Y28" s="140"/>
    </row>
    <row r="29" spans="1:25" s="22" customFormat="1" x14ac:dyDescent="0.35">
      <c r="A29" s="166">
        <v>11</v>
      </c>
      <c r="B29" s="500" t="s">
        <v>223</v>
      </c>
      <c r="C29" s="501"/>
      <c r="D29" s="501"/>
      <c r="E29" s="501"/>
      <c r="F29" s="502"/>
      <c r="G29" s="157">
        <f>'As-Filed Schedule 1'!E28</f>
        <v>1638654.2306221719</v>
      </c>
      <c r="H29" s="263">
        <f>SUMIFS(Adjustments!$G:$G,Adjustments!$H:$H,"1",Adjustments!$I:$I,$G$9,Adjustments!$J:$J,$A29)</f>
        <v>0</v>
      </c>
      <c r="I29" s="274">
        <f t="shared" si="25"/>
        <v>1638654.2306221719</v>
      </c>
      <c r="J29" s="157">
        <f>'As-Filed Schedule 1'!F28</f>
        <v>8020913.3473316226</v>
      </c>
      <c r="K29" s="263">
        <f>SUMIFS(Adjustments!$G:$G,Adjustments!$H:$H,"1",Adjustments!$I:$I,$J$9,Adjustments!$J:$J,$A29)</f>
        <v>-189821.14876306005</v>
      </c>
      <c r="L29" s="274">
        <f t="shared" si="26"/>
        <v>7831092.198568563</v>
      </c>
      <c r="M29" s="157">
        <f>'As-Filed Schedule 1'!G28</f>
        <v>3973672.796284101</v>
      </c>
      <c r="N29" s="263">
        <f>SUMIFS(Adjustments!$G:$G,Adjustments!$H:$H,"1",Adjustments!$I:$I,$M$9,Adjustments!$J:$J,$A29)</f>
        <v>0</v>
      </c>
      <c r="O29" s="274">
        <f t="shared" si="27"/>
        <v>3973672.796284101</v>
      </c>
      <c r="P29" s="157">
        <f>'As-Filed Schedule 1'!H28</f>
        <v>88143.485762105149</v>
      </c>
      <c r="Q29" s="263">
        <f>SUMIFS(Adjustments!$G:$G,Adjustments!$H:$H,"1",Adjustments!$I:$I,$P$9,Adjustments!$J:$J,$A29)</f>
        <v>173429.87314970174</v>
      </c>
      <c r="R29" s="274">
        <f t="shared" si="28"/>
        <v>261573.35891180689</v>
      </c>
      <c r="S29" s="157">
        <f>'As-Filed Schedule 1'!I28</f>
        <v>0</v>
      </c>
      <c r="T29" s="263">
        <f>SUMIFS(Adjustments!$G:$G,Adjustments!$H:$H,"1",Adjustments!$I:$I,$S$9,Adjustments!$J:$J,$A29)</f>
        <v>20912.955613357975</v>
      </c>
      <c r="U29" s="274">
        <f t="shared" si="29"/>
        <v>20912.955613357975</v>
      </c>
      <c r="V29" s="160">
        <f t="shared" si="30"/>
        <v>13721383.859999999</v>
      </c>
      <c r="W29" s="266">
        <f t="shared" si="31"/>
        <v>4521.6799999996729</v>
      </c>
      <c r="X29" s="275">
        <f t="shared" si="32"/>
        <v>13725905.539999999</v>
      </c>
      <c r="Y29" s="140"/>
    </row>
    <row r="30" spans="1:25" s="22" customFormat="1" x14ac:dyDescent="0.35">
      <c r="A30" s="155">
        <v>12</v>
      </c>
      <c r="B30" s="500" t="s">
        <v>300</v>
      </c>
      <c r="C30" s="501"/>
      <c r="D30" s="501"/>
      <c r="E30" s="501"/>
      <c r="F30" s="502"/>
      <c r="G30" s="157">
        <f>'As-Filed Schedule 1'!E29</f>
        <v>131933.43048601737</v>
      </c>
      <c r="H30" s="263">
        <f>SUMIFS(Adjustments!$G:$G,Adjustments!$H:$H,"1",Adjustments!$I:$I,$G$9,Adjustments!$J:$J,$A30)</f>
        <v>0</v>
      </c>
      <c r="I30" s="274">
        <f t="shared" si="25"/>
        <v>131933.43048601737</v>
      </c>
      <c r="J30" s="157">
        <f>'As-Filed Schedule 1'!F29</f>
        <v>31952.721601653477</v>
      </c>
      <c r="K30" s="263">
        <f>SUMIFS(Adjustments!$G:$G,Adjustments!$H:$H,"1",Adjustments!$I:$I,$J$9,Adjustments!$J:$J,$A30)</f>
        <v>-436.31318078993371</v>
      </c>
      <c r="L30" s="274">
        <f t="shared" si="26"/>
        <v>31516.408420863543</v>
      </c>
      <c r="M30" s="157">
        <f>'As-Filed Schedule 1'!G29</f>
        <v>17601.674433396482</v>
      </c>
      <c r="N30" s="263">
        <f>SUMIFS(Adjustments!$G:$G,Adjustments!$H:$H,"1",Adjustments!$I:$I,$M$9,Adjustments!$J:$J,$A30)</f>
        <v>0</v>
      </c>
      <c r="O30" s="274">
        <f t="shared" si="27"/>
        <v>17601.674433396482</v>
      </c>
      <c r="P30" s="157">
        <f>'As-Filed Schedule 1'!H29</f>
        <v>105.02347893266889</v>
      </c>
      <c r="Q30" s="263">
        <f>SUMIFS(Adjustments!$G:$G,Adjustments!$H:$H,"1",Adjustments!$I:$I,$P$9,Adjustments!$J:$J,$A30)</f>
        <v>404.47003949617994</v>
      </c>
      <c r="R30" s="274">
        <f t="shared" si="28"/>
        <v>509.4935184288488</v>
      </c>
      <c r="S30" s="157">
        <f>'As-Filed Schedule 1'!I29</f>
        <v>0</v>
      </c>
      <c r="T30" s="263">
        <f>SUMIFS(Adjustments!$G:$G,Adjustments!$H:$H,"1",Adjustments!$I:$I,$S$9,Adjustments!$J:$J,$A30)</f>
        <v>31.843141293753799</v>
      </c>
      <c r="U30" s="274">
        <f t="shared" si="29"/>
        <v>31.843141293753799</v>
      </c>
      <c r="V30" s="160">
        <f t="shared" si="30"/>
        <v>181592.85</v>
      </c>
      <c r="W30" s="266">
        <f t="shared" si="31"/>
        <v>0</v>
      </c>
      <c r="X30" s="275">
        <f t="shared" si="32"/>
        <v>181592.85</v>
      </c>
      <c r="Y30" s="140"/>
    </row>
    <row r="31" spans="1:25" s="22" customFormat="1" x14ac:dyDescent="0.35">
      <c r="A31" s="155">
        <v>13</v>
      </c>
      <c r="B31" s="506" t="s">
        <v>225</v>
      </c>
      <c r="C31" s="507"/>
      <c r="D31" s="507"/>
      <c r="E31" s="507"/>
      <c r="F31" s="508"/>
      <c r="G31" s="160">
        <f>SUM(G28:G30)</f>
        <v>1940492.5504826922</v>
      </c>
      <c r="H31" s="160">
        <f t="shared" ref="H31:I31" si="33">SUM(H28:H30)</f>
        <v>0</v>
      </c>
      <c r="I31" s="160">
        <f t="shared" si="33"/>
        <v>1940492.5504826922</v>
      </c>
      <c r="J31" s="160">
        <f>SUM(J28:J30)</f>
        <v>8152934.1652342808</v>
      </c>
      <c r="K31" s="160">
        <f t="shared" ref="K31:L31" si="34">SUM(K28:K30)</f>
        <v>-190356.76405328506</v>
      </c>
      <c r="L31" s="160">
        <f t="shared" si="34"/>
        <v>7962577.4011809956</v>
      </c>
      <c r="M31" s="160">
        <f>SUM(M28:M30)</f>
        <v>4107265.6546321693</v>
      </c>
      <c r="N31" s="160">
        <f t="shared" ref="N31:T31" si="35">SUM(N28:N30)</f>
        <v>0</v>
      </c>
      <c r="O31" s="160">
        <f t="shared" si="35"/>
        <v>4107265.6546321693</v>
      </c>
      <c r="P31" s="160">
        <f t="shared" si="35"/>
        <v>88265.549650858797</v>
      </c>
      <c r="Q31" s="160">
        <f t="shared" si="35"/>
        <v>173922.89367175879</v>
      </c>
      <c r="R31" s="160">
        <f t="shared" si="35"/>
        <v>262188.44332261762</v>
      </c>
      <c r="S31" s="160">
        <f t="shared" si="35"/>
        <v>0</v>
      </c>
      <c r="T31" s="160">
        <f t="shared" si="35"/>
        <v>20955.550381525936</v>
      </c>
      <c r="U31" s="160">
        <f>SUM(U28:U30)</f>
        <v>20955.550381525936</v>
      </c>
      <c r="V31" s="160">
        <f>SUM(G31,J31,M31,P31,S31)</f>
        <v>14288957.920000002</v>
      </c>
      <c r="W31" s="266">
        <f>SUM(,H31,K31,N31,Q31,T31)</f>
        <v>4521.6799999996656</v>
      </c>
      <c r="X31" s="275">
        <f>SUM(I31,L31,O31,R31,U31)</f>
        <v>14293479.600000001</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506" t="s">
        <v>228</v>
      </c>
      <c r="C33" s="507"/>
      <c r="D33" s="507"/>
      <c r="E33" s="507"/>
      <c r="F33" s="508"/>
      <c r="G33" s="160">
        <f>G31+G25+G21+G16</f>
        <v>9577263.97003836</v>
      </c>
      <c r="H33" s="160">
        <f t="shared" ref="H33:I33" si="36">H31+H25+H21+H16</f>
        <v>0</v>
      </c>
      <c r="I33" s="160">
        <f t="shared" si="36"/>
        <v>9577263.97003836</v>
      </c>
      <c r="J33" s="160">
        <f>J31+J25+J21+J16</f>
        <v>37650754.252176337</v>
      </c>
      <c r="K33" s="160">
        <f>K31+K25+K21+K16</f>
        <v>-1078088.232566488</v>
      </c>
      <c r="L33" s="160">
        <f t="shared" ref="L33" si="37">L31+L25+L21+L16</f>
        <v>36572666.019609846</v>
      </c>
      <c r="M33" s="160">
        <f>M31+M25+M21+M16</f>
        <v>20244371.622840956</v>
      </c>
      <c r="N33" s="160">
        <f t="shared" ref="N33:O33" si="38">N31+N25+N21+N16</f>
        <v>0</v>
      </c>
      <c r="O33" s="160">
        <f t="shared" si="38"/>
        <v>20244371.622840956</v>
      </c>
      <c r="P33" s="160">
        <f>P31+P25+P21+P16</f>
        <v>353790.41494434874</v>
      </c>
      <c r="Q33" s="160">
        <f t="shared" ref="Q33:R33" si="39">Q31+Q25+Q21+Q16</f>
        <v>1045448.9484696408</v>
      </c>
      <c r="R33" s="160">
        <f t="shared" si="39"/>
        <v>1399239.3634139895</v>
      </c>
      <c r="S33" s="160">
        <f>S31+S25+S21+S16</f>
        <v>21588.479999999981</v>
      </c>
      <c r="T33" s="160">
        <f>T31+T25+T21+T16</f>
        <v>37160.964096846888</v>
      </c>
      <c r="U33" s="160">
        <f t="shared" ref="U33" si="40">U31+U25+U21+U16</f>
        <v>58749.444096846877</v>
      </c>
      <c r="V33" s="160">
        <f>SUM(G33,J33,M33,P33,S33)</f>
        <v>67847768.74000001</v>
      </c>
      <c r="W33" s="266">
        <f>SUM(,H33,K33,N33,Q33,T33)</f>
        <v>4521.6799999997165</v>
      </c>
      <c r="X33" s="275">
        <f>SUM(I33,L33,O33,R33,U33)</f>
        <v>67852290.420000002</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509" t="s">
        <v>234</v>
      </c>
      <c r="B35" s="510"/>
      <c r="C35" s="510"/>
      <c r="D35" s="510"/>
      <c r="E35" s="510"/>
      <c r="F35" s="510"/>
      <c r="G35" s="510"/>
      <c r="H35" s="510"/>
      <c r="I35" s="510"/>
      <c r="J35" s="510"/>
      <c r="K35" s="510"/>
      <c r="L35" s="510"/>
      <c r="M35" s="510"/>
      <c r="N35" s="510"/>
      <c r="O35" s="510"/>
      <c r="P35" s="510"/>
      <c r="Q35" s="510"/>
      <c r="R35" s="510"/>
      <c r="S35" s="510"/>
      <c r="T35" s="510"/>
      <c r="U35" s="510"/>
      <c r="V35" s="510"/>
      <c r="W35" s="510"/>
      <c r="X35" s="511"/>
      <c r="Y35" s="140"/>
    </row>
    <row r="36" spans="1:25" s="22" customFormat="1" x14ac:dyDescent="0.35">
      <c r="A36" s="155">
        <v>15</v>
      </c>
      <c r="B36" s="500" t="s">
        <v>292</v>
      </c>
      <c r="C36" s="501"/>
      <c r="D36" s="501"/>
      <c r="E36" s="501"/>
      <c r="F36" s="502"/>
      <c r="G36" s="157">
        <f>'As-Filed Schedule 1'!E35</f>
        <v>0</v>
      </c>
      <c r="H36" s="263">
        <f>SUMIFS(Adjustments!$G:$G,Adjustments!$H:$H,"1",Adjustments!$I:$I,$G$9,Adjustments!$J:$J,$A36)</f>
        <v>0</v>
      </c>
      <c r="I36" s="274">
        <f t="shared" ref="I36:I38" si="41">SUM(G36:H36)</f>
        <v>0</v>
      </c>
      <c r="J36" s="157">
        <f>'As-Filed Schedule 1'!F35</f>
        <v>641742.42499999993</v>
      </c>
      <c r="K36" s="263">
        <f>SUMIFS(Adjustments!$G:$G,Adjustments!$H:$H,"1",Adjustments!$I:$I,$J$9,Adjustments!$J:$J,$A36)</f>
        <v>-103573.435</v>
      </c>
      <c r="L36" s="274">
        <f t="shared" ref="L36:L38" si="42">SUM(J36:K36)</f>
        <v>538168.99</v>
      </c>
      <c r="M36" s="157">
        <f>'As-Filed Schedule 1'!G35</f>
        <v>670662.36</v>
      </c>
      <c r="N36" s="263">
        <f>SUMIFS(Adjustments!$G:$G,Adjustments!$H:$H,"1",Adjustments!$I:$I,$M$9,Adjustments!$J:$J,$A36)</f>
        <v>0</v>
      </c>
      <c r="O36" s="274">
        <f t="shared" ref="O36:O38" si="43">SUM(M36:N36)</f>
        <v>670662.36</v>
      </c>
      <c r="P36" s="157">
        <f>'As-Filed Schedule 1'!H35</f>
        <v>18277.665000000001</v>
      </c>
      <c r="Q36" s="263">
        <f>SUMIFS(Adjustments!$G:$G,Adjustments!$H:$H,"1",Adjustments!$I:$I,$P$9,Adjustments!$J:$J,$A36)</f>
        <v>103573.435</v>
      </c>
      <c r="R36" s="274">
        <f t="shared" ref="R36:R38" si="44">SUM(P36:Q36)</f>
        <v>121851.1</v>
      </c>
      <c r="S36" s="157">
        <f>'As-Filed Schedule 1'!I35</f>
        <v>0</v>
      </c>
      <c r="T36" s="263">
        <f>SUMIFS(Adjustments!$G:$G,Adjustments!$H:$H,"1",Adjustments!$I:$I,$S$9,Adjustments!$J:$J,$A36)</f>
        <v>0</v>
      </c>
      <c r="U36" s="274">
        <f>SUM(S36:T36)</f>
        <v>0</v>
      </c>
      <c r="V36" s="160">
        <f t="shared" ref="V36:V39" si="45">SUM(G36,J36,M36,P36,S36)</f>
        <v>1330682.45</v>
      </c>
      <c r="W36" s="266">
        <f t="shared" ref="W36:W39" si="46">SUM(,H36,K36,N36,Q36,T36)</f>
        <v>0</v>
      </c>
      <c r="X36" s="275">
        <f t="shared" ref="X36:X39" si="47">SUM(I36,L36,O36,R36,U36)</f>
        <v>1330682.4500000002</v>
      </c>
      <c r="Y36" s="140"/>
    </row>
    <row r="37" spans="1:25" s="22" customFormat="1" x14ac:dyDescent="0.35">
      <c r="A37" s="155">
        <v>16</v>
      </c>
      <c r="B37" s="500" t="s">
        <v>227</v>
      </c>
      <c r="C37" s="501"/>
      <c r="D37" s="501"/>
      <c r="E37" s="501"/>
      <c r="F37" s="502"/>
      <c r="G37" s="157">
        <f>'As-Filed Schedule 1'!E36</f>
        <v>0</v>
      </c>
      <c r="H37" s="263">
        <f>SUMIFS(Adjustments!$G:$G,Adjustments!$H:$H,"1",Adjustments!$I:$I,$G$9,Adjustments!$J:$J,$A37)</f>
        <v>0</v>
      </c>
      <c r="I37" s="274">
        <f t="shared" si="41"/>
        <v>0</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0</v>
      </c>
      <c r="W37" s="266">
        <f t="shared" si="46"/>
        <v>0</v>
      </c>
      <c r="X37" s="275">
        <f t="shared" si="47"/>
        <v>0</v>
      </c>
    </row>
    <row r="38" spans="1:25" s="22" customFormat="1" x14ac:dyDescent="0.35">
      <c r="A38" s="166">
        <v>17</v>
      </c>
      <c r="B38" s="500" t="s">
        <v>459</v>
      </c>
      <c r="C38" s="501"/>
      <c r="D38" s="501"/>
      <c r="E38" s="501"/>
      <c r="F38" s="502"/>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506" t="s">
        <v>226</v>
      </c>
      <c r="C39" s="507"/>
      <c r="D39" s="507"/>
      <c r="E39" s="507"/>
      <c r="F39" s="508"/>
      <c r="G39" s="160">
        <f>SUM(G36:G38)</f>
        <v>0</v>
      </c>
      <c r="H39" s="160">
        <f t="shared" ref="H39:I39" si="49">SUM(H36:H38)</f>
        <v>0</v>
      </c>
      <c r="I39" s="160">
        <f t="shared" si="49"/>
        <v>0</v>
      </c>
      <c r="J39" s="160">
        <f>SUM(J36:J38)</f>
        <v>641742.42499999993</v>
      </c>
      <c r="K39" s="160">
        <f t="shared" ref="K39:L39" si="50">SUM(K36:K38)</f>
        <v>-103573.435</v>
      </c>
      <c r="L39" s="160">
        <f t="shared" si="50"/>
        <v>538168.99</v>
      </c>
      <c r="M39" s="160">
        <f t="shared" ref="M39:U39" si="51">SUM(M36:M38)</f>
        <v>670662.36</v>
      </c>
      <c r="N39" s="160">
        <f t="shared" si="51"/>
        <v>0</v>
      </c>
      <c r="O39" s="160">
        <f t="shared" si="51"/>
        <v>670662.36</v>
      </c>
      <c r="P39" s="160">
        <f t="shared" si="51"/>
        <v>18277.665000000001</v>
      </c>
      <c r="Q39" s="160">
        <f t="shared" si="51"/>
        <v>103573.435</v>
      </c>
      <c r="R39" s="160">
        <f t="shared" si="51"/>
        <v>121851.1</v>
      </c>
      <c r="S39" s="160">
        <f t="shared" si="51"/>
        <v>0</v>
      </c>
      <c r="T39" s="160">
        <f t="shared" si="51"/>
        <v>0</v>
      </c>
      <c r="U39" s="160">
        <f t="shared" si="51"/>
        <v>0</v>
      </c>
      <c r="V39" s="160">
        <f t="shared" si="45"/>
        <v>1330682.45</v>
      </c>
      <c r="W39" s="266">
        <f t="shared" si="46"/>
        <v>0</v>
      </c>
      <c r="X39" s="275">
        <f t="shared" si="47"/>
        <v>1330682.4500000002</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506" t="s">
        <v>229</v>
      </c>
      <c r="C41" s="507"/>
      <c r="D41" s="507"/>
      <c r="E41" s="507"/>
      <c r="F41" s="508"/>
      <c r="G41" s="160">
        <f>G39+G33</f>
        <v>9577263.97003836</v>
      </c>
      <c r="H41" s="160">
        <f>H39+H33</f>
        <v>0</v>
      </c>
      <c r="I41" s="160">
        <f>I39+I33</f>
        <v>9577263.97003836</v>
      </c>
      <c r="J41" s="160">
        <f>J39+J33</f>
        <v>38292496.677176334</v>
      </c>
      <c r="K41" s="160">
        <f t="shared" ref="K41:L41" si="52">K39+K33</f>
        <v>-1181661.667566488</v>
      </c>
      <c r="L41" s="160">
        <f t="shared" si="52"/>
        <v>37110835.009609848</v>
      </c>
      <c r="M41" s="160">
        <f>M39+M33</f>
        <v>20915033.982840955</v>
      </c>
      <c r="N41" s="160">
        <f t="shared" ref="N41" si="53">N39+N33</f>
        <v>0</v>
      </c>
      <c r="O41" s="160">
        <f>O39+O33</f>
        <v>20915033.982840955</v>
      </c>
      <c r="P41" s="160">
        <f>P39+P33</f>
        <v>372068.07994434872</v>
      </c>
      <c r="Q41" s="160">
        <f t="shared" ref="Q41" si="54">Q39+Q33</f>
        <v>1149022.3834696407</v>
      </c>
      <c r="R41" s="160">
        <f>R39+R33</f>
        <v>1521090.4634139896</v>
      </c>
      <c r="S41" s="160">
        <f>S39+S33</f>
        <v>21588.479999999981</v>
      </c>
      <c r="T41" s="160">
        <f t="shared" ref="T41:U41" si="55">T39+T33</f>
        <v>37160.964096846888</v>
      </c>
      <c r="U41" s="160">
        <f t="shared" si="55"/>
        <v>58749.444096846877</v>
      </c>
      <c r="V41" s="160">
        <f>SUM(G41,J41,M41,P41,S41)</f>
        <v>69178451.189999998</v>
      </c>
      <c r="W41" s="266">
        <f>SUM(,H41,K41,N41,Q41,T41)</f>
        <v>4521.6799999996001</v>
      </c>
      <c r="X41" s="275">
        <f>SUM(I41,L41,O41,R41,U41)</f>
        <v>69182972.86999999</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509" t="s">
        <v>487</v>
      </c>
      <c r="B43" s="510"/>
      <c r="C43" s="510"/>
      <c r="D43" s="510"/>
      <c r="E43" s="510"/>
      <c r="F43" s="510"/>
      <c r="G43" s="510"/>
      <c r="H43" s="510"/>
      <c r="I43" s="510"/>
      <c r="J43" s="510"/>
      <c r="K43" s="510"/>
      <c r="L43" s="510"/>
      <c r="M43" s="510"/>
      <c r="N43" s="510"/>
      <c r="O43" s="510"/>
      <c r="P43" s="510"/>
      <c r="Q43" s="510"/>
      <c r="R43" s="510"/>
      <c r="S43" s="510"/>
      <c r="T43" s="510"/>
      <c r="U43" s="510"/>
      <c r="V43" s="510"/>
      <c r="W43" s="510"/>
      <c r="X43" s="511"/>
      <c r="Y43" s="140"/>
    </row>
    <row r="44" spans="1:25" s="22" customFormat="1" x14ac:dyDescent="0.35">
      <c r="A44" s="155">
        <v>20</v>
      </c>
      <c r="B44" s="500" t="s">
        <v>283</v>
      </c>
      <c r="C44" s="501"/>
      <c r="D44" s="501"/>
      <c r="E44" s="501"/>
      <c r="F44" s="502"/>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500" t="s">
        <v>230</v>
      </c>
      <c r="C45" s="501"/>
      <c r="D45" s="501"/>
      <c r="E45" s="501"/>
      <c r="F45" s="502"/>
      <c r="G45" s="157">
        <f>'As-Filed Schedule 1'!E44</f>
        <v>106.94999999999999</v>
      </c>
      <c r="H45" s="263">
        <f>SUMIFS(Adjustments!$G:$G,Adjustments!$H:$H,"1",Adjustments!$I:$I,$G$9,Adjustments!$J:$J,$A45)</f>
        <v>0</v>
      </c>
      <c r="I45" s="274">
        <f>SUM(G45:H45)</f>
        <v>106.94999999999999</v>
      </c>
      <c r="J45" s="157">
        <f>'As-Filed Schedule 1'!F44</f>
        <v>17452.256999999998</v>
      </c>
      <c r="K45" s="263">
        <f>SUMIFS(Adjustments!$G:$G,Adjustments!$H:$H,"1",Adjustments!$I:$I,$J$9,Adjustments!$J:$J,$A45)</f>
        <v>-13411.185952534994</v>
      </c>
      <c r="L45" s="274">
        <f t="shared" si="56"/>
        <v>4041.0710474650041</v>
      </c>
      <c r="M45" s="157">
        <f>'As-Filed Schedule 1'!G44</f>
        <v>18540.489999999998</v>
      </c>
      <c r="N45" s="263">
        <f>SUMIFS(Adjustments!$G:$G,Adjustments!$H:$H,"1",Adjustments!$I:$I,$M$9,Adjustments!$J:$J,$A45)</f>
        <v>0</v>
      </c>
      <c r="O45" s="274">
        <f t="shared" si="57"/>
        <v>18540.489999999998</v>
      </c>
      <c r="P45" s="157">
        <f>'As-Filed Schedule 1'!H44</f>
        <v>2263.953</v>
      </c>
      <c r="Q45" s="263">
        <f>SUMIFS(Adjustments!$G:$G,Adjustments!$H:$H,"1",Adjustments!$I:$I,$P$9,Adjustments!$J:$J,$A45)</f>
        <v>13086.963776312125</v>
      </c>
      <c r="R45" s="274">
        <f t="shared" si="58"/>
        <v>15350.916776312124</v>
      </c>
      <c r="S45" s="157">
        <f>'As-Filed Schedule 1'!I44</f>
        <v>0</v>
      </c>
      <c r="T45" s="263">
        <f>SUMIFS(Adjustments!$G:$G,Adjustments!$H:$H,"1",Adjustments!$I:$I,$S$9,Adjustments!$J:$J,$A45)</f>
        <v>324.22217622286945</v>
      </c>
      <c r="U45" s="274">
        <f t="shared" si="59"/>
        <v>324.22217622286945</v>
      </c>
      <c r="V45" s="160">
        <f t="shared" si="60"/>
        <v>38363.65</v>
      </c>
      <c r="W45" s="266">
        <f t="shared" si="61"/>
        <v>0</v>
      </c>
      <c r="X45" s="275">
        <f t="shared" si="62"/>
        <v>38363.65</v>
      </c>
      <c r="Y45" s="140"/>
    </row>
    <row r="46" spans="1:25" s="22" customFormat="1" x14ac:dyDescent="0.35">
      <c r="A46" s="155">
        <v>22</v>
      </c>
      <c r="B46" s="500" t="s">
        <v>288</v>
      </c>
      <c r="C46" s="501"/>
      <c r="D46" s="501"/>
      <c r="E46" s="501"/>
      <c r="F46" s="502"/>
      <c r="G46" s="157">
        <f>'As-Filed Schedule 1'!E45</f>
        <v>2150.8972817955109</v>
      </c>
      <c r="H46" s="263">
        <f>SUMIFS(Adjustments!$G:$G,Adjustments!$H:$H,"1",Adjustments!$I:$I,$G$9,Adjustments!$J:$J,$A46)</f>
        <v>0</v>
      </c>
      <c r="I46" s="274">
        <f t="shared" ref="I46" si="63">SUM(G46:H46)</f>
        <v>2150.8972817955109</v>
      </c>
      <c r="J46" s="157">
        <f>'As-Filed Schedule 1'!F45</f>
        <v>13570.913858817748</v>
      </c>
      <c r="K46" s="263">
        <f>SUMIFS(Adjustments!$G:$G,Adjustments!$H:$H,"1",Adjustments!$I:$I,$J$9,Adjustments!$J:$J,$A46)</f>
        <v>0.51122633528392381</v>
      </c>
      <c r="L46" s="274">
        <f t="shared" si="56"/>
        <v>13571.425085153032</v>
      </c>
      <c r="M46" s="157">
        <f>'As-Filed Schedule 1'!G45</f>
        <v>179315.68273855164</v>
      </c>
      <c r="N46" s="263">
        <f>SUMIFS(Adjustments!$G:$G,Adjustments!$H:$H,"1",Adjustments!$I:$I,$M$9,Adjustments!$J:$J,$A46)</f>
        <v>0</v>
      </c>
      <c r="O46" s="274">
        <f t="shared" si="57"/>
        <v>179315.68273855164</v>
      </c>
      <c r="P46" s="157">
        <f>'As-Filed Schedule 1'!H45</f>
        <v>0.53612083508905406</v>
      </c>
      <c r="Q46" s="263">
        <f>SUMIFS(Adjustments!$G:$G,Adjustments!$H:$H,"1",Adjustments!$I:$I,$P$9,Adjustments!$J:$J,$A46)</f>
        <v>-0.51122633528392381</v>
      </c>
      <c r="R46" s="274">
        <f t="shared" si="58"/>
        <v>2.4894499805130255E-2</v>
      </c>
      <c r="S46" s="157">
        <f>'As-Filed Schedule 1'!I45</f>
        <v>0</v>
      </c>
      <c r="T46" s="263">
        <f>SUMIFS(Adjustments!$G:$G,Adjustments!$H:$H,"1",Adjustments!$I:$I,$S$9,Adjustments!$J:$J,$A46)</f>
        <v>0</v>
      </c>
      <c r="U46" s="274">
        <f t="shared" si="59"/>
        <v>0</v>
      </c>
      <c r="V46" s="160">
        <f t="shared" si="60"/>
        <v>195038.02999999997</v>
      </c>
      <c r="W46" s="266">
        <f t="shared" si="61"/>
        <v>0</v>
      </c>
      <c r="X46" s="275">
        <f t="shared" si="62"/>
        <v>195038.02999999997</v>
      </c>
      <c r="Y46" s="140"/>
    </row>
    <row r="47" spans="1:25" s="22" customFormat="1" x14ac:dyDescent="0.35">
      <c r="A47" s="155">
        <v>23</v>
      </c>
      <c r="B47" s="500" t="s">
        <v>284</v>
      </c>
      <c r="C47" s="501"/>
      <c r="D47" s="501"/>
      <c r="E47" s="501"/>
      <c r="F47" s="502"/>
      <c r="G47" s="157">
        <f>'As-Filed Schedule 1'!E46</f>
        <v>60231.036273029102</v>
      </c>
      <c r="H47" s="263">
        <f>SUMIFS(Adjustments!$G:$G,Adjustments!$H:$H,"1",Adjustments!$I:$I,$G$9,Adjustments!$J:$J,$A47)</f>
        <v>0</v>
      </c>
      <c r="I47" s="274">
        <f>SUM(G47:H47)</f>
        <v>60231.036273029102</v>
      </c>
      <c r="J47" s="157">
        <f>'As-Filed Schedule 1'!F46</f>
        <v>34559.020389314195</v>
      </c>
      <c r="K47" s="263">
        <f>SUMIFS(Adjustments!$G:$G,Adjustments!$H:$H,"1",Adjustments!$I:$I,$J$9,Adjustments!$J:$J,$A47)</f>
        <v>-808.05331201366971</v>
      </c>
      <c r="L47" s="274">
        <f t="shared" si="56"/>
        <v>33750.967077300527</v>
      </c>
      <c r="M47" s="157">
        <f>'As-Filed Schedule 1'!G46</f>
        <v>11598.90121033443</v>
      </c>
      <c r="N47" s="263">
        <f>SUMIFS(Adjustments!$G:$G,Adjustments!$H:$H,"1",Adjustments!$I:$I,$M$9,Adjustments!$J:$J,$A47)</f>
        <v>0</v>
      </c>
      <c r="O47" s="274">
        <f t="shared" si="57"/>
        <v>11598.90121033443</v>
      </c>
      <c r="P47" s="157">
        <f>'As-Filed Schedule 1'!H46</f>
        <v>116.52212732228868</v>
      </c>
      <c r="Q47" s="263">
        <f>SUMIFS(Adjustments!$G:$G,Adjustments!$H:$H,"1",Adjustments!$I:$I,$P$9,Adjustments!$J:$J,$A47)</f>
        <v>705.77727643274329</v>
      </c>
      <c r="R47" s="274">
        <f t="shared" si="58"/>
        <v>822.29940375503202</v>
      </c>
      <c r="S47" s="157">
        <f>'As-Filed Schedule 1'!I46</f>
        <v>0</v>
      </c>
      <c r="T47" s="263">
        <f>SUMIFS(Adjustments!$G:$G,Adjustments!$H:$H,"1",Adjustments!$I:$I,$S$9,Adjustments!$J:$J,$A47)</f>
        <v>102.27603558092649</v>
      </c>
      <c r="U47" s="274">
        <f t="shared" si="59"/>
        <v>102.27603558092649</v>
      </c>
      <c r="V47" s="160">
        <f t="shared" si="60"/>
        <v>106505.48000000001</v>
      </c>
      <c r="W47" s="266">
        <f t="shared" si="61"/>
        <v>0</v>
      </c>
      <c r="X47" s="275">
        <f t="shared" si="62"/>
        <v>106505.48000000003</v>
      </c>
      <c r="Y47" s="140"/>
    </row>
    <row r="48" spans="1:25" s="22" customFormat="1" x14ac:dyDescent="0.35">
      <c r="A48" s="155">
        <v>24</v>
      </c>
      <c r="B48" s="500" t="s">
        <v>314</v>
      </c>
      <c r="C48" s="501"/>
      <c r="D48" s="501"/>
      <c r="E48" s="501"/>
      <c r="F48" s="502"/>
      <c r="G48" s="157">
        <f>'As-Filed Schedule 1'!E47</f>
        <v>0</v>
      </c>
      <c r="H48" s="263">
        <f>SUMIFS(Adjustments!$G:$G,Adjustments!$H:$H,"1",Adjustments!$I:$I,$G$9,Adjustments!$J:$J,$A48)</f>
        <v>0</v>
      </c>
      <c r="I48" s="274">
        <f>SUM(G48:H48)</f>
        <v>0</v>
      </c>
      <c r="J48" s="157">
        <f>'As-Filed Schedule 1'!F47</f>
        <v>279976.59397048305</v>
      </c>
      <c r="K48" s="263">
        <f>SUMIFS(Adjustments!$G:$G,Adjustments!$H:$H,"1",Adjustments!$I:$I,$J$9,Adjustments!$J:$J,$A48)</f>
        <v>-222288.16392558697</v>
      </c>
      <c r="L48" s="274">
        <f t="shared" si="56"/>
        <v>57688.430044896086</v>
      </c>
      <c r="M48" s="157">
        <f>'As-Filed Schedule 1'!G47</f>
        <v>48336.188008050085</v>
      </c>
      <c r="N48" s="263">
        <f>SUMIFS(Adjustments!$G:$G,Adjustments!$H:$H,"1",Adjustments!$I:$I,$M$9,Adjustments!$J:$J,$A48)</f>
        <v>0</v>
      </c>
      <c r="O48" s="274">
        <f t="shared" si="57"/>
        <v>48336.188008050085</v>
      </c>
      <c r="P48" s="157">
        <f>'As-Filed Schedule 1'!H47</f>
        <v>224.84802146690524</v>
      </c>
      <c r="Q48" s="263">
        <f>SUMIFS(Adjustments!$G:$G,Adjustments!$H:$H,"1",Adjustments!$I:$I,$P$9,Adjustments!$J:$J,$A48)</f>
        <v>222094.63041288676</v>
      </c>
      <c r="R48" s="274">
        <f t="shared" si="58"/>
        <v>222319.47843435366</v>
      </c>
      <c r="S48" s="157">
        <f>'As-Filed Schedule 1'!I47</f>
        <v>0</v>
      </c>
      <c r="T48" s="263">
        <f>SUMIFS(Adjustments!$G:$G,Adjustments!$H:$H,"1",Adjustments!$I:$I,$S$9,Adjustments!$J:$J,$A48)</f>
        <v>193.5335127002125</v>
      </c>
      <c r="U48" s="274">
        <f t="shared" si="59"/>
        <v>193.5335127002125</v>
      </c>
      <c r="V48" s="160">
        <f t="shared" si="60"/>
        <v>328537.63000000006</v>
      </c>
      <c r="W48" s="266">
        <f>SUM(,H48,K48,N48,Q48,T48)</f>
        <v>8.9244167611468583E-12</v>
      </c>
      <c r="X48" s="275">
        <f t="shared" si="62"/>
        <v>328537.63000000006</v>
      </c>
      <c r="Y48" s="140"/>
    </row>
    <row r="49" spans="1:25" s="22" customFormat="1" x14ac:dyDescent="0.35">
      <c r="A49" s="155">
        <v>25</v>
      </c>
      <c r="B49" s="500" t="s">
        <v>774</v>
      </c>
      <c r="C49" s="501"/>
      <c r="D49" s="501"/>
      <c r="E49" s="501"/>
      <c r="F49" s="502"/>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81" t="s">
        <v>452</v>
      </c>
      <c r="C50" s="582"/>
      <c r="D50" s="582"/>
      <c r="E50" s="582"/>
      <c r="F50" s="583"/>
      <c r="G50" s="157">
        <f>'As-Filed Schedule 1'!E49</f>
        <v>3934.953601171731</v>
      </c>
      <c r="H50" s="263">
        <f>SUMIFS(Adjustments!$G:$G,Adjustments!$H:$H,"1",Adjustments!$I:$I,$G$9,Adjustments!$J:$J,$A50)</f>
        <v>0</v>
      </c>
      <c r="I50" s="274">
        <f>SUM(G50:H50)</f>
        <v>3934.953601171731</v>
      </c>
      <c r="J50" s="157">
        <f>'As-Filed Schedule 1'!F49</f>
        <v>367470.85026586679</v>
      </c>
      <c r="K50" s="263">
        <f>SUMIFS(Adjustments!$G:$G,Adjustments!$H:$H,"1",Adjustments!$I:$I,$J$9,Adjustments!$J:$J,$A50)</f>
        <v>-216970.29471452319</v>
      </c>
      <c r="L50" s="274">
        <f t="shared" si="56"/>
        <v>150500.5555513436</v>
      </c>
      <c r="M50" s="157">
        <f>'As-Filed Schedule 1'!G49</f>
        <v>203008.01984016993</v>
      </c>
      <c r="N50" s="263">
        <f>SUMIFS(Adjustments!$G:$G,Adjustments!$H:$H,"1",Adjustments!$I:$I,$M$9,Adjustments!$J:$J,$A50)</f>
        <v>0</v>
      </c>
      <c r="O50" s="274">
        <f t="shared" si="57"/>
        <v>203008.01984016993</v>
      </c>
      <c r="P50" s="157">
        <f>'As-Filed Schedule 1'!H49</f>
        <v>4260.5362927914866</v>
      </c>
      <c r="Q50" s="263">
        <f>SUMIFS(Adjustments!$G:$G,Adjustments!$H:$H,"1",Adjustments!$I:$I,$P$9,Adjustments!$J:$J,$A50)</f>
        <v>174074.60142271663</v>
      </c>
      <c r="R50" s="274">
        <f t="shared" si="58"/>
        <v>178335.13771550811</v>
      </c>
      <c r="S50" s="157">
        <f>'As-Filed Schedule 1'!I49</f>
        <v>0</v>
      </c>
      <c r="T50" s="263">
        <f>SUMIFS(Adjustments!$G:$G,Adjustments!$H:$H,"1",Adjustments!$I:$I,$S$9,Adjustments!$J:$J,$A50)</f>
        <v>6573.693291806554</v>
      </c>
      <c r="U50" s="274">
        <f t="shared" si="59"/>
        <v>6573.693291806554</v>
      </c>
      <c r="V50" s="160">
        <f t="shared" si="60"/>
        <v>578674.36</v>
      </c>
      <c r="W50" s="266">
        <f t="shared" si="61"/>
        <v>-36322</v>
      </c>
      <c r="X50" s="275">
        <f t="shared" si="62"/>
        <v>542352.35999999987</v>
      </c>
      <c r="Y50" s="140"/>
    </row>
    <row r="51" spans="1:25" s="22" customFormat="1" x14ac:dyDescent="0.35">
      <c r="A51" s="155">
        <v>27</v>
      </c>
      <c r="B51" s="506" t="s">
        <v>238</v>
      </c>
      <c r="C51" s="507"/>
      <c r="D51" s="507"/>
      <c r="E51" s="507"/>
      <c r="F51" s="508"/>
      <c r="G51" s="160">
        <f t="shared" ref="G51:U51" si="70">SUM(G44:G50)</f>
        <v>66423.837155996342</v>
      </c>
      <c r="H51" s="160">
        <f t="shared" si="70"/>
        <v>0</v>
      </c>
      <c r="I51" s="160">
        <f t="shared" si="70"/>
        <v>66423.837155996342</v>
      </c>
      <c r="J51" s="160">
        <f t="shared" si="70"/>
        <v>713029.6354844817</v>
      </c>
      <c r="K51" s="160">
        <f t="shared" si="70"/>
        <v>-453477.18667832355</v>
      </c>
      <c r="L51" s="160">
        <f t="shared" si="70"/>
        <v>259552.44880615824</v>
      </c>
      <c r="M51" s="160">
        <f t="shared" si="70"/>
        <v>460799.28179710609</v>
      </c>
      <c r="N51" s="160">
        <f t="shared" si="70"/>
        <v>0</v>
      </c>
      <c r="O51" s="160">
        <f t="shared" si="70"/>
        <v>460799.28179710609</v>
      </c>
      <c r="P51" s="160">
        <f t="shared" si="70"/>
        <v>6866.3955624157697</v>
      </c>
      <c r="Q51" s="160">
        <f t="shared" si="70"/>
        <v>409961.46166201297</v>
      </c>
      <c r="R51" s="160">
        <f t="shared" si="70"/>
        <v>416827.85722442874</v>
      </c>
      <c r="S51" s="160">
        <f t="shared" si="70"/>
        <v>0</v>
      </c>
      <c r="T51" s="160">
        <f t="shared" si="70"/>
        <v>7193.7250163105628</v>
      </c>
      <c r="U51" s="160">
        <f t="shared" si="70"/>
        <v>7193.7250163105628</v>
      </c>
      <c r="V51" s="160">
        <f t="shared" si="60"/>
        <v>1247119.1499999999</v>
      </c>
      <c r="W51" s="266">
        <f t="shared" si="61"/>
        <v>-36322.000000000015</v>
      </c>
      <c r="X51" s="275">
        <f t="shared" si="62"/>
        <v>1210797.1499999999</v>
      </c>
      <c r="Y51" s="140"/>
    </row>
    <row r="52" spans="1:25" s="22" customFormat="1" x14ac:dyDescent="0.35">
      <c r="A52" s="161"/>
      <c r="B52" s="584"/>
      <c r="C52" s="584"/>
      <c r="D52" s="584"/>
      <c r="E52" s="584"/>
      <c r="F52" s="584"/>
      <c r="G52" s="584"/>
      <c r="H52" s="584"/>
      <c r="I52" s="584"/>
      <c r="J52" s="584"/>
      <c r="K52" s="584"/>
      <c r="L52" s="584"/>
      <c r="M52" s="584"/>
      <c r="N52" s="270"/>
      <c r="O52" s="280"/>
      <c r="P52" s="164"/>
      <c r="Q52" s="267"/>
      <c r="R52" s="276"/>
      <c r="S52" s="164"/>
      <c r="T52" s="267"/>
      <c r="U52" s="276"/>
      <c r="V52" s="164"/>
      <c r="W52" s="267"/>
      <c r="X52" s="276"/>
      <c r="Y52" s="140"/>
    </row>
    <row r="53" spans="1:25" s="22" customFormat="1" x14ac:dyDescent="0.35">
      <c r="A53" s="509" t="s">
        <v>233</v>
      </c>
      <c r="B53" s="510"/>
      <c r="C53" s="510"/>
      <c r="D53" s="510"/>
      <c r="E53" s="510"/>
      <c r="F53" s="510"/>
      <c r="G53" s="510"/>
      <c r="H53" s="510"/>
      <c r="I53" s="510"/>
      <c r="J53" s="510"/>
      <c r="K53" s="510"/>
      <c r="L53" s="510"/>
      <c r="M53" s="510"/>
      <c r="N53" s="510"/>
      <c r="O53" s="510"/>
      <c r="P53" s="510"/>
      <c r="Q53" s="510"/>
      <c r="R53" s="510"/>
      <c r="S53" s="510"/>
      <c r="T53" s="510"/>
      <c r="U53" s="510"/>
      <c r="V53" s="510"/>
      <c r="W53" s="510"/>
      <c r="X53" s="511"/>
      <c r="Y53" s="140"/>
    </row>
    <row r="54" spans="1:25" s="22" customFormat="1" x14ac:dyDescent="0.35">
      <c r="A54" s="155">
        <v>28</v>
      </c>
      <c r="B54" s="500" t="s">
        <v>282</v>
      </c>
      <c r="C54" s="501"/>
      <c r="D54" s="501"/>
      <c r="E54" s="501"/>
      <c r="F54" s="502"/>
      <c r="G54" s="157">
        <f>'As-Filed Schedule 1'!E53</f>
        <v>1132342.7959024683</v>
      </c>
      <c r="H54" s="263">
        <f>SUMIFS(Adjustments!$G:$G,Adjustments!$H:$H,"1",Adjustments!$I:$I,$G$9,Adjustments!$J:$J,$A54)</f>
        <v>0</v>
      </c>
      <c r="I54" s="274">
        <f t="shared" ref="I54:I57" si="71">SUM(G54:H54)</f>
        <v>1132342.7959024683</v>
      </c>
      <c r="J54" s="157">
        <f>'As-Filed Schedule 1'!F53</f>
        <v>1077463.7084370062</v>
      </c>
      <c r="K54" s="263">
        <f>SUMIFS(Adjustments!$G:$G,Adjustments!$H:$H,"1",Adjustments!$I:$I,$J$9,Adjustments!$J:$J,$A54)</f>
        <v>-41807.6563191268</v>
      </c>
      <c r="L54" s="274">
        <f t="shared" ref="L54:L57" si="72">SUM(J54:K54)</f>
        <v>1035656.0521178794</v>
      </c>
      <c r="M54" s="157">
        <f>'As-Filed Schedule 1'!G53</f>
        <v>520169.96661511762</v>
      </c>
      <c r="N54" s="263">
        <f>SUMIFS(Adjustments!$G:$G,Adjustments!$H:$H,"1",Adjustments!$I:$I,$M$9,Adjustments!$J:$J,$A54)</f>
        <v>0</v>
      </c>
      <c r="O54" s="274">
        <f t="shared" ref="O54:O57" si="73">SUM(M54:N54)</f>
        <v>520169.96661511762</v>
      </c>
      <c r="P54" s="157">
        <f>'As-Filed Schedule 1'!H53</f>
        <v>5660.3290454081061</v>
      </c>
      <c r="Q54" s="263">
        <f>SUMIFS(Adjustments!$G:$G,Adjustments!$H:$H,"1",Adjustments!$I:$I,$P$9,Adjustments!$J:$J,$A54)</f>
        <v>36654.316249581425</v>
      </c>
      <c r="R54" s="274">
        <f t="shared" ref="R54:R57" si="74">SUM(P54:Q54)</f>
        <v>42314.645294989532</v>
      </c>
      <c r="S54" s="157">
        <f>'As-Filed Schedule 1'!I53</f>
        <v>0</v>
      </c>
      <c r="T54" s="263">
        <f>SUMIFS(Adjustments!$G:$G,Adjustments!$H:$H,"1",Adjustments!$I:$I,$S$9,Adjustments!$J:$J,$A54)</f>
        <v>5153.3400695453793</v>
      </c>
      <c r="U54" s="274">
        <f t="shared" ref="U54:U57" si="75">SUM(S54:T54)</f>
        <v>5153.3400695453793</v>
      </c>
      <c r="V54" s="160">
        <f t="shared" ref="V54:V58" si="76">SUM(G54,J54,M54,P54,S54)</f>
        <v>2735636.8</v>
      </c>
      <c r="W54" s="266">
        <f t="shared" ref="W54:W58" si="77">SUM(,H54,K54,N54,Q54,T54)</f>
        <v>0</v>
      </c>
      <c r="X54" s="275">
        <f t="shared" ref="X54:X58" si="78">SUM(I54,L54,O54,R54,U54)</f>
        <v>2735636.8000000003</v>
      </c>
      <c r="Y54" s="140"/>
    </row>
    <row r="55" spans="1:25" s="22" customFormat="1" x14ac:dyDescent="0.35">
      <c r="A55" s="155">
        <v>29</v>
      </c>
      <c r="B55" s="500" t="s">
        <v>294</v>
      </c>
      <c r="C55" s="501"/>
      <c r="D55" s="501"/>
      <c r="E55" s="501"/>
      <c r="F55" s="502"/>
      <c r="G55" s="157">
        <f>'As-Filed Schedule 1'!E54</f>
        <v>102927.98</v>
      </c>
      <c r="H55" s="263">
        <f>SUMIFS(Adjustments!$G:$G,Adjustments!$H:$H,"1",Adjustments!$I:$I,$G$9,Adjustments!$J:$J,$A55)</f>
        <v>0</v>
      </c>
      <c r="I55" s="274">
        <f t="shared" si="71"/>
        <v>102927.98</v>
      </c>
      <c r="J55" s="157">
        <f>'As-Filed Schedule 1'!F54</f>
        <v>331248.2774186047</v>
      </c>
      <c r="K55" s="263">
        <f>SUMIFS(Adjustments!$G:$G,Adjustments!$H:$H,"1",Adjustments!$I:$I,$J$9,Adjustments!$J:$J,$A55)</f>
        <v>-110255.36082478482</v>
      </c>
      <c r="L55" s="274">
        <f t="shared" si="72"/>
        <v>220992.91659381989</v>
      </c>
      <c r="M55" s="157">
        <f>'As-Filed Schedule 1'!G54</f>
        <v>94742.58247674421</v>
      </c>
      <c r="N55" s="263">
        <f>SUMIFS(Adjustments!$G:$G,Adjustments!$H:$H,"1",Adjustments!$I:$I,$M$9,Adjustments!$J:$J,$A55)</f>
        <v>0</v>
      </c>
      <c r="O55" s="274">
        <f t="shared" si="73"/>
        <v>94742.58247674421</v>
      </c>
      <c r="P55" s="157">
        <f>'As-Filed Schedule 1'!H54</f>
        <v>19166.650104651162</v>
      </c>
      <c r="Q55" s="263">
        <f>SUMIFS(Adjustments!$G:$G,Adjustments!$H:$H,"1",Adjustments!$I:$I,$P$9,Adjustments!$J:$J,$A55)</f>
        <v>109159.8218918723</v>
      </c>
      <c r="R55" s="274">
        <f t="shared" si="74"/>
        <v>128326.47199652347</v>
      </c>
      <c r="S55" s="157">
        <f>'As-Filed Schedule 1'!I54</f>
        <v>0</v>
      </c>
      <c r="T55" s="263">
        <f>SUMIFS(Adjustments!$G:$G,Adjustments!$H:$H,"1",Adjustments!$I:$I,$S$9,Adjustments!$J:$J,$A55)</f>
        <v>1095.5389329125264</v>
      </c>
      <c r="U55" s="274">
        <f t="shared" si="75"/>
        <v>1095.5389329125264</v>
      </c>
      <c r="V55" s="160">
        <f t="shared" si="76"/>
        <v>548085.49</v>
      </c>
      <c r="W55" s="266">
        <f t="shared" si="77"/>
        <v>9.0949470177292824E-12</v>
      </c>
      <c r="X55" s="275">
        <f t="shared" si="78"/>
        <v>548085.49000000011</v>
      </c>
      <c r="Y55" s="140"/>
    </row>
    <row r="56" spans="1:25" s="22" customFormat="1" x14ac:dyDescent="0.35">
      <c r="A56" s="155">
        <v>30</v>
      </c>
      <c r="B56" s="500" t="s">
        <v>295</v>
      </c>
      <c r="C56" s="501"/>
      <c r="D56" s="501"/>
      <c r="E56" s="501"/>
      <c r="F56" s="502"/>
      <c r="G56" s="157">
        <f>'As-Filed Schedule 1'!E55</f>
        <v>89725.697701762867</v>
      </c>
      <c r="H56" s="263">
        <f>SUMIFS(Adjustments!$G:$G,Adjustments!$H:$H,"1",Adjustments!$I:$I,$G$9,Adjustments!$J:$J,$A56)</f>
        <v>0</v>
      </c>
      <c r="I56" s="274">
        <f t="shared" si="71"/>
        <v>89725.697701762867</v>
      </c>
      <c r="J56" s="157">
        <f>'As-Filed Schedule 1'!F55</f>
        <v>398591.45403303503</v>
      </c>
      <c r="K56" s="263">
        <f>SUMIFS(Adjustments!$G:$G,Adjustments!$H:$H,"1",Adjustments!$I:$I,$J$9,Adjustments!$J:$J,$A56)</f>
        <v>-5736.0652320903891</v>
      </c>
      <c r="L56" s="274">
        <f t="shared" si="72"/>
        <v>392855.38880094467</v>
      </c>
      <c r="M56" s="157">
        <f>'As-Filed Schedule 1'!G55</f>
        <v>70991.031089708064</v>
      </c>
      <c r="N56" s="263">
        <f>SUMIFS(Adjustments!$G:$G,Adjustments!$H:$H,"1",Adjustments!$I:$I,$M$9,Adjustments!$J:$J,$A56)</f>
        <v>0</v>
      </c>
      <c r="O56" s="274">
        <f t="shared" si="73"/>
        <v>70991.031089708064</v>
      </c>
      <c r="P56" s="157">
        <f>'As-Filed Schedule 1'!H55</f>
        <v>3401.107175493963</v>
      </c>
      <c r="Q56" s="263">
        <f>SUMIFS(Adjustments!$G:$G,Adjustments!$H:$H,"1",Adjustments!$I:$I,$P$9,Adjustments!$J:$J,$A56)</f>
        <v>4980.7976486960952</v>
      </c>
      <c r="R56" s="274">
        <f t="shared" si="74"/>
        <v>8381.9048241900582</v>
      </c>
      <c r="S56" s="157">
        <f>'As-Filed Schedule 1'!I55</f>
        <v>0</v>
      </c>
      <c r="T56" s="263">
        <f>SUMIFS(Adjustments!$G:$G,Adjustments!$H:$H,"1",Adjustments!$I:$I,$S$9,Adjustments!$J:$J,$A56)</f>
        <v>755.26758339429512</v>
      </c>
      <c r="U56" s="274">
        <f t="shared" si="75"/>
        <v>755.26758339429512</v>
      </c>
      <c r="V56" s="160">
        <f t="shared" si="76"/>
        <v>562709.28999999992</v>
      </c>
      <c r="W56" s="266">
        <f t="shared" si="77"/>
        <v>1.1368683772161603E-12</v>
      </c>
      <c r="X56" s="275">
        <f t="shared" si="78"/>
        <v>562709.29</v>
      </c>
      <c r="Y56" s="140"/>
    </row>
    <row r="57" spans="1:25" s="22" customFormat="1" x14ac:dyDescent="0.35">
      <c r="A57" s="155">
        <v>31</v>
      </c>
      <c r="B57" s="500" t="s">
        <v>296</v>
      </c>
      <c r="C57" s="501"/>
      <c r="D57" s="501"/>
      <c r="E57" s="501"/>
      <c r="F57" s="502"/>
      <c r="G57" s="157">
        <f>'As-Filed Schedule 1'!E56</f>
        <v>0</v>
      </c>
      <c r="H57" s="263">
        <f>SUMIFS(Adjustments!$G:$G,Adjustments!$H:$H,"1",Adjustments!$I:$I,$G$9,Adjustments!$J:$J,$A57)</f>
        <v>0</v>
      </c>
      <c r="I57" s="274">
        <f t="shared" si="71"/>
        <v>0</v>
      </c>
      <c r="J57" s="157">
        <f>'As-Filed Schedule 1'!F56</f>
        <v>0</v>
      </c>
      <c r="K57" s="263">
        <f>SUMIFS(Adjustments!$G:$G,Adjustments!$H:$H,"1",Adjustments!$I:$I,$J$9,Adjustments!$J:$J,$A57)</f>
        <v>0</v>
      </c>
      <c r="L57" s="274">
        <f t="shared" si="72"/>
        <v>0</v>
      </c>
      <c r="M57" s="157">
        <f>'As-Filed Schedule 1'!G56</f>
        <v>0</v>
      </c>
      <c r="N57" s="263">
        <f>SUMIFS(Adjustments!$G:$G,Adjustments!$H:$H,"1",Adjustments!$I:$I,$M$9,Adjustments!$J:$J,$A57)</f>
        <v>0</v>
      </c>
      <c r="O57" s="274">
        <f t="shared" si="73"/>
        <v>0</v>
      </c>
      <c r="P57" s="157">
        <f>'As-Filed Schedule 1'!H56</f>
        <v>0</v>
      </c>
      <c r="Q57" s="263">
        <f>SUMIFS(Adjustments!$G:$G,Adjustments!$H:$H,"1",Adjustments!$I:$I,$P$9,Adjustments!$J:$J,$A57)</f>
        <v>0</v>
      </c>
      <c r="R57" s="274">
        <f t="shared" si="74"/>
        <v>0</v>
      </c>
      <c r="S57" s="157">
        <f>'As-Filed Schedule 1'!I56</f>
        <v>0</v>
      </c>
      <c r="T57" s="263">
        <f>SUMIFS(Adjustments!$G:$G,Adjustments!$H:$H,"1",Adjustments!$I:$I,$S$9,Adjustments!$J:$J,$A57)</f>
        <v>0</v>
      </c>
      <c r="U57" s="274">
        <f t="shared" si="75"/>
        <v>0</v>
      </c>
      <c r="V57" s="160">
        <f t="shared" si="76"/>
        <v>0</v>
      </c>
      <c r="W57" s="266">
        <f t="shared" si="77"/>
        <v>0</v>
      </c>
      <c r="X57" s="275">
        <f t="shared" si="78"/>
        <v>0</v>
      </c>
      <c r="Y57" s="140"/>
    </row>
    <row r="58" spans="1:25" s="22" customFormat="1" x14ac:dyDescent="0.35">
      <c r="A58" s="155">
        <v>32</v>
      </c>
      <c r="B58" s="506" t="s">
        <v>231</v>
      </c>
      <c r="C58" s="507"/>
      <c r="D58" s="507"/>
      <c r="E58" s="507"/>
      <c r="F58" s="508"/>
      <c r="G58" s="160">
        <f>SUM(G54:G57)</f>
        <v>1324996.4736042311</v>
      </c>
      <c r="H58" s="160">
        <f t="shared" ref="H58:I58" si="79">SUM(H54:H57)</f>
        <v>0</v>
      </c>
      <c r="I58" s="160">
        <f t="shared" si="79"/>
        <v>1324996.4736042311</v>
      </c>
      <c r="J58" s="160">
        <f>SUM(J54:J57)</f>
        <v>1807303.4398886461</v>
      </c>
      <c r="K58" s="160">
        <f t="shared" ref="K58:L58" si="80">SUM(K54:K57)</f>
        <v>-157799.08237600201</v>
      </c>
      <c r="L58" s="160">
        <f t="shared" si="80"/>
        <v>1649504.357512644</v>
      </c>
      <c r="M58" s="160">
        <f>SUM(M54:M57)</f>
        <v>685903.58018156991</v>
      </c>
      <c r="N58" s="160">
        <f t="shared" ref="N58:O58" si="81">SUM(N54:N57)</f>
        <v>0</v>
      </c>
      <c r="O58" s="160">
        <f t="shared" si="81"/>
        <v>685903.58018156991</v>
      </c>
      <c r="P58" s="160">
        <f>SUM(P54:P57)</f>
        <v>28228.086325553231</v>
      </c>
      <c r="Q58" s="160">
        <f t="shared" ref="Q58:R58" si="82">SUM(Q54:Q57)</f>
        <v>150794.93579014982</v>
      </c>
      <c r="R58" s="160">
        <f t="shared" si="82"/>
        <v>179023.02211570306</v>
      </c>
      <c r="S58" s="160">
        <f>SUM(S54:S57)</f>
        <v>0</v>
      </c>
      <c r="T58" s="160">
        <f t="shared" ref="T58:U58" si="83">SUM(T54:T57)</f>
        <v>7004.1465858522006</v>
      </c>
      <c r="U58" s="160">
        <f t="shared" si="83"/>
        <v>7004.1465858522006</v>
      </c>
      <c r="V58" s="160">
        <f t="shared" si="76"/>
        <v>3846431.58</v>
      </c>
      <c r="W58" s="266">
        <f t="shared" si="77"/>
        <v>0</v>
      </c>
      <c r="X58" s="275">
        <f t="shared" si="78"/>
        <v>3846431.5800000005</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509" t="s">
        <v>232</v>
      </c>
      <c r="B60" s="510"/>
      <c r="C60" s="510"/>
      <c r="D60" s="510"/>
      <c r="E60" s="510"/>
      <c r="F60" s="510"/>
      <c r="G60" s="510"/>
      <c r="H60" s="510"/>
      <c r="I60" s="510"/>
      <c r="J60" s="510"/>
      <c r="K60" s="510"/>
      <c r="L60" s="510"/>
      <c r="M60" s="510"/>
      <c r="N60" s="510"/>
      <c r="O60" s="510"/>
      <c r="P60" s="510"/>
      <c r="Q60" s="510"/>
      <c r="R60" s="510"/>
      <c r="S60" s="510"/>
      <c r="T60" s="510"/>
      <c r="U60" s="510"/>
      <c r="V60" s="510"/>
      <c r="W60" s="510"/>
      <c r="X60" s="511"/>
      <c r="Y60" s="140"/>
    </row>
    <row r="61" spans="1:25" s="22" customFormat="1" x14ac:dyDescent="0.35">
      <c r="A61" s="155">
        <v>33</v>
      </c>
      <c r="B61" s="581" t="s">
        <v>297</v>
      </c>
      <c r="C61" s="582"/>
      <c r="D61" s="582"/>
      <c r="E61" s="582"/>
      <c r="F61" s="583"/>
      <c r="G61" s="157">
        <f>'As-Filed Schedule 1'!E60</f>
        <v>389280.09574980754</v>
      </c>
      <c r="H61" s="263">
        <f>SUMIFS(Adjustments!$G:$G,Adjustments!$H:$H,"1",Adjustments!$I:$I,$G$9,Adjustments!$J:$J,$A61)</f>
        <v>0</v>
      </c>
      <c r="I61" s="274">
        <f t="shared" ref="I61:I67" si="84">SUM(G61:H61)</f>
        <v>389280.09574980754</v>
      </c>
      <c r="J61" s="157">
        <f>'As-Filed Schedule 1'!F60</f>
        <v>1049151.0073289569</v>
      </c>
      <c r="K61" s="263">
        <f>SUMIFS(Adjustments!$G:$G,Adjustments!$H:$H,"1",Adjustments!$I:$I,$J$9,Adjustments!$J:$J,$A61)</f>
        <v>-19295.169569777499</v>
      </c>
      <c r="L61" s="274">
        <f t="shared" ref="L61:L67" si="85">SUM(J61:K61)</f>
        <v>1029855.8377591793</v>
      </c>
      <c r="M61" s="157">
        <f>'As-Filed Schedule 1'!G60</f>
        <v>422527.72471364896</v>
      </c>
      <c r="N61" s="263">
        <f>SUMIFS(Adjustments!$G:$G,Adjustments!$H:$H,"1",Adjustments!$I:$I,$M$9,Adjustments!$J:$J,$A61)</f>
        <v>0</v>
      </c>
      <c r="O61" s="274">
        <f t="shared" ref="O61:O67" si="86">SUM(M61:N61)</f>
        <v>422527.72471364896</v>
      </c>
      <c r="P61" s="157">
        <f>'As-Filed Schedule 1'!H60</f>
        <v>4688.6390028691221</v>
      </c>
      <c r="Q61" s="263">
        <f>SUMIFS(Adjustments!$G:$G,Adjustments!$H:$H,"1",Adjustments!$I:$I,$P$9,Adjustments!$J:$J,$A61)</f>
        <v>19467.373099667195</v>
      </c>
      <c r="R61" s="274">
        <f t="shared" ref="R61:R67" si="87">SUM(P61:Q61)</f>
        <v>24156.012102536319</v>
      </c>
      <c r="S61" s="157">
        <f>'As-Filed Schedule 1'!I60</f>
        <v>45752</v>
      </c>
      <c r="T61" s="263">
        <f>SUMIFS(Adjustments!$G:$G,Adjustments!$H:$H,"1",Adjustments!$I:$I,$S$9,Adjustments!$J:$J,$A61)</f>
        <v>-172.20352988969296</v>
      </c>
      <c r="U61" s="274">
        <f t="shared" ref="U61:U67" si="88">SUM(S61:T61)</f>
        <v>45579.796470110305</v>
      </c>
      <c r="V61" s="160">
        <f t="shared" ref="V61:V68" si="89">SUM(G61,J61,M61,P61,S61)</f>
        <v>1911399.4667952824</v>
      </c>
      <c r="W61" s="266">
        <f t="shared" ref="W61:W68" si="90">SUM(,H61,K61,N61,Q61,T61)</f>
        <v>2.3874235921539366E-12</v>
      </c>
      <c r="X61" s="275">
        <f t="shared" ref="X61:X68" si="91">SUM(I61,L61,O61,R61,U61)</f>
        <v>1911399.4667952824</v>
      </c>
      <c r="Y61" s="140"/>
    </row>
    <row r="62" spans="1:25" s="22" customFormat="1" x14ac:dyDescent="0.35">
      <c r="A62" s="155">
        <v>34</v>
      </c>
      <c r="B62" s="581" t="s">
        <v>298</v>
      </c>
      <c r="C62" s="582"/>
      <c r="D62" s="582"/>
      <c r="E62" s="582"/>
      <c r="F62" s="583"/>
      <c r="G62" s="157">
        <f>'As-Filed Schedule 1'!E61</f>
        <v>-71242.057980629004</v>
      </c>
      <c r="H62" s="263">
        <f>SUMIFS(Adjustments!$G:$G,Adjustments!$H:$H,"1",Adjustments!$I:$I,$G$9,Adjustments!$J:$J,$A62)</f>
        <v>-14726.591708440899</v>
      </c>
      <c r="I62" s="274">
        <f t="shared" si="84"/>
        <v>-85968.649689069905</v>
      </c>
      <c r="J62" s="157">
        <f>'As-Filed Schedule 1'!F61</f>
        <v>970018.94376533118</v>
      </c>
      <c r="K62" s="263">
        <f>SUMIFS(Adjustments!$G:$G,Adjustments!$H:$H,"1",Adjustments!$I:$I,$J$9,Adjustments!$J:$J,$A62)</f>
        <v>-26386.756672056828</v>
      </c>
      <c r="L62" s="274">
        <f t="shared" si="85"/>
        <v>943632.18709327432</v>
      </c>
      <c r="M62" s="157">
        <f>'As-Filed Schedule 1'!G61</f>
        <v>265412.18421297724</v>
      </c>
      <c r="N62" s="263">
        <f>SUMIFS(Adjustments!$G:$G,Adjustments!$H:$H,"1",Adjustments!$I:$I,$M$9,Adjustments!$J:$J,$A62)</f>
        <v>-50636.250370749505</v>
      </c>
      <c r="O62" s="274">
        <f t="shared" si="86"/>
        <v>214775.93384222774</v>
      </c>
      <c r="P62" s="157">
        <f>'As-Filed Schedule 1'!H61</f>
        <v>5627.484287057594</v>
      </c>
      <c r="Q62" s="263">
        <f>SUMIFS(Adjustments!$G:$G,Adjustments!$H:$H,"1",Adjustments!$I:$I,$P$9,Adjustments!$J:$J,$A62)</f>
        <v>21158.382074380068</v>
      </c>
      <c r="R62" s="274">
        <f t="shared" si="87"/>
        <v>26785.866361437664</v>
      </c>
      <c r="S62" s="157">
        <f>'As-Filed Schedule 1'!I61</f>
        <v>119457.70360000001</v>
      </c>
      <c r="T62" s="263">
        <f>SUMIFS(Adjustments!$G:$G,Adjustments!$H:$H,"1",Adjustments!$I:$I,$S$9,Adjustments!$J:$J,$A62)</f>
        <v>68988.216676867174</v>
      </c>
      <c r="U62" s="274">
        <f t="shared" si="88"/>
        <v>188445.92027686717</v>
      </c>
      <c r="V62" s="160">
        <f t="shared" si="89"/>
        <v>1289274.2578847371</v>
      </c>
      <c r="W62" s="266">
        <f t="shared" si="90"/>
        <v>-1602.9999999999854</v>
      </c>
      <c r="X62" s="275">
        <f t="shared" si="91"/>
        <v>1287671.2578847369</v>
      </c>
      <c r="Y62" s="140"/>
    </row>
    <row r="63" spans="1:25" s="22" customFormat="1" x14ac:dyDescent="0.35">
      <c r="A63" s="155">
        <v>35</v>
      </c>
      <c r="B63" s="581" t="s">
        <v>302</v>
      </c>
      <c r="C63" s="582"/>
      <c r="D63" s="582"/>
      <c r="E63" s="582"/>
      <c r="F63" s="583"/>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258293.81</v>
      </c>
      <c r="T63" s="263">
        <f>SUMIFS(Adjustments!$G:$G,Adjustments!$H:$H,"1",Adjustments!$I:$I,$S$9,Adjustments!$J:$J,$A63)</f>
        <v>0</v>
      </c>
      <c r="U63" s="274">
        <f t="shared" si="88"/>
        <v>258293.81</v>
      </c>
      <c r="V63" s="160">
        <f t="shared" si="89"/>
        <v>258293.81</v>
      </c>
      <c r="W63" s="266">
        <f t="shared" si="90"/>
        <v>0</v>
      </c>
      <c r="X63" s="275">
        <f t="shared" si="91"/>
        <v>258293.81</v>
      </c>
      <c r="Y63" s="140"/>
    </row>
    <row r="64" spans="1:25" s="22" customFormat="1" x14ac:dyDescent="0.35">
      <c r="A64" s="155">
        <v>36</v>
      </c>
      <c r="B64" s="581" t="s">
        <v>315</v>
      </c>
      <c r="C64" s="582"/>
      <c r="D64" s="582"/>
      <c r="E64" s="582"/>
      <c r="F64" s="583"/>
      <c r="G64" s="157">
        <f>'As-Filed Schedule 1'!E63</f>
        <v>28961.630476953756</v>
      </c>
      <c r="H64" s="263">
        <f>SUMIFS(Adjustments!$G:$G,Adjustments!$H:$H,"1",Adjustments!$I:$I,$G$9,Adjustments!$J:$J,$A64)</f>
        <v>0</v>
      </c>
      <c r="I64" s="274">
        <f t="shared" si="84"/>
        <v>28961.630476953756</v>
      </c>
      <c r="J64" s="157">
        <f>'As-Filed Schedule 1'!F63</f>
        <v>150143.88537319511</v>
      </c>
      <c r="K64" s="263">
        <f>SUMIFS(Adjustments!$G:$G,Adjustments!$H:$H,"1",Adjustments!$I:$I,$J$9,Adjustments!$J:$J,$A64)</f>
        <v>-1571.0498267671562</v>
      </c>
      <c r="L64" s="274">
        <f t="shared" si="85"/>
        <v>148572.83554642796</v>
      </c>
      <c r="M64" s="157">
        <f>'As-Filed Schedule 1'!G63</f>
        <v>26406.798169708305</v>
      </c>
      <c r="N64" s="263">
        <f>SUMIFS(Adjustments!$G:$G,Adjustments!$H:$H,"1",Adjustments!$I:$I,$M$9,Adjustments!$J:$J,$A64)</f>
        <v>0</v>
      </c>
      <c r="O64" s="274">
        <f t="shared" si="86"/>
        <v>26406.798169708305</v>
      </c>
      <c r="P64" s="157">
        <f>'As-Filed Schedule 1'!H63</f>
        <v>396.88598014286936</v>
      </c>
      <c r="Q64" s="263">
        <f>SUMIFS(Adjustments!$G:$G,Adjustments!$H:$H,"1",Adjustments!$I:$I,$P$9,Adjustments!$J:$J,$A64)</f>
        <v>1374.0871097561737</v>
      </c>
      <c r="R64" s="274">
        <f t="shared" si="87"/>
        <v>1770.9730898990431</v>
      </c>
      <c r="S64" s="157">
        <f>'As-Filed Schedule 1'!I63</f>
        <v>0</v>
      </c>
      <c r="T64" s="263">
        <f>SUMIFS(Adjustments!$G:$G,Adjustments!$H:$H,"1",Adjustments!$I:$I,$S$9,Adjustments!$J:$J,$A64)</f>
        <v>196.96271701098246</v>
      </c>
      <c r="U64" s="274">
        <f t="shared" si="88"/>
        <v>196.96271701098246</v>
      </c>
      <c r="V64" s="160">
        <f t="shared" si="89"/>
        <v>205909.20000000004</v>
      </c>
      <c r="W64" s="266">
        <f t="shared" si="90"/>
        <v>0</v>
      </c>
      <c r="X64" s="275">
        <f t="shared" si="91"/>
        <v>205909.20000000007</v>
      </c>
      <c r="Y64" s="140"/>
    </row>
    <row r="65" spans="1:25" s="22" customFormat="1" x14ac:dyDescent="0.35">
      <c r="A65" s="155">
        <v>37</v>
      </c>
      <c r="B65" s="581" t="s">
        <v>316</v>
      </c>
      <c r="C65" s="582"/>
      <c r="D65" s="582"/>
      <c r="E65" s="582"/>
      <c r="F65" s="583"/>
      <c r="G65" s="157">
        <f>'As-Filed Schedule 1'!E64</f>
        <v>15229.817230442308</v>
      </c>
      <c r="H65" s="263">
        <f>SUMIFS(Adjustments!$G:$G,Adjustments!$H:$H,"1",Adjustments!$I:$I,$G$9,Adjustments!$J:$J,$A65)</f>
        <v>0</v>
      </c>
      <c r="I65" s="274">
        <f t="shared" si="84"/>
        <v>15229.817230442308</v>
      </c>
      <c r="J65" s="157">
        <f>'As-Filed Schedule 1'!F64</f>
        <v>165875.78698228224</v>
      </c>
      <c r="K65" s="263">
        <f>SUMIFS(Adjustments!$G:$G,Adjustments!$H:$H,"1",Adjustments!$I:$I,$J$9,Adjustments!$J:$J,$A65)</f>
        <v>-2098.3961761244054</v>
      </c>
      <c r="L65" s="274">
        <f t="shared" si="85"/>
        <v>163777.39080615784</v>
      </c>
      <c r="M65" s="157">
        <f>'As-Filed Schedule 1'!G64</f>
        <v>50296.615826921632</v>
      </c>
      <c r="N65" s="263">
        <f>SUMIFS(Adjustments!$G:$G,Adjustments!$H:$H,"1",Adjustments!$I:$I,$M$9,Adjustments!$J:$J,$A65)</f>
        <v>0</v>
      </c>
      <c r="O65" s="274">
        <f t="shared" si="86"/>
        <v>50296.615826921632</v>
      </c>
      <c r="P65" s="157">
        <f>'As-Filed Schedule 1'!H64</f>
        <v>585.40996035381136</v>
      </c>
      <c r="Q65" s="263">
        <f>SUMIFS(Adjustments!$G:$G,Adjustments!$H:$H,"1",Adjustments!$I:$I,$P$9,Adjustments!$J:$J,$A65)</f>
        <v>1699.4003214089819</v>
      </c>
      <c r="R65" s="274">
        <f t="shared" si="87"/>
        <v>2284.8102817627932</v>
      </c>
      <c r="S65" s="157">
        <f>'As-Filed Schedule 1'!I64</f>
        <v>0</v>
      </c>
      <c r="T65" s="263">
        <f>SUMIFS(Adjustments!$G:$G,Adjustments!$H:$H,"1",Adjustments!$I:$I,$S$9,Adjustments!$J:$J,$A65)</f>
        <v>398.99585471542343</v>
      </c>
      <c r="U65" s="274">
        <f t="shared" si="88"/>
        <v>398.99585471542343</v>
      </c>
      <c r="V65" s="160">
        <f t="shared" si="89"/>
        <v>231987.62999999998</v>
      </c>
      <c r="W65" s="266">
        <f t="shared" si="90"/>
        <v>0</v>
      </c>
      <c r="X65" s="275">
        <f t="shared" si="91"/>
        <v>231987.62999999998</v>
      </c>
      <c r="Y65" s="140"/>
    </row>
    <row r="66" spans="1:25" s="22" customFormat="1" x14ac:dyDescent="0.35">
      <c r="A66" s="155">
        <v>38</v>
      </c>
      <c r="B66" s="581" t="s">
        <v>317</v>
      </c>
      <c r="C66" s="582"/>
      <c r="D66" s="582"/>
      <c r="E66" s="582"/>
      <c r="F66" s="583"/>
      <c r="G66" s="157">
        <f>'As-Filed Schedule 1'!E65</f>
        <v>24437.496594164386</v>
      </c>
      <c r="H66" s="263">
        <f>SUMIFS(Adjustments!$G:$G,Adjustments!$H:$H,"1",Adjustments!$I:$I,$G$9,Adjustments!$J:$J,$A66)</f>
        <v>0</v>
      </c>
      <c r="I66" s="274">
        <f t="shared" si="84"/>
        <v>24437.496594164386</v>
      </c>
      <c r="J66" s="157">
        <f>'As-Filed Schedule 1'!F65</f>
        <v>56210.588380193076</v>
      </c>
      <c r="K66" s="263">
        <f>SUMIFS(Adjustments!$G:$G,Adjustments!$H:$H,"1",Adjustments!$I:$I,$J$9,Adjustments!$J:$J,$A66)</f>
        <v>-2209.1906361137235</v>
      </c>
      <c r="L66" s="274">
        <f t="shared" si="85"/>
        <v>54001.397744079353</v>
      </c>
      <c r="M66" s="157">
        <f>'As-Filed Schedule 1'!G65</f>
        <v>9115.5096629485506</v>
      </c>
      <c r="N66" s="263">
        <f>SUMIFS(Adjustments!$G:$G,Adjustments!$H:$H,"1",Adjustments!$I:$I,$M$9,Adjustments!$J:$J,$A66)</f>
        <v>0</v>
      </c>
      <c r="O66" s="274">
        <f t="shared" si="86"/>
        <v>9115.5096629485506</v>
      </c>
      <c r="P66" s="157">
        <f>'As-Filed Schedule 1'!H65</f>
        <v>487.13536269398583</v>
      </c>
      <c r="Q66" s="263">
        <f>SUMIFS(Adjustments!$G:$G,Adjustments!$H:$H,"1",Adjustments!$I:$I,$P$9,Adjustments!$J:$J,$A66)</f>
        <v>1612.6896107451496</v>
      </c>
      <c r="R66" s="274">
        <f t="shared" si="87"/>
        <v>2099.8249734391356</v>
      </c>
      <c r="S66" s="157">
        <f>'As-Filed Schedule 1'!I65</f>
        <v>0</v>
      </c>
      <c r="T66" s="263">
        <f>SUMIFS(Adjustments!$G:$G,Adjustments!$H:$H,"1",Adjustments!$I:$I,$S$9,Adjustments!$J:$J,$A66)</f>
        <v>596.50102536857401</v>
      </c>
      <c r="U66" s="274">
        <f t="shared" si="88"/>
        <v>596.50102536857401</v>
      </c>
      <c r="V66" s="160">
        <f t="shared" si="89"/>
        <v>90250.73</v>
      </c>
      <c r="W66" s="266">
        <f t="shared" si="90"/>
        <v>0</v>
      </c>
      <c r="X66" s="275">
        <f t="shared" si="91"/>
        <v>90250.73000000001</v>
      </c>
      <c r="Y66" s="140"/>
    </row>
    <row r="67" spans="1:25" s="22" customFormat="1" x14ac:dyDescent="0.35">
      <c r="A67" s="155">
        <v>39</v>
      </c>
      <c r="B67" s="581" t="s">
        <v>299</v>
      </c>
      <c r="C67" s="582"/>
      <c r="D67" s="582"/>
      <c r="E67" s="582"/>
      <c r="F67" s="583"/>
      <c r="G67" s="157">
        <f>'As-Filed Schedule 1'!E66</f>
        <v>161204.40053435488</v>
      </c>
      <c r="H67" s="263">
        <f>SUMIFS(Adjustments!$G:$G,Adjustments!$H:$H,"1",Adjustments!$I:$I,$G$9,Adjustments!$J:$J,$A67)</f>
        <v>0</v>
      </c>
      <c r="I67" s="274">
        <f t="shared" si="84"/>
        <v>161204.40053435488</v>
      </c>
      <c r="J67" s="157">
        <f>'As-Filed Schedule 1'!F66</f>
        <v>594374.05686428922</v>
      </c>
      <c r="K67" s="263">
        <f>SUMIFS(Adjustments!$G:$G,Adjustments!$H:$H,"1",Adjustments!$I:$I,$J$9,Adjustments!$J:$J,$A67)</f>
        <v>-180017.36002061339</v>
      </c>
      <c r="L67" s="274">
        <f t="shared" si="85"/>
        <v>414356.6968436758</v>
      </c>
      <c r="M67" s="157">
        <f>'As-Filed Schedule 1'!G66</f>
        <v>227372.12486090709</v>
      </c>
      <c r="N67" s="263">
        <f>SUMIFS(Adjustments!$G:$G,Adjustments!$H:$H,"1",Adjustments!$I:$I,$M$9,Adjustments!$J:$J,$A67)</f>
        <v>0</v>
      </c>
      <c r="O67" s="274">
        <f t="shared" si="86"/>
        <v>227372.12486090709</v>
      </c>
      <c r="P67" s="157">
        <f>'As-Filed Schedule 1'!H66</f>
        <v>12070.817740448809</v>
      </c>
      <c r="Q67" s="263">
        <f>SUMIFS(Adjustments!$G:$G,Adjustments!$H:$H,"1",Adjustments!$I:$I,$P$9,Adjustments!$J:$J,$A67)</f>
        <v>189212.57024055012</v>
      </c>
      <c r="R67" s="274">
        <f t="shared" si="87"/>
        <v>201283.38798099893</v>
      </c>
      <c r="S67" s="157">
        <f>'As-Filed Schedule 1'!I66</f>
        <v>85366.400000000009</v>
      </c>
      <c r="T67" s="263">
        <f>SUMIFS(Adjustments!$G:$G,Adjustments!$H:$H,"1",Adjustments!$I:$I,$S$9,Adjustments!$J:$J,$A67)</f>
        <v>-9195.2102199367291</v>
      </c>
      <c r="U67" s="274">
        <f t="shared" si="88"/>
        <v>76171.189780063287</v>
      </c>
      <c r="V67" s="160">
        <f t="shared" si="89"/>
        <v>1080387.7999999998</v>
      </c>
      <c r="W67" s="266">
        <f t="shared" si="90"/>
        <v>0</v>
      </c>
      <c r="X67" s="275">
        <f t="shared" si="91"/>
        <v>1080387.8</v>
      </c>
      <c r="Y67" s="140"/>
    </row>
    <row r="68" spans="1:25" s="22" customFormat="1" x14ac:dyDescent="0.35">
      <c r="A68" s="155">
        <v>40</v>
      </c>
      <c r="B68" s="578" t="s">
        <v>237</v>
      </c>
      <c r="C68" s="579"/>
      <c r="D68" s="579"/>
      <c r="E68" s="579"/>
      <c r="F68" s="580"/>
      <c r="G68" s="160">
        <f>SUM(G61:G67)</f>
        <v>547871.38260509388</v>
      </c>
      <c r="H68" s="160">
        <f>SUM(H61:H67)</f>
        <v>-14726.591708440899</v>
      </c>
      <c r="I68" s="160">
        <f>SUM(I61:I67)</f>
        <v>533144.79089665296</v>
      </c>
      <c r="J68" s="160">
        <f>SUM(J61:J67)</f>
        <v>2985774.2686942471</v>
      </c>
      <c r="K68" s="160">
        <f t="shared" ref="K68:L68" si="92">SUM(K61:K67)</f>
        <v>-231577.92290145298</v>
      </c>
      <c r="L68" s="160">
        <f t="shared" si="92"/>
        <v>2754196.3457927941</v>
      </c>
      <c r="M68" s="160">
        <f>SUM(M61:M67)</f>
        <v>1001130.9574471118</v>
      </c>
      <c r="N68" s="160">
        <f t="shared" ref="N68:O68" si="93">SUM(N61:N67)</f>
        <v>-50636.250370749505</v>
      </c>
      <c r="O68" s="160">
        <f t="shared" si="93"/>
        <v>950494.70707636233</v>
      </c>
      <c r="P68" s="160">
        <f>SUM(P61:P67)</f>
        <v>23856.372333566193</v>
      </c>
      <c r="Q68" s="160">
        <f>SUM(Q61:Q67)</f>
        <v>234524.5024565077</v>
      </c>
      <c r="R68" s="160">
        <f>SUM(R61:R67)</f>
        <v>258380.8747900739</v>
      </c>
      <c r="S68" s="160">
        <f>SUM(S61:S67)</f>
        <v>508869.91360000003</v>
      </c>
      <c r="T68" s="160">
        <f t="shared" ref="T68:U68" si="94">SUM(T61:T67)</f>
        <v>60813.262524135738</v>
      </c>
      <c r="U68" s="160">
        <f t="shared" si="94"/>
        <v>569683.17612413573</v>
      </c>
      <c r="V68" s="160">
        <f t="shared" si="89"/>
        <v>5067502.8946800195</v>
      </c>
      <c r="W68" s="266">
        <f t="shared" si="90"/>
        <v>-1602.9999999999636</v>
      </c>
      <c r="X68" s="275">
        <f t="shared" si="91"/>
        <v>5065899.8946800195</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509" t="s">
        <v>236</v>
      </c>
      <c r="B70" s="510"/>
      <c r="C70" s="510"/>
      <c r="D70" s="510"/>
      <c r="E70" s="510"/>
      <c r="F70" s="510"/>
      <c r="G70" s="510"/>
      <c r="H70" s="510"/>
      <c r="I70" s="510"/>
      <c r="J70" s="510"/>
      <c r="K70" s="510"/>
      <c r="L70" s="510"/>
      <c r="M70" s="510"/>
      <c r="N70" s="510"/>
      <c r="O70" s="510"/>
      <c r="P70" s="510"/>
      <c r="Q70" s="510"/>
      <c r="R70" s="510"/>
      <c r="S70" s="510"/>
      <c r="T70" s="510"/>
      <c r="U70" s="510"/>
      <c r="V70" s="510"/>
      <c r="W70" s="510"/>
      <c r="X70" s="511"/>
      <c r="Y70" s="140"/>
    </row>
    <row r="71" spans="1:25" s="22" customFormat="1" x14ac:dyDescent="0.35">
      <c r="A71" s="155">
        <v>41</v>
      </c>
      <c r="B71" s="500" t="s">
        <v>239</v>
      </c>
      <c r="C71" s="501"/>
      <c r="D71" s="501"/>
      <c r="E71" s="501"/>
      <c r="F71" s="502"/>
      <c r="G71" s="157">
        <f>'As-Filed Schedule 1'!E70</f>
        <v>169863.0643441329</v>
      </c>
      <c r="H71" s="263">
        <f>SUMIFS(Adjustments!$G:$G,Adjustments!$H:$H,"1",Adjustments!$I:$I,$G$9,Adjustments!$J:$J,$A71)</f>
        <v>0</v>
      </c>
      <c r="I71" s="274">
        <f t="shared" ref="I71:I78" si="95">SUM(G71:H71)</f>
        <v>169863.0643441329</v>
      </c>
      <c r="J71" s="157">
        <f>'As-Filed Schedule 1'!F70</f>
        <v>314744.95865059545</v>
      </c>
      <c r="K71" s="263">
        <f>SUMIFS(Adjustments!$G:$G,Adjustments!$H:$H,"1",Adjustments!$I:$I,$J$9,Adjustments!$J:$J,$A71)</f>
        <v>-14756.792306987791</v>
      </c>
      <c r="L71" s="274">
        <f t="shared" ref="L71:L78" si="96">SUM(J71:K71)</f>
        <v>299988.16634360765</v>
      </c>
      <c r="M71" s="157">
        <f>'As-Filed Schedule 1'!G70</f>
        <v>71951.540656279205</v>
      </c>
      <c r="N71" s="263">
        <f>SUMIFS(Adjustments!$G:$G,Adjustments!$H:$H,"1",Adjustments!$I:$I,$M$9,Adjustments!$J:$J,$A71)</f>
        <v>0</v>
      </c>
      <c r="O71" s="274">
        <f t="shared" ref="O71:O78" si="97">SUM(M71:N71)</f>
        <v>71951.540656279205</v>
      </c>
      <c r="P71" s="157">
        <f>'As-Filed Schedule 1'!H70</f>
        <v>1919.3263489925075</v>
      </c>
      <c r="Q71" s="263">
        <f>SUMIFS(Adjustments!$G:$G,Adjustments!$H:$H,"1",Adjustments!$I:$I,$P$9,Adjustments!$J:$J,$A71)</f>
        <v>13692.111214537597</v>
      </c>
      <c r="R71" s="274">
        <f t="shared" ref="R71:R78" si="98">SUM(P71:Q71)</f>
        <v>15611.437563530104</v>
      </c>
      <c r="S71" s="157">
        <f>'As-Filed Schedule 1'!I70</f>
        <v>0</v>
      </c>
      <c r="T71" s="263">
        <f>SUMIFS(Adjustments!$G:$G,Adjustments!$H:$H,"1",Adjustments!$I:$I,$S$9,Adjustments!$J:$J,$A71)</f>
        <v>3145.2310924502394</v>
      </c>
      <c r="U71" s="274">
        <f t="shared" ref="U71:U78" si="99">SUM(S71:T71)</f>
        <v>3145.2310924502394</v>
      </c>
      <c r="V71" s="160">
        <f t="shared" ref="V71:V79" si="100">SUM(G71,J71,M71,P71,S71)</f>
        <v>558478.89000000013</v>
      </c>
      <c r="W71" s="266">
        <f t="shared" ref="W71:W79" si="101">SUM(,H71,K71,N71,Q71,T71)</f>
        <v>2080.5500000000461</v>
      </c>
      <c r="X71" s="275">
        <f t="shared" ref="X71:X79" si="102">SUM(I71,L71,O71,R71,U71)</f>
        <v>560559.44000000006</v>
      </c>
      <c r="Y71" s="140"/>
    </row>
    <row r="72" spans="1:25" s="22" customFormat="1" x14ac:dyDescent="0.35">
      <c r="A72" s="155">
        <v>42</v>
      </c>
      <c r="B72" s="500" t="s">
        <v>289</v>
      </c>
      <c r="C72" s="501"/>
      <c r="D72" s="501"/>
      <c r="E72" s="501"/>
      <c r="F72" s="502"/>
      <c r="G72" s="157">
        <f>'As-Filed Schedule 1'!E71</f>
        <v>52802.883588716111</v>
      </c>
      <c r="H72" s="263">
        <f>SUMIFS(Adjustments!$G:$G,Adjustments!$H:$H,"1",Adjustments!$I:$I,$G$9,Adjustments!$J:$J,$A72)</f>
        <v>0</v>
      </c>
      <c r="I72" s="274">
        <f t="shared" si="95"/>
        <v>52802.883588716111</v>
      </c>
      <c r="J72" s="157">
        <f>'As-Filed Schedule 1'!F71</f>
        <v>181888.94750383173</v>
      </c>
      <c r="K72" s="263">
        <f>SUMIFS(Adjustments!$G:$G,Adjustments!$H:$H,"1",Adjustments!$I:$I,$J$9,Adjustments!$J:$J,$A72)</f>
        <v>-1855.5128484983593</v>
      </c>
      <c r="L72" s="274">
        <f t="shared" si="96"/>
        <v>180033.43465533337</v>
      </c>
      <c r="M72" s="157">
        <f>'As-Filed Schedule 1'!G71</f>
        <v>26734.017215666026</v>
      </c>
      <c r="N72" s="263">
        <f>SUMIFS(Adjustments!$G:$G,Adjustments!$H:$H,"1",Adjustments!$I:$I,$M$9,Adjustments!$J:$J,$A72)</f>
        <v>0</v>
      </c>
      <c r="O72" s="274">
        <f t="shared" si="97"/>
        <v>26734.017215666026</v>
      </c>
      <c r="P72" s="157">
        <f>'As-Filed Schedule 1'!H71</f>
        <v>1719.1416917861268</v>
      </c>
      <c r="Q72" s="263">
        <f>SUMIFS(Adjustments!$G:$G,Adjustments!$H:$H,"1",Adjustments!$I:$I,$P$9,Adjustments!$J:$J,$A72)</f>
        <v>1398.9157210199392</v>
      </c>
      <c r="R72" s="274">
        <f t="shared" si="98"/>
        <v>3118.0574128060662</v>
      </c>
      <c r="S72" s="157">
        <f>'As-Filed Schedule 1'!I71</f>
        <v>0</v>
      </c>
      <c r="T72" s="263">
        <f>SUMIFS(Adjustments!$G:$G,Adjustments!$H:$H,"1",Adjustments!$I:$I,$S$9,Adjustments!$J:$J,$A72)</f>
        <v>456.59712747842002</v>
      </c>
      <c r="U72" s="274">
        <f t="shared" si="99"/>
        <v>456.59712747842002</v>
      </c>
      <c r="V72" s="160">
        <f t="shared" si="100"/>
        <v>263144.99</v>
      </c>
      <c r="W72" s="266">
        <f t="shared" si="101"/>
        <v>0</v>
      </c>
      <c r="X72" s="275">
        <f t="shared" si="102"/>
        <v>263144.99</v>
      </c>
      <c r="Y72" s="140"/>
    </row>
    <row r="73" spans="1:25" s="22" customFormat="1" x14ac:dyDescent="0.35">
      <c r="A73" s="155">
        <v>43</v>
      </c>
      <c r="B73" s="500" t="s">
        <v>240</v>
      </c>
      <c r="C73" s="501"/>
      <c r="D73" s="501"/>
      <c r="E73" s="501"/>
      <c r="F73" s="502"/>
      <c r="G73" s="157">
        <f>'As-Filed Schedule 1'!E72</f>
        <v>2281</v>
      </c>
      <c r="H73" s="263">
        <f>SUMIFS(Adjustments!$G:$G,Adjustments!$H:$H,"1",Adjustments!$I:$I,$G$9,Adjustments!$J:$J,$A73)</f>
        <v>0</v>
      </c>
      <c r="I73" s="274">
        <f t="shared" si="95"/>
        <v>2281</v>
      </c>
      <c r="J73" s="157">
        <f>'As-Filed Schedule 1'!F72</f>
        <v>184869.7608810376</v>
      </c>
      <c r="K73" s="263">
        <f>SUMIFS(Adjustments!$G:$G,Adjustments!$H:$H,"1",Adjustments!$I:$I,$J$9,Adjustments!$J:$J,$A73)</f>
        <v>-7052.6307048198687</v>
      </c>
      <c r="L73" s="274">
        <f t="shared" si="96"/>
        <v>177817.13017621773</v>
      </c>
      <c r="M73" s="157">
        <f>'As-Filed Schedule 1'!G72</f>
        <v>36722.012850626132</v>
      </c>
      <c r="N73" s="263">
        <f>SUMIFS(Adjustments!$G:$G,Adjustments!$H:$H,"1",Adjustments!$I:$I,$M$9,Adjustments!$J:$J,$A73)</f>
        <v>0</v>
      </c>
      <c r="O73" s="274">
        <f t="shared" si="97"/>
        <v>36722.012850626132</v>
      </c>
      <c r="P73" s="157">
        <f>'As-Filed Schedule 1'!H72</f>
        <v>1011.0962683363152</v>
      </c>
      <c r="Q73" s="263">
        <f>SUMIFS(Adjustments!$G:$G,Adjustments!$H:$H,"1",Adjustments!$I:$I,$P$9,Adjustments!$J:$J,$A73)</f>
        <v>6171.1291976703451</v>
      </c>
      <c r="R73" s="274">
        <f t="shared" si="98"/>
        <v>7182.2254660066601</v>
      </c>
      <c r="S73" s="157">
        <f>'As-Filed Schedule 1'!I72</f>
        <v>0</v>
      </c>
      <c r="T73" s="263">
        <f>SUMIFS(Adjustments!$G:$G,Adjustments!$H:$H,"1",Adjustments!$I:$I,$S$9,Adjustments!$J:$J,$A73)</f>
        <v>881.50150714952463</v>
      </c>
      <c r="U73" s="274">
        <f t="shared" si="99"/>
        <v>881.50150714952463</v>
      </c>
      <c r="V73" s="160">
        <f t="shared" si="100"/>
        <v>224883.87000000005</v>
      </c>
      <c r="W73" s="266">
        <f t="shared" si="101"/>
        <v>1.0231815394945443E-12</v>
      </c>
      <c r="X73" s="275">
        <f t="shared" si="102"/>
        <v>224883.87000000005</v>
      </c>
      <c r="Y73" s="140"/>
    </row>
    <row r="74" spans="1:25" s="22" customFormat="1" x14ac:dyDescent="0.35">
      <c r="A74" s="155">
        <v>44</v>
      </c>
      <c r="B74" s="500" t="s">
        <v>308</v>
      </c>
      <c r="C74" s="501"/>
      <c r="D74" s="501"/>
      <c r="E74" s="501"/>
      <c r="F74" s="502"/>
      <c r="G74" s="157">
        <f>'As-Filed Schedule 1'!E73</f>
        <v>139998.65</v>
      </c>
      <c r="H74" s="263">
        <f>SUMIFS(Adjustments!$G:$G,Adjustments!$H:$H,"1",Adjustments!$I:$I,$G$9,Adjustments!$J:$J,$A74)</f>
        <v>0</v>
      </c>
      <c r="I74" s="274">
        <f t="shared" si="95"/>
        <v>139998.65</v>
      </c>
      <c r="J74" s="157">
        <f>'As-Filed Schedule 1'!F73</f>
        <v>2370.7839892665479</v>
      </c>
      <c r="K74" s="263">
        <f>SUMIFS(Adjustments!$G:$G,Adjustments!$H:$H,"1",Adjustments!$I:$I,$J$9,Adjustments!$J:$J,$A74)</f>
        <v>-473.41215128852303</v>
      </c>
      <c r="L74" s="274">
        <f t="shared" si="96"/>
        <v>1897.3718379780248</v>
      </c>
      <c r="M74" s="157">
        <f>'As-Filed Schedule 1'!G73</f>
        <v>255.14982110912348</v>
      </c>
      <c r="N74" s="263">
        <f>SUMIFS(Adjustments!$G:$G,Adjustments!$H:$H,"1",Adjustments!$I:$I,$M$9,Adjustments!$J:$J,$A74)</f>
        <v>0</v>
      </c>
      <c r="O74" s="274">
        <f t="shared" si="97"/>
        <v>255.14982110912348</v>
      </c>
      <c r="P74" s="157">
        <f>'As-Filed Schedule 1'!H73</f>
        <v>83.066189624329155</v>
      </c>
      <c r="Q74" s="263">
        <f>SUMIFS(Adjustments!$G:$G,Adjustments!$H:$H,"1",Adjustments!$I:$I,$P$9,Adjustments!$J:$J,$A74)</f>
        <v>471.61079040436141</v>
      </c>
      <c r="R74" s="274">
        <f t="shared" si="98"/>
        <v>554.67698002869054</v>
      </c>
      <c r="S74" s="157">
        <f>'As-Filed Schedule 1'!I73</f>
        <v>0</v>
      </c>
      <c r="T74" s="263">
        <f>SUMIFS(Adjustments!$G:$G,Adjustments!$H:$H,"1",Adjustments!$I:$I,$S$9,Adjustments!$J:$J,$A74)</f>
        <v>1.8013608841616648</v>
      </c>
      <c r="U74" s="274">
        <f t="shared" si="99"/>
        <v>1.8013608841616648</v>
      </c>
      <c r="V74" s="160">
        <f t="shared" si="100"/>
        <v>142707.65</v>
      </c>
      <c r="W74" s="266">
        <f t="shared" si="101"/>
        <v>4.0190073491430667E-14</v>
      </c>
      <c r="X74" s="275">
        <f t="shared" si="102"/>
        <v>142707.64999999997</v>
      </c>
      <c r="Y74" s="140"/>
    </row>
    <row r="75" spans="1:25" s="22" customFormat="1" x14ac:dyDescent="0.35">
      <c r="A75" s="155">
        <v>45</v>
      </c>
      <c r="B75" s="500" t="s">
        <v>286</v>
      </c>
      <c r="C75" s="501"/>
      <c r="D75" s="501"/>
      <c r="E75" s="501"/>
      <c r="F75" s="502"/>
      <c r="G75" s="157">
        <f>'As-Filed Schedule 1'!E74</f>
        <v>9816.0199999999986</v>
      </c>
      <c r="H75" s="263">
        <f>SUMIFS(Adjustments!$G:$G,Adjustments!$H:$H,"1",Adjustments!$I:$I,$G$9,Adjustments!$J:$J,$A75)</f>
        <v>0</v>
      </c>
      <c r="I75" s="274">
        <f t="shared" si="95"/>
        <v>9816.0199999999986</v>
      </c>
      <c r="J75" s="157">
        <f>'As-Filed Schedule 1'!F74</f>
        <v>3745.3483828264757</v>
      </c>
      <c r="K75" s="263">
        <f>SUMIFS(Adjustments!$G:$G,Adjustments!$H:$H,"1",Adjustments!$I:$I,$J$9,Adjustments!$J:$J,$A75)</f>
        <v>-628.00625032325365</v>
      </c>
      <c r="L75" s="274">
        <f t="shared" si="96"/>
        <v>3117.3421325032223</v>
      </c>
      <c r="M75" s="157">
        <f>'As-Filed Schedule 1'!G74</f>
        <v>1021.5707137745976</v>
      </c>
      <c r="N75" s="263">
        <f>SUMIFS(Adjustments!$G:$G,Adjustments!$H:$H,"1",Adjustments!$I:$I,$M$9,Adjustments!$J:$J,$A75)</f>
        <v>0</v>
      </c>
      <c r="O75" s="274">
        <f t="shared" si="97"/>
        <v>1021.5707137745976</v>
      </c>
      <c r="P75" s="157">
        <f>'As-Filed Schedule 1'!H74</f>
        <v>41.330903398926658</v>
      </c>
      <c r="Q75" s="263">
        <f>SUMIFS(Adjustments!$G:$G,Adjustments!$H:$H,"1",Adjustments!$I:$I,$P$9,Adjustments!$J:$J,$A75)</f>
        <v>625.46931658890799</v>
      </c>
      <c r="R75" s="274">
        <f t="shared" si="98"/>
        <v>666.80021998783468</v>
      </c>
      <c r="S75" s="157">
        <f>'As-Filed Schedule 1'!I74</f>
        <v>212967.61000000002</v>
      </c>
      <c r="T75" s="263">
        <f>SUMIFS(Adjustments!$G:$G,Adjustments!$H:$H,"1",Adjustments!$I:$I,$S$9,Adjustments!$J:$J,$A75)</f>
        <v>2.536933734345622</v>
      </c>
      <c r="U75" s="274">
        <f t="shared" si="99"/>
        <v>212970.14693373436</v>
      </c>
      <c r="V75" s="160">
        <f t="shared" si="100"/>
        <v>227591.88</v>
      </c>
      <c r="W75" s="266">
        <f t="shared" si="101"/>
        <v>-4.4408920985006262E-14</v>
      </c>
      <c r="X75" s="275">
        <f t="shared" si="102"/>
        <v>227591.88</v>
      </c>
      <c r="Y75" s="140"/>
    </row>
    <row r="76" spans="1:25" s="22" customFormat="1" x14ac:dyDescent="0.35">
      <c r="A76" s="155">
        <v>46</v>
      </c>
      <c r="B76" s="500" t="s">
        <v>287</v>
      </c>
      <c r="C76" s="501"/>
      <c r="D76" s="501"/>
      <c r="E76" s="501"/>
      <c r="F76" s="502"/>
      <c r="G76" s="157">
        <f>'As-Filed Schedule 1'!E75</f>
        <v>1075539.8438788152</v>
      </c>
      <c r="H76" s="263">
        <f>SUMIFS(Adjustments!$G:$G,Adjustments!$H:$H,"1",Adjustments!$I:$I,$G$9,Adjustments!$J:$J,$A76)</f>
        <v>0</v>
      </c>
      <c r="I76" s="274">
        <f t="shared" si="95"/>
        <v>1075539.8438788152</v>
      </c>
      <c r="J76" s="157">
        <f>'As-Filed Schedule 1'!F75</f>
        <v>685868.95082742046</v>
      </c>
      <c r="K76" s="263">
        <f>SUMIFS(Adjustments!$G:$G,Adjustments!$H:$H,"1",Adjustments!$I:$I,$J$9,Adjustments!$J:$J,$A76)</f>
        <v>-9484.0816968715371</v>
      </c>
      <c r="L76" s="274">
        <f t="shared" si="96"/>
        <v>676384.8691305489</v>
      </c>
      <c r="M76" s="157">
        <f>'As-Filed Schedule 1'!G75</f>
        <v>171022.47768132656</v>
      </c>
      <c r="N76" s="263">
        <f>SUMIFS(Adjustments!$G:$G,Adjustments!$H:$H,"1",Adjustments!$I:$I,$M$9,Adjustments!$J:$J,$A76)</f>
        <v>0</v>
      </c>
      <c r="O76" s="274">
        <f t="shared" si="97"/>
        <v>171022.47768132656</v>
      </c>
      <c r="P76" s="157">
        <f>'As-Filed Schedule 1'!H75</f>
        <v>41312.287612437707</v>
      </c>
      <c r="Q76" s="263">
        <f>SUMIFS(Adjustments!$G:$G,Adjustments!$H:$H,"1",Adjustments!$I:$I,$P$9,Adjustments!$J:$J,$A76)</f>
        <v>7776.4552868083192</v>
      </c>
      <c r="R76" s="274">
        <f t="shared" si="98"/>
        <v>49088.742899246026</v>
      </c>
      <c r="S76" s="157">
        <f>'As-Filed Schedule 1'!I75</f>
        <v>0</v>
      </c>
      <c r="T76" s="263">
        <f>SUMIFS(Adjustments!$G:$G,Adjustments!$H:$H,"1",Adjustments!$I:$I,$S$9,Adjustments!$J:$J,$A76)</f>
        <v>1707.6264100632163</v>
      </c>
      <c r="U76" s="274">
        <f t="shared" si="99"/>
        <v>1707.6264100632163</v>
      </c>
      <c r="V76" s="160">
        <f t="shared" si="100"/>
        <v>1973743.56</v>
      </c>
      <c r="W76" s="266">
        <f t="shared" si="101"/>
        <v>0</v>
      </c>
      <c r="X76" s="275">
        <f t="shared" si="102"/>
        <v>1973743.5599999998</v>
      </c>
      <c r="Y76" s="140"/>
    </row>
    <row r="77" spans="1:25" s="22" customFormat="1" x14ac:dyDescent="0.35">
      <c r="A77" s="155">
        <v>47</v>
      </c>
      <c r="B77" s="500" t="s">
        <v>318</v>
      </c>
      <c r="C77" s="501"/>
      <c r="D77" s="501"/>
      <c r="E77" s="501"/>
      <c r="F77" s="502"/>
      <c r="G77" s="157">
        <f>'As-Filed Schedule 1'!E76</f>
        <v>43639.327786502377</v>
      </c>
      <c r="H77" s="263">
        <f>SUMIFS(Adjustments!$G:$G,Adjustments!$H:$H,"1",Adjustments!$I:$I,$G$9,Adjustments!$J:$J,$A77)</f>
        <v>0</v>
      </c>
      <c r="I77" s="274">
        <f t="shared" si="95"/>
        <v>43639.327786502377</v>
      </c>
      <c r="J77" s="157">
        <f>'As-Filed Schedule 1'!F76</f>
        <v>244603.70469347746</v>
      </c>
      <c r="K77" s="263">
        <f>SUMIFS(Adjustments!$G:$G,Adjustments!$H:$H,"1",Adjustments!$I:$I,$J$9,Adjustments!$J:$J,$A77)</f>
        <v>-9391.6129460414923</v>
      </c>
      <c r="L77" s="274">
        <f t="shared" si="96"/>
        <v>235212.09174743597</v>
      </c>
      <c r="M77" s="157">
        <f>'As-Filed Schedule 1'!G76</f>
        <v>94446.463520172198</v>
      </c>
      <c r="N77" s="263">
        <f>SUMIFS(Adjustments!$G:$G,Adjustments!$H:$H,"1",Adjustments!$I:$I,$M$9,Adjustments!$J:$J,$A77)</f>
        <v>0</v>
      </c>
      <c r="O77" s="274">
        <f t="shared" si="97"/>
        <v>94446.463520172198</v>
      </c>
      <c r="P77" s="157">
        <f>'As-Filed Schedule 1'!H76</f>
        <v>1347.723999848022</v>
      </c>
      <c r="Q77" s="263">
        <f>SUMIFS(Adjustments!$G:$G,Adjustments!$H:$H,"1",Adjustments!$I:$I,$P$9,Adjustments!$J:$J,$A77)</f>
        <v>8215.3045781261208</v>
      </c>
      <c r="R77" s="274">
        <f t="shared" si="98"/>
        <v>9563.0285779741425</v>
      </c>
      <c r="S77" s="157">
        <f>'As-Filed Schedule 1'!I76</f>
        <v>0</v>
      </c>
      <c r="T77" s="263">
        <f>SUMIFS(Adjustments!$G:$G,Adjustments!$H:$H,"1",Adjustments!$I:$I,$S$9,Adjustments!$J:$J,$A77)</f>
        <v>1176.3083679153713</v>
      </c>
      <c r="U77" s="274">
        <f t="shared" si="99"/>
        <v>1176.3083679153713</v>
      </c>
      <c r="V77" s="160">
        <f t="shared" si="100"/>
        <v>384037.22000000009</v>
      </c>
      <c r="W77" s="266">
        <f t="shared" si="101"/>
        <v>0</v>
      </c>
      <c r="X77" s="275">
        <f t="shared" si="102"/>
        <v>384037.22000000009</v>
      </c>
      <c r="Y77" s="140"/>
    </row>
    <row r="78" spans="1:25" s="22" customFormat="1" x14ac:dyDescent="0.35">
      <c r="A78" s="155">
        <v>48</v>
      </c>
      <c r="B78" s="500" t="s">
        <v>285</v>
      </c>
      <c r="C78" s="501"/>
      <c r="D78" s="501"/>
      <c r="E78" s="501"/>
      <c r="F78" s="502"/>
      <c r="G78" s="157">
        <f>'As-Filed Schedule 1'!E77</f>
        <v>119217.88716926175</v>
      </c>
      <c r="H78" s="263">
        <f>SUMIFS(Adjustments!$G:$G,Adjustments!$H:$H,"1",Adjustments!$I:$I,$G$9,Adjustments!$J:$J,$A78)</f>
        <v>0</v>
      </c>
      <c r="I78" s="274">
        <f t="shared" si="95"/>
        <v>119217.88716926175</v>
      </c>
      <c r="J78" s="157">
        <f>'As-Filed Schedule 1'!F77</f>
        <v>243237.19851183289</v>
      </c>
      <c r="K78" s="263">
        <f>SUMIFS(Adjustments!$G:$G,Adjustments!$H:$H,"1",Adjustments!$I:$I,$J$9,Adjustments!$J:$J,$A78)</f>
        <v>-35650.39345207205</v>
      </c>
      <c r="L78" s="274">
        <f t="shared" si="96"/>
        <v>207586.80505976084</v>
      </c>
      <c r="M78" s="157">
        <f>'As-Filed Schedule 1'!G77</f>
        <v>216054.0429247125</v>
      </c>
      <c r="N78" s="263">
        <f>SUMIFS(Adjustments!$G:$G,Adjustments!$H:$H,"1",Adjustments!$I:$I,$M$9,Adjustments!$J:$J,$A78)</f>
        <v>0</v>
      </c>
      <c r="O78" s="274">
        <f t="shared" si="97"/>
        <v>216054.0429247125</v>
      </c>
      <c r="P78" s="157">
        <f>'As-Filed Schedule 1'!H77</f>
        <v>2313.0913941928152</v>
      </c>
      <c r="Q78" s="263">
        <f>SUMIFS(Adjustments!$G:$G,Adjustments!$H:$H,"1",Adjustments!$I:$I,$P$9,Adjustments!$J:$J,$A78)</f>
        <v>33197.637656490253</v>
      </c>
      <c r="R78" s="274">
        <f t="shared" si="98"/>
        <v>35510.729050683069</v>
      </c>
      <c r="S78" s="157">
        <f>'As-Filed Schedule 1'!I77</f>
        <v>4696301.9700000007</v>
      </c>
      <c r="T78" s="263">
        <f>SUMIFS(Adjustments!$G:$G,Adjustments!$H:$H,"1",Adjustments!$I:$I,$S$9,Adjustments!$J:$J,$A78)</f>
        <v>38774.755795581797</v>
      </c>
      <c r="U78" s="274">
        <f t="shared" si="99"/>
        <v>4735076.7257955829</v>
      </c>
      <c r="V78" s="160">
        <f t="shared" si="100"/>
        <v>5277124.1900000004</v>
      </c>
      <c r="W78" s="266">
        <f t="shared" si="101"/>
        <v>36322</v>
      </c>
      <c r="X78" s="275">
        <f t="shared" si="102"/>
        <v>5313446.1900000013</v>
      </c>
      <c r="Y78" s="140"/>
    </row>
    <row r="79" spans="1:25" s="22" customFormat="1" x14ac:dyDescent="0.35">
      <c r="A79" s="155">
        <v>49</v>
      </c>
      <c r="B79" s="506" t="s">
        <v>279</v>
      </c>
      <c r="C79" s="507"/>
      <c r="D79" s="507"/>
      <c r="E79" s="507"/>
      <c r="F79" s="508"/>
      <c r="G79" s="160">
        <f>SUM(G71:G78)</f>
        <v>1613158.6767674282</v>
      </c>
      <c r="H79" s="160">
        <f t="shared" ref="H79:I79" si="103">SUM(H71:H78)</f>
        <v>0</v>
      </c>
      <c r="I79" s="160">
        <f t="shared" si="103"/>
        <v>1613158.6767674282</v>
      </c>
      <c r="J79" s="160">
        <f t="shared" ref="J79:U79" si="104">SUM(J71:J78)</f>
        <v>1861329.6534402885</v>
      </c>
      <c r="K79" s="160">
        <f t="shared" si="104"/>
        <v>-79292.442356902873</v>
      </c>
      <c r="L79" s="160">
        <f t="shared" si="104"/>
        <v>1782037.2110833856</v>
      </c>
      <c r="M79" s="160">
        <f t="shared" si="104"/>
        <v>618207.27538366639</v>
      </c>
      <c r="N79" s="160">
        <f t="shared" si="104"/>
        <v>0</v>
      </c>
      <c r="O79" s="160">
        <f t="shared" si="104"/>
        <v>618207.27538366639</v>
      </c>
      <c r="P79" s="160">
        <f t="shared" si="104"/>
        <v>49747.064408616752</v>
      </c>
      <c r="Q79" s="160">
        <f>SUM(Q71:Q78)</f>
        <v>71548.633761645848</v>
      </c>
      <c r="R79" s="160">
        <f t="shared" si="104"/>
        <v>121295.69817026259</v>
      </c>
      <c r="S79" s="160">
        <f t="shared" si="104"/>
        <v>4909269.580000001</v>
      </c>
      <c r="T79" s="160">
        <f t="shared" si="104"/>
        <v>46146.358595257079</v>
      </c>
      <c r="U79" s="160">
        <f t="shared" si="104"/>
        <v>4955415.9385952577</v>
      </c>
      <c r="V79" s="160">
        <f t="shared" si="100"/>
        <v>9051712.25</v>
      </c>
      <c r="W79" s="266">
        <f t="shared" si="101"/>
        <v>38402.550000000054</v>
      </c>
      <c r="X79" s="275">
        <f t="shared" si="102"/>
        <v>9090114.8000000007</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509" t="s">
        <v>303</v>
      </c>
      <c r="B81" s="510"/>
      <c r="C81" s="510"/>
      <c r="D81" s="510"/>
      <c r="E81" s="510"/>
      <c r="F81" s="510"/>
      <c r="G81" s="510"/>
      <c r="H81" s="510"/>
      <c r="I81" s="510"/>
      <c r="J81" s="510"/>
      <c r="K81" s="510"/>
      <c r="L81" s="510"/>
      <c r="M81" s="510"/>
      <c r="N81" s="510"/>
      <c r="O81" s="510"/>
      <c r="P81" s="510"/>
      <c r="Q81" s="510"/>
      <c r="R81" s="510"/>
      <c r="S81" s="510"/>
      <c r="T81" s="510"/>
      <c r="U81" s="510"/>
      <c r="V81" s="510"/>
      <c r="W81" s="510"/>
      <c r="X81" s="511"/>
      <c r="Y81" s="140"/>
    </row>
    <row r="82" spans="1:25" s="22" customFormat="1" x14ac:dyDescent="0.35">
      <c r="A82" s="155">
        <v>50</v>
      </c>
      <c r="B82" s="500" t="s">
        <v>304</v>
      </c>
      <c r="C82" s="501"/>
      <c r="D82" s="501"/>
      <c r="E82" s="501"/>
      <c r="F82" s="502"/>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500" t="s">
        <v>309</v>
      </c>
      <c r="C83" s="501"/>
      <c r="D83" s="501"/>
      <c r="E83" s="501"/>
      <c r="F83" s="502"/>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500" t="s">
        <v>310</v>
      </c>
      <c r="C84" s="501"/>
      <c r="D84" s="501"/>
      <c r="E84" s="501"/>
      <c r="F84" s="502"/>
      <c r="G84" s="98"/>
      <c r="H84" s="268"/>
      <c r="I84" s="278"/>
      <c r="J84" s="98"/>
      <c r="K84" s="268"/>
      <c r="L84" s="278"/>
      <c r="M84" s="98"/>
      <c r="N84" s="268"/>
      <c r="O84" s="278"/>
      <c r="P84" s="98"/>
      <c r="Q84" s="268"/>
      <c r="R84" s="278"/>
      <c r="S84" s="157">
        <f>'As-Filed Schedule 1'!I83</f>
        <v>244018.90999999997</v>
      </c>
      <c r="T84" s="263">
        <f>SUMIFS(Adjustments!$G:$G,Adjustments!$H:$H,"1",Adjustments!$I:$I,$S$9,Adjustments!$J:$J,$A84)</f>
        <v>-6647</v>
      </c>
      <c r="U84" s="274">
        <f>SUM(S84:T84)</f>
        <v>237371.90999999997</v>
      </c>
      <c r="V84" s="160">
        <f t="shared" si="105"/>
        <v>244018.90999999997</v>
      </c>
      <c r="W84" s="266">
        <f t="shared" si="105"/>
        <v>-6647</v>
      </c>
      <c r="X84" s="275">
        <f t="shared" si="105"/>
        <v>237371.90999999997</v>
      </c>
      <c r="Y84" s="140"/>
    </row>
    <row r="85" spans="1:25" s="22" customFormat="1" x14ac:dyDescent="0.35">
      <c r="A85" s="155">
        <v>53</v>
      </c>
      <c r="B85" s="500" t="s">
        <v>305</v>
      </c>
      <c r="C85" s="501"/>
      <c r="D85" s="501"/>
      <c r="E85" s="501"/>
      <c r="F85" s="502"/>
      <c r="G85" s="98"/>
      <c r="H85" s="268"/>
      <c r="I85" s="278"/>
      <c r="J85" s="98"/>
      <c r="K85" s="268"/>
      <c r="L85" s="278"/>
      <c r="M85" s="98"/>
      <c r="N85" s="268"/>
      <c r="O85" s="278"/>
      <c r="P85" s="98"/>
      <c r="Q85" s="268"/>
      <c r="R85" s="278"/>
      <c r="S85" s="157">
        <f>'As-Filed Schedule 1'!I84</f>
        <v>-14822.39</v>
      </c>
      <c r="T85" s="263">
        <f>SUMIFS(Adjustments!$G:$G,Adjustments!$H:$H,"1",Adjustments!$I:$I,$S$9,Adjustments!$J:$J,$A85)</f>
        <v>0</v>
      </c>
      <c r="U85" s="274">
        <f t="shared" si="106"/>
        <v>-14822.39</v>
      </c>
      <c r="V85" s="160">
        <f t="shared" si="105"/>
        <v>-14822.39</v>
      </c>
      <c r="W85" s="266">
        <f t="shared" si="105"/>
        <v>0</v>
      </c>
      <c r="X85" s="275">
        <f t="shared" si="105"/>
        <v>-14822.39</v>
      </c>
      <c r="Y85" s="140"/>
    </row>
    <row r="86" spans="1:25" s="22" customFormat="1" x14ac:dyDescent="0.35">
      <c r="A86" s="155">
        <v>54</v>
      </c>
      <c r="B86" s="506" t="s">
        <v>306</v>
      </c>
      <c r="C86" s="507"/>
      <c r="D86" s="507"/>
      <c r="E86" s="507"/>
      <c r="F86" s="508"/>
      <c r="G86" s="160">
        <v>0</v>
      </c>
      <c r="H86" s="160">
        <v>0</v>
      </c>
      <c r="I86" s="160">
        <v>0</v>
      </c>
      <c r="J86" s="160">
        <v>0</v>
      </c>
      <c r="K86" s="160">
        <v>0</v>
      </c>
      <c r="L86" s="160">
        <v>0</v>
      </c>
      <c r="M86" s="160">
        <v>0</v>
      </c>
      <c r="N86" s="160">
        <v>0</v>
      </c>
      <c r="O86" s="160">
        <v>0</v>
      </c>
      <c r="P86" s="160">
        <v>0</v>
      </c>
      <c r="Q86" s="160">
        <v>0</v>
      </c>
      <c r="R86" s="160">
        <v>0</v>
      </c>
      <c r="S86" s="160">
        <f>SUM(S82:S85)</f>
        <v>229196.51999999996</v>
      </c>
      <c r="T86" s="160">
        <f t="shared" ref="T86:U86" si="107">SUM(T82:T85)</f>
        <v>-6647</v>
      </c>
      <c r="U86" s="160">
        <f t="shared" si="107"/>
        <v>222549.51999999996</v>
      </c>
      <c r="V86" s="160">
        <f>SUM(G86,J86,M86,P86,S86)</f>
        <v>229196.51999999996</v>
      </c>
      <c r="W86" s="266">
        <f>SUM(H86,K86,N86,Q86,T86)</f>
        <v>-6647</v>
      </c>
      <c r="X86" s="275">
        <f>SUM(I86,L86,O86,R86,U86)</f>
        <v>222549.51999999996</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509" t="s">
        <v>273</v>
      </c>
      <c r="B88" s="510"/>
      <c r="C88" s="510"/>
      <c r="D88" s="510"/>
      <c r="E88" s="510"/>
      <c r="F88" s="510"/>
      <c r="G88" s="510"/>
      <c r="H88" s="510"/>
      <c r="I88" s="510"/>
      <c r="J88" s="510"/>
      <c r="K88" s="510"/>
      <c r="L88" s="510"/>
      <c r="M88" s="510"/>
      <c r="N88" s="510"/>
      <c r="O88" s="510"/>
      <c r="P88" s="510"/>
      <c r="Q88" s="510"/>
      <c r="R88" s="510"/>
      <c r="S88" s="510"/>
      <c r="T88" s="510"/>
      <c r="U88" s="510"/>
      <c r="V88" s="510"/>
      <c r="W88" s="510"/>
      <c r="X88" s="511"/>
      <c r="Y88" s="140"/>
    </row>
    <row r="89" spans="1:25" s="22" customFormat="1" x14ac:dyDescent="0.35">
      <c r="A89" s="155">
        <v>55</v>
      </c>
      <c r="B89" s="500" t="s">
        <v>274</v>
      </c>
      <c r="C89" s="501"/>
      <c r="D89" s="501"/>
      <c r="E89" s="501"/>
      <c r="F89" s="502"/>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506" t="s">
        <v>270</v>
      </c>
      <c r="C90" s="507"/>
      <c r="D90" s="507"/>
      <c r="E90" s="507"/>
      <c r="F90" s="508"/>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506" t="s">
        <v>241</v>
      </c>
      <c r="C92" s="507"/>
      <c r="D92" s="507"/>
      <c r="E92" s="507"/>
      <c r="F92" s="508"/>
      <c r="G92" s="160">
        <f t="shared" ref="G92:U92" si="112">G79+G68+G58+G51+G41+G90+G86</f>
        <v>13129714.34017111</v>
      </c>
      <c r="H92" s="160">
        <f t="shared" si="112"/>
        <v>-14726.591708440899</v>
      </c>
      <c r="I92" s="160">
        <f>I79+I68+I58+I51+I41+I90+I86</f>
        <v>13114987.74846267</v>
      </c>
      <c r="J92" s="160">
        <f>J79+J68+J58+J51+J41+J90+J86</f>
        <v>45659933.674683996</v>
      </c>
      <c r="K92" s="160">
        <f t="shared" si="112"/>
        <v>-2103808.3018791694</v>
      </c>
      <c r="L92" s="160">
        <f t="shared" si="112"/>
        <v>43556125.372804828</v>
      </c>
      <c r="M92" s="160">
        <f t="shared" si="112"/>
        <v>23681075.077650409</v>
      </c>
      <c r="N92" s="160">
        <f t="shared" si="112"/>
        <v>-50636.250370749505</v>
      </c>
      <c r="O92" s="160">
        <f t="shared" si="112"/>
        <v>23630438.827279661</v>
      </c>
      <c r="P92" s="160">
        <f t="shared" si="112"/>
        <v>480765.99857450067</v>
      </c>
      <c r="Q92" s="160">
        <f t="shared" si="112"/>
        <v>2015851.9171399572</v>
      </c>
      <c r="R92" s="160">
        <f t="shared" si="112"/>
        <v>2496617.9157144576</v>
      </c>
      <c r="S92" s="160">
        <f t="shared" si="112"/>
        <v>5668924.4935999997</v>
      </c>
      <c r="T92" s="160">
        <f t="shared" si="112"/>
        <v>151671.45681840245</v>
      </c>
      <c r="U92" s="160">
        <f t="shared" si="112"/>
        <v>5820595.9504184024</v>
      </c>
      <c r="V92" s="160">
        <f>SUM(G92,J92,M92,P92,S92)</f>
        <v>88620413.584680006</v>
      </c>
      <c r="W92" s="266">
        <f>SUM(H92,K92,N92,Q92,T92)</f>
        <v>-1647.7700000003097</v>
      </c>
      <c r="X92" s="275">
        <f>SUM(I92,L92,O92,R92,U92)</f>
        <v>88618765.81468001</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500" t="s">
        <v>2</v>
      </c>
      <c r="C94" s="501"/>
      <c r="D94" s="501"/>
      <c r="E94" s="501"/>
      <c r="F94" s="502"/>
      <c r="G94" s="158">
        <f>G92*-1</f>
        <v>-13129714.34017111</v>
      </c>
      <c r="H94" s="158">
        <f>H92*-1</f>
        <v>14726.591708440899</v>
      </c>
      <c r="I94" s="149">
        <f>I92*-1</f>
        <v>-13114987.74846267</v>
      </c>
      <c r="J94" s="157">
        <f>'As-Filed Schedule 1'!F93</f>
        <v>7941400.9628743492</v>
      </c>
      <c r="K94" s="263">
        <f>SUMIFS(Adjustments!$G:$G,Adjustments!$H:$H,"1",Adjustments!$I:$I,$J$9,Adjustments!$J:$J,$A94)</f>
        <v>-376024</v>
      </c>
      <c r="L94" s="274">
        <f>SUM(J94:K94)</f>
        <v>7565376.9628743492</v>
      </c>
      <c r="M94" s="157">
        <f>'As-Filed Schedule 1'!G93</f>
        <v>4118729.4261844815</v>
      </c>
      <c r="N94" s="263">
        <f>SUMIFS(Adjustments!$G:$G,Adjustments!$H:$H,"1",Adjustments!$I:$I,$M$9,Adjustments!$J:$J,$A94)</f>
        <v>-14296</v>
      </c>
      <c r="O94" s="274">
        <f>SUM(M94:N94)</f>
        <v>4104433.4261844815</v>
      </c>
      <c r="P94" s="157">
        <f>'As-Filed Schedule 1'!H93</f>
        <v>83617.194698503052</v>
      </c>
      <c r="Q94" s="263">
        <f>SUMIFS(Adjustments!$G:$G,Adjustments!$H:$H,"1",Adjustments!$I:$I,$P$9,Adjustments!$J:$J,$A94)</f>
        <v>350027</v>
      </c>
      <c r="R94" s="274">
        <f>SUM(P94:Q94)</f>
        <v>433644.19469850307</v>
      </c>
      <c r="S94" s="157">
        <f>'As-Filed Schedule 1'!I93</f>
        <v>985967.23641377757</v>
      </c>
      <c r="T94" s="263">
        <f>SUMIFS(Adjustments!$G:$G,Adjustments!$H:$H,"1",Adjustments!$I:$I,$S$9,Adjustments!$J:$J,$A94)</f>
        <v>25568</v>
      </c>
      <c r="U94" s="274">
        <f t="shared" ref="U94" si="113">SUM(S94:T94)</f>
        <v>1011535.2364137776</v>
      </c>
      <c r="V94" s="160">
        <f>SUM(,G94,J94,M94,P94,S94)</f>
        <v>0.48000000137835741</v>
      </c>
      <c r="W94" s="266">
        <f>SUM(H94,K94,N94,Q94,T94)</f>
        <v>1.5917084409156814</v>
      </c>
      <c r="X94" s="275">
        <f>SUM(I94,L94,O94,R94,U94)</f>
        <v>2.0717084417119622</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506" t="s">
        <v>242</v>
      </c>
      <c r="C96" s="507"/>
      <c r="D96" s="507"/>
      <c r="E96" s="507"/>
      <c r="F96" s="508"/>
      <c r="G96" s="160">
        <f>G94+G92</f>
        <v>0</v>
      </c>
      <c r="H96" s="160">
        <f t="shared" ref="H96:I96" si="114">H94+H92</f>
        <v>0</v>
      </c>
      <c r="I96" s="160">
        <f t="shared" si="114"/>
        <v>0</v>
      </c>
      <c r="J96" s="160">
        <f>J94+J92</f>
        <v>53601334.637558341</v>
      </c>
      <c r="K96" s="160">
        <f t="shared" ref="K96" si="115">K94+K92</f>
        <v>-2479832.3018791694</v>
      </c>
      <c r="L96" s="160">
        <f>L94+L92</f>
        <v>51121502.335679173</v>
      </c>
      <c r="M96" s="160">
        <f t="shared" ref="M96:R96" si="116">M94+M92</f>
        <v>27799804.503834892</v>
      </c>
      <c r="N96" s="160">
        <f t="shared" si="116"/>
        <v>-64932.250370749505</v>
      </c>
      <c r="O96" s="160">
        <f t="shared" si="116"/>
        <v>27734872.253464144</v>
      </c>
      <c r="P96" s="160">
        <f t="shared" si="116"/>
        <v>564383.19327300368</v>
      </c>
      <c r="Q96" s="160">
        <f t="shared" si="116"/>
        <v>2365878.9171399572</v>
      </c>
      <c r="R96" s="160">
        <f t="shared" si="116"/>
        <v>2930262.1104129609</v>
      </c>
      <c r="S96" s="160">
        <f>S94+S92</f>
        <v>6654891.7300137775</v>
      </c>
      <c r="T96" s="160">
        <f t="shared" ref="T96:U96" si="117">T94+T92</f>
        <v>177239.45681840245</v>
      </c>
      <c r="U96" s="160">
        <f t="shared" si="117"/>
        <v>6832131.1868321802</v>
      </c>
      <c r="V96" s="160">
        <f>SUM(G96,J96,M96,P96,S96)</f>
        <v>88620414.06468001</v>
      </c>
      <c r="W96" s="266">
        <f>SUM(H96,K96,N96,Q96,T96)</f>
        <v>-1646.1782915590447</v>
      </c>
      <c r="X96" s="275">
        <f>SUM(I96,L96,O96,R96,U96)</f>
        <v>88618767.886388451</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99" t="s">
        <v>4</v>
      </c>
      <c r="C98" s="499"/>
      <c r="D98" s="170"/>
      <c r="E98" s="265"/>
      <c r="F98" s="140"/>
      <c r="G98" s="170"/>
      <c r="H98" s="265"/>
      <c r="I98" s="140"/>
      <c r="J98" s="150">
        <f>'As-Filed Schedule 1'!F97</f>
        <v>11345</v>
      </c>
      <c r="K98" s="263">
        <f>SUMIFS(Adjustments!$G:$G,Adjustments!$H:$H,"1",Adjustments!$I:$I,$J$9,Adjustments!$J:$J,$A98)</f>
        <v>0</v>
      </c>
      <c r="L98" s="274">
        <f>SUM(J98:K98)</f>
        <v>11345</v>
      </c>
      <c r="M98" s="170"/>
      <c r="N98" s="265"/>
      <c r="O98" s="140"/>
      <c r="P98" s="170"/>
      <c r="Q98" s="265"/>
      <c r="R98" s="140"/>
      <c r="S98" s="170"/>
      <c r="T98" s="265"/>
      <c r="U98" s="140"/>
      <c r="V98" s="170"/>
      <c r="W98" s="265"/>
      <c r="X98" s="140"/>
      <c r="Y98" s="140"/>
    </row>
    <row r="99" spans="1:25" s="22" customFormat="1" x14ac:dyDescent="0.35">
      <c r="A99" s="155">
        <v>61</v>
      </c>
      <c r="B99" s="499" t="s">
        <v>5</v>
      </c>
      <c r="C99" s="499"/>
      <c r="D99" s="170"/>
      <c r="E99" s="265"/>
      <c r="F99" s="140"/>
      <c r="G99" s="170"/>
      <c r="H99" s="265"/>
      <c r="I99" s="140"/>
      <c r="J99" s="158">
        <f>IFERROR(J96/J98,"")</f>
        <v>4724.6659001814314</v>
      </c>
      <c r="K99" s="158" t="str">
        <f t="shared" ref="K99" si="118">IFERROR(K96/K98,"")</f>
        <v/>
      </c>
      <c r="L99" s="158">
        <f>IFERROR(L96/L98,"")</f>
        <v>4506.0821803154849</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99" t="s">
        <v>307</v>
      </c>
      <c r="C101" s="499"/>
      <c r="D101" s="170"/>
      <c r="E101" s="265"/>
      <c r="F101" s="140"/>
      <c r="G101" s="170"/>
      <c r="H101" s="265"/>
      <c r="I101" s="140"/>
      <c r="J101" s="170"/>
      <c r="K101" s="265"/>
      <c r="L101" s="140"/>
      <c r="M101" s="170"/>
      <c r="N101" s="265"/>
      <c r="O101" s="140"/>
      <c r="P101" s="170"/>
      <c r="Q101" s="265"/>
      <c r="R101" s="140"/>
      <c r="S101" s="170"/>
      <c r="T101" s="265"/>
      <c r="U101" s="140"/>
      <c r="V101" s="157">
        <f>'As-Filed Schedule 1'!J100</f>
        <v>0</v>
      </c>
      <c r="W101"/>
      <c r="X101" s="274">
        <f>SUM(V101:W101)</f>
        <v>0</v>
      </c>
      <c r="Y101" s="140"/>
    </row>
    <row r="102" spans="1:25" s="22" customFormat="1" x14ac:dyDescent="0.35">
      <c r="A102" s="155">
        <v>63</v>
      </c>
      <c r="B102" s="499" t="s">
        <v>10</v>
      </c>
      <c r="C102" s="499"/>
      <c r="D102" s="170"/>
      <c r="E102" s="265"/>
      <c r="F102" s="140"/>
      <c r="G102" s="170"/>
      <c r="H102" s="265"/>
      <c r="I102" s="140"/>
      <c r="J102" s="170"/>
      <c r="K102" s="265"/>
      <c r="L102" s="140"/>
      <c r="M102" s="170"/>
      <c r="N102" s="265"/>
      <c r="O102" s="140"/>
      <c r="P102" s="170"/>
      <c r="Q102" s="265"/>
      <c r="R102" s="140"/>
      <c r="S102" s="170"/>
      <c r="T102" s="265"/>
      <c r="U102" s="140"/>
      <c r="V102" s="158">
        <f>ROUND(V96-V101,0)</f>
        <v>88620414</v>
      </c>
      <c r="W102"/>
      <c r="X102" s="279">
        <f>ROUND(X96-X101,0)</f>
        <v>88618768</v>
      </c>
      <c r="Y102" s="140"/>
    </row>
    <row r="103" spans="1:25" x14ac:dyDescent="0.35">
      <c r="A103" s="100"/>
      <c r="B103" s="100"/>
      <c r="C103" s="100"/>
      <c r="D103" s="100"/>
      <c r="G103" s="100"/>
      <c r="J103" s="100"/>
      <c r="M103" s="100"/>
      <c r="P103" s="100"/>
      <c r="S103" s="100"/>
      <c r="V103" s="100"/>
    </row>
    <row r="104" spans="1:25" x14ac:dyDescent="0.35">
      <c r="A104" s="155">
        <v>64</v>
      </c>
      <c r="B104" s="499" t="s">
        <v>202</v>
      </c>
      <c r="C104" s="499"/>
      <c r="D104" s="100"/>
      <c r="G104" s="172">
        <f>IFERROR(G92/SUM(J92,M92,P92,S92),"")</f>
        <v>0.17392492679985541</v>
      </c>
      <c r="H104" s="172">
        <f>IFERROR(H92/SUM(K92,N92,Q92,T92),"")</f>
        <v>-1.1259876490965917</v>
      </c>
      <c r="I104" s="172">
        <f>IFERROR(I92/SUM(L92,O92,R92,U92),"")</f>
        <v>0.17369975495743714</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773</v>
      </c>
    </row>
    <row r="2" spans="1:14" ht="21" x14ac:dyDescent="0.5">
      <c r="A2" s="2" t="s">
        <v>771</v>
      </c>
    </row>
    <row r="3" spans="1:14" ht="25" customHeight="1" x14ac:dyDescent="0.5">
      <c r="A3" s="515" t="s">
        <v>596</v>
      </c>
      <c r="B3" s="515"/>
      <c r="C3" s="515"/>
      <c r="D3" s="515"/>
      <c r="E3" s="515"/>
      <c r="F3" s="515"/>
      <c r="G3" s="515"/>
      <c r="H3" s="515"/>
      <c r="I3" s="515"/>
      <c r="J3" s="515"/>
      <c r="K3" s="515"/>
      <c r="L3" s="515"/>
    </row>
    <row r="4" spans="1:14" x14ac:dyDescent="0.35">
      <c r="J4" s="61"/>
      <c r="L4" s="130"/>
      <c r="M4" s="130"/>
      <c r="N4" s="130"/>
    </row>
    <row r="5" spans="1:14" x14ac:dyDescent="0.35">
      <c r="A5" s="1" t="s">
        <v>772</v>
      </c>
      <c r="C5" s="421" t="str">
        <f>Results!$C$6</f>
        <v>SummitStone Health Partners</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593</v>
      </c>
      <c r="E7" s="309" t="s">
        <v>592</v>
      </c>
      <c r="J7" s="48"/>
      <c r="L7" s="40"/>
      <c r="M7" s="40"/>
      <c r="N7" s="40"/>
    </row>
    <row r="8" spans="1:14" x14ac:dyDescent="0.35">
      <c r="A8" s="1" t="s">
        <v>264</v>
      </c>
      <c r="D8" s="117">
        <f>'As-Filed Schedule 1A'!D8</f>
        <v>332850</v>
      </c>
      <c r="E8" s="310">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516" t="s">
        <v>488</v>
      </c>
      <c r="B13" s="516"/>
      <c r="C13" s="516"/>
      <c r="D13" s="516"/>
      <c r="E13" s="516"/>
      <c r="F13" s="516"/>
      <c r="G13" s="516"/>
      <c r="H13" s="516"/>
      <c r="I13" s="516"/>
      <c r="J13" s="516"/>
      <c r="K13" s="516"/>
      <c r="L13" s="62"/>
    </row>
    <row r="14" spans="1:14" ht="15" customHeight="1" x14ac:dyDescent="0.35">
      <c r="A14" s="516"/>
      <c r="B14" s="516"/>
      <c r="C14" s="516"/>
      <c r="D14" s="516"/>
      <c r="E14" s="516"/>
      <c r="F14" s="516"/>
      <c r="G14" s="516"/>
      <c r="H14" s="516"/>
      <c r="I14" s="516"/>
      <c r="J14" s="516"/>
      <c r="K14" s="516"/>
      <c r="L14" s="62"/>
    </row>
    <row r="15" spans="1:14" ht="15" customHeight="1" x14ac:dyDescent="0.35">
      <c r="A15" s="516"/>
      <c r="B15" s="516"/>
      <c r="C15" s="516"/>
      <c r="D15" s="516"/>
      <c r="E15" s="516"/>
      <c r="F15" s="516"/>
      <c r="G15" s="516"/>
      <c r="H15" s="516"/>
      <c r="I15" s="516"/>
      <c r="J15" s="516"/>
      <c r="K15" s="516"/>
      <c r="L15" s="62"/>
    </row>
    <row r="16" spans="1:14" x14ac:dyDescent="0.35">
      <c r="A16" s="516"/>
      <c r="B16" s="516"/>
      <c r="C16" s="516"/>
      <c r="D16" s="516"/>
      <c r="E16" s="516"/>
      <c r="F16" s="516"/>
      <c r="G16" s="516"/>
      <c r="H16" s="516"/>
      <c r="I16" s="516"/>
      <c r="J16" s="516"/>
      <c r="K16" s="516"/>
    </row>
    <row r="17" spans="1:27" x14ac:dyDescent="0.35">
      <c r="A17" s="174"/>
      <c r="B17" s="174"/>
      <c r="C17" s="174"/>
      <c r="D17" s="174"/>
      <c r="E17" s="174"/>
      <c r="F17" s="174"/>
      <c r="G17" s="174"/>
      <c r="H17" s="174"/>
      <c r="I17" s="174"/>
      <c r="J17" s="174"/>
      <c r="K17" s="127"/>
    </row>
    <row r="18" spans="1:27" x14ac:dyDescent="0.35">
      <c r="A18" s="174"/>
      <c r="B18" s="517">
        <v>1</v>
      </c>
      <c r="C18" s="518"/>
      <c r="D18" s="175">
        <v>2</v>
      </c>
      <c r="E18" s="175">
        <v>3</v>
      </c>
      <c r="F18" s="175">
        <v>4</v>
      </c>
      <c r="G18" s="175">
        <v>5</v>
      </c>
      <c r="H18" s="256" t="s">
        <v>566</v>
      </c>
      <c r="I18" s="257" t="s">
        <v>567</v>
      </c>
      <c r="J18" s="175">
        <v>6</v>
      </c>
      <c r="K18" s="257" t="s">
        <v>571</v>
      </c>
    </row>
    <row r="19" spans="1:27" s="4" customFormat="1" ht="58" x14ac:dyDescent="0.35">
      <c r="A19" s="176"/>
      <c r="B19" s="519" t="s">
        <v>598</v>
      </c>
      <c r="C19" s="519"/>
      <c r="D19" s="151" t="s">
        <v>599</v>
      </c>
      <c r="E19" s="151" t="s">
        <v>602</v>
      </c>
      <c r="F19" s="151" t="s">
        <v>603</v>
      </c>
      <c r="G19" s="151" t="s">
        <v>489</v>
      </c>
      <c r="H19" s="258" t="s">
        <v>600</v>
      </c>
      <c r="I19" s="259" t="s">
        <v>601</v>
      </c>
      <c r="J19" s="151" t="s">
        <v>490</v>
      </c>
      <c r="K19" s="259" t="s">
        <v>594</v>
      </c>
    </row>
    <row r="20" spans="1:27" x14ac:dyDescent="0.35">
      <c r="A20" s="177">
        <v>1</v>
      </c>
      <c r="B20" s="514" t="str">
        <f>IF('As-Filed Schedule 1A'!B20:C20=0,"",'As-Filed Schedule 1A'!B20:C20)</f>
        <v>Chief Executive Officer</v>
      </c>
      <c r="C20" s="514"/>
      <c r="D20" s="178">
        <f>IF('As-Filed Schedule 1A'!D20=0,"",'As-Filed Schedule 1A'!D20)</f>
        <v>2</v>
      </c>
      <c r="E20" s="179">
        <f>IF('As-Filed Schedule 1A'!E20=0,"",'As-Filed Schedule 1A'!E20)</f>
        <v>12</v>
      </c>
      <c r="F20" s="179">
        <f>IF('As-Filed Schedule 1A'!F20=0,"",'As-Filed Schedule 1A'!F20)</f>
        <v>1</v>
      </c>
      <c r="G20" s="180">
        <f>'As-Filed Schedule 1A'!G20</f>
        <v>333412.47999999998</v>
      </c>
      <c r="H20" s="314">
        <f>SUMIFS(Adjustments!$G:$G,Adjustments!$H:$H,"1A",Adjustments!$I:$I,'Schedule 1A Adjustments'!$G$18,Adjustments!$J:$J,'Schedule 1A Adjustments'!A20)</f>
        <v>0</v>
      </c>
      <c r="I20" s="310">
        <f>SUM(G20:H20)</f>
        <v>333412.47999999998</v>
      </c>
      <c r="J20" s="181">
        <f>IF(G20-$D$8&gt;0,G20-$D$8,0)</f>
        <v>562.47999999998137</v>
      </c>
      <c r="K20" s="181">
        <f>IF(I20-$E$8&gt;0,I20-$E$8,0)</f>
        <v>562.47999999998137</v>
      </c>
    </row>
    <row r="21" spans="1:27" x14ac:dyDescent="0.35">
      <c r="A21" s="177">
        <f>A20+1</f>
        <v>2</v>
      </c>
      <c r="B21" s="514" t="str">
        <f>IF('As-Filed Schedule 1A'!B21:C21=0,"",'As-Filed Schedule 1A'!B21:C21)</f>
        <v>Chief Financial Officer</v>
      </c>
      <c r="C21" s="514"/>
      <c r="D21" s="178">
        <f>IF('As-Filed Schedule 1A'!D21=0,"",'As-Filed Schedule 1A'!D21)</f>
        <v>2</v>
      </c>
      <c r="E21" s="179">
        <f>IF('As-Filed Schedule 1A'!E21=0,"",'As-Filed Schedule 1A'!E21)</f>
        <v>11</v>
      </c>
      <c r="F21" s="179">
        <f>IF('As-Filed Schedule 1A'!F21=0,"",'As-Filed Schedule 1A'!F21)</f>
        <v>1</v>
      </c>
      <c r="G21" s="180">
        <f>'As-Filed Schedule 1A'!G21</f>
        <v>209558.48</v>
      </c>
      <c r="H21" s="314">
        <f>SUMIFS(Adjustments!$G:$G,Adjustments!$H:$H,"1A",Adjustments!$I:$I,'Schedule 1A Adjustments'!$G$18,Adjustments!$J:$J,'Schedule 1A Adjustments'!A21)</f>
        <v>0</v>
      </c>
      <c r="I21" s="310">
        <f t="shared" ref="I21:I24" si="0">SUM(G21:H21)</f>
        <v>209558.48</v>
      </c>
      <c r="J21" s="181">
        <f>IF(G21-$D$8&gt;0,G21-$D$8,0)</f>
        <v>0</v>
      </c>
      <c r="K21" s="181">
        <f>IF(I21-$E$8&gt;0,I21-$E$8,0)</f>
        <v>0</v>
      </c>
    </row>
    <row r="22" spans="1:27" x14ac:dyDescent="0.35">
      <c r="A22" s="177">
        <f t="shared" ref="A22:A30" si="1">A21+1</f>
        <v>3</v>
      </c>
      <c r="B22" s="514" t="str">
        <f>IF('As-Filed Schedule 1A'!B22:C22=0,"",'As-Filed Schedule 1A'!B22:C22)</f>
        <v>Chief Culture Officer</v>
      </c>
      <c r="C22" s="514"/>
      <c r="D22" s="178">
        <f>IF('As-Filed Schedule 1A'!D22=0,"",'As-Filed Schedule 1A'!D22)</f>
        <v>2</v>
      </c>
      <c r="E22" s="179">
        <f>IF('As-Filed Schedule 1A'!E22=0,"",'As-Filed Schedule 1A'!E22)</f>
        <v>12</v>
      </c>
      <c r="F22" s="179">
        <f>IF('As-Filed Schedule 1A'!F22=0,"",'As-Filed Schedule 1A'!F22)</f>
        <v>1</v>
      </c>
      <c r="G22" s="180">
        <f>'As-Filed Schedule 1A'!G22</f>
        <v>204564.38</v>
      </c>
      <c r="H22" s="314">
        <f>SUMIFS(Adjustments!$G:$G,Adjustments!$H:$H,"1A",Adjustments!$I:$I,'Schedule 1A Adjustments'!$G$18,Adjustments!$J:$J,'Schedule 1A Adjustments'!A22)</f>
        <v>0</v>
      </c>
      <c r="I22" s="310">
        <f t="shared" si="0"/>
        <v>204564.38</v>
      </c>
      <c r="J22" s="181">
        <f>IF(G22-$D$8&gt;0,G22-$D$8,0)</f>
        <v>0</v>
      </c>
      <c r="K22" s="181">
        <f>IF(I22-$E$8&gt;0,I22-$E$8,0)</f>
        <v>0</v>
      </c>
    </row>
    <row r="23" spans="1:27" x14ac:dyDescent="0.35">
      <c r="A23" s="177">
        <f t="shared" si="1"/>
        <v>4</v>
      </c>
      <c r="B23" s="514" t="str">
        <f>IF('As-Filed Schedule 1A'!B23:C23=0,"",'As-Filed Schedule 1A'!B23:C23)</f>
        <v>Chief Clinical Officer</v>
      </c>
      <c r="C23" s="514"/>
      <c r="D23" s="178">
        <f>IF('As-Filed Schedule 1A'!D23=0,"",'As-Filed Schedule 1A'!D23)</f>
        <v>2</v>
      </c>
      <c r="E23" s="179">
        <f>IF('As-Filed Schedule 1A'!E23=0,"",'As-Filed Schedule 1A'!E23)</f>
        <v>12</v>
      </c>
      <c r="F23" s="179">
        <f>IF('As-Filed Schedule 1A'!F23=0,"",'As-Filed Schedule 1A'!F23)</f>
        <v>1</v>
      </c>
      <c r="G23" s="180">
        <f>'As-Filed Schedule 1A'!G23</f>
        <v>202803.82</v>
      </c>
      <c r="H23" s="314">
        <f>SUMIFS(Adjustments!$G:$G,Adjustments!$H:$H,"1A",Adjustments!$I:$I,'Schedule 1A Adjustments'!$G$18,Adjustments!$J:$J,'Schedule 1A Adjustments'!A23)</f>
        <v>0</v>
      </c>
      <c r="I23" s="310">
        <f t="shared" si="0"/>
        <v>202803.82</v>
      </c>
      <c r="J23" s="181">
        <f>IF(G23-$D$8&gt;0,G23-$D$8,0)</f>
        <v>0</v>
      </c>
      <c r="K23" s="181">
        <f>IF(I23-$E$8&gt;0,I23-$E$8,0)</f>
        <v>0</v>
      </c>
    </row>
    <row r="24" spans="1:27" x14ac:dyDescent="0.35">
      <c r="A24" s="177">
        <f t="shared" si="1"/>
        <v>5</v>
      </c>
      <c r="B24" s="514" t="str">
        <f>IF('As-Filed Schedule 1A'!B24:C24=0,"",'As-Filed Schedule 1A'!B24:C24)</f>
        <v>Chief Operations Officer</v>
      </c>
      <c r="C24" s="514"/>
      <c r="D24" s="178">
        <f>IF('As-Filed Schedule 1A'!D24=0,"",'As-Filed Schedule 1A'!D24)</f>
        <v>2</v>
      </c>
      <c r="E24" s="179">
        <f>IF('As-Filed Schedule 1A'!E24=0,"",'As-Filed Schedule 1A'!E24)</f>
        <v>12</v>
      </c>
      <c r="F24" s="179">
        <f>IF('As-Filed Schedule 1A'!F24=0,"",'As-Filed Schedule 1A'!F24)</f>
        <v>1</v>
      </c>
      <c r="G24" s="180">
        <f>'As-Filed Schedule 1A'!G24</f>
        <v>175520.85</v>
      </c>
      <c r="H24" s="314">
        <f>SUMIFS(Adjustments!$G:$G,Adjustments!$H:$H,"1A",Adjustments!$I:$I,'Schedule 1A Adjustments'!$G$18,Adjustments!$J:$J,'Schedule 1A Adjustments'!A24)</f>
        <v>0</v>
      </c>
      <c r="I24" s="310">
        <f t="shared" si="0"/>
        <v>175520.85</v>
      </c>
      <c r="J24" s="181">
        <f>IF(G24-$D$8&gt;0,G24-$D$8,0)</f>
        <v>0</v>
      </c>
      <c r="K24" s="181">
        <f>IF(I24-$E$8&gt;0,I24-$E$8,0)</f>
        <v>0</v>
      </c>
    </row>
    <row r="25" spans="1:27" x14ac:dyDescent="0.35">
      <c r="A25" s="182">
        <f t="shared" si="1"/>
        <v>6</v>
      </c>
      <c r="B25" s="313" t="s">
        <v>597</v>
      </c>
      <c r="C25" s="100"/>
      <c r="D25" s="100"/>
      <c r="E25" s="100"/>
      <c r="F25" s="100"/>
      <c r="G25" s="100"/>
      <c r="H25" s="100"/>
      <c r="I25" s="100"/>
      <c r="J25" s="183">
        <f>SUM(J20:J24)</f>
        <v>562.47999999998137</v>
      </c>
      <c r="K25" s="183">
        <f>SUM(K20:K24)</f>
        <v>562.47999999998137</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562.47999999998137</v>
      </c>
      <c r="K27" s="185">
        <f>SUMIF($D$20:$D$24,2,$K$20:$K$24)</f>
        <v>562.47999999998137</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773</v>
      </c>
      <c r="B1" s="3"/>
      <c r="C1" s="3"/>
    </row>
    <row r="2" spans="1:29" ht="21" x14ac:dyDescent="0.5">
      <c r="A2" s="2" t="s">
        <v>771</v>
      </c>
      <c r="B2" s="2"/>
      <c r="C2" s="2"/>
    </row>
    <row r="3" spans="1:29" ht="25" customHeight="1" x14ac:dyDescent="0.5">
      <c r="A3" s="5" t="s">
        <v>756</v>
      </c>
    </row>
    <row r="5" spans="1:29" x14ac:dyDescent="0.35">
      <c r="A5" s="1" t="s">
        <v>772</v>
      </c>
      <c r="C5" s="421" t="str">
        <f>Results!$C$6</f>
        <v>SummitStone Health Partners</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24" t="s">
        <v>921</v>
      </c>
      <c r="B9" s="524"/>
      <c r="C9" s="524"/>
      <c r="D9" s="524"/>
      <c r="E9" s="524"/>
      <c r="F9" s="524"/>
      <c r="G9" s="524"/>
      <c r="H9" s="524"/>
      <c r="I9" s="524"/>
      <c r="J9" s="524"/>
      <c r="K9" s="524"/>
      <c r="L9" s="524"/>
      <c r="M9" s="524"/>
      <c r="N9" s="524"/>
      <c r="O9" s="64"/>
      <c r="P9" s="40"/>
      <c r="Q9" s="40"/>
      <c r="R9" s="40"/>
      <c r="Y9" s="65"/>
      <c r="Z9" s="65"/>
      <c r="AA9" s="65"/>
      <c r="AB9" s="65"/>
      <c r="AC9" s="65"/>
    </row>
    <row r="10" spans="1:29" ht="15" customHeight="1" x14ac:dyDescent="0.35">
      <c r="A10" s="524"/>
      <c r="B10" s="524"/>
      <c r="C10" s="524"/>
      <c r="D10" s="524"/>
      <c r="E10" s="524"/>
      <c r="F10" s="524"/>
      <c r="G10" s="524"/>
      <c r="H10" s="524"/>
      <c r="I10" s="524"/>
      <c r="J10" s="524"/>
      <c r="K10" s="524"/>
      <c r="L10" s="524"/>
      <c r="M10" s="524"/>
      <c r="N10" s="524"/>
      <c r="O10" s="64"/>
      <c r="P10" s="40"/>
      <c r="Q10" s="40"/>
      <c r="R10" s="40"/>
      <c r="Y10" s="65"/>
      <c r="Z10" s="65"/>
      <c r="AA10" s="65"/>
      <c r="AB10" s="65"/>
      <c r="AC10" s="65"/>
    </row>
    <row r="11" spans="1:29" x14ac:dyDescent="0.35">
      <c r="A11" s="524"/>
      <c r="B11" s="524"/>
      <c r="C11" s="524"/>
      <c r="D11" s="524"/>
      <c r="E11" s="524"/>
      <c r="F11" s="524"/>
      <c r="G11" s="524"/>
      <c r="H11" s="524"/>
      <c r="I11" s="524"/>
      <c r="J11" s="524"/>
      <c r="K11" s="524"/>
      <c r="L11" s="524"/>
      <c r="M11" s="524"/>
      <c r="N11" s="524"/>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25">
        <v>1</v>
      </c>
      <c r="C13" s="525"/>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519" t="s">
        <v>605</v>
      </c>
      <c r="C14" s="526"/>
      <c r="D14" s="151" t="s">
        <v>780</v>
      </c>
      <c r="E14" s="258" t="s">
        <v>781</v>
      </c>
      <c r="F14" s="259" t="s">
        <v>782</v>
      </c>
      <c r="G14" s="192" t="s">
        <v>263</v>
      </c>
      <c r="H14" s="308" t="s">
        <v>604</v>
      </c>
      <c r="I14" s="316" t="s">
        <v>591</v>
      </c>
      <c r="J14" s="151" t="s">
        <v>784</v>
      </c>
      <c r="K14" s="259" t="s">
        <v>785</v>
      </c>
      <c r="L14" s="193" t="s">
        <v>599</v>
      </c>
      <c r="M14" s="192" t="s">
        <v>606</v>
      </c>
      <c r="N14" s="151" t="s">
        <v>607</v>
      </c>
      <c r="O14" s="66"/>
      <c r="Y14" s="67"/>
      <c r="Z14" s="67"/>
      <c r="AA14" s="67"/>
      <c r="AB14" s="67"/>
      <c r="AC14" s="67"/>
    </row>
    <row r="15" spans="1:29" s="4" customFormat="1" ht="15" customHeight="1" x14ac:dyDescent="0.35">
      <c r="A15" s="182">
        <v>1</v>
      </c>
      <c r="B15" s="514" t="str">
        <f>IF('As-Filed Schedule 1C'!B15:C15=0,"",'As-Filed Schedule 1C'!B15:C15)</f>
        <v/>
      </c>
      <c r="C15" s="514"/>
      <c r="D15" s="180">
        <f>'As-Filed Schedule 1C'!D15</f>
        <v>0</v>
      </c>
      <c r="E15" s="314">
        <f>SUMIFS(Adjustments!$G:$G,Adjustments!$H:$H,"1C",Adjustments!$I:$I,'Schedule 1C Adjustments'!$D$13,Adjustments!$J:$J,'Schedule 1C Adjustments'!A15)</f>
        <v>0</v>
      </c>
      <c r="F15" s="310">
        <f>SUM(D15:E15)</f>
        <v>0</v>
      </c>
      <c r="G15" s="180">
        <f>'As-Filed Schedule 1C'!E15</f>
        <v>0</v>
      </c>
      <c r="H15" s="314">
        <f>SUMIFS(Adjustments!$G:$G,Adjustments!$H:$H,"1C",Adjustments!$I:$I,'Schedule 1C Adjustments'!$G$13,Adjustments!$J:$J,'Schedule 1C Adjustments'!A15)</f>
        <v>0</v>
      </c>
      <c r="I15" s="310">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514" t="str">
        <f>IF('As-Filed Schedule 1C'!B16:C16=0,"",'As-Filed Schedule 1C'!B16:C16)</f>
        <v/>
      </c>
      <c r="C16" s="514"/>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14" t="str">
        <f>IF('As-Filed Schedule 1C'!B17:C17=0,"",'As-Filed Schedule 1C'!B17:C17)</f>
        <v/>
      </c>
      <c r="C17" s="514"/>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14" t="str">
        <f>IF('As-Filed Schedule 1C'!B18:C18=0,"",'As-Filed Schedule 1C'!B18:C18)</f>
        <v/>
      </c>
      <c r="C18" s="514"/>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14" t="str">
        <f>IF('As-Filed Schedule 1C'!B19:C19=0,"",'As-Filed Schedule 1C'!B19:C19)</f>
        <v/>
      </c>
      <c r="C19" s="514"/>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14" t="str">
        <f>IF('As-Filed Schedule 1C'!B20:C20=0,"",'As-Filed Schedule 1C'!B20:C20)</f>
        <v/>
      </c>
      <c r="C20" s="514"/>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14" t="str">
        <f>IF('As-Filed Schedule 1C'!B21:C21=0,"",'As-Filed Schedule 1C'!B21:C21)</f>
        <v/>
      </c>
      <c r="C21" s="514"/>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14" t="str">
        <f>IF('As-Filed Schedule 1C'!B22:C22=0,"",'As-Filed Schedule 1C'!B22:C22)</f>
        <v/>
      </c>
      <c r="C22" s="514"/>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14" t="str">
        <f>IF('As-Filed Schedule 1C'!B23:C23=0,"",'As-Filed Schedule 1C'!B23:C23)</f>
        <v/>
      </c>
      <c r="C23" s="514"/>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14" t="str">
        <f>IF('As-Filed Schedule 1C'!B24:C24=0,"",'As-Filed Schedule 1C'!B24:C24)</f>
        <v/>
      </c>
      <c r="C24" s="514"/>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597</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0</v>
      </c>
      <c r="K27" s="185">
        <f>SUMIF($L$15:$L$24,2,$K$15:$K$24)</f>
        <v>0</v>
      </c>
      <c r="L27" s="191"/>
      <c r="M27" s="100"/>
      <c r="N27" s="100"/>
    </row>
    <row r="28" spans="1:29" x14ac:dyDescent="0.35">
      <c r="A28" s="182">
        <v>13</v>
      </c>
      <c r="B28" s="100"/>
      <c r="C28" s="100"/>
      <c r="D28" s="100"/>
      <c r="E28" s="100"/>
      <c r="F28" s="100"/>
      <c r="H28" s="184"/>
      <c r="I28" s="184" t="s">
        <v>182</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23" t="s">
        <v>922</v>
      </c>
      <c r="B34" s="523"/>
      <c r="C34" s="523"/>
      <c r="D34" s="523"/>
      <c r="E34" s="523"/>
      <c r="F34" s="523"/>
      <c r="G34" s="523"/>
      <c r="H34" s="523"/>
      <c r="I34" s="523"/>
      <c r="J34" s="523"/>
      <c r="K34" s="523"/>
      <c r="L34" s="523"/>
      <c r="M34" s="523"/>
      <c r="N34" s="523"/>
      <c r="O34" s="64"/>
      <c r="Y34" s="65"/>
      <c r="Z34" s="65"/>
      <c r="AA34" s="65"/>
      <c r="AB34" s="65"/>
      <c r="AC34" s="65"/>
    </row>
    <row r="35" spans="1:29" x14ac:dyDescent="0.35">
      <c r="A35" s="523"/>
      <c r="B35" s="523"/>
      <c r="C35" s="523"/>
      <c r="D35" s="523"/>
      <c r="E35" s="523"/>
      <c r="F35" s="523"/>
      <c r="G35" s="523"/>
      <c r="H35" s="523"/>
      <c r="I35" s="523"/>
      <c r="J35" s="523"/>
      <c r="K35" s="523"/>
      <c r="L35" s="523"/>
      <c r="M35" s="523"/>
      <c r="N35" s="523"/>
      <c r="O35" s="64"/>
      <c r="Y35" s="65"/>
      <c r="Z35" s="65"/>
      <c r="AA35" s="65"/>
      <c r="AB35" s="65"/>
      <c r="AC35" s="65"/>
    </row>
    <row r="36" spans="1:29" x14ac:dyDescent="0.35">
      <c r="A36" s="523"/>
      <c r="B36" s="523"/>
      <c r="C36" s="523"/>
      <c r="D36" s="523"/>
      <c r="E36" s="523"/>
      <c r="F36" s="523"/>
      <c r="G36" s="523"/>
      <c r="H36" s="523"/>
      <c r="I36" s="523"/>
      <c r="J36" s="523"/>
      <c r="K36" s="523"/>
      <c r="L36" s="523"/>
      <c r="M36" s="523"/>
      <c r="N36" s="523"/>
      <c r="O36" s="64"/>
      <c r="Y36" s="65"/>
      <c r="Z36" s="65"/>
      <c r="AA36" s="65"/>
      <c r="AB36" s="65"/>
      <c r="AC36" s="65"/>
    </row>
    <row r="37" spans="1:29" x14ac:dyDescent="0.35">
      <c r="A37" s="523"/>
      <c r="B37" s="523"/>
      <c r="C37" s="523"/>
      <c r="D37" s="523"/>
      <c r="E37" s="523"/>
      <c r="F37" s="523"/>
      <c r="G37" s="523"/>
      <c r="H37" s="523"/>
      <c r="I37" s="523"/>
      <c r="J37" s="523"/>
      <c r="K37" s="523"/>
      <c r="L37" s="523"/>
      <c r="M37" s="523"/>
      <c r="N37" s="523"/>
      <c r="O37" s="64"/>
      <c r="Y37" s="65"/>
      <c r="Z37" s="65"/>
      <c r="AA37" s="65"/>
      <c r="AB37" s="65"/>
      <c r="AC37" s="65"/>
    </row>
    <row r="38" spans="1:29" x14ac:dyDescent="0.35">
      <c r="A38" s="523"/>
      <c r="B38" s="523"/>
      <c r="C38" s="523"/>
      <c r="D38" s="523"/>
      <c r="E38" s="523"/>
      <c r="F38" s="523"/>
      <c r="G38" s="523"/>
      <c r="H38" s="523"/>
      <c r="I38" s="523"/>
      <c r="J38" s="523"/>
      <c r="K38" s="523"/>
      <c r="L38" s="523"/>
      <c r="M38" s="523"/>
      <c r="N38" s="523"/>
      <c r="O38" s="64"/>
      <c r="Y38" s="65"/>
      <c r="Z38" s="65"/>
      <c r="AA38" s="65"/>
      <c r="AB38" s="65"/>
      <c r="AC38" s="65"/>
    </row>
    <row r="39" spans="1:29" x14ac:dyDescent="0.35">
      <c r="A39" s="523"/>
      <c r="B39" s="523"/>
      <c r="C39" s="523"/>
      <c r="D39" s="523"/>
      <c r="E39" s="523"/>
      <c r="F39" s="523"/>
      <c r="G39" s="523"/>
      <c r="H39" s="523"/>
      <c r="I39" s="523"/>
      <c r="J39" s="523"/>
      <c r="K39" s="523"/>
      <c r="L39" s="523"/>
      <c r="M39" s="523"/>
      <c r="N39" s="523"/>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election activeCell="D8" sqref="D8"/>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773</v>
      </c>
    </row>
    <row r="2" spans="1:31" ht="21" x14ac:dyDescent="0.5">
      <c r="A2" s="2" t="s">
        <v>771</v>
      </c>
    </row>
    <row r="3" spans="1:31" ht="25" customHeight="1" x14ac:dyDescent="0.5">
      <c r="A3" s="515" t="s">
        <v>755</v>
      </c>
      <c r="B3" s="515"/>
      <c r="C3" s="515"/>
      <c r="D3" s="515"/>
      <c r="E3" s="515"/>
      <c r="F3" s="515"/>
      <c r="G3" s="319"/>
      <c r="H3" s="322"/>
    </row>
    <row r="4" spans="1:31" x14ac:dyDescent="0.35">
      <c r="A4" s="48"/>
    </row>
    <row r="5" spans="1:31" x14ac:dyDescent="0.35">
      <c r="A5" s="1" t="s">
        <v>772</v>
      </c>
      <c r="C5" s="421" t="str">
        <f>Results!$C$6</f>
        <v>SummitStone Health Partners</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253</v>
      </c>
      <c r="B8" s="1" t="s">
        <v>610</v>
      </c>
      <c r="C8" s="1"/>
      <c r="D8" s="471" t="s">
        <v>1021</v>
      </c>
      <c r="E8" s="41" t="s">
        <v>259</v>
      </c>
      <c r="V8" s="40"/>
      <c r="W8" s="260"/>
      <c r="X8" s="40"/>
      <c r="Y8" s="40"/>
      <c r="Z8" s="260"/>
      <c r="AA8" s="40"/>
      <c r="AB8" s="40"/>
    </row>
    <row r="9" spans="1:31" x14ac:dyDescent="0.35">
      <c r="V9" s="130"/>
      <c r="W9" s="330"/>
      <c r="X9" s="130"/>
      <c r="Y9" s="130"/>
      <c r="Z9" s="330"/>
      <c r="AA9" s="130"/>
      <c r="AB9" s="130"/>
    </row>
    <row r="10" spans="1:31" x14ac:dyDescent="0.35">
      <c r="A10" s="1" t="s">
        <v>254</v>
      </c>
      <c r="B10" s="1" t="s">
        <v>256</v>
      </c>
      <c r="C10" s="1"/>
      <c r="V10" s="40"/>
      <c r="W10" s="260"/>
      <c r="X10" s="40"/>
      <c r="Y10" s="40"/>
      <c r="Z10" s="260"/>
      <c r="AA10" s="40"/>
      <c r="AB10" s="40"/>
    </row>
    <row r="11" spans="1:31" x14ac:dyDescent="0.35">
      <c r="A11" s="1"/>
      <c r="B11" s="323" t="s">
        <v>597</v>
      </c>
      <c r="C11" s="1"/>
      <c r="V11" s="40"/>
      <c r="W11" s="260"/>
      <c r="X11" s="40"/>
      <c r="Y11" s="40"/>
      <c r="Z11" s="260"/>
      <c r="AA11" s="40"/>
      <c r="AB11" s="40"/>
    </row>
    <row r="12" spans="1:31" x14ac:dyDescent="0.35">
      <c r="B12" s="530">
        <v>1</v>
      </c>
      <c r="C12" s="530"/>
      <c r="D12" s="530"/>
      <c r="F12" s="23">
        <v>2</v>
      </c>
      <c r="G12" s="256" t="s">
        <v>556</v>
      </c>
      <c r="H12" s="257" t="s">
        <v>557</v>
      </c>
      <c r="I12" s="23">
        <v>3</v>
      </c>
      <c r="J12" s="257" t="s">
        <v>561</v>
      </c>
      <c r="K12" s="23">
        <v>4</v>
      </c>
      <c r="L12" s="257" t="s">
        <v>613</v>
      </c>
      <c r="N12" s="23">
        <v>5</v>
      </c>
      <c r="O12" s="256" t="s">
        <v>566</v>
      </c>
      <c r="P12" s="257" t="s">
        <v>567</v>
      </c>
      <c r="Q12" s="23">
        <v>6</v>
      </c>
      <c r="R12" s="257" t="s">
        <v>571</v>
      </c>
      <c r="S12" s="23">
        <v>7</v>
      </c>
      <c r="T12" s="257" t="s">
        <v>575</v>
      </c>
      <c r="V12" s="23">
        <v>8</v>
      </c>
      <c r="W12" s="256" t="s">
        <v>615</v>
      </c>
      <c r="X12" s="257" t="s">
        <v>616</v>
      </c>
      <c r="Y12" s="23">
        <v>9</v>
      </c>
      <c r="Z12" s="256" t="s">
        <v>617</v>
      </c>
      <c r="AA12" s="257" t="s">
        <v>618</v>
      </c>
      <c r="AC12" s="40"/>
      <c r="AD12" s="40"/>
      <c r="AE12" s="40"/>
    </row>
    <row r="13" spans="1:31" x14ac:dyDescent="0.35">
      <c r="B13" s="539" t="s">
        <v>611</v>
      </c>
      <c r="C13" s="540"/>
      <c r="D13" s="541"/>
      <c r="F13" s="533" t="s">
        <v>261</v>
      </c>
      <c r="G13" s="538"/>
      <c r="H13" s="538"/>
      <c r="I13" s="538"/>
      <c r="J13" s="538"/>
      <c r="K13" s="534"/>
      <c r="L13" s="324"/>
      <c r="N13" s="533" t="s">
        <v>262</v>
      </c>
      <c r="O13" s="538"/>
      <c r="P13" s="538"/>
      <c r="Q13" s="538"/>
      <c r="R13" s="538"/>
      <c r="S13" s="534"/>
      <c r="T13" s="324"/>
      <c r="V13" s="536" t="s">
        <v>250</v>
      </c>
      <c r="W13" s="585" t="s">
        <v>619</v>
      </c>
      <c r="X13" s="587" t="s">
        <v>620</v>
      </c>
      <c r="Y13" s="536" t="s">
        <v>312</v>
      </c>
      <c r="Z13" s="585" t="s">
        <v>621</v>
      </c>
      <c r="AA13" s="587" t="s">
        <v>622</v>
      </c>
      <c r="AC13" s="40"/>
      <c r="AD13" s="40"/>
      <c r="AE13" s="40"/>
    </row>
    <row r="14" spans="1:31" ht="56.25" customHeight="1" x14ac:dyDescent="0.35">
      <c r="B14" s="542"/>
      <c r="C14" s="543"/>
      <c r="D14" s="544"/>
      <c r="F14" s="10" t="s">
        <v>214</v>
      </c>
      <c r="G14" s="258" t="s">
        <v>608</v>
      </c>
      <c r="H14" s="259" t="s">
        <v>609</v>
      </c>
      <c r="I14" s="151" t="s">
        <v>491</v>
      </c>
      <c r="J14" s="259" t="s">
        <v>612</v>
      </c>
      <c r="K14" s="151" t="s">
        <v>215</v>
      </c>
      <c r="L14" s="259" t="s">
        <v>614</v>
      </c>
      <c r="M14" s="100"/>
      <c r="N14" s="151" t="s">
        <v>214</v>
      </c>
      <c r="O14" s="258" t="s">
        <v>608</v>
      </c>
      <c r="P14" s="259" t="s">
        <v>609</v>
      </c>
      <c r="Q14" s="151" t="s">
        <v>491</v>
      </c>
      <c r="R14" s="259" t="s">
        <v>612</v>
      </c>
      <c r="S14" s="10" t="s">
        <v>215</v>
      </c>
      <c r="T14" s="259" t="s">
        <v>614</v>
      </c>
      <c r="V14" s="537"/>
      <c r="W14" s="586"/>
      <c r="X14" s="588"/>
      <c r="Y14" s="537"/>
      <c r="Z14" s="586"/>
      <c r="AA14" s="588"/>
    </row>
    <row r="15" spans="1:31" x14ac:dyDescent="0.35">
      <c r="A15" s="24">
        <v>1</v>
      </c>
      <c r="B15" s="535" t="str">
        <f>IF('As-Filed Schedule 2A'!B15:D15=0,"",'As-Filed Schedule 2A'!B15:D15)</f>
        <v>8802 Behavioral Health Urgent Care</v>
      </c>
      <c r="C15" s="535"/>
      <c r="D15" s="535"/>
      <c r="F15" s="117">
        <f>'As-Filed Schedule 2A'!F15</f>
        <v>1255736.4277585468</v>
      </c>
      <c r="G15" s="314">
        <f>SUMIFS(Adjustments!$G:$G,Adjustments!$H:$H,"2A",Adjustments!$I:$I,'Schedule 2A Adjustments'!$F$12,Adjustments!$J:$J,'Schedule 2A Adjustments'!A15)</f>
        <v>0</v>
      </c>
      <c r="H15" s="310">
        <f>SUM(F15:G15)</f>
        <v>1255736.4277585468</v>
      </c>
      <c r="I15" s="68">
        <f>IFERROR(F15*'As-Filed Schedule 1'!$E$103,0)</f>
        <v>218403.86627781717</v>
      </c>
      <c r="J15" s="311">
        <f>IFERROR(H15*'Adjusted Schedule 1'!$E$104,0)</f>
        <v>218121.10979278703</v>
      </c>
      <c r="K15" s="68">
        <f>SUM(F15,I15)</f>
        <v>1474140.2940363639</v>
      </c>
      <c r="L15" s="311">
        <f>SUM(H15,J15)</f>
        <v>1473857.5375513339</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15.5</v>
      </c>
      <c r="W15" s="314">
        <f>SUMIFS(Adjustments!$G:$G,Adjustments!$H:$H,"2A",Adjustments!$I:$I,'Schedule 2A Adjustments'!$V$12,Adjustments!$J:$J,'Schedule 2A Adjustments'!A15)</f>
        <v>0</v>
      </c>
      <c r="X15" s="327">
        <f>SUM(V15:W15)</f>
        <v>15.5</v>
      </c>
      <c r="Y15" s="120">
        <f>'As-Filed Schedule 2A'!O15</f>
        <v>4796</v>
      </c>
      <c r="Z15" s="314">
        <f>SUMIFS(Adjustments!$G:$G,Adjustments!$H:$H,"2A",Adjustments!$I:$I,'Schedule 2A Adjustments'!$Y$12,Adjustments!$J:$J,'Schedule 2A Adjustments'!A15)</f>
        <v>0</v>
      </c>
      <c r="AA15" s="327">
        <f>SUM(Y15:Z15)</f>
        <v>4796</v>
      </c>
    </row>
    <row r="16" spans="1:31" x14ac:dyDescent="0.35">
      <c r="A16" s="24">
        <v>2</v>
      </c>
      <c r="B16" s="535" t="str">
        <f>IF('As-Filed Schedule 2A'!B16:D16=0,"",'As-Filed Schedule 2A'!B16:D16)</f>
        <v>8803 Mobile Crisis</v>
      </c>
      <c r="C16" s="535"/>
      <c r="D16" s="535"/>
      <c r="F16" s="117">
        <f>'As-Filed Schedule 2A'!F16</f>
        <v>1196156.1740377727</v>
      </c>
      <c r="G16" s="314">
        <f>SUMIFS(Adjustments!$G:$G,Adjustments!$H:$H,"2A",Adjustments!$I:$I,'Schedule 2A Adjustments'!$F$12,Adjustments!$J:$J,'Schedule 2A Adjustments'!A16)</f>
        <v>0</v>
      </c>
      <c r="H16" s="310">
        <f t="shared" ref="H16:H72" si="1">SUM(F16:G16)</f>
        <v>1196156.1740377727</v>
      </c>
      <c r="I16" s="68">
        <f>IFERROR(F16*'As-Filed Schedule 1'!$E$103,0)</f>
        <v>208041.37501071472</v>
      </c>
      <c r="J16" s="311">
        <f>IFERROR(H16*'Adjusted Schedule 1'!$E$104,0)</f>
        <v>207772.03432118666</v>
      </c>
      <c r="K16" s="68">
        <f>SUM(F16,I16)</f>
        <v>1404197.5490484873</v>
      </c>
      <c r="L16" s="311">
        <f t="shared" ref="L16:L72" si="2">SUM(H16,J16)</f>
        <v>1403928.2083589593</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10</v>
      </c>
      <c r="W16" s="314">
        <f>SUMIFS(Adjustments!$G:$G,Adjustments!$H:$H,"2A",Adjustments!$I:$I,'Schedule 2A Adjustments'!$V$12,Adjustments!$J:$J,'Schedule 2A Adjustments'!A16)</f>
        <v>0</v>
      </c>
      <c r="X16" s="327">
        <f t="shared" ref="X16:X72" si="5">SUM(V16:W16)</f>
        <v>10</v>
      </c>
      <c r="Y16" s="120">
        <f>'As-Filed Schedule 2A'!O16</f>
        <v>1011</v>
      </c>
      <c r="Z16" s="314">
        <f>SUMIFS(Adjustments!$G:$G,Adjustments!$H:$H,"2A",Adjustments!$I:$I,'Schedule 2A Adjustments'!$Y$12,Adjustments!$J:$J,'Schedule 2A Adjustments'!A16)</f>
        <v>0</v>
      </c>
      <c r="AA16" s="327">
        <f t="shared" ref="AA16:AA72" si="6">SUM(Y16:Z16)</f>
        <v>1011</v>
      </c>
    </row>
    <row r="17" spans="1:27" x14ac:dyDescent="0.35">
      <c r="A17" s="24">
        <v>3</v>
      </c>
      <c r="B17" s="535" t="str">
        <f>IF('As-Filed Schedule 2A'!B17:D17=0,"",'As-Filed Schedule 2A'!B17:D17)</f>
        <v>8806 Co-Responder</v>
      </c>
      <c r="C17" s="535"/>
      <c r="D17" s="535"/>
      <c r="F17" s="117">
        <f>'As-Filed Schedule 2A'!F17</f>
        <v>2133679.5110936062</v>
      </c>
      <c r="G17" s="314">
        <f>SUMIFS(Adjustments!$G:$G,Adjustments!$H:$H,"2A",Adjustments!$I:$I,'Schedule 2A Adjustments'!$F$12,Adjustments!$J:$J,'Schedule 2A Adjustments'!A17)</f>
        <v>0</v>
      </c>
      <c r="H17" s="310">
        <f t="shared" si="1"/>
        <v>2133679.5110936062</v>
      </c>
      <c r="I17" s="68">
        <f>IFERROR(F17*'As-Filed Schedule 1'!$E$103,0)</f>
        <v>371100.05278130673</v>
      </c>
      <c r="J17" s="311">
        <f>IFERROR(H17*'Adjusted Schedule 1'!$E$104,0)</f>
        <v>370619.60823466367</v>
      </c>
      <c r="K17" s="68">
        <f>SUM(F17,I17)</f>
        <v>2504779.5638749129</v>
      </c>
      <c r="L17" s="311">
        <f t="shared" si="2"/>
        <v>2504299.1193282697</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19</v>
      </c>
      <c r="W17" s="314">
        <f>SUMIFS(Adjustments!$G:$G,Adjustments!$H:$H,"2A",Adjustments!$I:$I,'Schedule 2A Adjustments'!$V$12,Adjustments!$J:$J,'Schedule 2A Adjustments'!A17)</f>
        <v>0</v>
      </c>
      <c r="X17" s="327">
        <f t="shared" si="5"/>
        <v>19</v>
      </c>
      <c r="Y17" s="120">
        <f>'As-Filed Schedule 2A'!O17</f>
        <v>2387</v>
      </c>
      <c r="Z17" s="314">
        <f>SUMIFS(Adjustments!$G:$G,Adjustments!$H:$H,"2A",Adjustments!$I:$I,'Schedule 2A Adjustments'!$Y$12,Adjustments!$J:$J,'Schedule 2A Adjustments'!A17)</f>
        <v>0</v>
      </c>
      <c r="AA17" s="327">
        <f t="shared" si="6"/>
        <v>2387</v>
      </c>
    </row>
    <row r="18" spans="1:27" x14ac:dyDescent="0.35">
      <c r="A18" s="24">
        <v>4</v>
      </c>
      <c r="B18" s="535" t="str">
        <f>IF('As-Filed Schedule 2A'!B18:D18=0,"",'As-Filed Schedule 2A'!B18:D18)</f>
        <v>5150 CYMHTA - Child M.H. Treatment</v>
      </c>
      <c r="C18" s="535"/>
      <c r="D18" s="535"/>
      <c r="F18" s="117">
        <f>'As-Filed Schedule 2A'!F18</f>
        <v>0</v>
      </c>
      <c r="G18" s="314">
        <f>SUMIFS(Adjustments!$G:$G,Adjustments!$H:$H,"2A",Adjustments!$I:$I,'Schedule 2A Adjustments'!$F$12,Adjustments!$J:$J,'Schedule 2A Adjustments'!A18)</f>
        <v>0</v>
      </c>
      <c r="H18" s="310">
        <f t="shared" si="1"/>
        <v>0</v>
      </c>
      <c r="I18" s="68">
        <f>IFERROR(F18*'As-Filed Schedule 1'!$E$103,0)</f>
        <v>0</v>
      </c>
      <c r="J18" s="311">
        <f>IFERROR(H18*'Adjusted Schedule 1'!$E$104,0)</f>
        <v>0</v>
      </c>
      <c r="K18" s="68">
        <f t="shared" ref="K18:K72" si="7">SUM(F18,I18)</f>
        <v>0</v>
      </c>
      <c r="L18" s="311">
        <f t="shared" si="2"/>
        <v>0</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0</v>
      </c>
      <c r="W18" s="314">
        <f>SUMIFS(Adjustments!$G:$G,Adjustments!$H:$H,"2A",Adjustments!$I:$I,'Schedule 2A Adjustments'!$V$12,Adjustments!$J:$J,'Schedule 2A Adjustments'!A18)</f>
        <v>0</v>
      </c>
      <c r="X18" s="327">
        <f t="shared" si="5"/>
        <v>0</v>
      </c>
      <c r="Y18" s="120">
        <f>'As-Filed Schedule 2A'!O18</f>
        <v>0</v>
      </c>
      <c r="Z18" s="314">
        <f>SUMIFS(Adjustments!$G:$G,Adjustments!$H:$H,"2A",Adjustments!$I:$I,'Schedule 2A Adjustments'!$Y$12,Adjustments!$J:$J,'Schedule 2A Adjustments'!A18)</f>
        <v>0</v>
      </c>
      <c r="AA18" s="327">
        <f t="shared" si="6"/>
        <v>0</v>
      </c>
    </row>
    <row r="19" spans="1:27" x14ac:dyDescent="0.35">
      <c r="A19" s="24">
        <v>5</v>
      </c>
      <c r="B19" s="535" t="str">
        <f>IF('As-Filed Schedule 2A'!B19:D19=0,"",'As-Filed Schedule 2A'!B19:D19)</f>
        <v>8830 Pharmacy</v>
      </c>
      <c r="C19" s="535"/>
      <c r="D19" s="535"/>
      <c r="F19" s="117">
        <f>'As-Filed Schedule 2A'!F19</f>
        <v>789505.62021133176</v>
      </c>
      <c r="G19" s="314">
        <f>SUMIFS(Adjustments!$G:$G,Adjustments!$H:$H,"2A",Adjustments!$I:$I,'Schedule 2A Adjustments'!$F$12,Adjustments!$J:$J,'Schedule 2A Adjustments'!A19)</f>
        <v>-789505.56686597492</v>
      </c>
      <c r="H19" s="310">
        <f t="shared" si="1"/>
        <v>5.3345356835052371E-2</v>
      </c>
      <c r="I19" s="68">
        <f>IFERROR(F19*'As-Filed Schedule 1'!$E$103,0)</f>
        <v>137314.70720333033</v>
      </c>
      <c r="J19" s="311">
        <f>IFERROR(H19*'Adjusted Schedule 1'!$E$104,0)</f>
        <v>9.2660754103656411E-3</v>
      </c>
      <c r="K19" s="68">
        <f t="shared" si="7"/>
        <v>926820.32741466211</v>
      </c>
      <c r="L19" s="311">
        <f t="shared" si="2"/>
        <v>6.2611432245418014E-2</v>
      </c>
      <c r="N19" s="117">
        <f>'As-Filed Schedule 2A'!J19</f>
        <v>0</v>
      </c>
      <c r="O19" s="314">
        <f>SUMIFS(Adjustments!$G:$G,Adjustments!$H:$H,"2A",Adjustments!$I:$I,'Schedule 2A Adjustments'!$N$12,Adjustments!$J:$J,'Schedule 2A Adjustments'!A19)</f>
        <v>789505.56686597492</v>
      </c>
      <c r="P19" s="310">
        <f t="shared" si="3"/>
        <v>789505.56686597492</v>
      </c>
      <c r="Q19" s="68">
        <f>IFERROR(N19*'As-Filed Schedule 1'!$E$103,0)</f>
        <v>0</v>
      </c>
      <c r="R19" s="311">
        <f>IFERROR(P19*'Adjusted Schedule 1'!$E$104,0)</f>
        <v>137136.92350215235</v>
      </c>
      <c r="S19" s="68">
        <f t="shared" si="0"/>
        <v>0</v>
      </c>
      <c r="T19" s="311">
        <f t="shared" si="4"/>
        <v>926642.49036812724</v>
      </c>
      <c r="V19" s="120">
        <f>'As-Filed Schedule 2A'!N19</f>
        <v>3</v>
      </c>
      <c r="W19" s="314">
        <f>SUMIFS(Adjustments!$G:$G,Adjustments!$H:$H,"2A",Adjustments!$I:$I,'Schedule 2A Adjustments'!$V$12,Adjustments!$J:$J,'Schedule 2A Adjustments'!A19)</f>
        <v>0</v>
      </c>
      <c r="X19" s="327">
        <f t="shared" si="5"/>
        <v>3</v>
      </c>
      <c r="Y19" s="120">
        <f>'As-Filed Schedule 2A'!O19</f>
        <v>0</v>
      </c>
      <c r="Z19" s="314">
        <f>SUMIFS(Adjustments!$G:$G,Adjustments!$H:$H,"2A",Adjustments!$I:$I,'Schedule 2A Adjustments'!$Y$12,Adjustments!$J:$J,'Schedule 2A Adjustments'!A19)</f>
        <v>0</v>
      </c>
      <c r="AA19" s="327">
        <f t="shared" si="6"/>
        <v>0</v>
      </c>
    </row>
    <row r="20" spans="1:27" x14ac:dyDescent="0.35">
      <c r="A20" s="24">
        <v>6</v>
      </c>
      <c r="B20" s="535" t="str">
        <f>IF('As-Filed Schedule 2A'!B20:D20=0,"",'As-Filed Schedule 2A'!B20:D20)</f>
        <v>8835 Lab</v>
      </c>
      <c r="C20" s="535"/>
      <c r="D20" s="535"/>
      <c r="F20" s="117">
        <f>'As-Filed Schedule 2A'!F20</f>
        <v>440221.25180653954</v>
      </c>
      <c r="G20" s="314">
        <f>SUMIFS(Adjustments!$G:$G,Adjustments!$H:$H,"2A",Adjustments!$I:$I,'Schedule 2A Adjustments'!$F$12,Adjustments!$J:$J,'Schedule 2A Adjustments'!A20)</f>
        <v>-440221.21624296834</v>
      </c>
      <c r="H20" s="310">
        <f t="shared" si="1"/>
        <v>3.5563571203965694E-2</v>
      </c>
      <c r="I20" s="68">
        <f>IFERROR(F20*'As-Filed Schedule 1'!$E$103,0)</f>
        <v>76565.44899619311</v>
      </c>
      <c r="J20" s="311">
        <f>IFERROR(H20*'Adjusted Schedule 1'!$E$104,0)</f>
        <v>6.177383603540209E-3</v>
      </c>
      <c r="K20" s="68">
        <f t="shared" si="7"/>
        <v>516786.70080273267</v>
      </c>
      <c r="L20" s="311">
        <f t="shared" si="2"/>
        <v>4.1740954807505906E-2</v>
      </c>
      <c r="N20" s="117">
        <f>'As-Filed Schedule 2A'!J20</f>
        <v>0</v>
      </c>
      <c r="O20" s="314">
        <f>SUMIFS(Adjustments!$G:$G,Adjustments!$H:$H,"2A",Adjustments!$I:$I,'Schedule 2A Adjustments'!$N$12,Adjustments!$J:$J,'Schedule 2A Adjustments'!A20)</f>
        <v>440221.21624296834</v>
      </c>
      <c r="P20" s="310">
        <f t="shared" si="3"/>
        <v>440221.21624296834</v>
      </c>
      <c r="Q20" s="68">
        <f>IFERROR(N20*'As-Filed Schedule 1'!$E$103,0)</f>
        <v>0</v>
      </c>
      <c r="R20" s="311">
        <f>IFERROR(P20*'Adjusted Schedule 1'!$E$104,0)</f>
        <v>76466.317388468553</v>
      </c>
      <c r="S20" s="68">
        <f t="shared" si="0"/>
        <v>0</v>
      </c>
      <c r="T20" s="311">
        <f t="shared" si="4"/>
        <v>516687.53363143688</v>
      </c>
      <c r="V20" s="120">
        <f>'As-Filed Schedule 2A'!N20</f>
        <v>2</v>
      </c>
      <c r="W20" s="314">
        <f>SUMIFS(Adjustments!$G:$G,Adjustments!$H:$H,"2A",Adjustments!$I:$I,'Schedule 2A Adjustments'!$V$12,Adjustments!$J:$J,'Schedule 2A Adjustments'!A20)</f>
        <v>0</v>
      </c>
      <c r="X20" s="327">
        <f t="shared" si="5"/>
        <v>2</v>
      </c>
      <c r="Y20" s="120">
        <f>'As-Filed Schedule 2A'!O20</f>
        <v>0</v>
      </c>
      <c r="Z20" s="314">
        <f>SUMIFS(Adjustments!$G:$G,Adjustments!$H:$H,"2A",Adjustments!$I:$I,'Schedule 2A Adjustments'!$Y$12,Adjustments!$J:$J,'Schedule 2A Adjustments'!A20)</f>
        <v>0</v>
      </c>
      <c r="AA20" s="327">
        <f t="shared" si="6"/>
        <v>0</v>
      </c>
    </row>
    <row r="21" spans="1:27" x14ac:dyDescent="0.35">
      <c r="A21" s="24">
        <v>7</v>
      </c>
      <c r="B21" s="535" t="str">
        <f>IF('As-Filed Schedule 2A'!B21:D21=0,"",'As-Filed Schedule 2A'!B21:D21)</f>
        <v>9212 Garcia House Pharmacy</v>
      </c>
      <c r="C21" s="535"/>
      <c r="D21" s="535"/>
      <c r="F21" s="117">
        <f>'As-Filed Schedule 2A'!F21</f>
        <v>1855.6499999999999</v>
      </c>
      <c r="G21" s="314">
        <f>SUMIFS(Adjustments!$G:$G,Adjustments!$H:$H,"2A",Adjustments!$I:$I,'Schedule 2A Adjustments'!$F$12,Adjustments!$J:$J,'Schedule 2A Adjustments'!A21)</f>
        <v>0</v>
      </c>
      <c r="H21" s="310">
        <f t="shared" si="1"/>
        <v>1855.6499999999999</v>
      </c>
      <c r="I21" s="68">
        <f>IFERROR(F21*'As-Filed Schedule 1'!$E$103,0)</f>
        <v>322.74379041615168</v>
      </c>
      <c r="J21" s="311">
        <f>IFERROR(H21*'Adjusted Schedule 1'!$E$104,0)</f>
        <v>322.3259502867682</v>
      </c>
      <c r="K21" s="68">
        <f t="shared" si="7"/>
        <v>2178.3937904161517</v>
      </c>
      <c r="L21" s="311">
        <f t="shared" si="2"/>
        <v>2177.9759502867682</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35" t="str">
        <f>IF('As-Filed Schedule 2A'!B22:D22=0,"",'As-Filed Schedule 2A'!B22:D22)</f>
        <v/>
      </c>
      <c r="C22" s="535"/>
      <c r="D22" s="535"/>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35" t="str">
        <f>IF('As-Filed Schedule 2A'!B23:D23=0,"",'As-Filed Schedule 2A'!B23:D23)</f>
        <v/>
      </c>
      <c r="C23" s="535"/>
      <c r="D23" s="535"/>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35" t="str">
        <f>IF('As-Filed Schedule 2A'!B24:D24=0,"",'As-Filed Schedule 2A'!B24:D24)</f>
        <v/>
      </c>
      <c r="C24" s="535"/>
      <c r="D24" s="535"/>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35" t="str">
        <f>IF('As-Filed Schedule 2A'!B25:D25=0,"",'As-Filed Schedule 2A'!B25:D25)</f>
        <v/>
      </c>
      <c r="C25" s="535"/>
      <c r="D25" s="535"/>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35" t="str">
        <f>IF('As-Filed Schedule 2A'!B26:D26=0,"",'As-Filed Schedule 2A'!B26:D26)</f>
        <v/>
      </c>
      <c r="C26" s="535"/>
      <c r="D26" s="535"/>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35" t="str">
        <f>IF('As-Filed Schedule 2A'!B27:D27=0,"",'As-Filed Schedule 2A'!B27:D27)</f>
        <v/>
      </c>
      <c r="C27" s="535"/>
      <c r="D27" s="535"/>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35" t="str">
        <f>IF('As-Filed Schedule 2A'!B28:D28=0,"",'As-Filed Schedule 2A'!B28:D28)</f>
        <v/>
      </c>
      <c r="C28" s="535"/>
      <c r="D28" s="535"/>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35" t="str">
        <f>IF('As-Filed Schedule 2A'!B29:D29=0,"",'As-Filed Schedule 2A'!B29:D29)</f>
        <v/>
      </c>
      <c r="C29" s="535"/>
      <c r="D29" s="535"/>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35" t="str">
        <f>IF('As-Filed Schedule 2A'!B30:D30=0,"",'As-Filed Schedule 2A'!B30:D30)</f>
        <v/>
      </c>
      <c r="C30" s="535"/>
      <c r="D30" s="535"/>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35" t="str">
        <f>IF('As-Filed Schedule 2A'!B31:D31=0,"",'As-Filed Schedule 2A'!B31:D31)</f>
        <v/>
      </c>
      <c r="C31" s="535"/>
      <c r="D31" s="535"/>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35" t="str">
        <f>IF('As-Filed Schedule 2A'!B32:D32=0,"",'As-Filed Schedule 2A'!B32:D32)</f>
        <v/>
      </c>
      <c r="C32" s="535"/>
      <c r="D32" s="535"/>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35" t="str">
        <f>IF('As-Filed Schedule 2A'!B33:D33=0,"",'As-Filed Schedule 2A'!B33:D33)</f>
        <v/>
      </c>
      <c r="C33" s="535"/>
      <c r="D33" s="535"/>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35" t="str">
        <f>IF('As-Filed Schedule 2A'!B34:D34=0,"",'As-Filed Schedule 2A'!B34:D34)</f>
        <v/>
      </c>
      <c r="C34" s="535"/>
      <c r="D34" s="535"/>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35" t="str">
        <f>IF('As-Filed Schedule 2A'!B35:D35=0,"",'As-Filed Schedule 2A'!B35:D35)</f>
        <v/>
      </c>
      <c r="C35" s="535"/>
      <c r="D35" s="535"/>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35" t="str">
        <f>IF('As-Filed Schedule 2A'!B36:D36=0,"",'As-Filed Schedule 2A'!B36:D36)</f>
        <v/>
      </c>
      <c r="C36" s="535"/>
      <c r="D36" s="535"/>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35" t="str">
        <f>IF('As-Filed Schedule 2A'!B37:D37=0,"",'As-Filed Schedule 2A'!B37:D37)</f>
        <v/>
      </c>
      <c r="C37" s="535"/>
      <c r="D37" s="535"/>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35" t="str">
        <f>IF('As-Filed Schedule 2A'!B38:D38=0,"",'As-Filed Schedule 2A'!B38:D38)</f>
        <v/>
      </c>
      <c r="C38" s="535"/>
      <c r="D38" s="535"/>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35" t="str">
        <f>IF('As-Filed Schedule 2A'!B39:D39=0,"",'As-Filed Schedule 2A'!B39:D39)</f>
        <v/>
      </c>
      <c r="C39" s="535"/>
      <c r="D39" s="535"/>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35" t="str">
        <f>IF('As-Filed Schedule 2A'!B40:D40=0,"",'As-Filed Schedule 2A'!B40:D40)</f>
        <v/>
      </c>
      <c r="C40" s="535"/>
      <c r="D40" s="535"/>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35" t="str">
        <f>IF('As-Filed Schedule 2A'!B41:D41=0,"",'As-Filed Schedule 2A'!B41:D41)</f>
        <v/>
      </c>
      <c r="C41" s="535"/>
      <c r="D41" s="535"/>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35" t="str">
        <f>IF('As-Filed Schedule 2A'!B42:D42=0,"",'As-Filed Schedule 2A'!B42:D42)</f>
        <v/>
      </c>
      <c r="C42" s="535"/>
      <c r="D42" s="535"/>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35" t="str">
        <f>IF('As-Filed Schedule 2A'!B43:D43=0,"",'As-Filed Schedule 2A'!B43:D43)</f>
        <v/>
      </c>
      <c r="C43" s="535"/>
      <c r="D43" s="535"/>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35" t="str">
        <f>IF('As-Filed Schedule 2A'!B44:D44=0,"",'As-Filed Schedule 2A'!B44:D44)</f>
        <v/>
      </c>
      <c r="C44" s="535"/>
      <c r="D44" s="535"/>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35" t="str">
        <f>IF('As-Filed Schedule 2A'!B45:D45=0,"",'As-Filed Schedule 2A'!B45:D45)</f>
        <v/>
      </c>
      <c r="C45" s="535"/>
      <c r="D45" s="535"/>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35" t="str">
        <f>IF('As-Filed Schedule 2A'!B46:D46=0,"",'As-Filed Schedule 2A'!B46:D46)</f>
        <v/>
      </c>
      <c r="C46" s="535"/>
      <c r="D46" s="535"/>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35" t="str">
        <f>IF('As-Filed Schedule 2A'!B47:D47=0,"",'As-Filed Schedule 2A'!B47:D47)</f>
        <v/>
      </c>
      <c r="C47" s="535"/>
      <c r="D47" s="535"/>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35" t="str">
        <f>IF('As-Filed Schedule 2A'!B48:D48=0,"",'As-Filed Schedule 2A'!B48:D48)</f>
        <v/>
      </c>
      <c r="C48" s="535"/>
      <c r="D48" s="535"/>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35" t="str">
        <f>IF('As-Filed Schedule 2A'!B49:D49=0,"",'As-Filed Schedule 2A'!B49:D49)</f>
        <v/>
      </c>
      <c r="C49" s="535"/>
      <c r="D49" s="535"/>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35" t="str">
        <f>IF('As-Filed Schedule 2A'!B50:D50=0,"",'As-Filed Schedule 2A'!B50:D50)</f>
        <v/>
      </c>
      <c r="C50" s="535"/>
      <c r="D50" s="535"/>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35" t="str">
        <f>IF('As-Filed Schedule 2A'!B51:D51=0,"",'As-Filed Schedule 2A'!B51:D51)</f>
        <v/>
      </c>
      <c r="C51" s="535"/>
      <c r="D51" s="535"/>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35" t="str">
        <f>IF('As-Filed Schedule 2A'!B52:D52=0,"",'As-Filed Schedule 2A'!B52:D52)</f>
        <v/>
      </c>
      <c r="C52" s="535"/>
      <c r="D52" s="535"/>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35" t="str">
        <f>IF('As-Filed Schedule 2A'!B53:D53=0,"",'As-Filed Schedule 2A'!B53:D53)</f>
        <v/>
      </c>
      <c r="C53" s="535"/>
      <c r="D53" s="535"/>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35" t="str">
        <f>IF('As-Filed Schedule 2A'!B54:D54=0,"",'As-Filed Schedule 2A'!B54:D54)</f>
        <v/>
      </c>
      <c r="C54" s="535"/>
      <c r="D54" s="535"/>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35" t="str">
        <f>IF('As-Filed Schedule 2A'!B55:D55=0,"",'As-Filed Schedule 2A'!B55:D55)</f>
        <v/>
      </c>
      <c r="C55" s="535"/>
      <c r="D55" s="535"/>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35" t="str">
        <f>IF('As-Filed Schedule 2A'!B56:D56=0,"",'As-Filed Schedule 2A'!B56:D56)</f>
        <v/>
      </c>
      <c r="C56" s="535"/>
      <c r="D56" s="535"/>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35" t="str">
        <f>IF('As-Filed Schedule 2A'!B57:D57=0,"",'As-Filed Schedule 2A'!B57:D57)</f>
        <v/>
      </c>
      <c r="C57" s="535"/>
      <c r="D57" s="535"/>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35" t="str">
        <f>IF('As-Filed Schedule 2A'!B58:D58=0,"",'As-Filed Schedule 2A'!B58:D58)</f>
        <v/>
      </c>
      <c r="C58" s="535"/>
      <c r="D58" s="535"/>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35" t="str">
        <f>IF('As-Filed Schedule 2A'!B59:D59=0,"",'As-Filed Schedule 2A'!B59:D59)</f>
        <v/>
      </c>
      <c r="C59" s="535"/>
      <c r="D59" s="535"/>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35" t="str">
        <f>IF('As-Filed Schedule 2A'!B60:D60=0,"",'As-Filed Schedule 2A'!B60:D60)</f>
        <v/>
      </c>
      <c r="C60" s="535"/>
      <c r="D60" s="535"/>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35" t="str">
        <f>IF('As-Filed Schedule 2A'!B61:D61=0,"",'As-Filed Schedule 2A'!B61:D61)</f>
        <v/>
      </c>
      <c r="C61" s="535"/>
      <c r="D61" s="535"/>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35" t="str">
        <f>IF('As-Filed Schedule 2A'!B62:D62=0,"",'As-Filed Schedule 2A'!B62:D62)</f>
        <v/>
      </c>
      <c r="C62" s="535"/>
      <c r="D62" s="535"/>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35" t="str">
        <f>IF('As-Filed Schedule 2A'!B63:D63=0,"",'As-Filed Schedule 2A'!B63:D63)</f>
        <v/>
      </c>
      <c r="C63" s="535"/>
      <c r="D63" s="535"/>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35" t="str">
        <f>IF('As-Filed Schedule 2A'!B64:D64=0,"",'As-Filed Schedule 2A'!B64:D64)</f>
        <v/>
      </c>
      <c r="C64" s="535"/>
      <c r="D64" s="535"/>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35" t="str">
        <f>IF('As-Filed Schedule 2A'!B65:D65=0,"",'As-Filed Schedule 2A'!B65:D65)</f>
        <v/>
      </c>
      <c r="C65" s="535"/>
      <c r="D65" s="535"/>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35" t="str">
        <f>IF('As-Filed Schedule 2A'!B66:D66=0,"",'As-Filed Schedule 2A'!B66:D66)</f>
        <v/>
      </c>
      <c r="C66" s="535"/>
      <c r="D66" s="535"/>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35" t="str">
        <f>IF('As-Filed Schedule 2A'!B67:D67=0,"",'As-Filed Schedule 2A'!B67:D67)</f>
        <v/>
      </c>
      <c r="C67" s="535"/>
      <c r="D67" s="535"/>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35" t="str">
        <f>IF('As-Filed Schedule 2A'!B68:D68=0,"",'As-Filed Schedule 2A'!B68:D68)</f>
        <v/>
      </c>
      <c r="C68" s="535"/>
      <c r="D68" s="535"/>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35" t="str">
        <f>IF('As-Filed Schedule 2A'!B69:D69=0,"",'As-Filed Schedule 2A'!B69:D69)</f>
        <v/>
      </c>
      <c r="C69" s="535"/>
      <c r="D69" s="535"/>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35" t="str">
        <f>IF('As-Filed Schedule 2A'!B70:D70=0,"",'As-Filed Schedule 2A'!B70:D70)</f>
        <v/>
      </c>
      <c r="C70" s="535"/>
      <c r="D70" s="535"/>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35" t="str">
        <f>IF('As-Filed Schedule 2A'!B71:D71=0,"",'As-Filed Schedule 2A'!B71:D71)</f>
        <v/>
      </c>
      <c r="C71" s="535"/>
      <c r="D71" s="535"/>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35" t="str">
        <f>IF('As-Filed Schedule 2A'!B72:D72=0,"",'As-Filed Schedule 2A'!B72:D72)</f>
        <v/>
      </c>
      <c r="C72" s="535"/>
      <c r="D72" s="535"/>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5817154.6349077979</v>
      </c>
      <c r="G73" s="321">
        <f t="shared" si="9"/>
        <v>-1229726.7831089431</v>
      </c>
      <c r="H73" s="312">
        <f t="shared" si="9"/>
        <v>4587427.8517988548</v>
      </c>
      <c r="I73" s="18">
        <f t="shared" si="9"/>
        <v>1011748.1940597784</v>
      </c>
      <c r="J73" s="312">
        <f t="shared" si="9"/>
        <v>796835.09374238329</v>
      </c>
      <c r="K73" s="18">
        <f t="shared" si="9"/>
        <v>6828902.828967575</v>
      </c>
      <c r="L73" s="312">
        <f t="shared" si="9"/>
        <v>5384262.9455412365</v>
      </c>
      <c r="N73" s="18">
        <f>SUM(N15:N72)</f>
        <v>0</v>
      </c>
      <c r="O73" s="321">
        <f t="shared" ref="O73:P73" si="10">SUM(O15:O72)</f>
        <v>1229726.7831089431</v>
      </c>
      <c r="P73" s="312">
        <f t="shared" si="10"/>
        <v>1229726.7831089431</v>
      </c>
      <c r="Q73" s="18">
        <f t="shared" ref="Q73" si="11">SUM(Q15:Q72)</f>
        <v>0</v>
      </c>
      <c r="R73" s="312">
        <f>SUM(R15:R72)</f>
        <v>213603.24089062092</v>
      </c>
      <c r="S73" s="18">
        <f>SUM(S15:S72)</f>
        <v>0</v>
      </c>
      <c r="T73" s="312">
        <f>SUM(T15:T72)</f>
        <v>1443330.0239995641</v>
      </c>
      <c r="Y73" s="83" t="s">
        <v>313</v>
      </c>
      <c r="Z73" s="332"/>
      <c r="AA73" s="329"/>
    </row>
    <row r="74" spans="1:27" ht="15" thickBot="1" x14ac:dyDescent="0.4">
      <c r="K74" s="37" t="s">
        <v>257</v>
      </c>
      <c r="L74" s="325" t="s">
        <v>257</v>
      </c>
      <c r="S74" s="37" t="s">
        <v>258</v>
      </c>
      <c r="T74" s="325" t="s">
        <v>258</v>
      </c>
    </row>
    <row r="75" spans="1:27" ht="16" thickBot="1" x14ac:dyDescent="0.4">
      <c r="A75" s="24">
        <v>60</v>
      </c>
      <c r="B75" s="143" t="s">
        <v>463</v>
      </c>
      <c r="C75" s="72"/>
      <c r="E75" s="72"/>
      <c r="F75" s="75">
        <f>K73+S73</f>
        <v>6828902.828967575</v>
      </c>
      <c r="G75"/>
      <c r="H75" s="75">
        <f>L73+T73</f>
        <v>6827592.9695408009</v>
      </c>
      <c r="M75" s="74"/>
      <c r="N75" s="74"/>
      <c r="O75" s="333"/>
      <c r="P75" s="326"/>
      <c r="Q75" s="74"/>
      <c r="R75" s="326"/>
      <c r="S75" s="74"/>
      <c r="T75" s="326"/>
      <c r="V75" s="72"/>
      <c r="W75" s="331"/>
      <c r="X75" s="328"/>
      <c r="Y75" s="72"/>
      <c r="Z75" s="331"/>
      <c r="AA75" s="328"/>
    </row>
    <row r="76" spans="1:27" x14ac:dyDescent="0.35">
      <c r="F76" s="78" t="s">
        <v>500</v>
      </c>
      <c r="H76" s="309" t="s">
        <v>595</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773</v>
      </c>
    </row>
    <row r="2" spans="1:27" ht="21" x14ac:dyDescent="0.5">
      <c r="A2" s="2" t="s">
        <v>771</v>
      </c>
    </row>
    <row r="3" spans="1:27" ht="25" customHeight="1" x14ac:dyDescent="0.5">
      <c r="A3" s="515" t="s">
        <v>754</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623</v>
      </c>
      <c r="C8" s="1"/>
      <c r="F8" s="471" t="s">
        <v>1021</v>
      </c>
      <c r="G8" s="41" t="s">
        <v>259</v>
      </c>
      <c r="J8" s="336"/>
    </row>
    <row r="10" spans="1:27" x14ac:dyDescent="0.35">
      <c r="A10" s="1" t="s">
        <v>254</v>
      </c>
      <c r="B10" s="1" t="s">
        <v>256</v>
      </c>
      <c r="C10" s="1"/>
    </row>
    <row r="11" spans="1:27" x14ac:dyDescent="0.35">
      <c r="B11" s="334" t="s">
        <v>597</v>
      </c>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616</v>
      </c>
      <c r="Y12" s="23">
        <v>9</v>
      </c>
      <c r="Z12" s="256" t="s">
        <v>617</v>
      </c>
      <c r="AA12" s="257" t="s">
        <v>618</v>
      </c>
    </row>
    <row r="13" spans="1:27" x14ac:dyDescent="0.35">
      <c r="B13" s="539" t="s">
        <v>611</v>
      </c>
      <c r="C13" s="540"/>
      <c r="D13" s="541"/>
      <c r="F13" s="533" t="s">
        <v>261</v>
      </c>
      <c r="G13" s="538"/>
      <c r="H13" s="538"/>
      <c r="I13" s="538"/>
      <c r="J13" s="538"/>
      <c r="K13" s="538"/>
      <c r="L13" s="534"/>
      <c r="N13" s="533" t="s">
        <v>262</v>
      </c>
      <c r="O13" s="538"/>
      <c r="P13" s="538"/>
      <c r="Q13" s="538"/>
      <c r="R13" s="538"/>
      <c r="S13" s="538"/>
      <c r="T13" s="534"/>
      <c r="V13" s="536" t="s">
        <v>250</v>
      </c>
      <c r="W13" s="585" t="s">
        <v>619</v>
      </c>
      <c r="X13" s="587" t="s">
        <v>620</v>
      </c>
      <c r="Y13" s="532" t="s">
        <v>312</v>
      </c>
      <c r="Z13" s="589" t="s">
        <v>621</v>
      </c>
      <c r="AA13" s="590" t="s">
        <v>624</v>
      </c>
    </row>
    <row r="14" spans="1:27" ht="55.5" customHeight="1" x14ac:dyDescent="0.35">
      <c r="B14" s="542"/>
      <c r="C14" s="543"/>
      <c r="D14" s="544"/>
      <c r="E14" s="48"/>
      <c r="F14" s="10" t="s">
        <v>214</v>
      </c>
      <c r="G14" s="258" t="s">
        <v>608</v>
      </c>
      <c r="H14" s="259" t="s">
        <v>609</v>
      </c>
      <c r="I14" s="151" t="s">
        <v>491</v>
      </c>
      <c r="J14" s="259" t="s">
        <v>612</v>
      </c>
      <c r="K14" s="151" t="s">
        <v>215</v>
      </c>
      <c r="L14" s="259" t="s">
        <v>614</v>
      </c>
      <c r="M14" s="100"/>
      <c r="N14" s="151" t="s">
        <v>214</v>
      </c>
      <c r="O14" s="258" t="s">
        <v>608</v>
      </c>
      <c r="P14" s="259" t="s">
        <v>609</v>
      </c>
      <c r="Q14" s="151" t="s">
        <v>491</v>
      </c>
      <c r="R14" s="259" t="s">
        <v>612</v>
      </c>
      <c r="S14" s="10" t="s">
        <v>215</v>
      </c>
      <c r="T14" s="259" t="s">
        <v>614</v>
      </c>
      <c r="U14" s="48"/>
      <c r="V14" s="537"/>
      <c r="W14" s="586"/>
      <c r="X14" s="588"/>
      <c r="Y14" s="532"/>
      <c r="Z14" s="589"/>
      <c r="AA14" s="590"/>
    </row>
    <row r="15" spans="1:27" x14ac:dyDescent="0.35">
      <c r="A15" s="24">
        <v>1</v>
      </c>
      <c r="B15" s="535" t="str">
        <f>IF('As-Filed Schedule 2B'!B15:D15=0,"",'As-Filed Schedule 2B'!B15:D15)</f>
        <v>3650 L.C. Criminal Justice Services</v>
      </c>
      <c r="C15" s="535"/>
      <c r="D15" s="535"/>
      <c r="F15" s="117">
        <f>'As-Filed Schedule 2B'!F15</f>
        <v>131868.09736595655</v>
      </c>
      <c r="G15" s="314">
        <f>SUMIFS(Adjustments!$G:$G,Adjustments!$H:$H,"2B",Adjustments!$I:$I,'Schedule 2B Adjustments'!$F$12,Adjustments!$J:$J,'Schedule 2B Adjustments'!$A15)</f>
        <v>0</v>
      </c>
      <c r="H15" s="310">
        <f>SUM(F15:G15)</f>
        <v>131868.09736595655</v>
      </c>
      <c r="I15" s="181">
        <f>IFERROR(F15*'As-Filed Schedule 1'!$E$103,0)</f>
        <v>22935.149181610199</v>
      </c>
      <c r="J15" s="311">
        <f>IFERROR(H15*'Adjusted Schedule 1'!$E$104,0)</f>
        <v>22905.456199170116</v>
      </c>
      <c r="K15" s="181">
        <f>SUM(F15,I15)</f>
        <v>154803.24654756676</v>
      </c>
      <c r="L15" s="311">
        <f>SUM(H15,J15)</f>
        <v>154773.55356512667</v>
      </c>
      <c r="M15" s="100"/>
      <c r="N15" s="180">
        <f>'As-Filed Schedule 2B'!J15</f>
        <v>0</v>
      </c>
      <c r="O15" s="314">
        <f>SUMIFS(Adjustments!$G:$G,Adjustments!$H:$H,"2B",Adjustments!$I:$I,'Schedule 2B Adjustments'!$N$12,Adjustments!$J:$J,'Schedule 2B Adjustments'!$A15)</f>
        <v>0</v>
      </c>
      <c r="P15" s="310">
        <f>SUM(N15:O15)</f>
        <v>0</v>
      </c>
      <c r="Q15" s="181">
        <f>IFERROR(N15*'As-Filed Schedule 1'!$E$103,0)</f>
        <v>0</v>
      </c>
      <c r="R15" s="311">
        <f>IFERROR(P15*'Adjusted Schedule 1'!$E$104,0)</f>
        <v>0</v>
      </c>
      <c r="S15" s="68">
        <f>SUM(N15,Q15)</f>
        <v>0</v>
      </c>
      <c r="T15" s="311">
        <f>SUM(P15,R15)</f>
        <v>0</v>
      </c>
      <c r="V15" s="120">
        <f>'As-Filed Schedule 2B'!N15</f>
        <v>1</v>
      </c>
      <c r="W15" s="314">
        <f>SUMIFS(Adjustments!$G:$G,Adjustments!$H:$H,"2B",Adjustments!$I:$I,'Schedule 2B Adjustments'!$V$12,Adjustments!$J:$J,'Schedule 2B Adjustments'!$A15)</f>
        <v>0</v>
      </c>
      <c r="X15" s="327">
        <f>SUM(V15:W15)</f>
        <v>1</v>
      </c>
      <c r="Y15" s="120">
        <f>'As-Filed Schedule 2B'!O15</f>
        <v>125</v>
      </c>
      <c r="Z15" s="314">
        <f>SUMIFS(Adjustments!$G:$G,Adjustments!$H:$H,"2B",Adjustments!$I:$I,'Schedule 2B Adjustments'!$Y$12,Adjustments!$J:$J,'Schedule 2B Adjustments'!$A15)</f>
        <v>0</v>
      </c>
      <c r="AA15" s="327">
        <f>SUM(Y15:Z15)</f>
        <v>125</v>
      </c>
    </row>
    <row r="16" spans="1:27" x14ac:dyDescent="0.35">
      <c r="A16" s="24">
        <v>2</v>
      </c>
      <c r="B16" s="535" t="str">
        <f>IF('As-Filed Schedule 2B'!B16:D16=0,"",'As-Filed Schedule 2B'!B16:D16)</f>
        <v>4712 Recovery Support Services -- Payeeships, Zero Suicide</v>
      </c>
      <c r="C16" s="535"/>
      <c r="D16" s="535"/>
      <c r="F16" s="117">
        <f>'As-Filed Schedule 2B'!F16</f>
        <v>47321.697354236756</v>
      </c>
      <c r="G16" s="314">
        <f>SUMIFS(Adjustments!$G:$G,Adjustments!$H:$H,"2B",Adjustments!$I:$I,'Schedule 2B Adjustments'!$F$12,Adjustments!$J:$J,'Schedule 2B Adjustments'!$A16)</f>
        <v>0</v>
      </c>
      <c r="H16" s="310">
        <f t="shared" ref="H16:H72" si="0">SUM(F16:G16)</f>
        <v>47321.697354236756</v>
      </c>
      <c r="I16" s="68">
        <f>IFERROR(F16*'As-Filed Schedule 1'!$E$103,0)</f>
        <v>8230.4227483805389</v>
      </c>
      <c r="J16" s="311">
        <f>IFERROR(H16*'Adjusted Schedule 1'!$E$104,0)</f>
        <v>8219.7672346009258</v>
      </c>
      <c r="K16" s="181">
        <f t="shared" ref="K16:K72" si="1">SUM(F16,I16)</f>
        <v>55552.120102617293</v>
      </c>
      <c r="L16" s="311">
        <f>SUM(H16,J16)</f>
        <v>55541.464588837684</v>
      </c>
      <c r="N16" s="180">
        <f>'As-Filed Schedule 2B'!J16</f>
        <v>0</v>
      </c>
      <c r="O16" s="314">
        <f>SUMIFS(Adjustments!$G:$G,Adjustments!$H:$H,"2B",Adjustments!$I:$I,'Schedule 2B Adjustments'!$N$12,Adjustments!$J:$J,'Schedule 2B Adjustments'!$A16)</f>
        <v>0</v>
      </c>
      <c r="P16" s="310">
        <f t="shared" ref="P16:P72" si="2">SUM(N16:O16)</f>
        <v>0</v>
      </c>
      <c r="Q16" s="68">
        <f>IFERROR(N16*'As-Filed Schedule 1'!$E$103,0)</f>
        <v>0</v>
      </c>
      <c r="R16" s="311">
        <f>IFERROR(P16*'Adjusted Schedule 1'!$E$104,0)</f>
        <v>0</v>
      </c>
      <c r="S16" s="68">
        <f t="shared" ref="S16:S72" si="3">SUM(N16,Q16)</f>
        <v>0</v>
      </c>
      <c r="T16" s="311">
        <f t="shared" ref="T16:T72" si="4">SUM(P16,R16)</f>
        <v>0</v>
      </c>
      <c r="V16" s="120">
        <f>'As-Filed Schedule 2B'!N16</f>
        <v>1</v>
      </c>
      <c r="W16" s="314">
        <f>SUMIFS(Adjustments!$G:$G,Adjustments!$H:$H,"2B",Adjustments!$I:$I,'Schedule 2B Adjustments'!$V$12,Adjustments!$J:$J,'Schedule 2B Adjustments'!$A16)</f>
        <v>0</v>
      </c>
      <c r="X16" s="327">
        <f t="shared" ref="X16:X72" si="5">SUM(V16:W16)</f>
        <v>1</v>
      </c>
      <c r="Y16" s="120">
        <f>'As-Filed Schedule 2B'!O16</f>
        <v>478</v>
      </c>
      <c r="Z16" s="314">
        <f>SUMIFS(Adjustments!$G:$G,Adjustments!$H:$H,"2B",Adjustments!$I:$I,'Schedule 2B Adjustments'!$Y$12,Adjustments!$J:$J,'Schedule 2B Adjustments'!$A16)</f>
        <v>0</v>
      </c>
      <c r="AA16" s="327">
        <f t="shared" ref="AA16:AA72" si="6">SUM(Y16:Z16)</f>
        <v>478</v>
      </c>
    </row>
    <row r="17" spans="1:27" x14ac:dyDescent="0.35">
      <c r="A17" s="24">
        <v>3</v>
      </c>
      <c r="B17" s="535" t="str">
        <f>IF('As-Filed Schedule 2B'!B17:D17=0,"",'As-Filed Schedule 2B'!B17:D17)</f>
        <v>4750 Competency Restoration</v>
      </c>
      <c r="C17" s="535"/>
      <c r="D17" s="535"/>
      <c r="F17" s="117">
        <f>'As-Filed Schedule 2B'!F17</f>
        <v>138989.39337600995</v>
      </c>
      <c r="G17" s="314">
        <f>SUMIFS(Adjustments!$G:$G,Adjustments!$H:$H,"2B",Adjustments!$I:$I,'Schedule 2B Adjustments'!$F$12,Adjustments!$J:$J,'Schedule 2B Adjustments'!$A17)</f>
        <v>0</v>
      </c>
      <c r="H17" s="310">
        <f t="shared" si="0"/>
        <v>138989.39337600995</v>
      </c>
      <c r="I17" s="68">
        <f>IFERROR(F17*'As-Filed Schedule 1'!$E$103,0)</f>
        <v>24173.72006887884</v>
      </c>
      <c r="J17" s="311">
        <f>IFERROR(H17*'Adjusted Schedule 1'!$E$104,0)</f>
        <v>24142.423571095766</v>
      </c>
      <c r="K17" s="181">
        <f t="shared" si="1"/>
        <v>163163.11344488879</v>
      </c>
      <c r="L17" s="311">
        <f>SUM(H17,J17)</f>
        <v>163131.81694710572</v>
      </c>
      <c r="N17" s="180">
        <f>'As-Filed Schedule 2B'!J17</f>
        <v>0</v>
      </c>
      <c r="O17" s="314">
        <f>SUMIFS(Adjustments!$G:$G,Adjustments!$H:$H,"2B",Adjustments!$I:$I,'Schedule 2B Adjustments'!$N$12,Adjustments!$J:$J,'Schedule 2B Adjustments'!$A17)</f>
        <v>0</v>
      </c>
      <c r="P17" s="310">
        <f t="shared" si="2"/>
        <v>0</v>
      </c>
      <c r="Q17" s="68">
        <f>IFERROR(N17*'As-Filed Schedule 1'!$E$103,0)</f>
        <v>0</v>
      </c>
      <c r="R17" s="311">
        <f>IFERROR(P17*'Adjusted Schedule 1'!$E$104,0)</f>
        <v>0</v>
      </c>
      <c r="S17" s="68">
        <f t="shared" si="3"/>
        <v>0</v>
      </c>
      <c r="T17" s="311">
        <f t="shared" si="4"/>
        <v>0</v>
      </c>
      <c r="V17" s="120">
        <f>'As-Filed Schedule 2B'!N17</f>
        <v>0</v>
      </c>
      <c r="W17" s="314">
        <f>SUMIFS(Adjustments!$G:$G,Adjustments!$H:$H,"2B",Adjustments!$I:$I,'Schedule 2B Adjustments'!$V$12,Adjustments!$J:$J,'Schedule 2B Adjustments'!$A17)</f>
        <v>0</v>
      </c>
      <c r="X17" s="327">
        <f t="shared" si="5"/>
        <v>0</v>
      </c>
      <c r="Y17" s="120">
        <f>'As-Filed Schedule 2B'!O17</f>
        <v>48</v>
      </c>
      <c r="Z17" s="314">
        <f>SUMIFS(Adjustments!$G:$G,Adjustments!$H:$H,"2B",Adjustments!$I:$I,'Schedule 2B Adjustments'!$Y$12,Adjustments!$J:$J,'Schedule 2B Adjustments'!$A17)</f>
        <v>0</v>
      </c>
      <c r="AA17" s="327">
        <f t="shared" si="6"/>
        <v>48</v>
      </c>
    </row>
    <row r="18" spans="1:27" x14ac:dyDescent="0.35">
      <c r="A18" s="24">
        <v>4</v>
      </c>
      <c r="B18" s="535" t="str">
        <f>IF('As-Filed Schedule 2B'!B18:D18=0,"",'As-Filed Schedule 2B'!B18:D18)</f>
        <v>9110 SAMHSA Grant</v>
      </c>
      <c r="C18" s="535"/>
      <c r="D18" s="535"/>
      <c r="F18" s="117">
        <f>'As-Filed Schedule 2B'!F18</f>
        <v>141810.83200000002</v>
      </c>
      <c r="G18" s="314">
        <f>SUMIFS(Adjustments!$G:$G,Adjustments!$H:$H,"2B",Adjustments!$I:$I,'Schedule 2B Adjustments'!$F$12,Adjustments!$J:$J,'Schedule 2B Adjustments'!$A18)</f>
        <v>0</v>
      </c>
      <c r="H18" s="310">
        <f t="shared" si="0"/>
        <v>141810.83200000002</v>
      </c>
      <c r="I18" s="68">
        <f>IFERROR(F18*'As-Filed Schedule 1'!$E$103,0)</f>
        <v>24664.438575026597</v>
      </c>
      <c r="J18" s="311">
        <f>IFERROR(H18*'Adjusted Schedule 1'!$E$104,0)</f>
        <v>24632.506768710289</v>
      </c>
      <c r="K18" s="181">
        <f t="shared" si="1"/>
        <v>166475.27057502663</v>
      </c>
      <c r="L18" s="311">
        <f t="shared" ref="L18:L72" si="7">SUM(H18,J18)</f>
        <v>166443.33876871032</v>
      </c>
      <c r="N18" s="180">
        <f>'As-Filed Schedule 2B'!J18</f>
        <v>35452.708000000006</v>
      </c>
      <c r="O18" s="314">
        <f>SUMIFS(Adjustments!$G:$G,Adjustments!$H:$H,"2B",Adjustments!$I:$I,'Schedule 2B Adjustments'!$N$12,Adjustments!$J:$J,'Schedule 2B Adjustments'!$A18)</f>
        <v>0</v>
      </c>
      <c r="P18" s="310">
        <f t="shared" si="2"/>
        <v>35452.708000000006</v>
      </c>
      <c r="Q18" s="68">
        <f>IFERROR(N18*'As-Filed Schedule 1'!$E$103,0)</f>
        <v>6166.1096437566493</v>
      </c>
      <c r="R18" s="311">
        <f>IFERROR(P18*'Adjusted Schedule 1'!$E$104,0)</f>
        <v>6158.1266921775723</v>
      </c>
      <c r="S18" s="68">
        <f t="shared" si="3"/>
        <v>41618.817643756658</v>
      </c>
      <c r="T18" s="311">
        <f t="shared" si="4"/>
        <v>41610.834692177581</v>
      </c>
      <c r="V18" s="120">
        <f>'As-Filed Schedule 2B'!N18</f>
        <v>0</v>
      </c>
      <c r="W18" s="314">
        <f>SUMIFS(Adjustments!$G:$G,Adjustments!$H:$H,"2B",Adjustments!$I:$I,'Schedule 2B Adjustments'!$V$12,Adjustments!$J:$J,'Schedule 2B Adjustments'!$A18)</f>
        <v>0</v>
      </c>
      <c r="X18" s="327">
        <f t="shared" si="5"/>
        <v>0</v>
      </c>
      <c r="Y18" s="120">
        <f>'As-Filed Schedule 2B'!O18</f>
        <v>237</v>
      </c>
      <c r="Z18" s="314">
        <f>SUMIFS(Adjustments!$G:$G,Adjustments!$H:$H,"2B",Adjustments!$I:$I,'Schedule 2B Adjustments'!$Y$12,Adjustments!$J:$J,'Schedule 2B Adjustments'!$A18)</f>
        <v>0</v>
      </c>
      <c r="AA18" s="327">
        <f t="shared" si="6"/>
        <v>237</v>
      </c>
    </row>
    <row r="19" spans="1:27" x14ac:dyDescent="0.35">
      <c r="A19" s="24">
        <v>5</v>
      </c>
      <c r="B19" s="535" t="str">
        <f>IF('As-Filed Schedule 2B'!B19:D19=0,"",'As-Filed Schedule 2B'!B19:D19)</f>
        <v>5103 School Based Mental Health Specialist</v>
      </c>
      <c r="C19" s="535"/>
      <c r="D19" s="535"/>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0</v>
      </c>
      <c r="O19" s="314">
        <f>SUMIFS(Adjustments!$G:$G,Adjustments!$H:$H,"2B",Adjustments!$I:$I,'Schedule 2B Adjustments'!$N$12,Adjustments!$J:$J,'Schedule 2B Adjustments'!$A19)</f>
        <v>0</v>
      </c>
      <c r="P19" s="310">
        <f t="shared" si="2"/>
        <v>0</v>
      </c>
      <c r="Q19" s="68">
        <f>IFERROR(N19*'As-Filed Schedule 1'!$E$103,0)</f>
        <v>0</v>
      </c>
      <c r="R19" s="311">
        <f>IFERROR(P19*'Adjusted Schedule 1'!$E$104,0)</f>
        <v>0</v>
      </c>
      <c r="S19" s="68">
        <f t="shared" si="3"/>
        <v>0</v>
      </c>
      <c r="T19" s="311">
        <f t="shared" si="4"/>
        <v>0</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35" t="str">
        <f>IF('As-Filed Schedule 2B'!B20:D20=0,"",'As-Filed Schedule 2B'!B20:D20)</f>
        <v>1990 Trauma Focused Cognitive BH</v>
      </c>
      <c r="C20" s="535"/>
      <c r="D20" s="535"/>
      <c r="F20" s="117">
        <f>'As-Filed Schedule 2B'!F20</f>
        <v>26845.08</v>
      </c>
      <c r="G20" s="314">
        <f>SUMIFS(Adjustments!$G:$G,Adjustments!$H:$H,"2B",Adjustments!$I:$I,'Schedule 2B Adjustments'!$F$12,Adjustments!$J:$J,'Schedule 2B Adjustments'!$A20)</f>
        <v>0</v>
      </c>
      <c r="H20" s="310">
        <f t="shared" si="0"/>
        <v>26845.08</v>
      </c>
      <c r="I20" s="68">
        <f>IFERROR(F20*'As-Filed Schedule 1'!$E$103,0)</f>
        <v>4669.0285739362625</v>
      </c>
      <c r="J20" s="311">
        <f>IFERROR(H20*'Adjusted Schedule 1'!$E$104,0)</f>
        <v>4662.9838178127966</v>
      </c>
      <c r="K20" s="181">
        <f t="shared" si="1"/>
        <v>31514.108573936264</v>
      </c>
      <c r="L20" s="311">
        <f t="shared" si="7"/>
        <v>31508.063817812799</v>
      </c>
      <c r="N20" s="180">
        <f>'As-Filed Schedule 2B'!J20</f>
        <v>0</v>
      </c>
      <c r="O20" s="314">
        <f>SUMIFS(Adjustments!$G:$G,Adjustments!$H:$H,"2B",Adjustments!$I:$I,'Schedule 2B Adjustments'!$N$12,Adjustments!$J:$J,'Schedule 2B Adjustments'!$A20)</f>
        <v>0</v>
      </c>
      <c r="P20" s="310">
        <f t="shared" si="2"/>
        <v>0</v>
      </c>
      <c r="Q20" s="68">
        <f>IFERROR(N20*'As-Filed Schedule 1'!$E$103,0)</f>
        <v>0</v>
      </c>
      <c r="R20" s="311">
        <f>IFERROR(P20*'Adjusted Schedule 1'!$E$104,0)</f>
        <v>0</v>
      </c>
      <c r="S20" s="68">
        <f t="shared" si="3"/>
        <v>0</v>
      </c>
      <c r="T20" s="311">
        <f>SUM(P20,R20)</f>
        <v>0</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35" t="str">
        <f>IF('As-Filed Schedule 2B'!B21:D21=0,"",'As-Filed Schedule 2B'!B21:D21)</f>
        <v>4708 Specialized Treatment Services</v>
      </c>
      <c r="C21" s="535"/>
      <c r="D21" s="535"/>
      <c r="F21" s="117">
        <f>'As-Filed Schedule 2B'!F21</f>
        <v>954.8</v>
      </c>
      <c r="G21" s="314">
        <f>SUMIFS(Adjustments!$G:$G,Adjustments!$H:$H,"2B",Adjustments!$I:$I,'Schedule 2B Adjustments'!$F$12,Adjustments!$J:$J,'Schedule 2B Adjustments'!$A21)</f>
        <v>0</v>
      </c>
      <c r="H21" s="310">
        <f t="shared" si="0"/>
        <v>954.8</v>
      </c>
      <c r="I21" s="68">
        <f>IFERROR(F21*'As-Filed Schedule 1'!$E$103,0)</f>
        <v>166.06352010850193</v>
      </c>
      <c r="J21" s="311">
        <f>IFERROR(H21*'Adjusted Schedule 1'!$E$104,0)</f>
        <v>165.84852603336097</v>
      </c>
      <c r="K21" s="181">
        <f t="shared" si="1"/>
        <v>1120.8635201085019</v>
      </c>
      <c r="L21" s="311">
        <f t="shared" si="7"/>
        <v>1120.6485260333609</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3</v>
      </c>
      <c r="W21" s="314">
        <f>SUMIFS(Adjustments!$G:$G,Adjustments!$H:$H,"2B",Adjustments!$I:$I,'Schedule 2B Adjustments'!$V$12,Adjustments!$J:$J,'Schedule 2B Adjustments'!$A21)</f>
        <v>0</v>
      </c>
      <c r="X21" s="327">
        <f t="shared" si="5"/>
        <v>3</v>
      </c>
      <c r="Y21" s="120">
        <f>'As-Filed Schedule 2B'!O21</f>
        <v>0</v>
      </c>
      <c r="Z21" s="314">
        <f>SUMIFS(Adjustments!$G:$G,Adjustments!$H:$H,"2B",Adjustments!$I:$I,'Schedule 2B Adjustments'!$Y$12,Adjustments!$J:$J,'Schedule 2B Adjustments'!$A21)</f>
        <v>0</v>
      </c>
      <c r="AA21" s="327">
        <f t="shared" si="6"/>
        <v>0</v>
      </c>
    </row>
    <row r="22" spans="1:27" x14ac:dyDescent="0.35">
      <c r="A22" s="24">
        <v>8</v>
      </c>
      <c r="B22" s="535" t="str">
        <f>IF('As-Filed Schedule 2B'!B22:D22=0,"",'As-Filed Schedule 2B'!B22:D22)</f>
        <v>5114 FFT Functional Family Therapy</v>
      </c>
      <c r="C22" s="535"/>
      <c r="D22" s="535"/>
      <c r="F22" s="117">
        <f>'As-Filed Schedule 2B'!F22</f>
        <v>-80.66</v>
      </c>
      <c r="G22" s="314">
        <f>SUMIFS(Adjustments!$G:$G,Adjustments!$H:$H,"2B",Adjustments!$I:$I,'Schedule 2B Adjustments'!$F$12,Adjustments!$J:$J,'Schedule 2B Adjustments'!$A22)</f>
        <v>0</v>
      </c>
      <c r="H22" s="310">
        <f t="shared" si="0"/>
        <v>-80.66</v>
      </c>
      <c r="I22" s="68">
        <f>IFERROR(F22*'As-Filed Schedule 1'!$E$103,0)</f>
        <v>-14.028784595676337</v>
      </c>
      <c r="J22" s="311">
        <f>IFERROR(H22*'Adjusted Schedule 1'!$E$104,0)</f>
        <v>-14.010622234866879</v>
      </c>
      <c r="K22" s="181">
        <f t="shared" si="1"/>
        <v>-94.688784595676339</v>
      </c>
      <c r="L22" s="311">
        <f t="shared" si="7"/>
        <v>-94.670622234866869</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35" t="str">
        <f>IF('As-Filed Schedule 2B'!B23:D23=0,"",'As-Filed Schedule 2B'!B23:D23)</f>
        <v>5120 LIFE PROGRAM</v>
      </c>
      <c r="C23" s="535"/>
      <c r="D23" s="535"/>
      <c r="F23" s="117">
        <f>'As-Filed Schedule 2B'!F23</f>
        <v>36321.578579879897</v>
      </c>
      <c r="G23" s="314">
        <f>SUMIFS(Adjustments!$G:$G,Adjustments!$H:$H,"2B",Adjustments!$I:$I,'Schedule 2B Adjustments'!$F$12,Adjustments!$J:$J,'Schedule 2B Adjustments'!$A23)</f>
        <v>-36322</v>
      </c>
      <c r="H23" s="310">
        <f t="shared" si="0"/>
        <v>-0.42142012010299368</v>
      </c>
      <c r="I23" s="68">
        <f>IFERROR(F23*'As-Filed Schedule 1'!$E$103,0)</f>
        <v>6317.2278957608078</v>
      </c>
      <c r="J23" s="311">
        <f>IFERROR(H23*'Adjusted Schedule 1'!$E$104,0)</f>
        <v>-7.3200571596023736E-2</v>
      </c>
      <c r="K23" s="181">
        <f t="shared" si="1"/>
        <v>42638.806475640704</v>
      </c>
      <c r="L23" s="311">
        <f t="shared" si="7"/>
        <v>-0.4946206916990174</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35" t="str">
        <f>IF('As-Filed Schedule 2B'!B24:D24=0,"",'As-Filed Schedule 2B'!B24:D24)</f>
        <v>9000 ACCESS</v>
      </c>
      <c r="C24" s="535"/>
      <c r="D24" s="535"/>
      <c r="F24" s="117">
        <f>'As-Filed Schedule 2B'!F24</f>
        <v>467.99</v>
      </c>
      <c r="G24" s="314">
        <f>SUMIFS(Adjustments!$G:$G,Adjustments!$H:$H,"2B",Adjustments!$I:$I,'Schedule 2B Adjustments'!$F$12,Adjustments!$J:$J,'Schedule 2B Adjustments'!$A24)</f>
        <v>0</v>
      </c>
      <c r="H24" s="310">
        <f t="shared" si="0"/>
        <v>467.99</v>
      </c>
      <c r="I24" s="68">
        <f>IFERROR(F24*'As-Filed Schedule 1'!$E$103,0)</f>
        <v>81.395126493064339</v>
      </c>
      <c r="J24" s="311">
        <f>IFERROR(H24*'Adjusted Schedule 1'!$E$104,0)</f>
        <v>81.289748322531011</v>
      </c>
      <c r="K24" s="181">
        <f t="shared" si="1"/>
        <v>549.38512649306438</v>
      </c>
      <c r="L24" s="311">
        <f t="shared" si="7"/>
        <v>549.27974832253108</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35" t="str">
        <f>IF('As-Filed Schedule 2B'!B25:D25=0,"",'As-Filed Schedule 2B'!B25:D25)</f>
        <v/>
      </c>
      <c r="C25" s="535"/>
      <c r="D25" s="535"/>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35" t="str">
        <f>IF('As-Filed Schedule 2B'!B26:D26=0,"",'As-Filed Schedule 2B'!B26:D26)</f>
        <v/>
      </c>
      <c r="C26" s="535"/>
      <c r="D26" s="535"/>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35" t="str">
        <f>IF('As-Filed Schedule 2B'!B27:D27=0,"",'As-Filed Schedule 2B'!B27:D27)</f>
        <v/>
      </c>
      <c r="C27" s="535"/>
      <c r="D27" s="535"/>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35" t="str">
        <f>IF('As-Filed Schedule 2B'!B28:D28=0,"",'As-Filed Schedule 2B'!B28:D28)</f>
        <v/>
      </c>
      <c r="C28" s="535"/>
      <c r="D28" s="535"/>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35" t="str">
        <f>IF('As-Filed Schedule 2B'!B29:D29=0,"",'As-Filed Schedule 2B'!B29:D29)</f>
        <v/>
      </c>
      <c r="C29" s="535"/>
      <c r="D29" s="535"/>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35" t="str">
        <f>IF('As-Filed Schedule 2B'!B30:D30=0,"",'As-Filed Schedule 2B'!B30:D30)</f>
        <v/>
      </c>
      <c r="C30" s="535"/>
      <c r="D30" s="535"/>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35" t="str">
        <f>IF('As-Filed Schedule 2B'!B31:D31=0,"",'As-Filed Schedule 2B'!B31:D31)</f>
        <v/>
      </c>
      <c r="C31" s="535"/>
      <c r="D31" s="535"/>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35" t="str">
        <f>IF('As-Filed Schedule 2B'!B32:D32=0,"",'As-Filed Schedule 2B'!B32:D32)</f>
        <v/>
      </c>
      <c r="C32" s="535"/>
      <c r="D32" s="535"/>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35" t="str">
        <f>IF('As-Filed Schedule 2B'!B33:D33=0,"",'As-Filed Schedule 2B'!B33:D33)</f>
        <v/>
      </c>
      <c r="C33" s="535"/>
      <c r="D33" s="535"/>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35" t="str">
        <f>IF('As-Filed Schedule 2B'!B34:D34=0,"",'As-Filed Schedule 2B'!B34:D34)</f>
        <v/>
      </c>
      <c r="C34" s="535"/>
      <c r="D34" s="535"/>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35" t="str">
        <f>IF('As-Filed Schedule 2B'!B35:D35=0,"",'As-Filed Schedule 2B'!B35:D35)</f>
        <v/>
      </c>
      <c r="C35" s="535"/>
      <c r="D35" s="535"/>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35" t="str">
        <f>IF('As-Filed Schedule 2B'!B36:D36=0,"",'As-Filed Schedule 2B'!B36:D36)</f>
        <v/>
      </c>
      <c r="C36" s="535"/>
      <c r="D36" s="535"/>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35" t="str">
        <f>IF('As-Filed Schedule 2B'!B37:D37=0,"",'As-Filed Schedule 2B'!B37:D37)</f>
        <v/>
      </c>
      <c r="C37" s="535"/>
      <c r="D37" s="535"/>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35" t="str">
        <f>IF('As-Filed Schedule 2B'!B38:D38=0,"",'As-Filed Schedule 2B'!B38:D38)</f>
        <v/>
      </c>
      <c r="C38" s="535"/>
      <c r="D38" s="535"/>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35" t="str">
        <f>IF('As-Filed Schedule 2B'!B39:D39=0,"",'As-Filed Schedule 2B'!B39:D39)</f>
        <v/>
      </c>
      <c r="C39" s="535"/>
      <c r="D39" s="535"/>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35" t="str">
        <f>IF('As-Filed Schedule 2B'!B40:D40=0,"",'As-Filed Schedule 2B'!B40:D40)</f>
        <v/>
      </c>
      <c r="C40" s="535"/>
      <c r="D40" s="535"/>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35" t="str">
        <f>IF('As-Filed Schedule 2B'!B41:D41=0,"",'As-Filed Schedule 2B'!B41:D41)</f>
        <v/>
      </c>
      <c r="C41" s="535"/>
      <c r="D41" s="535"/>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35" t="str">
        <f>IF('As-Filed Schedule 2B'!B42:D42=0,"",'As-Filed Schedule 2B'!B42:D42)</f>
        <v/>
      </c>
      <c r="C42" s="535"/>
      <c r="D42" s="535"/>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35" t="str">
        <f>IF('As-Filed Schedule 2B'!B43:D43=0,"",'As-Filed Schedule 2B'!B43:D43)</f>
        <v/>
      </c>
      <c r="C43" s="535"/>
      <c r="D43" s="535"/>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35" t="str">
        <f>IF('As-Filed Schedule 2B'!B44:D44=0,"",'As-Filed Schedule 2B'!B44:D44)</f>
        <v/>
      </c>
      <c r="C44" s="535"/>
      <c r="D44" s="535"/>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35" t="str">
        <f>IF('As-Filed Schedule 2B'!B45:D45=0,"",'As-Filed Schedule 2B'!B45:D45)</f>
        <v/>
      </c>
      <c r="C45" s="535"/>
      <c r="D45" s="535"/>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35" t="str">
        <f>IF('As-Filed Schedule 2B'!B46:D46=0,"",'As-Filed Schedule 2B'!B46:D46)</f>
        <v/>
      </c>
      <c r="C46" s="535"/>
      <c r="D46" s="535"/>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35" t="str">
        <f>IF('As-Filed Schedule 2B'!B47:D47=0,"",'As-Filed Schedule 2B'!B47:D47)</f>
        <v/>
      </c>
      <c r="C47" s="535"/>
      <c r="D47" s="535"/>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35" t="str">
        <f>IF('As-Filed Schedule 2B'!B48:D48=0,"",'As-Filed Schedule 2B'!B48:D48)</f>
        <v/>
      </c>
      <c r="C48" s="535"/>
      <c r="D48" s="535"/>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35" t="str">
        <f>IF('As-Filed Schedule 2B'!B49:D49=0,"",'As-Filed Schedule 2B'!B49:D49)</f>
        <v/>
      </c>
      <c r="C49" s="535"/>
      <c r="D49" s="535"/>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35" t="str">
        <f>IF('As-Filed Schedule 2B'!B50:D50=0,"",'As-Filed Schedule 2B'!B50:D50)</f>
        <v/>
      </c>
      <c r="C50" s="535"/>
      <c r="D50" s="535"/>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35" t="str">
        <f>IF('As-Filed Schedule 2B'!B51:D51=0,"",'As-Filed Schedule 2B'!B51:D51)</f>
        <v/>
      </c>
      <c r="C51" s="535"/>
      <c r="D51" s="535"/>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35" t="str">
        <f>IF('As-Filed Schedule 2B'!B52:D52=0,"",'As-Filed Schedule 2B'!B52:D52)</f>
        <v/>
      </c>
      <c r="C52" s="535"/>
      <c r="D52" s="535"/>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35" t="str">
        <f>IF('As-Filed Schedule 2B'!B53:D53=0,"",'As-Filed Schedule 2B'!B53:D53)</f>
        <v/>
      </c>
      <c r="C53" s="535"/>
      <c r="D53" s="535"/>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35" t="str">
        <f>IF('As-Filed Schedule 2B'!B54:D54=0,"",'As-Filed Schedule 2B'!B54:D54)</f>
        <v/>
      </c>
      <c r="C54" s="535"/>
      <c r="D54" s="535"/>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35" t="str">
        <f>IF('As-Filed Schedule 2B'!B55:D55=0,"",'As-Filed Schedule 2B'!B55:D55)</f>
        <v/>
      </c>
      <c r="C55" s="535"/>
      <c r="D55" s="535"/>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35" t="str">
        <f>IF('As-Filed Schedule 2B'!B56:D56=0,"",'As-Filed Schedule 2B'!B56:D56)</f>
        <v/>
      </c>
      <c r="C56" s="535"/>
      <c r="D56" s="535"/>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35" t="str">
        <f>IF('As-Filed Schedule 2B'!B57:D57=0,"",'As-Filed Schedule 2B'!B57:D57)</f>
        <v/>
      </c>
      <c r="C57" s="535"/>
      <c r="D57" s="535"/>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35" t="str">
        <f>IF('As-Filed Schedule 2B'!B58:D58=0,"",'As-Filed Schedule 2B'!B58:D58)</f>
        <v/>
      </c>
      <c r="C58" s="535"/>
      <c r="D58" s="535"/>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35" t="str">
        <f>IF('As-Filed Schedule 2B'!B59:D59=0,"",'As-Filed Schedule 2B'!B59:D59)</f>
        <v/>
      </c>
      <c r="C59" s="535"/>
      <c r="D59" s="535"/>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35" t="str">
        <f>IF('As-Filed Schedule 2B'!B60:D60=0,"",'As-Filed Schedule 2B'!B60:D60)</f>
        <v/>
      </c>
      <c r="C60" s="535"/>
      <c r="D60" s="535"/>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35" t="str">
        <f>IF('As-Filed Schedule 2B'!B61:D61=0,"",'As-Filed Schedule 2B'!B61:D61)</f>
        <v/>
      </c>
      <c r="C61" s="535"/>
      <c r="D61" s="535"/>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35" t="str">
        <f>IF('As-Filed Schedule 2B'!B62:D62=0,"",'As-Filed Schedule 2B'!B62:D62)</f>
        <v/>
      </c>
      <c r="C62" s="535"/>
      <c r="D62" s="535"/>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35" t="str">
        <f>IF('As-Filed Schedule 2B'!B63:D63=0,"",'As-Filed Schedule 2B'!B63:D63)</f>
        <v/>
      </c>
      <c r="C63" s="535"/>
      <c r="D63" s="535"/>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35" t="str">
        <f>IF('As-Filed Schedule 2B'!B64:D64=0,"",'As-Filed Schedule 2B'!B64:D64)</f>
        <v/>
      </c>
      <c r="C64" s="535"/>
      <c r="D64" s="535"/>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35" t="str">
        <f>IF('As-Filed Schedule 2B'!B65:D65=0,"",'As-Filed Schedule 2B'!B65:D65)</f>
        <v/>
      </c>
      <c r="C65" s="535"/>
      <c r="D65" s="535"/>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35" t="str">
        <f>IF('As-Filed Schedule 2B'!B66:D66=0,"",'As-Filed Schedule 2B'!B66:D66)</f>
        <v/>
      </c>
      <c r="C66" s="535"/>
      <c r="D66" s="535"/>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35" t="str">
        <f>IF('As-Filed Schedule 2B'!B67:D67=0,"",'As-Filed Schedule 2B'!B67:D67)</f>
        <v/>
      </c>
      <c r="C67" s="535"/>
      <c r="D67" s="535"/>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35" t="str">
        <f>IF('As-Filed Schedule 2B'!B68:D68=0,"",'As-Filed Schedule 2B'!B68:D68)</f>
        <v/>
      </c>
      <c r="C68" s="535"/>
      <c r="D68" s="535"/>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35" t="str">
        <f>IF('As-Filed Schedule 2B'!B69:D69=0,"",'As-Filed Schedule 2B'!B69:D69)</f>
        <v/>
      </c>
      <c r="C69" s="535"/>
      <c r="D69" s="535"/>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35" t="str">
        <f>IF('As-Filed Schedule 2B'!B70:D70=0,"",'As-Filed Schedule 2B'!B70:D70)</f>
        <v/>
      </c>
      <c r="C70" s="535"/>
      <c r="D70" s="535"/>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35" t="str">
        <f>IF('As-Filed Schedule 2B'!B71:D71=0,"",'As-Filed Schedule 2B'!B71:D71)</f>
        <v/>
      </c>
      <c r="C71" s="535"/>
      <c r="D71" s="535"/>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35" t="str">
        <f>IF('As-Filed Schedule 2B'!B72:D72=0,"",'As-Filed Schedule 2B'!B72:D72)</f>
        <v/>
      </c>
      <c r="C72" s="535"/>
      <c r="D72" s="535"/>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524498.80867608322</v>
      </c>
      <c r="G73" s="321">
        <f t="shared" ref="G73:H73" si="8">SUM(G15:G72)</f>
        <v>-36322</v>
      </c>
      <c r="H73" s="312">
        <f t="shared" si="8"/>
        <v>488176.80867608322</v>
      </c>
      <c r="I73" s="18">
        <f t="shared" ref="I73:K73" si="9">SUM(I15:I72)</f>
        <v>91223.416905599122</v>
      </c>
      <c r="J73" s="312">
        <f t="shared" ref="J73" si="10">SUM(J15:J72)</f>
        <v>84796.192042939307</v>
      </c>
      <c r="K73" s="18">
        <f t="shared" si="9"/>
        <v>615722.22558168229</v>
      </c>
      <c r="L73" s="312">
        <f t="shared" ref="L73" si="11">SUM(L15:L72)</f>
        <v>572973.0007190227</v>
      </c>
      <c r="N73" s="18">
        <f>SUM(N15:N72)</f>
        <v>35452.708000000006</v>
      </c>
      <c r="O73" s="321">
        <f t="shared" ref="O73:P73" si="12">SUM(O15:O72)</f>
        <v>0</v>
      </c>
      <c r="P73" s="312">
        <f t="shared" si="12"/>
        <v>35452.708000000006</v>
      </c>
      <c r="Q73" s="18">
        <f t="shared" ref="Q73:S73" si="13">SUM(Q15:Q72)</f>
        <v>6166.1096437566493</v>
      </c>
      <c r="R73" s="311">
        <f>IFERROR(P73*'Adjusted Schedule 1'!$E$104,0)</f>
        <v>6158.1266921775723</v>
      </c>
      <c r="S73" s="18">
        <f t="shared" si="13"/>
        <v>41618.817643756658</v>
      </c>
      <c r="T73" s="312">
        <f>SUM(T15:T72)</f>
        <v>41610.834692177581</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460</v>
      </c>
      <c r="F75" s="75">
        <f>K73+S73</f>
        <v>657341.04322543892</v>
      </c>
      <c r="G75"/>
      <c r="H75" s="335">
        <f>L73+T73</f>
        <v>614583.8354112003</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election activeCell="D8" sqref="D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773</v>
      </c>
    </row>
    <row r="2" spans="1:27" ht="21" x14ac:dyDescent="0.5">
      <c r="A2" s="2" t="s">
        <v>771</v>
      </c>
    </row>
    <row r="3" spans="1:27" ht="25" customHeight="1" x14ac:dyDescent="0.5">
      <c r="A3" s="515" t="s">
        <v>753</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626</v>
      </c>
      <c r="C8" s="1"/>
      <c r="D8" s="471" t="s">
        <v>1021</v>
      </c>
      <c r="E8" s="41" t="s">
        <v>259</v>
      </c>
    </row>
    <row r="10" spans="1:27" x14ac:dyDescent="0.35">
      <c r="A10" s="1" t="s">
        <v>254</v>
      </c>
      <c r="B10" s="1" t="s">
        <v>256</v>
      </c>
      <c r="C10" s="1"/>
    </row>
    <row r="11" spans="1:27" x14ac:dyDescent="0.35">
      <c r="B11" s="334" t="s">
        <v>597</v>
      </c>
    </row>
    <row r="12" spans="1:27" x14ac:dyDescent="0.35">
      <c r="B12" s="530">
        <v>1</v>
      </c>
      <c r="C12" s="530"/>
      <c r="D12" s="530"/>
      <c r="F12" s="23">
        <v>2</v>
      </c>
      <c r="G12" s="256" t="s">
        <v>556</v>
      </c>
      <c r="H12" s="257" t="s">
        <v>625</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616</v>
      </c>
      <c r="Y12" s="23">
        <v>9</v>
      </c>
      <c r="Z12" s="256" t="s">
        <v>617</v>
      </c>
      <c r="AA12" s="257" t="s">
        <v>618</v>
      </c>
    </row>
    <row r="13" spans="1:27" x14ac:dyDescent="0.35">
      <c r="B13" s="539" t="s">
        <v>611</v>
      </c>
      <c r="C13" s="540"/>
      <c r="D13" s="541"/>
      <c r="F13" s="533" t="s">
        <v>261</v>
      </c>
      <c r="G13" s="538"/>
      <c r="H13" s="538"/>
      <c r="I13" s="538"/>
      <c r="J13" s="538"/>
      <c r="K13" s="538"/>
      <c r="L13" s="534"/>
      <c r="N13" s="533" t="s">
        <v>262</v>
      </c>
      <c r="O13" s="538"/>
      <c r="P13" s="538"/>
      <c r="Q13" s="538"/>
      <c r="R13" s="538"/>
      <c r="S13" s="538"/>
      <c r="T13" s="534"/>
      <c r="V13" s="536" t="s">
        <v>250</v>
      </c>
      <c r="W13" s="585" t="s">
        <v>619</v>
      </c>
      <c r="X13" s="587" t="s">
        <v>620</v>
      </c>
      <c r="Y13" s="532" t="s">
        <v>312</v>
      </c>
      <c r="Z13" s="589" t="s">
        <v>621</v>
      </c>
      <c r="AA13" s="590" t="s">
        <v>622</v>
      </c>
    </row>
    <row r="14" spans="1:27" ht="55.5" customHeight="1" x14ac:dyDescent="0.35">
      <c r="B14" s="542"/>
      <c r="C14" s="543"/>
      <c r="D14" s="544"/>
      <c r="E14" s="48"/>
      <c r="F14" s="10" t="s">
        <v>214</v>
      </c>
      <c r="G14" s="258" t="s">
        <v>608</v>
      </c>
      <c r="H14" s="259" t="s">
        <v>609</v>
      </c>
      <c r="I14" s="151" t="s">
        <v>491</v>
      </c>
      <c r="J14" s="259" t="s">
        <v>612</v>
      </c>
      <c r="K14" s="151" t="s">
        <v>215</v>
      </c>
      <c r="L14" s="259" t="s">
        <v>614</v>
      </c>
      <c r="M14" s="100"/>
      <c r="N14" s="151" t="s">
        <v>214</v>
      </c>
      <c r="O14" s="258" t="s">
        <v>608</v>
      </c>
      <c r="P14" s="259" t="s">
        <v>609</v>
      </c>
      <c r="Q14" s="151" t="s">
        <v>491</v>
      </c>
      <c r="R14" s="259" t="s">
        <v>612</v>
      </c>
      <c r="S14" s="10" t="s">
        <v>215</v>
      </c>
      <c r="T14" s="259" t="s">
        <v>614</v>
      </c>
      <c r="U14" s="48"/>
      <c r="V14" s="537"/>
      <c r="W14" s="586"/>
      <c r="X14" s="588"/>
      <c r="Y14" s="532"/>
      <c r="Z14" s="589"/>
      <c r="AA14" s="590"/>
    </row>
    <row r="15" spans="1:27" x14ac:dyDescent="0.35">
      <c r="A15" s="24">
        <v>1</v>
      </c>
      <c r="B15" s="535" t="str">
        <f>IF('As-Filed Schedule 2C'!B15:D15=0,"",'As-Filed Schedule 2C'!B15:D15)</f>
        <v>3000 Medical Services</v>
      </c>
      <c r="C15" s="535"/>
      <c r="D15" s="535"/>
      <c r="F15" s="117">
        <f>'As-Filed Schedule 2C'!F15</f>
        <v>6276952.2700817408</v>
      </c>
      <c r="G15" s="314">
        <f>SUMIFS(Adjustments!$G:$G,Adjustments!$H:$H,"2C",Adjustments!$I:$I,'Schedule 2C Adjustments'!$F$12,Adjustments!$J:$J,'Schedule 2C Adjustments'!$A15)</f>
        <v>0</v>
      </c>
      <c r="H15" s="310">
        <f>SUM(F15:G15)</f>
        <v>6276952.2700817408</v>
      </c>
      <c r="I15" s="68">
        <f>IFERROR(F15*'As-Filed Schedule 1'!$E$103,0)</f>
        <v>1091718.464100153</v>
      </c>
      <c r="J15" s="311">
        <f>IFERROR(H15*'Adjusted Schedule 1'!$E$104,0)</f>
        <v>1090305.0711927272</v>
      </c>
      <c r="K15" s="68">
        <f>SUM(F15,I15)</f>
        <v>7368670.734181894</v>
      </c>
      <c r="L15" s="311">
        <f>SUM(H15,J15)</f>
        <v>7367257.3412744682</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38.099999999999994</v>
      </c>
      <c r="W15" s="314">
        <f>SUMIFS(Adjustments!$G:$G,Adjustments!$H:$H,"2C",Adjustments!$I:$I,'Schedule 2C Adjustments'!$V$12,Adjustments!$J:$J,'Schedule 2C Adjustments'!$A15)</f>
        <v>0</v>
      </c>
      <c r="X15" s="310">
        <f>SUM(V15:W15)</f>
        <v>38.099999999999994</v>
      </c>
      <c r="Y15" s="120">
        <f>'As-Filed Schedule 2C'!O15</f>
        <v>8299</v>
      </c>
      <c r="Z15" s="314">
        <f>SUMIFS(Adjustments!$G:$G,Adjustments!$H:$H,"2C",Adjustments!$I:$I,'Schedule 2C Adjustments'!$Y$12,Adjustments!$J:$J,'Schedule 2C Adjustments'!$A15)</f>
        <v>0</v>
      </c>
      <c r="AA15" s="310">
        <f>SUM(Y15:Z15)</f>
        <v>8299</v>
      </c>
    </row>
    <row r="16" spans="1:27" x14ac:dyDescent="0.35">
      <c r="A16" s="24">
        <v>2</v>
      </c>
      <c r="B16" s="535" t="str">
        <f>IF('As-Filed Schedule 2C'!B16:D16=0,"",'As-Filed Schedule 2C'!B16:D16)</f>
        <v>3050 Access Team</v>
      </c>
      <c r="C16" s="535"/>
      <c r="D16" s="535"/>
      <c r="F16" s="117">
        <f>'As-Filed Schedule 2C'!F16</f>
        <v>2659720.5485525425</v>
      </c>
      <c r="G16" s="314">
        <f>SUMIFS(Adjustments!$G:$G,Adjustments!$H:$H,"2C",Adjustments!$I:$I,'Schedule 2C Adjustments'!$F$12,Adjustments!$J:$J,'Schedule 2C Adjustments'!$A16)</f>
        <v>0</v>
      </c>
      <c r="H16" s="310">
        <f t="shared" ref="H16:H72" si="0">SUM(F16:G16)</f>
        <v>2659720.5485525425</v>
      </c>
      <c r="I16" s="68">
        <f>IFERROR(F16*'As-Filed Schedule 1'!$E$103,0)</f>
        <v>462591.70171507221</v>
      </c>
      <c r="J16" s="311">
        <f>IFERROR(H16*'Adjusted Schedule 1'!$E$104,0)</f>
        <v>461992.8075388369</v>
      </c>
      <c r="K16" s="68">
        <f t="shared" ref="K16:K72" si="1">SUM(F16,I16)</f>
        <v>3122312.2502676146</v>
      </c>
      <c r="L16" s="311">
        <f t="shared" ref="L16:L72" si="2">SUM(H16,J16)</f>
        <v>3121713.3560913792</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28.25</v>
      </c>
      <c r="W16" s="314">
        <f>SUMIFS(Adjustments!$G:$G,Adjustments!$H:$H,"2C",Adjustments!$I:$I,'Schedule 2C Adjustments'!$V$12,Adjustments!$J:$J,'Schedule 2C Adjustments'!$A16)</f>
        <v>0</v>
      </c>
      <c r="X16" s="310">
        <f t="shared" ref="X16:X72" si="6">SUM(V16:W16)</f>
        <v>28.25</v>
      </c>
      <c r="Y16" s="120">
        <f>'As-Filed Schedule 2C'!O16</f>
        <v>2400</v>
      </c>
      <c r="Z16" s="314">
        <f>SUMIFS(Adjustments!$G:$G,Adjustments!$H:$H,"2C",Adjustments!$I:$I,'Schedule 2C Adjustments'!$Y$12,Adjustments!$J:$J,'Schedule 2C Adjustments'!$A16)</f>
        <v>0</v>
      </c>
      <c r="AA16" s="310">
        <f t="shared" ref="AA16:AA72" si="7">SUM(Y16:Z16)</f>
        <v>2400</v>
      </c>
    </row>
    <row r="17" spans="1:27" x14ac:dyDescent="0.35">
      <c r="A17" s="24">
        <v>3</v>
      </c>
      <c r="B17" s="535" t="str">
        <f>IF('As-Filed Schedule 2C'!B17:D17=0,"",'As-Filed Schedule 2C'!B17:D17)</f>
        <v>3400 Homebound</v>
      </c>
      <c r="C17" s="535"/>
      <c r="D17" s="535"/>
      <c r="F17" s="117">
        <f>'As-Filed Schedule 2C'!F17</f>
        <v>455447.4512426221</v>
      </c>
      <c r="G17" s="314">
        <f>SUMIFS(Adjustments!$G:$G,Adjustments!$H:$H,"2C",Adjustments!$I:$I,'Schedule 2C Adjustments'!$F$12,Adjustments!$J:$J,'Schedule 2C Adjustments'!$A17)</f>
        <v>0</v>
      </c>
      <c r="H17" s="310">
        <f t="shared" si="0"/>
        <v>455447.4512426221</v>
      </c>
      <c r="I17" s="68">
        <f>IFERROR(F17*'As-Filed Schedule 1'!$E$103,0)</f>
        <v>79213.664618553768</v>
      </c>
      <c r="J17" s="311">
        <f>IFERROR(H17*'Adjusted Schedule 1'!$E$104,0)</f>
        <v>79111.110676832759</v>
      </c>
      <c r="K17" s="68">
        <f t="shared" si="1"/>
        <v>534661.11586117581</v>
      </c>
      <c r="L17" s="311">
        <f t="shared" si="2"/>
        <v>534558.56191945483</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7.5</v>
      </c>
      <c r="W17" s="314">
        <f>SUMIFS(Adjustments!$G:$G,Adjustments!$H:$H,"2C",Adjustments!$I:$I,'Schedule 2C Adjustments'!$V$12,Adjustments!$J:$J,'Schedule 2C Adjustments'!$A17)</f>
        <v>0</v>
      </c>
      <c r="X17" s="310">
        <f t="shared" si="6"/>
        <v>7.5</v>
      </c>
      <c r="Y17" s="120">
        <f>'As-Filed Schedule 2C'!O17</f>
        <v>759</v>
      </c>
      <c r="Z17" s="314">
        <f>SUMIFS(Adjustments!$G:$G,Adjustments!$H:$H,"2C",Adjustments!$I:$I,'Schedule 2C Adjustments'!$Y$12,Adjustments!$J:$J,'Schedule 2C Adjustments'!$A17)</f>
        <v>0</v>
      </c>
      <c r="AA17" s="310">
        <f t="shared" si="7"/>
        <v>759</v>
      </c>
    </row>
    <row r="18" spans="1:27" x14ac:dyDescent="0.35">
      <c r="A18" s="24">
        <v>4</v>
      </c>
      <c r="B18" s="535" t="str">
        <f>IF('As-Filed Schedule 2C'!B18:D18=0,"",'As-Filed Schedule 2C'!B18:D18)</f>
        <v>3410 Foothills Gateway</v>
      </c>
      <c r="C18" s="535"/>
      <c r="D18" s="535"/>
      <c r="F18" s="117">
        <f>'As-Filed Schedule 2C'!F18</f>
        <v>322511.63680755458</v>
      </c>
      <c r="G18" s="314">
        <f>SUMIFS(Adjustments!$G:$G,Adjustments!$H:$H,"2C",Adjustments!$I:$I,'Schedule 2C Adjustments'!$F$12,Adjustments!$J:$J,'Schedule 2C Adjustments'!$A18)</f>
        <v>0</v>
      </c>
      <c r="H18" s="310">
        <f t="shared" si="0"/>
        <v>322511.63680755458</v>
      </c>
      <c r="I18" s="68">
        <f>IFERROR(F18*'As-Filed Schedule 1'!$E$103,0)</f>
        <v>56092.812823855485</v>
      </c>
      <c r="J18" s="311">
        <f>IFERROR(H18*'Adjusted Schedule 1'!$E$104,0)</f>
        <v>56020.192284394194</v>
      </c>
      <c r="K18" s="68">
        <f t="shared" si="1"/>
        <v>378604.44963141007</v>
      </c>
      <c r="L18" s="311">
        <f>SUM(H18,J18)</f>
        <v>378531.82909194875</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2</v>
      </c>
      <c r="W18" s="314">
        <f>SUMIFS(Adjustments!$G:$G,Adjustments!$H:$H,"2C",Adjustments!$I:$I,'Schedule 2C Adjustments'!$V$12,Adjustments!$J:$J,'Schedule 2C Adjustments'!$A18)</f>
        <v>0</v>
      </c>
      <c r="X18" s="310">
        <f t="shared" si="6"/>
        <v>2</v>
      </c>
      <c r="Y18" s="120">
        <f>'As-Filed Schedule 2C'!O18</f>
        <v>1494</v>
      </c>
      <c r="Z18" s="314">
        <f>SUMIFS(Adjustments!$G:$G,Adjustments!$H:$H,"2C",Adjustments!$I:$I,'Schedule 2C Adjustments'!$Y$12,Adjustments!$J:$J,'Schedule 2C Adjustments'!$A18)</f>
        <v>0</v>
      </c>
      <c r="AA18" s="310">
        <f t="shared" si="7"/>
        <v>1494</v>
      </c>
    </row>
    <row r="19" spans="1:27" x14ac:dyDescent="0.35">
      <c r="A19" s="24">
        <v>5</v>
      </c>
      <c r="B19" s="535" t="str">
        <f>IF('As-Filed Schedule 2C'!B19:D19=0,"",'As-Filed Schedule 2C'!B19:D19)</f>
        <v>3500 Bristlecone Outpatient</v>
      </c>
      <c r="C19" s="535"/>
      <c r="D19" s="535"/>
      <c r="F19" s="117">
        <f>'As-Filed Schedule 2C'!F19</f>
        <v>2473934.9064316326</v>
      </c>
      <c r="G19" s="314">
        <f>SUMIFS(Adjustments!$G:$G,Adjustments!$H:$H,"2C",Adjustments!$I:$I,'Schedule 2C Adjustments'!$F$12,Adjustments!$J:$J,'Schedule 2C Adjustments'!$A19)</f>
        <v>0</v>
      </c>
      <c r="H19" s="310">
        <f t="shared" si="0"/>
        <v>2473934.9064316326</v>
      </c>
      <c r="I19" s="68">
        <f>IFERROR(F19*'As-Filed Schedule 1'!$E$103,0)</f>
        <v>430278.94750872883</v>
      </c>
      <c r="J19" s="311">
        <f>IFERROR(H19*'Adjusted Schedule 1'!$E$104,0)</f>
        <v>429721.88702782476</v>
      </c>
      <c r="K19" s="68">
        <f t="shared" si="1"/>
        <v>2904213.8539403612</v>
      </c>
      <c r="L19" s="311">
        <f t="shared" si="2"/>
        <v>2903656.7934594573</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20.05</v>
      </c>
      <c r="W19" s="314">
        <f>SUMIFS(Adjustments!$G:$G,Adjustments!$H:$H,"2C",Adjustments!$I:$I,'Schedule 2C Adjustments'!$V$12,Adjustments!$J:$J,'Schedule 2C Adjustments'!$A19)</f>
        <v>0</v>
      </c>
      <c r="X19" s="310">
        <f t="shared" si="6"/>
        <v>20.05</v>
      </c>
      <c r="Y19" s="120">
        <f>'As-Filed Schedule 2C'!O19</f>
        <v>8180</v>
      </c>
      <c r="Z19" s="314">
        <f>SUMIFS(Adjustments!$G:$G,Adjustments!$H:$H,"2C",Adjustments!$I:$I,'Schedule 2C Adjustments'!$Y$12,Adjustments!$J:$J,'Schedule 2C Adjustments'!$A19)</f>
        <v>0</v>
      </c>
      <c r="AA19" s="310">
        <f t="shared" si="7"/>
        <v>8180</v>
      </c>
    </row>
    <row r="20" spans="1:27" x14ac:dyDescent="0.35">
      <c r="A20" s="24">
        <v>6</v>
      </c>
      <c r="B20" s="535" t="str">
        <f>IF('As-Filed Schedule 2C'!B20:D20=0,"",'As-Filed Schedule 2C'!B20:D20)</f>
        <v>3510 Estes Park Outpatient</v>
      </c>
      <c r="C20" s="535"/>
      <c r="D20" s="535"/>
      <c r="F20" s="117">
        <f>'As-Filed Schedule 2C'!F20</f>
        <v>281007.91305065749</v>
      </c>
      <c r="G20" s="314">
        <f>SUMIFS(Adjustments!$G:$G,Adjustments!$H:$H,"2C",Adjustments!$I:$I,'Schedule 2C Adjustments'!$F$12,Adjustments!$J:$J,'Schedule 2C Adjustments'!$A20)</f>
        <v>0</v>
      </c>
      <c r="H20" s="310">
        <f t="shared" si="0"/>
        <v>281007.91305065749</v>
      </c>
      <c r="I20" s="68">
        <f>IFERROR(F20*'As-Filed Schedule 1'!$E$103,0)</f>
        <v>48874.28070751574</v>
      </c>
      <c r="J20" s="311">
        <f>IFERROR(H20*'Adjusted Schedule 1'!$E$104,0)</f>
        <v>48811.00563800001</v>
      </c>
      <c r="K20" s="68">
        <f>SUM(F20,I20)</f>
        <v>329882.19375817321</v>
      </c>
      <c r="L20" s="311">
        <f t="shared" si="2"/>
        <v>329818.91868865752</v>
      </c>
      <c r="N20" s="117">
        <f>'As-Filed Schedule 2C'!J20</f>
        <v>0</v>
      </c>
      <c r="O20" s="314">
        <f>SUMIFS(Adjustments!$G:$G,Adjustments!$H:$H,"2C",Adjustments!$I:$I,'Schedule 2C Adjustments'!$N$12,Adjustments!$J:$J,'Schedule 2C Adjustments'!$A20)</f>
        <v>0</v>
      </c>
      <c r="P20" s="310">
        <f t="shared" si="3"/>
        <v>0</v>
      </c>
      <c r="Q20" s="68">
        <f>IFERROR(N20*'As-Filed Schedule 1'!$E$103,0)</f>
        <v>0</v>
      </c>
      <c r="R20" s="311">
        <f>IFERROR(P20*'Adjusted Schedule 1'!$E$104,0)</f>
        <v>0</v>
      </c>
      <c r="S20" s="68">
        <f t="shared" si="4"/>
        <v>0</v>
      </c>
      <c r="T20" s="311">
        <f t="shared" si="5"/>
        <v>0</v>
      </c>
      <c r="V20" s="120">
        <f>'As-Filed Schedule 2C'!N20</f>
        <v>1.6</v>
      </c>
      <c r="W20" s="314">
        <f>SUMIFS(Adjustments!$G:$G,Adjustments!$H:$H,"2C",Adjustments!$I:$I,'Schedule 2C Adjustments'!$V$12,Adjustments!$J:$J,'Schedule 2C Adjustments'!$A20)</f>
        <v>0</v>
      </c>
      <c r="X20" s="310">
        <f t="shared" si="6"/>
        <v>1.6</v>
      </c>
      <c r="Y20" s="120">
        <f>'As-Filed Schedule 2C'!O20</f>
        <v>881</v>
      </c>
      <c r="Z20" s="314">
        <f>SUMIFS(Adjustments!$G:$G,Adjustments!$H:$H,"2C",Adjustments!$I:$I,'Schedule 2C Adjustments'!$Y$12,Adjustments!$J:$J,'Schedule 2C Adjustments'!$A20)</f>
        <v>0</v>
      </c>
      <c r="AA20" s="310">
        <f t="shared" si="7"/>
        <v>881</v>
      </c>
    </row>
    <row r="21" spans="1:27" x14ac:dyDescent="0.35">
      <c r="A21" s="24">
        <v>7</v>
      </c>
      <c r="B21" s="535" t="str">
        <f>IF('As-Filed Schedule 2C'!B21:D21=0,"",'As-Filed Schedule 2C'!B21:D21)</f>
        <v>3520 Wilson Outpatient</v>
      </c>
      <c r="C21" s="535"/>
      <c r="D21" s="535"/>
      <c r="F21" s="117">
        <f>'As-Filed Schedule 2C'!F21</f>
        <v>3064859.7650057347</v>
      </c>
      <c r="G21" s="314">
        <f>SUMIFS(Adjustments!$G:$G,Adjustments!$H:$H,"2C",Adjustments!$I:$I,'Schedule 2C Adjustments'!$F$12,Adjustments!$J:$J,'Schedule 2C Adjustments'!$A21)</f>
        <v>0</v>
      </c>
      <c r="H21" s="310">
        <f t="shared" si="0"/>
        <v>3064859.7650057347</v>
      </c>
      <c r="I21" s="68">
        <f>IFERROR(F21*'As-Filed Schedule 1'!$E$103,0)</f>
        <v>533055.51028044452</v>
      </c>
      <c r="J21" s="311">
        <f>IFERROR(H21*'Adjusted Schedule 1'!$E$104,0)</f>
        <v>532365.39016040449</v>
      </c>
      <c r="K21" s="68">
        <f t="shared" si="1"/>
        <v>3597915.275286179</v>
      </c>
      <c r="L21" s="311">
        <f t="shared" si="2"/>
        <v>3597225.1551661394</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26.5</v>
      </c>
      <c r="W21" s="314">
        <f>SUMIFS(Adjustments!$G:$G,Adjustments!$H:$H,"2C",Adjustments!$I:$I,'Schedule 2C Adjustments'!$V$12,Adjustments!$J:$J,'Schedule 2C Adjustments'!$A21)</f>
        <v>0</v>
      </c>
      <c r="X21" s="310">
        <f t="shared" si="6"/>
        <v>26.5</v>
      </c>
      <c r="Y21" s="120">
        <f>'As-Filed Schedule 2C'!O21</f>
        <v>8026</v>
      </c>
      <c r="Z21" s="314">
        <f>SUMIFS(Adjustments!$G:$G,Adjustments!$H:$H,"2C",Adjustments!$I:$I,'Schedule 2C Adjustments'!$Y$12,Adjustments!$J:$J,'Schedule 2C Adjustments'!$A21)</f>
        <v>0</v>
      </c>
      <c r="AA21" s="310">
        <f t="shared" si="7"/>
        <v>8026</v>
      </c>
    </row>
    <row r="22" spans="1:27" x14ac:dyDescent="0.35">
      <c r="A22" s="24">
        <v>8</v>
      </c>
      <c r="B22" s="535" t="str">
        <f>IF('As-Filed Schedule 2C'!B22:D22=0,"",'As-Filed Schedule 2C'!B22:D22)</f>
        <v>3525 Orchards Outpatient</v>
      </c>
      <c r="C22" s="535"/>
      <c r="D22" s="535"/>
      <c r="F22" s="117">
        <f>'As-Filed Schedule 2C'!F22</f>
        <v>1378793.5807165918</v>
      </c>
      <c r="G22" s="314">
        <f>SUMIFS(Adjustments!$G:$G,Adjustments!$H:$H,"2C",Adjustments!$I:$I,'Schedule 2C Adjustments'!$F$12,Adjustments!$J:$J,'Schedule 2C Adjustments'!$A22)</f>
        <v>0</v>
      </c>
      <c r="H22" s="310">
        <f t="shared" si="0"/>
        <v>1378793.5807165918</v>
      </c>
      <c r="I22" s="68">
        <f>IFERROR(F22*'As-Filed Schedule 1'!$E$103,0)</f>
        <v>239806.57259824377</v>
      </c>
      <c r="J22" s="311">
        <f>IFERROR(H22*'Adjusted Schedule 1'!$E$104,0)</f>
        <v>239496.10710735933</v>
      </c>
      <c r="K22" s="68">
        <f t="shared" si="1"/>
        <v>1618600.1533148356</v>
      </c>
      <c r="L22" s="311">
        <f t="shared" si="2"/>
        <v>1618289.6878239512</v>
      </c>
      <c r="N22" s="117">
        <f>'As-Filed Schedule 2C'!J22</f>
        <v>0</v>
      </c>
      <c r="O22" s="314">
        <f>SUMIFS(Adjustments!$G:$G,Adjustments!$H:$H,"2C",Adjustments!$I:$I,'Schedule 2C Adjustments'!$N$12,Adjustments!$J:$J,'Schedule 2C Adjustments'!$A22)</f>
        <v>0</v>
      </c>
      <c r="P22" s="310">
        <f t="shared" si="3"/>
        <v>0</v>
      </c>
      <c r="Q22" s="68">
        <f>IFERROR(N22*'As-Filed Schedule 1'!$E$103,0)</f>
        <v>0</v>
      </c>
      <c r="R22" s="311">
        <f>IFERROR(P22*'Adjusted Schedule 1'!$E$104,0)</f>
        <v>0</v>
      </c>
      <c r="S22" s="68">
        <f t="shared" si="4"/>
        <v>0</v>
      </c>
      <c r="T22" s="311">
        <f t="shared" si="5"/>
        <v>0</v>
      </c>
      <c r="V22" s="120">
        <f>'As-Filed Schedule 2C'!N22</f>
        <v>11</v>
      </c>
      <c r="W22" s="314">
        <f>SUMIFS(Adjustments!$G:$G,Adjustments!$H:$H,"2C",Adjustments!$I:$I,'Schedule 2C Adjustments'!$V$12,Adjustments!$J:$J,'Schedule 2C Adjustments'!$A22)</f>
        <v>0</v>
      </c>
      <c r="X22" s="310">
        <f t="shared" si="6"/>
        <v>11</v>
      </c>
      <c r="Y22" s="120">
        <f>'As-Filed Schedule 2C'!O22</f>
        <v>3605</v>
      </c>
      <c r="Z22" s="314">
        <f>SUMIFS(Adjustments!$G:$G,Adjustments!$H:$H,"2C",Adjustments!$I:$I,'Schedule 2C Adjustments'!$Y$12,Adjustments!$J:$J,'Schedule 2C Adjustments'!$A22)</f>
        <v>0</v>
      </c>
      <c r="AA22" s="310">
        <f t="shared" si="7"/>
        <v>3605</v>
      </c>
    </row>
    <row r="23" spans="1:27" x14ac:dyDescent="0.35">
      <c r="A23" s="24">
        <v>9</v>
      </c>
      <c r="B23" s="535" t="str">
        <f>IF('As-Filed Schedule 2C'!B23:D23=0,"",'As-Filed Schedule 2C'!B23:D23)</f>
        <v>3527 First Step Clinic</v>
      </c>
      <c r="C23" s="535"/>
      <c r="D23" s="535"/>
      <c r="F23" s="117">
        <f>'As-Filed Schedule 2C'!F23</f>
        <v>742368.63501686754</v>
      </c>
      <c r="G23" s="314">
        <f>SUMIFS(Adjustments!$G:$G,Adjustments!$H:$H,"2C",Adjustments!$I:$I,'Schedule 2C Adjustments'!$F$12,Adjustments!$J:$J,'Schedule 2C Adjustments'!$A23)</f>
        <v>0</v>
      </c>
      <c r="H23" s="310">
        <f t="shared" si="0"/>
        <v>742368.63501686754</v>
      </c>
      <c r="I23" s="68">
        <f>IFERROR(F23*'As-Filed Schedule 1'!$E$103,0)</f>
        <v>129116.41050381727</v>
      </c>
      <c r="J23" s="311">
        <f>IFERROR(H23*'Adjusted Schedule 1'!$E$104,0)</f>
        <v>128949.24999051698</v>
      </c>
      <c r="K23" s="68">
        <f t="shared" si="1"/>
        <v>871485.0455206848</v>
      </c>
      <c r="L23" s="311">
        <f t="shared" si="2"/>
        <v>871317.88500738447</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6</v>
      </c>
      <c r="W23" s="314">
        <f>SUMIFS(Adjustments!$G:$G,Adjustments!$H:$H,"2C",Adjustments!$I:$I,'Schedule 2C Adjustments'!$V$12,Adjustments!$J:$J,'Schedule 2C Adjustments'!$A23)</f>
        <v>0</v>
      </c>
      <c r="X23" s="310">
        <f t="shared" si="6"/>
        <v>6</v>
      </c>
      <c r="Y23" s="120">
        <f>'As-Filed Schedule 2C'!O23</f>
        <v>1787</v>
      </c>
      <c r="Z23" s="314">
        <f>SUMIFS(Adjustments!$G:$G,Adjustments!$H:$H,"2C",Adjustments!$I:$I,'Schedule 2C Adjustments'!$Y$12,Adjustments!$J:$J,'Schedule 2C Adjustments'!$A23)</f>
        <v>0</v>
      </c>
      <c r="AA23" s="310">
        <f t="shared" si="7"/>
        <v>1787</v>
      </c>
    </row>
    <row r="24" spans="1:27" x14ac:dyDescent="0.35">
      <c r="A24" s="24">
        <v>10</v>
      </c>
      <c r="B24" s="535" t="str">
        <f>IF('As-Filed Schedule 2C'!B24:D24=0,"",'As-Filed Schedule 2C'!B24:D24)</f>
        <v>3540 Commercial Clinic</v>
      </c>
      <c r="C24" s="535"/>
      <c r="D24" s="535"/>
      <c r="F24" s="117">
        <f>'As-Filed Schedule 2C'!F24</f>
        <v>117111.25411807009</v>
      </c>
      <c r="G24" s="314">
        <f>SUMIFS(Adjustments!$G:$G,Adjustments!$H:$H,"2C",Adjustments!$I:$I,'Schedule 2C Adjustments'!$F$12,Adjustments!$J:$J,'Schedule 2C Adjustments'!$A24)</f>
        <v>0</v>
      </c>
      <c r="H24" s="310">
        <f t="shared" si="0"/>
        <v>117111.25411807009</v>
      </c>
      <c r="I24" s="68">
        <f>IFERROR(F24*'As-Filed Schedule 1'!$E$103,0)</f>
        <v>20368.566299924605</v>
      </c>
      <c r="J24" s="311">
        <f>IFERROR(H24*'Adjusted Schedule 1'!$E$104,0)</f>
        <v>20342.196143066925</v>
      </c>
      <c r="K24" s="68">
        <f t="shared" si="1"/>
        <v>137479.82041799469</v>
      </c>
      <c r="L24" s="311">
        <f t="shared" si="2"/>
        <v>137453.45026113701</v>
      </c>
      <c r="N24" s="117">
        <f>'As-Filed Schedule 2C'!J24</f>
        <v>0</v>
      </c>
      <c r="O24" s="314">
        <f>SUMIFS(Adjustments!$G:$G,Adjustments!$H:$H,"2C",Adjustments!$I:$I,'Schedule 2C Adjustments'!$N$12,Adjustments!$J:$J,'Schedule 2C Adjustments'!$A24)</f>
        <v>0</v>
      </c>
      <c r="P24" s="310">
        <f t="shared" si="3"/>
        <v>0</v>
      </c>
      <c r="Q24" s="68">
        <f>IFERROR(N24*'As-Filed Schedule 1'!$E$103,0)</f>
        <v>0</v>
      </c>
      <c r="R24" s="311">
        <f>IFERROR(P24*'Adjusted Schedule 1'!$E$104,0)</f>
        <v>0</v>
      </c>
      <c r="S24" s="68">
        <f t="shared" si="4"/>
        <v>0</v>
      </c>
      <c r="T24" s="311">
        <f t="shared" si="5"/>
        <v>0</v>
      </c>
      <c r="V24" s="120">
        <f>'As-Filed Schedule 2C'!N24</f>
        <v>1</v>
      </c>
      <c r="W24" s="314">
        <f>SUMIFS(Adjustments!$G:$G,Adjustments!$H:$H,"2C",Adjustments!$I:$I,'Schedule 2C Adjustments'!$V$12,Adjustments!$J:$J,'Schedule 2C Adjustments'!$A24)</f>
        <v>0</v>
      </c>
      <c r="X24" s="310">
        <f t="shared" si="6"/>
        <v>1</v>
      </c>
      <c r="Y24" s="120">
        <f>'As-Filed Schedule 2C'!O24</f>
        <v>276</v>
      </c>
      <c r="Z24" s="314">
        <f>SUMIFS(Adjustments!$G:$G,Adjustments!$H:$H,"2C",Adjustments!$I:$I,'Schedule 2C Adjustments'!$Y$12,Adjustments!$J:$J,'Schedule 2C Adjustments'!$A24)</f>
        <v>0</v>
      </c>
      <c r="AA24" s="310">
        <f t="shared" si="7"/>
        <v>276</v>
      </c>
    </row>
    <row r="25" spans="1:27" x14ac:dyDescent="0.35">
      <c r="A25" s="24">
        <v>11</v>
      </c>
      <c r="B25" s="535" t="str">
        <f>IF('As-Filed Schedule 2C'!B25:D25=0,"",'As-Filed Schedule 2C'!B25:D25)</f>
        <v>3600 Medicare Clinic</v>
      </c>
      <c r="C25" s="535"/>
      <c r="D25" s="535"/>
      <c r="F25" s="117">
        <f>'As-Filed Schedule 2C'!F25</f>
        <v>145699.66411807013</v>
      </c>
      <c r="G25" s="314">
        <f>SUMIFS(Adjustments!$G:$G,Adjustments!$H:$H,"2C",Adjustments!$I:$I,'Schedule 2C Adjustments'!$F$12,Adjustments!$J:$J,'Schedule 2C Adjustments'!$A25)</f>
        <v>0</v>
      </c>
      <c r="H25" s="310">
        <f t="shared" si="0"/>
        <v>145699.66411807013</v>
      </c>
      <c r="I25" s="68">
        <f>IFERROR(F25*'As-Filed Schedule 1'!$E$103,0)</f>
        <v>25340.803416498868</v>
      </c>
      <c r="J25" s="311">
        <f>IFERROR(H25*'Adjusted Schedule 1'!$E$104,0)</f>
        <v>25307.995954689679</v>
      </c>
      <c r="K25" s="68">
        <f t="shared" si="1"/>
        <v>171040.467534569</v>
      </c>
      <c r="L25" s="311">
        <f t="shared" si="2"/>
        <v>171007.66007275981</v>
      </c>
      <c r="N25" s="117">
        <f>'As-Filed Schedule 2C'!J25</f>
        <v>0</v>
      </c>
      <c r="O25" s="314">
        <f>SUMIFS(Adjustments!$G:$G,Adjustments!$H:$H,"2C",Adjustments!$I:$I,'Schedule 2C Adjustments'!$N$12,Adjustments!$J:$J,'Schedule 2C Adjustments'!$A25)</f>
        <v>0</v>
      </c>
      <c r="P25" s="310">
        <f t="shared" si="3"/>
        <v>0</v>
      </c>
      <c r="Q25" s="68">
        <f>IFERROR(N25*'As-Filed Schedule 1'!$E$103,0)</f>
        <v>0</v>
      </c>
      <c r="R25" s="311">
        <f>IFERROR(P25*'Adjusted Schedule 1'!$E$104,0)</f>
        <v>0</v>
      </c>
      <c r="S25" s="68">
        <f t="shared" si="4"/>
        <v>0</v>
      </c>
      <c r="T25" s="311">
        <f t="shared" si="5"/>
        <v>0</v>
      </c>
      <c r="V25" s="120">
        <f>'As-Filed Schedule 2C'!N25</f>
        <v>1</v>
      </c>
      <c r="W25" s="314">
        <f>SUMIFS(Adjustments!$G:$G,Adjustments!$H:$H,"2C",Adjustments!$I:$I,'Schedule 2C Adjustments'!$V$12,Adjustments!$J:$J,'Schedule 2C Adjustments'!$A25)</f>
        <v>0</v>
      </c>
      <c r="X25" s="310">
        <f t="shared" si="6"/>
        <v>1</v>
      </c>
      <c r="Y25" s="120">
        <f>'As-Filed Schedule 2C'!O25</f>
        <v>466</v>
      </c>
      <c r="Z25" s="314">
        <f>SUMIFS(Adjustments!$G:$G,Adjustments!$H:$H,"2C",Adjustments!$I:$I,'Schedule 2C Adjustments'!$Y$12,Adjustments!$J:$J,'Schedule 2C Adjustments'!$A25)</f>
        <v>0</v>
      </c>
      <c r="AA25" s="310">
        <f t="shared" si="7"/>
        <v>466</v>
      </c>
    </row>
    <row r="26" spans="1:27" x14ac:dyDescent="0.35">
      <c r="A26" s="24">
        <v>12</v>
      </c>
      <c r="B26" s="535" t="str">
        <f>IF('As-Filed Schedule 2C'!B26:D26=0,"",'As-Filed Schedule 2C'!B26:D26)</f>
        <v>3651 LC CIS Competency Support Svcs</v>
      </c>
      <c r="C26" s="535"/>
      <c r="D26" s="535"/>
      <c r="F26" s="117">
        <f>'As-Filed Schedule 2C'!F26</f>
        <v>845871.53415467276</v>
      </c>
      <c r="G26" s="314">
        <f>SUMIFS(Adjustments!$G:$G,Adjustments!$H:$H,"2C",Adjustments!$I:$I,'Schedule 2C Adjustments'!$F$12,Adjustments!$J:$J,'Schedule 2C Adjustments'!$A26)</f>
        <v>0</v>
      </c>
      <c r="H26" s="310">
        <f t="shared" si="0"/>
        <v>845871.53415467276</v>
      </c>
      <c r="I26" s="68">
        <f>IFERROR(F26*'As-Filed Schedule 1'!$E$103,0)</f>
        <v>147118.14465993285</v>
      </c>
      <c r="J26" s="311">
        <f>IFERROR(H26*'Adjusted Schedule 1'!$E$104,0)</f>
        <v>146927.67820813807</v>
      </c>
      <c r="K26" s="68">
        <f t="shared" si="1"/>
        <v>992989.67881460558</v>
      </c>
      <c r="L26" s="311">
        <f t="shared" si="2"/>
        <v>992799.21236281085</v>
      </c>
      <c r="N26" s="117">
        <f>'As-Filed Schedule 2C'!J26</f>
        <v>0</v>
      </c>
      <c r="O26" s="314">
        <f>SUMIFS(Adjustments!$G:$G,Adjustments!$H:$H,"2C",Adjustments!$I:$I,'Schedule 2C Adjustments'!$N$12,Adjustments!$J:$J,'Schedule 2C Adjustments'!$A26)</f>
        <v>0</v>
      </c>
      <c r="P26" s="310">
        <f t="shared" si="3"/>
        <v>0</v>
      </c>
      <c r="Q26" s="68">
        <f>IFERROR(N26*'As-Filed Schedule 1'!$E$103,0)</f>
        <v>0</v>
      </c>
      <c r="R26" s="311">
        <f>IFERROR(P26*'Adjusted Schedule 1'!$E$104,0)</f>
        <v>0</v>
      </c>
      <c r="S26" s="68">
        <f t="shared" si="4"/>
        <v>0</v>
      </c>
      <c r="T26" s="311">
        <f t="shared" si="5"/>
        <v>0</v>
      </c>
      <c r="V26" s="120">
        <f>'As-Filed Schedule 2C'!N26</f>
        <v>9.15</v>
      </c>
      <c r="W26" s="314">
        <f>SUMIFS(Adjustments!$G:$G,Adjustments!$H:$H,"2C",Adjustments!$I:$I,'Schedule 2C Adjustments'!$V$12,Adjustments!$J:$J,'Schedule 2C Adjustments'!$A26)</f>
        <v>0</v>
      </c>
      <c r="X26" s="310">
        <f t="shared" si="6"/>
        <v>9.15</v>
      </c>
      <c r="Y26" s="120">
        <f>'As-Filed Schedule 2C'!O26</f>
        <v>457</v>
      </c>
      <c r="Z26" s="314">
        <f>SUMIFS(Adjustments!$G:$G,Adjustments!$H:$H,"2C",Adjustments!$I:$I,'Schedule 2C Adjustments'!$Y$12,Adjustments!$J:$J,'Schedule 2C Adjustments'!$A26)</f>
        <v>0</v>
      </c>
      <c r="AA26" s="310">
        <f t="shared" si="7"/>
        <v>457</v>
      </c>
    </row>
    <row r="27" spans="1:27" x14ac:dyDescent="0.35">
      <c r="A27" s="24">
        <v>13</v>
      </c>
      <c r="B27" s="535" t="str">
        <f>IF('As-Filed Schedule 2C'!B27:D27=0,"",'As-Filed Schedule 2C'!B27:D27)</f>
        <v>3703 IPS</v>
      </c>
      <c r="C27" s="535"/>
      <c r="D27" s="535"/>
      <c r="F27" s="117">
        <f>'As-Filed Schedule 2C'!F27</f>
        <v>593656.37362110964</v>
      </c>
      <c r="G27" s="314">
        <f>SUMIFS(Adjustments!$G:$G,Adjustments!$H:$H,"2C",Adjustments!$I:$I,'Schedule 2C Adjustments'!$F$12,Adjustments!$J:$J,'Schedule 2C Adjustments'!$A27)</f>
        <v>0</v>
      </c>
      <c r="H27" s="310">
        <f t="shared" si="0"/>
        <v>593656.37362110964</v>
      </c>
      <c r="I27" s="68">
        <f>IFERROR(F27*'As-Filed Schedule 1'!$E$103,0)</f>
        <v>103251.64132631911</v>
      </c>
      <c r="J27" s="311">
        <f>IFERROR(H27*'Adjusted Schedule 1'!$E$104,0)</f>
        <v>103117.9666269075</v>
      </c>
      <c r="K27" s="68">
        <f t="shared" si="1"/>
        <v>696908.01494742872</v>
      </c>
      <c r="L27" s="311">
        <f t="shared" si="2"/>
        <v>696774.34024801711</v>
      </c>
      <c r="N27" s="117">
        <f>'As-Filed Schedule 2C'!J27</f>
        <v>0</v>
      </c>
      <c r="O27" s="314">
        <f>SUMIFS(Adjustments!$G:$G,Adjustments!$H:$H,"2C",Adjustments!$I:$I,'Schedule 2C Adjustments'!$N$12,Adjustments!$J:$J,'Schedule 2C Adjustments'!$A27)</f>
        <v>0</v>
      </c>
      <c r="P27" s="310">
        <f t="shared" si="3"/>
        <v>0</v>
      </c>
      <c r="Q27" s="68">
        <f>IFERROR(N27*'As-Filed Schedule 1'!$E$103,0)</f>
        <v>0</v>
      </c>
      <c r="R27" s="311">
        <f>IFERROR(P27*'Adjusted Schedule 1'!$E$104,0)</f>
        <v>0</v>
      </c>
      <c r="S27" s="68">
        <f t="shared" si="4"/>
        <v>0</v>
      </c>
      <c r="T27" s="311">
        <f t="shared" si="5"/>
        <v>0</v>
      </c>
      <c r="V27" s="120">
        <f>'As-Filed Schedule 2C'!N27</f>
        <v>3.75</v>
      </c>
      <c r="W27" s="314">
        <f>SUMIFS(Adjustments!$G:$G,Adjustments!$H:$H,"2C",Adjustments!$I:$I,'Schedule 2C Adjustments'!$V$12,Adjustments!$J:$J,'Schedule 2C Adjustments'!$A27)</f>
        <v>0</v>
      </c>
      <c r="X27" s="310">
        <f t="shared" si="6"/>
        <v>3.75</v>
      </c>
      <c r="Y27" s="120">
        <f>'As-Filed Schedule 2C'!O27</f>
        <v>645</v>
      </c>
      <c r="Z27" s="314">
        <f>SUMIFS(Adjustments!$G:$G,Adjustments!$H:$H,"2C",Adjustments!$I:$I,'Schedule 2C Adjustments'!$Y$12,Adjustments!$J:$J,'Schedule 2C Adjustments'!$A27)</f>
        <v>0</v>
      </c>
      <c r="AA27" s="310">
        <f t="shared" si="7"/>
        <v>645</v>
      </c>
    </row>
    <row r="28" spans="1:27" x14ac:dyDescent="0.35">
      <c r="A28" s="24">
        <v>14</v>
      </c>
      <c r="B28" s="535" t="str">
        <f>IF('As-Filed Schedule 2C'!B28:D28=0,"",'As-Filed Schedule 2C'!B28:D28)</f>
        <v>3800 MAT</v>
      </c>
      <c r="C28" s="535"/>
      <c r="D28" s="535"/>
      <c r="F28" s="117">
        <f>'As-Filed Schedule 2C'!F28</f>
        <v>525017.95221965271</v>
      </c>
      <c r="G28" s="314">
        <f>SUMIFS(Adjustments!$G:$G,Adjustments!$H:$H,"2C",Adjustments!$I:$I,'Schedule 2C Adjustments'!$F$12,Adjustments!$J:$J,'Schedule 2C Adjustments'!$A28)</f>
        <v>0</v>
      </c>
      <c r="H28" s="310">
        <f t="shared" si="0"/>
        <v>525017.95221965271</v>
      </c>
      <c r="I28" s="68">
        <f>IFERROR(F28*'As-Filed Schedule 1'!$E$103,0)</f>
        <v>91313.708908413086</v>
      </c>
      <c r="J28" s="311">
        <f>IFERROR(H28*'Adjusted Schedule 1'!$E$104,0)</f>
        <v>91195.489648809118</v>
      </c>
      <c r="K28" s="68">
        <f t="shared" si="1"/>
        <v>616331.66112806578</v>
      </c>
      <c r="L28" s="311">
        <f t="shared" si="2"/>
        <v>616213.44186846178</v>
      </c>
      <c r="N28" s="117">
        <f>'As-Filed Schedule 2C'!J28</f>
        <v>0</v>
      </c>
      <c r="O28" s="314">
        <f>SUMIFS(Adjustments!$G:$G,Adjustments!$H:$H,"2C",Adjustments!$I:$I,'Schedule 2C Adjustments'!$N$12,Adjustments!$J:$J,'Schedule 2C Adjustments'!$A28)</f>
        <v>0</v>
      </c>
      <c r="P28" s="310">
        <f t="shared" si="3"/>
        <v>0</v>
      </c>
      <c r="Q28" s="68">
        <f>IFERROR(N28*'As-Filed Schedule 1'!$E$103,0)</f>
        <v>0</v>
      </c>
      <c r="R28" s="311">
        <f>IFERROR(P28*'Adjusted Schedule 1'!$E$104,0)</f>
        <v>0</v>
      </c>
      <c r="S28" s="68">
        <f t="shared" si="4"/>
        <v>0</v>
      </c>
      <c r="T28" s="311">
        <f t="shared" si="5"/>
        <v>0</v>
      </c>
      <c r="V28" s="120">
        <f>'As-Filed Schedule 2C'!N28</f>
        <v>4</v>
      </c>
      <c r="W28" s="314">
        <f>SUMIFS(Adjustments!$G:$G,Adjustments!$H:$H,"2C",Adjustments!$I:$I,'Schedule 2C Adjustments'!$V$12,Adjustments!$J:$J,'Schedule 2C Adjustments'!$A28)</f>
        <v>0</v>
      </c>
      <c r="X28" s="310">
        <f t="shared" si="6"/>
        <v>4</v>
      </c>
      <c r="Y28" s="120">
        <f>'As-Filed Schedule 2C'!O28</f>
        <v>1351</v>
      </c>
      <c r="Z28" s="314">
        <f>SUMIFS(Adjustments!$G:$G,Adjustments!$H:$H,"2C",Adjustments!$I:$I,'Schedule 2C Adjustments'!$Y$12,Adjustments!$J:$J,'Schedule 2C Adjustments'!$A28)</f>
        <v>0</v>
      </c>
      <c r="AA28" s="310">
        <f t="shared" si="7"/>
        <v>1351</v>
      </c>
    </row>
    <row r="29" spans="1:27" x14ac:dyDescent="0.35">
      <c r="A29" s="24">
        <v>15</v>
      </c>
      <c r="B29" s="535" t="str">
        <f>IF('As-Filed Schedule 2C'!B29:D29=0,"",'As-Filed Schedule 2C'!B29:D29)</f>
        <v>3810 MAT North County</v>
      </c>
      <c r="C29" s="535"/>
      <c r="D29" s="535"/>
      <c r="F29" s="117">
        <f>'As-Filed Schedule 2C'!F29</f>
        <v>1555037.6973484256</v>
      </c>
      <c r="G29" s="314">
        <f>SUMIFS(Adjustments!$G:$G,Adjustments!$H:$H,"2C",Adjustments!$I:$I,'Schedule 2C Adjustments'!$F$12,Adjustments!$J:$J,'Schedule 2C Adjustments'!$A29)</f>
        <v>0</v>
      </c>
      <c r="H29" s="310">
        <f t="shared" si="0"/>
        <v>1555037.6973484256</v>
      </c>
      <c r="I29" s="68">
        <f>IFERROR(F29*'As-Filed Schedule 1'!$E$103,0)</f>
        <v>270459.81768234062</v>
      </c>
      <c r="J29" s="311">
        <f>IFERROR(H29*'Adjusted Schedule 1'!$E$104,0)</f>
        <v>270109.66697899881</v>
      </c>
      <c r="K29" s="68">
        <f t="shared" si="1"/>
        <v>1825497.5150307664</v>
      </c>
      <c r="L29" s="311">
        <f t="shared" si="2"/>
        <v>1825147.3643274244</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12.200000000000001</v>
      </c>
      <c r="W29" s="314">
        <f>SUMIFS(Adjustments!$G:$G,Adjustments!$H:$H,"2C",Adjustments!$I:$I,'Schedule 2C Adjustments'!$V$12,Adjustments!$J:$J,'Schedule 2C Adjustments'!$A29)</f>
        <v>0</v>
      </c>
      <c r="X29" s="310">
        <f t="shared" si="6"/>
        <v>12.200000000000001</v>
      </c>
      <c r="Y29" s="120">
        <f>'As-Filed Schedule 2C'!O29</f>
        <v>1358</v>
      </c>
      <c r="Z29" s="314">
        <f>SUMIFS(Adjustments!$G:$G,Adjustments!$H:$H,"2C",Adjustments!$I:$I,'Schedule 2C Adjustments'!$Y$12,Adjustments!$J:$J,'Schedule 2C Adjustments'!$A29)</f>
        <v>0</v>
      </c>
      <c r="AA29" s="310">
        <f t="shared" si="7"/>
        <v>1358</v>
      </c>
    </row>
    <row r="30" spans="1:27" x14ac:dyDescent="0.35">
      <c r="A30" s="24">
        <v>16</v>
      </c>
      <c r="B30" s="535" t="str">
        <f>IF('As-Filed Schedule 2C'!B30:D30=0,"",'As-Filed Schedule 2C'!B30:D30)</f>
        <v>3850 Community Action</v>
      </c>
      <c r="C30" s="535"/>
      <c r="D30" s="535"/>
      <c r="F30" s="117">
        <f>'As-Filed Schedule 2C'!F30</f>
        <v>711384.42379261425</v>
      </c>
      <c r="G30" s="314">
        <f>SUMIFS(Adjustments!$G:$G,Adjustments!$H:$H,"2C",Adjustments!$I:$I,'Schedule 2C Adjustments'!$F$12,Adjustments!$J:$J,'Schedule 2C Adjustments'!$A30)</f>
        <v>0</v>
      </c>
      <c r="H30" s="310">
        <f t="shared" si="0"/>
        <v>711384.42379261425</v>
      </c>
      <c r="I30" s="68">
        <f>IFERROR(F30*'As-Filed Schedule 1'!$E$103,0)</f>
        <v>123727.48383468775</v>
      </c>
      <c r="J30" s="311">
        <f>IFERROR(H30*'Adjusted Schedule 1'!$E$104,0)</f>
        <v>123567.30009331471</v>
      </c>
      <c r="K30" s="68">
        <f t="shared" si="1"/>
        <v>835111.90762730199</v>
      </c>
      <c r="L30" s="311">
        <f t="shared" si="2"/>
        <v>834951.72388592898</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8.8000000000000007</v>
      </c>
      <c r="W30" s="314">
        <f>SUMIFS(Adjustments!$G:$G,Adjustments!$H:$H,"2C",Adjustments!$I:$I,'Schedule 2C Adjustments'!$V$12,Adjustments!$J:$J,'Schedule 2C Adjustments'!$A30)</f>
        <v>0</v>
      </c>
      <c r="X30" s="310">
        <f t="shared" si="6"/>
        <v>8.8000000000000007</v>
      </c>
      <c r="Y30" s="120">
        <f>'As-Filed Schedule 2C'!O30</f>
        <v>1290</v>
      </c>
      <c r="Z30" s="314">
        <f>SUMIFS(Adjustments!$G:$G,Adjustments!$H:$H,"2C",Adjustments!$I:$I,'Schedule 2C Adjustments'!$Y$12,Adjustments!$J:$J,'Schedule 2C Adjustments'!$A30)</f>
        <v>0</v>
      </c>
      <c r="AA30" s="310">
        <f t="shared" si="7"/>
        <v>1290</v>
      </c>
    </row>
    <row r="31" spans="1:27" x14ac:dyDescent="0.35">
      <c r="A31" s="24">
        <v>17</v>
      </c>
      <c r="B31" s="535" t="str">
        <f>IF('As-Filed Schedule 2C'!B31:D31=0,"",'As-Filed Schedule 2C'!B31:D31)</f>
        <v>3870 202 Expansion and RSS</v>
      </c>
      <c r="C31" s="535"/>
      <c r="D31" s="535"/>
      <c r="F31" s="117">
        <f>'As-Filed Schedule 2C'!F31</f>
        <v>289558.12980445602</v>
      </c>
      <c r="G31" s="314">
        <f>SUMIFS(Adjustments!$G:$G,Adjustments!$H:$H,"2C",Adjustments!$I:$I,'Schedule 2C Adjustments'!$F$12,Adjustments!$J:$J,'Schedule 2C Adjustments'!$A31)</f>
        <v>0</v>
      </c>
      <c r="H31" s="310">
        <f t="shared" si="0"/>
        <v>289558.12980445602</v>
      </c>
      <c r="I31" s="68">
        <f>IFERROR(F31*'As-Filed Schedule 1'!$E$103,0)</f>
        <v>50361.376530543042</v>
      </c>
      <c r="J31" s="311">
        <f>IFERROR(H31*'Adjusted Schedule 1'!$E$104,0)</f>
        <v>50296.176192967789</v>
      </c>
      <c r="K31" s="68">
        <f t="shared" si="1"/>
        <v>339919.50633499905</v>
      </c>
      <c r="L31" s="311">
        <f t="shared" si="2"/>
        <v>339854.30599742383</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2.5</v>
      </c>
      <c r="W31" s="314">
        <f>SUMIFS(Adjustments!$G:$G,Adjustments!$H:$H,"2C",Adjustments!$I:$I,'Schedule 2C Adjustments'!$V$12,Adjustments!$J:$J,'Schedule 2C Adjustments'!$A31)</f>
        <v>0</v>
      </c>
      <c r="X31" s="310">
        <f t="shared" si="6"/>
        <v>2.5</v>
      </c>
      <c r="Y31" s="120">
        <f>'As-Filed Schedule 2C'!O31</f>
        <v>180</v>
      </c>
      <c r="Z31" s="314">
        <f>SUMIFS(Adjustments!$G:$G,Adjustments!$H:$H,"2C",Adjustments!$I:$I,'Schedule 2C Adjustments'!$Y$12,Adjustments!$J:$J,'Schedule 2C Adjustments'!$A31)</f>
        <v>0</v>
      </c>
      <c r="AA31" s="310">
        <f t="shared" si="7"/>
        <v>180</v>
      </c>
    </row>
    <row r="32" spans="1:27" x14ac:dyDescent="0.35">
      <c r="A32" s="24">
        <v>18</v>
      </c>
      <c r="B32" s="535" t="str">
        <f>IF('As-Filed Schedule 2C'!B32:D32=0,"",'As-Filed Schedule 2C'!B32:D32)</f>
        <v>4704 Housing including vouchers and Redtail Ponds</v>
      </c>
      <c r="C32" s="535"/>
      <c r="D32" s="535"/>
      <c r="F32" s="117">
        <f>'As-Filed Schedule 2C'!F32</f>
        <v>197964.42267766772</v>
      </c>
      <c r="G32" s="314">
        <f>SUMIFS(Adjustments!$G:$G,Adjustments!$H:$H,"2C",Adjustments!$I:$I,'Schedule 2C Adjustments'!$F$12,Adjustments!$J:$J,'Schedule 2C Adjustments'!$A32)</f>
        <v>0</v>
      </c>
      <c r="H32" s="310">
        <f t="shared" si="0"/>
        <v>197964.42267766772</v>
      </c>
      <c r="I32" s="68">
        <f>IFERROR(F32*'As-Filed Schedule 1'!$E$103,0)</f>
        <v>34430.947723188998</v>
      </c>
      <c r="J32" s="311">
        <f>IFERROR(H32*'Adjusted Schedule 1'!$E$104,0)</f>
        <v>34386.371709401399</v>
      </c>
      <c r="K32" s="68">
        <f t="shared" si="1"/>
        <v>232395.37040085671</v>
      </c>
      <c r="L32" s="311">
        <f t="shared" si="2"/>
        <v>232350.79438706912</v>
      </c>
      <c r="N32" s="117">
        <f>'As-Filed Schedule 2C'!J32</f>
        <v>106596.22759566719</v>
      </c>
      <c r="O32" s="314">
        <f>SUMIFS(Adjustments!$G:$G,Adjustments!$H:$H,"2C",Adjustments!$I:$I,'Schedule 2C Adjustments'!$N$12,Adjustments!$J:$J,'Schedule 2C Adjustments'!$A32)</f>
        <v>0</v>
      </c>
      <c r="P32" s="310">
        <f t="shared" si="3"/>
        <v>106596.22759566719</v>
      </c>
      <c r="Q32" s="68">
        <f>IFERROR(N32*'As-Filed Schedule 1'!$E$103,0)</f>
        <v>18539.741081717144</v>
      </c>
      <c r="R32" s="311">
        <f>IFERROR(P32*'Adjusted Schedule 1'!$E$104,0)</f>
        <v>18515.738612754591</v>
      </c>
      <c r="S32" s="68">
        <f t="shared" si="4"/>
        <v>125135.96867738434</v>
      </c>
      <c r="T32" s="311">
        <f t="shared" si="5"/>
        <v>125111.96620842179</v>
      </c>
      <c r="V32" s="120">
        <f>'As-Filed Schedule 2C'!N32</f>
        <v>1</v>
      </c>
      <c r="W32" s="314">
        <f>SUMIFS(Adjustments!$G:$G,Adjustments!$H:$H,"2C",Adjustments!$I:$I,'Schedule 2C Adjustments'!$V$12,Adjustments!$J:$J,'Schedule 2C Adjustments'!$A32)</f>
        <v>0</v>
      </c>
      <c r="X32" s="310">
        <f t="shared" si="6"/>
        <v>1</v>
      </c>
      <c r="Y32" s="120">
        <f>'As-Filed Schedule 2C'!O32</f>
        <v>243</v>
      </c>
      <c r="Z32" s="314">
        <f>SUMIFS(Adjustments!$G:$G,Adjustments!$H:$H,"2C",Adjustments!$I:$I,'Schedule 2C Adjustments'!$Y$12,Adjustments!$J:$J,'Schedule 2C Adjustments'!$A32)</f>
        <v>0</v>
      </c>
      <c r="AA32" s="310">
        <f t="shared" si="7"/>
        <v>243</v>
      </c>
    </row>
    <row r="33" spans="1:27" x14ac:dyDescent="0.35">
      <c r="A33" s="24">
        <v>19</v>
      </c>
      <c r="B33" s="535" t="str">
        <f>IF('As-Filed Schedule 2C'!B33:D33=0,"",'As-Filed Schedule 2C'!B33:D33)</f>
        <v>4705 Loveland Apartments</v>
      </c>
      <c r="C33" s="535"/>
      <c r="D33" s="535"/>
      <c r="F33" s="117">
        <f>'As-Filed Schedule 2C'!F33</f>
        <v>196796.86577199507</v>
      </c>
      <c r="G33" s="314">
        <f>SUMIFS(Adjustments!$G:$G,Adjustments!$H:$H,"2C",Adjustments!$I:$I,'Schedule 2C Adjustments'!$F$12,Adjustments!$J:$J,'Schedule 2C Adjustments'!$A33)</f>
        <v>0</v>
      </c>
      <c r="H33" s="310">
        <f t="shared" si="0"/>
        <v>196796.86577199507</v>
      </c>
      <c r="I33" s="68">
        <f>IFERROR(F33*'As-Filed Schedule 1'!$E$103,0)</f>
        <v>34227.880473835212</v>
      </c>
      <c r="J33" s="311">
        <f>IFERROR(H33*'Adjusted Schedule 1'!$E$104,0)</f>
        <v>34183.567360987196</v>
      </c>
      <c r="K33" s="68">
        <f t="shared" si="1"/>
        <v>231024.74624583029</v>
      </c>
      <c r="L33" s="311">
        <f t="shared" si="2"/>
        <v>230980.43313298226</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3</v>
      </c>
      <c r="W33" s="314">
        <f>SUMIFS(Adjustments!$G:$G,Adjustments!$H:$H,"2C",Adjustments!$I:$I,'Schedule 2C Adjustments'!$V$12,Adjustments!$J:$J,'Schedule 2C Adjustments'!$A33)</f>
        <v>0</v>
      </c>
      <c r="X33" s="310">
        <f t="shared" si="6"/>
        <v>3</v>
      </c>
      <c r="Y33" s="120">
        <f>'As-Filed Schedule 2C'!O33</f>
        <v>27</v>
      </c>
      <c r="Z33" s="314">
        <f>SUMIFS(Adjustments!$G:$G,Adjustments!$H:$H,"2C",Adjustments!$I:$I,'Schedule 2C Adjustments'!$Y$12,Adjustments!$J:$J,'Schedule 2C Adjustments'!$A33)</f>
        <v>0</v>
      </c>
      <c r="AA33" s="310">
        <f t="shared" si="7"/>
        <v>27</v>
      </c>
    </row>
    <row r="34" spans="1:27" x14ac:dyDescent="0.35">
      <c r="A34" s="24">
        <v>20</v>
      </c>
      <c r="B34" s="535" t="str">
        <f>IF('As-Filed Schedule 2C'!B34:D34=0,"",'As-Filed Schedule 2C'!B34:D34)</f>
        <v>4715 JBBS Jail Based Behavioral Health Services</v>
      </c>
      <c r="C34" s="535"/>
      <c r="D34" s="535"/>
      <c r="F34" s="117">
        <f>'As-Filed Schedule 2C'!F34</f>
        <v>785919.81696958421</v>
      </c>
      <c r="G34" s="314">
        <f>SUMIFS(Adjustments!$G:$G,Adjustments!$H:$H,"2C",Adjustments!$I:$I,'Schedule 2C Adjustments'!$F$12,Adjustments!$J:$J,'Schedule 2C Adjustments'!$A34)</f>
        <v>0</v>
      </c>
      <c r="H34" s="310">
        <f t="shared" si="0"/>
        <v>785919.81696958421</v>
      </c>
      <c r="I34" s="68">
        <f>IFERROR(F34*'As-Filed Schedule 1'!$E$103,0)</f>
        <v>136691.04663699071</v>
      </c>
      <c r="J34" s="311">
        <f>IFERROR(H34*'Adjusted Schedule 1'!$E$104,0)</f>
        <v>136514.07962381063</v>
      </c>
      <c r="K34" s="68">
        <f t="shared" si="1"/>
        <v>922610.86360657495</v>
      </c>
      <c r="L34" s="311">
        <f t="shared" si="2"/>
        <v>922433.89659339481</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11</v>
      </c>
      <c r="W34" s="314">
        <f>SUMIFS(Adjustments!$G:$G,Adjustments!$H:$H,"2C",Adjustments!$I:$I,'Schedule 2C Adjustments'!$V$12,Adjustments!$J:$J,'Schedule 2C Adjustments'!$A34)</f>
        <v>0</v>
      </c>
      <c r="X34" s="310">
        <f t="shared" si="6"/>
        <v>11</v>
      </c>
      <c r="Y34" s="120">
        <f>'As-Filed Schedule 2C'!O34</f>
        <v>575</v>
      </c>
      <c r="Z34" s="314">
        <f>SUMIFS(Adjustments!$G:$G,Adjustments!$H:$H,"2C",Adjustments!$I:$I,'Schedule 2C Adjustments'!$Y$12,Adjustments!$J:$J,'Schedule 2C Adjustments'!$A34)</f>
        <v>0</v>
      </c>
      <c r="AA34" s="310">
        <f t="shared" si="7"/>
        <v>575</v>
      </c>
    </row>
    <row r="35" spans="1:27" x14ac:dyDescent="0.35">
      <c r="A35" s="24">
        <v>21</v>
      </c>
      <c r="B35" s="535" t="str">
        <f>IF('As-Filed Schedule 2C'!B35:D35=0,"",'As-Filed Schedule 2C'!B35:D35)</f>
        <v>4725 Peer Specialists</v>
      </c>
      <c r="C35" s="535"/>
      <c r="D35" s="535"/>
      <c r="F35" s="117">
        <f>'As-Filed Schedule 2C'!F35</f>
        <v>36075.285473946227</v>
      </c>
      <c r="G35" s="314">
        <f>SUMIFS(Adjustments!$G:$G,Adjustments!$H:$H,"2C",Adjustments!$I:$I,'Schedule 2C Adjustments'!$F$12,Adjustments!$J:$J,'Schedule 2C Adjustments'!$A35)</f>
        <v>0</v>
      </c>
      <c r="H35" s="310">
        <f t="shared" si="0"/>
        <v>36075.285473946227</v>
      </c>
      <c r="I35" s="68">
        <f>IFERROR(F35*'As-Filed Schedule 1'!$E$103,0)</f>
        <v>6274.3913853399845</v>
      </c>
      <c r="J35" s="311">
        <f>IFERROR(H35*'Adjusted Schedule 1'!$E$104,0)</f>
        <v>6266.2682468440516</v>
      </c>
      <c r="K35" s="68">
        <f t="shared" si="1"/>
        <v>42349.676859286214</v>
      </c>
      <c r="L35" s="311">
        <f t="shared" si="2"/>
        <v>42341.553720790282</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0</v>
      </c>
      <c r="W35" s="314">
        <f>SUMIFS(Adjustments!$G:$G,Adjustments!$H:$H,"2C",Adjustments!$I:$I,'Schedule 2C Adjustments'!$V$12,Adjustments!$J:$J,'Schedule 2C Adjustments'!$A35)</f>
        <v>0</v>
      </c>
      <c r="X35" s="310">
        <f t="shared" si="6"/>
        <v>0</v>
      </c>
      <c r="Y35" s="120">
        <f>'As-Filed Schedule 2C'!O35</f>
        <v>581</v>
      </c>
      <c r="Z35" s="314">
        <f>SUMIFS(Adjustments!$G:$G,Adjustments!$H:$H,"2C",Adjustments!$I:$I,'Schedule 2C Adjustments'!$Y$12,Adjustments!$J:$J,'Schedule 2C Adjustments'!$A35)</f>
        <v>0</v>
      </c>
      <c r="AA35" s="310">
        <f t="shared" si="7"/>
        <v>581</v>
      </c>
    </row>
    <row r="36" spans="1:27" x14ac:dyDescent="0.35">
      <c r="A36" s="24">
        <v>22</v>
      </c>
      <c r="B36" s="535" t="str">
        <f>IF('As-Filed Schedule 2C'!B36:D36=0,"",'As-Filed Schedule 2C'!B36:D36)</f>
        <v>4800 MH Diversion</v>
      </c>
      <c r="C36" s="535"/>
      <c r="D36" s="535"/>
      <c r="F36" s="117">
        <f>'As-Filed Schedule 2C'!F36</f>
        <v>110486.80037542932</v>
      </c>
      <c r="G36" s="314">
        <f>SUMIFS(Adjustments!$G:$G,Adjustments!$H:$H,"2C",Adjustments!$I:$I,'Schedule 2C Adjustments'!$F$12,Adjustments!$J:$J,'Schedule 2C Adjustments'!$A36)</f>
        <v>0</v>
      </c>
      <c r="H36" s="310">
        <f t="shared" si="0"/>
        <v>110486.80037542932</v>
      </c>
      <c r="I36" s="68">
        <f>IFERROR(F36*'As-Filed Schedule 1'!$E$103,0)</f>
        <v>19216.408667646781</v>
      </c>
      <c r="J36" s="311">
        <f>IFERROR(H36*'Adjusted Schedule 1'!$E$104,0)</f>
        <v>19191.530151243347</v>
      </c>
      <c r="K36" s="68">
        <f t="shared" si="1"/>
        <v>129703.2090430761</v>
      </c>
      <c r="L36" s="311">
        <f t="shared" si="2"/>
        <v>129678.33052667267</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2</v>
      </c>
      <c r="W36" s="314">
        <f>SUMIFS(Adjustments!$G:$G,Adjustments!$H:$H,"2C",Adjustments!$I:$I,'Schedule 2C Adjustments'!$V$12,Adjustments!$J:$J,'Schedule 2C Adjustments'!$A36)</f>
        <v>0</v>
      </c>
      <c r="X36" s="310">
        <f t="shared" si="6"/>
        <v>2</v>
      </c>
      <c r="Y36" s="120">
        <f>'As-Filed Schedule 2C'!O36</f>
        <v>111</v>
      </c>
      <c r="Z36" s="314">
        <f>SUMIFS(Adjustments!$G:$G,Adjustments!$H:$H,"2C",Adjustments!$I:$I,'Schedule 2C Adjustments'!$Y$12,Adjustments!$J:$J,'Schedule 2C Adjustments'!$A36)</f>
        <v>0</v>
      </c>
      <c r="AA36" s="310">
        <f t="shared" si="7"/>
        <v>111</v>
      </c>
    </row>
    <row r="37" spans="1:27" x14ac:dyDescent="0.35">
      <c r="A37" s="24">
        <v>23</v>
      </c>
      <c r="B37" s="535" t="str">
        <f>IF('As-Filed Schedule 2C'!B37:D37=0,"",'As-Filed Schedule 2C'!B37:D37)</f>
        <v>5100 Centre Outpatient</v>
      </c>
      <c r="C37" s="535"/>
      <c r="D37" s="535"/>
      <c r="F37" s="117">
        <f>'As-Filed Schedule 2C'!F37</f>
        <v>2946249.9456382389</v>
      </c>
      <c r="G37" s="314">
        <f>SUMIFS(Adjustments!$G:$G,Adjustments!$H:$H,"2C",Adjustments!$I:$I,'Schedule 2C Adjustments'!$F$12,Adjustments!$J:$J,'Schedule 2C Adjustments'!$A37)</f>
        <v>0</v>
      </c>
      <c r="H37" s="310">
        <f t="shared" si="0"/>
        <v>2946249.9456382389</v>
      </c>
      <c r="I37" s="68">
        <f>IFERROR(F37*'As-Filed Schedule 1'!$E$103,0)</f>
        <v>512426.30612920871</v>
      </c>
      <c r="J37" s="311">
        <f>IFERROR(H37*'Adjusted Schedule 1'!$E$104,0)</f>
        <v>511762.89360072458</v>
      </c>
      <c r="K37" s="68">
        <f t="shared" si="1"/>
        <v>3458676.2517674477</v>
      </c>
      <c r="L37" s="311">
        <f t="shared" si="2"/>
        <v>3458012.8392389636</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30</v>
      </c>
      <c r="W37" s="314">
        <f>SUMIFS(Adjustments!$G:$G,Adjustments!$H:$H,"2C",Adjustments!$I:$I,'Schedule 2C Adjustments'!$V$12,Adjustments!$J:$J,'Schedule 2C Adjustments'!$A37)</f>
        <v>0</v>
      </c>
      <c r="X37" s="310">
        <f t="shared" si="6"/>
        <v>30</v>
      </c>
      <c r="Y37" s="120">
        <f>'As-Filed Schedule 2C'!O37</f>
        <v>7881</v>
      </c>
      <c r="Z37" s="314">
        <f>SUMIFS(Adjustments!$G:$G,Adjustments!$H:$H,"2C",Adjustments!$I:$I,'Schedule 2C Adjustments'!$Y$12,Adjustments!$J:$J,'Schedule 2C Adjustments'!$A37)</f>
        <v>0</v>
      </c>
      <c r="AA37" s="310">
        <f t="shared" si="7"/>
        <v>7881</v>
      </c>
    </row>
    <row r="38" spans="1:27" x14ac:dyDescent="0.35">
      <c r="A38" s="24">
        <v>24</v>
      </c>
      <c r="B38" s="535" t="str">
        <f>IF('As-Filed Schedule 2C'!B38:D38=0,"",'As-Filed Schedule 2C'!B38:D38)</f>
        <v>6100 Integrated Care</v>
      </c>
      <c r="C38" s="535"/>
      <c r="D38" s="535"/>
      <c r="F38" s="117">
        <f>'As-Filed Schedule 2C'!F38</f>
        <v>479286.14150171744</v>
      </c>
      <c r="G38" s="314">
        <f>SUMIFS(Adjustments!$G:$G,Adjustments!$H:$H,"2C",Adjustments!$I:$I,'Schedule 2C Adjustments'!$F$12,Adjustments!$J:$J,'Schedule 2C Adjustments'!$A38)</f>
        <v>0</v>
      </c>
      <c r="H38" s="310">
        <f t="shared" si="0"/>
        <v>479286.14150171744</v>
      </c>
      <c r="I38" s="68">
        <f>IFERROR(F38*'As-Filed Schedule 1'!$E$103,0)</f>
        <v>83359.807076871351</v>
      </c>
      <c r="J38" s="311">
        <f>IFERROR(H38*'Adjusted Schedule 1'!$E$104,0)</f>
        <v>83251.88533334386</v>
      </c>
      <c r="K38" s="68">
        <f t="shared" si="1"/>
        <v>562645.94857858878</v>
      </c>
      <c r="L38" s="311">
        <f t="shared" si="2"/>
        <v>562538.02683506126</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8</v>
      </c>
      <c r="W38" s="314">
        <f>SUMIFS(Adjustments!$G:$G,Adjustments!$H:$H,"2C",Adjustments!$I:$I,'Schedule 2C Adjustments'!$V$12,Adjustments!$J:$J,'Schedule 2C Adjustments'!$A38)</f>
        <v>0</v>
      </c>
      <c r="X38" s="310">
        <f t="shared" si="6"/>
        <v>8</v>
      </c>
      <c r="Y38" s="120">
        <f>'As-Filed Schedule 2C'!O38</f>
        <v>792</v>
      </c>
      <c r="Z38" s="314">
        <f>SUMIFS(Adjustments!$G:$G,Adjustments!$H:$H,"2C",Adjustments!$I:$I,'Schedule 2C Adjustments'!$Y$12,Adjustments!$J:$J,'Schedule 2C Adjustments'!$A38)</f>
        <v>0</v>
      </c>
      <c r="AA38" s="310">
        <f t="shared" si="7"/>
        <v>792</v>
      </c>
    </row>
    <row r="39" spans="1:27" x14ac:dyDescent="0.35">
      <c r="A39" s="24">
        <v>25</v>
      </c>
      <c r="B39" s="535" t="str">
        <f>IF('As-Filed Schedule 2C'!B39:D39=0,"",'As-Filed Schedule 2C'!B39:D39)</f>
        <v>6101 MACC</v>
      </c>
      <c r="C39" s="535"/>
      <c r="D39" s="535"/>
      <c r="F39" s="117">
        <f>'As-Filed Schedule 2C'!F39</f>
        <v>594140.35788660857</v>
      </c>
      <c r="G39" s="314">
        <f>SUMIFS(Adjustments!$G:$G,Adjustments!$H:$H,"2C",Adjustments!$I:$I,'Schedule 2C Adjustments'!$F$12,Adjustments!$J:$J,'Schedule 2C Adjustments'!$A39)</f>
        <v>0</v>
      </c>
      <c r="H39" s="310">
        <f t="shared" si="0"/>
        <v>594140.35788660857</v>
      </c>
      <c r="I39" s="68">
        <f>IFERROR(F39*'As-Filed Schedule 1'!$E$103,0)</f>
        <v>103335.81825426829</v>
      </c>
      <c r="J39" s="311">
        <f>IFERROR(H39*'Adjusted Schedule 1'!$E$104,0)</f>
        <v>103202.03457522791</v>
      </c>
      <c r="K39" s="68">
        <f t="shared" si="1"/>
        <v>697476.17614087684</v>
      </c>
      <c r="L39" s="311">
        <f t="shared" si="2"/>
        <v>697342.39246183645</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4</v>
      </c>
      <c r="W39" s="314">
        <f>SUMIFS(Adjustments!$G:$G,Adjustments!$H:$H,"2C",Adjustments!$I:$I,'Schedule 2C Adjustments'!$V$12,Adjustments!$J:$J,'Schedule 2C Adjustments'!$A39)</f>
        <v>0</v>
      </c>
      <c r="X39" s="310">
        <f t="shared" si="6"/>
        <v>4</v>
      </c>
      <c r="Y39" s="120">
        <f>'As-Filed Schedule 2C'!O39</f>
        <v>0</v>
      </c>
      <c r="Z39" s="314">
        <f>SUMIFS(Adjustments!$G:$G,Adjustments!$H:$H,"2C",Adjustments!$I:$I,'Schedule 2C Adjustments'!$Y$12,Adjustments!$J:$J,'Schedule 2C Adjustments'!$A39)</f>
        <v>0</v>
      </c>
      <c r="AA39" s="310">
        <f t="shared" si="7"/>
        <v>0</v>
      </c>
    </row>
    <row r="40" spans="1:27" x14ac:dyDescent="0.35">
      <c r="A40" s="24">
        <v>26</v>
      </c>
      <c r="B40" s="535" t="str">
        <f>IF('As-Filed Schedule 2C'!B40:D40=0,"",'As-Filed Schedule 2C'!B40:D40)</f>
        <v>6102 School Based Health Center</v>
      </c>
      <c r="C40" s="535"/>
      <c r="D40" s="535"/>
      <c r="F40" s="117">
        <f>'As-Filed Schedule 2C'!F40</f>
        <v>122557.97697165211</v>
      </c>
      <c r="G40" s="314">
        <f>SUMIFS(Adjustments!$G:$G,Adjustments!$H:$H,"2C",Adjustments!$I:$I,'Schedule 2C Adjustments'!$F$12,Adjustments!$J:$J,'Schedule 2C Adjustments'!$A40)</f>
        <v>0</v>
      </c>
      <c r="H40" s="310">
        <f t="shared" si="0"/>
        <v>122557.97697165211</v>
      </c>
      <c r="I40" s="68">
        <f>IFERROR(F40*'As-Filed Schedule 1'!$E$103,0)</f>
        <v>21315.887173532959</v>
      </c>
      <c r="J40" s="311">
        <f>IFERROR(H40*'Adjusted Schedule 1'!$E$104,0)</f>
        <v>21288.290568055196</v>
      </c>
      <c r="K40" s="68">
        <f t="shared" si="1"/>
        <v>143873.86414518507</v>
      </c>
      <c r="L40" s="311">
        <f t="shared" si="2"/>
        <v>143846.2675397073</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1</v>
      </c>
      <c r="W40" s="314">
        <f>SUMIFS(Adjustments!$G:$G,Adjustments!$H:$H,"2C",Adjustments!$I:$I,'Schedule 2C Adjustments'!$V$12,Adjustments!$J:$J,'Schedule 2C Adjustments'!$A40)</f>
        <v>0</v>
      </c>
      <c r="X40" s="310">
        <f t="shared" si="6"/>
        <v>1</v>
      </c>
      <c r="Y40" s="120">
        <f>'As-Filed Schedule 2C'!O40</f>
        <v>264</v>
      </c>
      <c r="Z40" s="314">
        <f>SUMIFS(Adjustments!$G:$G,Adjustments!$H:$H,"2C",Adjustments!$I:$I,'Schedule 2C Adjustments'!$Y$12,Adjustments!$J:$J,'Schedule 2C Adjustments'!$A40)</f>
        <v>0</v>
      </c>
      <c r="AA40" s="310">
        <f t="shared" si="7"/>
        <v>264</v>
      </c>
    </row>
    <row r="41" spans="1:27" x14ac:dyDescent="0.35">
      <c r="A41" s="24">
        <v>27</v>
      </c>
      <c r="B41" s="535" t="str">
        <f>IF('As-Filed Schedule 2C'!B41:D41=0,"",'As-Filed Schedule 2C'!B41:D41)</f>
        <v xml:space="preserve">7000 Specialized Women Services </v>
      </c>
      <c r="C41" s="535"/>
      <c r="D41" s="535"/>
      <c r="F41" s="117">
        <f>'As-Filed Schedule 2C'!F41</f>
        <v>24331.475564369761</v>
      </c>
      <c r="G41" s="314">
        <f>SUMIFS(Adjustments!$G:$G,Adjustments!$H:$H,"2C",Adjustments!$I:$I,'Schedule 2C Adjustments'!$F$12,Adjustments!$J:$J,'Schedule 2C Adjustments'!$A41)</f>
        <v>0</v>
      </c>
      <c r="H41" s="310">
        <f t="shared" si="0"/>
        <v>24331.475564369761</v>
      </c>
      <c r="I41" s="68">
        <f>IFERROR(F41*'As-Filed Schedule 1'!$E$103,0)</f>
        <v>4231.8501064654811</v>
      </c>
      <c r="J41" s="311">
        <f>IFERROR(H41*'Adjusted Schedule 1'!$E$104,0)</f>
        <v>4226.3713432838967</v>
      </c>
      <c r="K41" s="68">
        <f t="shared" si="1"/>
        <v>28563.325670835242</v>
      </c>
      <c r="L41" s="311">
        <f t="shared" si="2"/>
        <v>28557.846907653657</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0</v>
      </c>
      <c r="W41" s="314">
        <f>SUMIFS(Adjustments!$G:$G,Adjustments!$H:$H,"2C",Adjustments!$I:$I,'Schedule 2C Adjustments'!$V$12,Adjustments!$J:$J,'Schedule 2C Adjustments'!$A41)</f>
        <v>0</v>
      </c>
      <c r="X41" s="310">
        <f t="shared" si="6"/>
        <v>0</v>
      </c>
      <c r="Y41" s="120">
        <f>'As-Filed Schedule 2C'!O41</f>
        <v>324</v>
      </c>
      <c r="Z41" s="314">
        <f>SUMIFS(Adjustments!$G:$G,Adjustments!$H:$H,"2C",Adjustments!$I:$I,'Schedule 2C Adjustments'!$Y$12,Adjustments!$J:$J,'Schedule 2C Adjustments'!$A41)</f>
        <v>0</v>
      </c>
      <c r="AA41" s="310">
        <f t="shared" si="7"/>
        <v>324</v>
      </c>
    </row>
    <row r="42" spans="1:27" x14ac:dyDescent="0.35">
      <c r="A42" s="24">
        <v>28</v>
      </c>
      <c r="B42" s="535" t="str">
        <f>IF('As-Filed Schedule 2C'!B42:D42=0,"",'As-Filed Schedule 2C'!B42:D42)</f>
        <v>7051 DUI</v>
      </c>
      <c r="C42" s="535"/>
      <c r="D42" s="535"/>
      <c r="F42" s="117">
        <f>'As-Filed Schedule 2C'!F42</f>
        <v>145264.90402331797</v>
      </c>
      <c r="G42" s="314">
        <f>SUMIFS(Adjustments!$G:$G,Adjustments!$H:$H,"2C",Adjustments!$I:$I,'Schedule 2C Adjustments'!$F$12,Adjustments!$J:$J,'Schedule 2C Adjustments'!$A42)</f>
        <v>0</v>
      </c>
      <c r="H42" s="310">
        <f t="shared" si="0"/>
        <v>145264.90402331797</v>
      </c>
      <c r="I42" s="68">
        <f>IFERROR(F42*'As-Filed Schedule 1'!$E$103,0)</f>
        <v>25265.187798843599</v>
      </c>
      <c r="J42" s="311">
        <f>IFERROR(H42*'Adjusted Schedule 1'!$E$104,0)</f>
        <v>25232.478232765956</v>
      </c>
      <c r="K42" s="68">
        <f t="shared" si="1"/>
        <v>170530.09182216157</v>
      </c>
      <c r="L42" s="311">
        <f t="shared" si="2"/>
        <v>170497.38225608392</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1</v>
      </c>
      <c r="W42" s="314">
        <f>SUMIFS(Adjustments!$G:$G,Adjustments!$H:$H,"2C",Adjustments!$I:$I,'Schedule 2C Adjustments'!$V$12,Adjustments!$J:$J,'Schedule 2C Adjustments'!$A42)</f>
        <v>0</v>
      </c>
      <c r="X42" s="310">
        <f t="shared" si="6"/>
        <v>1</v>
      </c>
      <c r="Y42" s="120">
        <f>'As-Filed Schedule 2C'!O42</f>
        <v>605</v>
      </c>
      <c r="Z42" s="314">
        <f>SUMIFS(Adjustments!$G:$G,Adjustments!$H:$H,"2C",Adjustments!$I:$I,'Schedule 2C Adjustments'!$Y$12,Adjustments!$J:$J,'Schedule 2C Adjustments'!$A42)</f>
        <v>0</v>
      </c>
      <c r="AA42" s="310">
        <f t="shared" si="7"/>
        <v>605</v>
      </c>
    </row>
    <row r="43" spans="1:27" x14ac:dyDescent="0.35">
      <c r="A43" s="24">
        <v>29</v>
      </c>
      <c r="B43" s="535" t="str">
        <f>IF('As-Filed Schedule 2C'!B43:D43=0,"",'As-Filed Schedule 2C'!B43:D43)</f>
        <v>9113 CCBHC</v>
      </c>
      <c r="C43" s="535"/>
      <c r="D43" s="535"/>
      <c r="F43" s="117">
        <f>'As-Filed Schedule 2C'!F43</f>
        <v>899745.25451525976</v>
      </c>
      <c r="G43" s="314">
        <f>SUMIFS(Adjustments!$G:$G,Adjustments!$H:$H,"2C",Adjustments!$I:$I,'Schedule 2C Adjustments'!$F$12,Adjustments!$J:$J,'Schedule 2C Adjustments'!$A43)</f>
        <v>81160.000911972093</v>
      </c>
      <c r="H43" s="310">
        <f t="shared" si="0"/>
        <v>980905.2554272319</v>
      </c>
      <c r="I43" s="68">
        <f>IFERROR(F43*'As-Filed Schedule 1'!$E$103,0)</f>
        <v>156488.12753008382</v>
      </c>
      <c r="J43" s="311">
        <f>IFERROR(H43*'Adjusted Schedule 1'!$E$104,0)</f>
        <v>170383.00250417247</v>
      </c>
      <c r="K43" s="68">
        <f t="shared" si="1"/>
        <v>1056233.3820453435</v>
      </c>
      <c r="L43" s="311">
        <f t="shared" si="2"/>
        <v>1151288.2579314043</v>
      </c>
      <c r="N43" s="117">
        <f>'As-Filed Schedule 2C'!J43</f>
        <v>224936.31362881494</v>
      </c>
      <c r="O43" s="314">
        <f>SUMIFS(Adjustments!$G:$G,Adjustments!$H:$H,"2C",Adjustments!$I:$I,'Schedule 2C Adjustments'!$N$12,Adjustments!$J:$J,'Schedule 2C Adjustments'!$A43)</f>
        <v>-81160.000911972093</v>
      </c>
      <c r="P43" s="310">
        <f t="shared" si="3"/>
        <v>143776.31271684286</v>
      </c>
      <c r="Q43" s="68">
        <f>IFERROR(N43*'As-Filed Schedule 1'!$E$103,0)</f>
        <v>39122.031882520954</v>
      </c>
      <c r="R43" s="311">
        <f>IFERROR(P43*'Adjusted Schedule 1'!$E$104,0)</f>
        <v>24973.910287599458</v>
      </c>
      <c r="S43" s="68">
        <f t="shared" si="4"/>
        <v>264058.34551133588</v>
      </c>
      <c r="T43" s="311">
        <f t="shared" si="5"/>
        <v>168750.22300444232</v>
      </c>
      <c r="V43" s="120">
        <f>'As-Filed Schedule 2C'!N43</f>
        <v>4</v>
      </c>
      <c r="W43" s="314">
        <f>SUMIFS(Adjustments!$G:$G,Adjustments!$H:$H,"2C",Adjustments!$I:$I,'Schedule 2C Adjustments'!$V$12,Adjustments!$J:$J,'Schedule 2C Adjustments'!$A43)</f>
        <v>0</v>
      </c>
      <c r="X43" s="310">
        <f t="shared" si="6"/>
        <v>4</v>
      </c>
      <c r="Y43" s="120">
        <f>'As-Filed Schedule 2C'!O43</f>
        <v>366</v>
      </c>
      <c r="Z43" s="314">
        <f>SUMIFS(Adjustments!$G:$G,Adjustments!$H:$H,"2C",Adjustments!$I:$I,'Schedule 2C Adjustments'!$Y$12,Adjustments!$J:$J,'Schedule 2C Adjustments'!$A43)</f>
        <v>0</v>
      </c>
      <c r="AA43" s="310">
        <f t="shared" si="7"/>
        <v>366</v>
      </c>
    </row>
    <row r="44" spans="1:27" x14ac:dyDescent="0.35">
      <c r="A44" s="24">
        <v>30</v>
      </c>
      <c r="B44" s="535" t="str">
        <f>IF('As-Filed Schedule 2C'!B44:D44=0,"",'As-Filed Schedule 2C'!B44:D44)</f>
        <v>3880 Jail AUD</v>
      </c>
      <c r="C44" s="535"/>
      <c r="D44" s="535"/>
      <c r="F44" s="117">
        <f>'As-Filed Schedule 2C'!F44</f>
        <v>321919.76037542935</v>
      </c>
      <c r="G44" s="314">
        <f>SUMIFS(Adjustments!$G:$G,Adjustments!$H:$H,"2C",Adjustments!$I:$I,'Schedule 2C Adjustments'!$F$12,Adjustments!$J:$J,'Schedule 2C Adjustments'!$A44)</f>
        <v>0</v>
      </c>
      <c r="H44" s="310">
        <f t="shared" si="0"/>
        <v>321919.76037542935</v>
      </c>
      <c r="I44" s="68">
        <f>IFERROR(F44*'As-Filed Schedule 1'!$E$103,0)</f>
        <v>55989.870758723548</v>
      </c>
      <c r="J44" s="311">
        <f>IFERROR(H44*'Adjusted Schedule 1'!$E$104,0)</f>
        <v>55917.383493168963</v>
      </c>
      <c r="K44" s="68">
        <f t="shared" si="1"/>
        <v>377909.63113415288</v>
      </c>
      <c r="L44" s="311">
        <f t="shared" si="2"/>
        <v>377837.14386859833</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2</v>
      </c>
      <c r="W44" s="314">
        <f>SUMIFS(Adjustments!$G:$G,Adjustments!$H:$H,"2C",Adjustments!$I:$I,'Schedule 2C Adjustments'!$V$12,Adjustments!$J:$J,'Schedule 2C Adjustments'!$A44)</f>
        <v>0</v>
      </c>
      <c r="X44" s="310">
        <f t="shared" si="6"/>
        <v>2</v>
      </c>
      <c r="Y44" s="120">
        <f>'As-Filed Schedule 2C'!O44</f>
        <v>33</v>
      </c>
      <c r="Z44" s="314">
        <f>SUMIFS(Adjustments!$G:$G,Adjustments!$H:$H,"2C",Adjustments!$I:$I,'Schedule 2C Adjustments'!$Y$12,Adjustments!$J:$J,'Schedule 2C Adjustments'!$A44)</f>
        <v>0</v>
      </c>
      <c r="AA44" s="310">
        <f t="shared" si="7"/>
        <v>33</v>
      </c>
    </row>
    <row r="45" spans="1:27" x14ac:dyDescent="0.35">
      <c r="A45" s="24">
        <v>31</v>
      </c>
      <c r="B45" s="535" t="str">
        <f>IF('As-Filed Schedule 2C'!B45:D45=0,"",'As-Filed Schedule 2C'!B45:D45)</f>
        <v>8800 After Hours/On-Call</v>
      </c>
      <c r="C45" s="535"/>
      <c r="D45" s="535"/>
      <c r="F45" s="117">
        <f>'As-Filed Schedule 2C'!F45</f>
        <v>-2156.8599999999997</v>
      </c>
      <c r="G45" s="314">
        <f>SUMIFS(Adjustments!$G:$G,Adjustments!$H:$H,"2C",Adjustments!$I:$I,'Schedule 2C Adjustments'!$F$12,Adjustments!$J:$J,'Schedule 2C Adjustments'!$A45)</f>
        <v>0</v>
      </c>
      <c r="H45" s="310">
        <f t="shared" si="0"/>
        <v>-2156.8599999999997</v>
      </c>
      <c r="I45" s="68">
        <f>IFERROR(F45*'As-Filed Schedule 1'!$E$103,0)</f>
        <v>-375.13171761753608</v>
      </c>
      <c r="J45" s="311">
        <f>IFERROR(H45*'Adjusted Schedule 1'!$E$104,0)</f>
        <v>-374.64605347749784</v>
      </c>
      <c r="K45" s="68">
        <f t="shared" si="1"/>
        <v>-2531.9917176175359</v>
      </c>
      <c r="L45" s="311">
        <f t="shared" si="2"/>
        <v>-2531.5060534774975</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5</v>
      </c>
      <c r="Z45" s="314">
        <f>SUMIFS(Adjustments!$G:$G,Adjustments!$H:$H,"2C",Adjustments!$I:$I,'Schedule 2C Adjustments'!$Y$12,Adjustments!$J:$J,'Schedule 2C Adjustments'!$A45)</f>
        <v>0</v>
      </c>
      <c r="AA45" s="310">
        <f t="shared" si="7"/>
        <v>5</v>
      </c>
    </row>
    <row r="46" spans="1:27" x14ac:dyDescent="0.35">
      <c r="A46" s="24">
        <v>32</v>
      </c>
      <c r="B46" s="535" t="str">
        <f>IF('As-Filed Schedule 2C'!B46:D46=0,"",'As-Filed Schedule 2C'!B46:D46)</f>
        <v>5102 Grandfamilies</v>
      </c>
      <c r="C46" s="535"/>
      <c r="D46" s="535"/>
      <c r="F46" s="117">
        <f>'As-Filed Schedule 2C'!F46</f>
        <v>188137.47968749428</v>
      </c>
      <c r="G46" s="314">
        <f>SUMIFS(Adjustments!$G:$G,Adjustments!$H:$H,"2C",Adjustments!$I:$I,'Schedule 2C Adjustments'!$F$12,Adjustments!$J:$J,'Schedule 2C Adjustments'!$A46)</f>
        <v>-188137.47968749428</v>
      </c>
      <c r="H46" s="310">
        <f t="shared" si="0"/>
        <v>0</v>
      </c>
      <c r="I46" s="68">
        <f>IFERROR(F46*'As-Filed Schedule 1'!$E$103,0)</f>
        <v>32721.797382956727</v>
      </c>
      <c r="J46" s="311">
        <f>IFERROR(H46*'Adjusted Schedule 1'!$E$104,0)</f>
        <v>0</v>
      </c>
      <c r="K46" s="68">
        <f t="shared" si="1"/>
        <v>220859.277070451</v>
      </c>
      <c r="L46" s="311">
        <f t="shared" si="2"/>
        <v>0</v>
      </c>
      <c r="N46" s="117">
        <f>'As-Filed Schedule 2C'!J46</f>
        <v>0</v>
      </c>
      <c r="O46" s="314">
        <f>SUMIFS(Adjustments!$G:$G,Adjustments!$H:$H,"2C",Adjustments!$I:$I,'Schedule 2C Adjustments'!$N$12,Adjustments!$J:$J,'Schedule 2C Adjustments'!$A46)</f>
        <v>188137.47968749428</v>
      </c>
      <c r="P46" s="310">
        <f t="shared" si="3"/>
        <v>188137.47968749428</v>
      </c>
      <c r="Q46" s="68">
        <f>IFERROR(N46*'As-Filed Schedule 1'!$E$103,0)</f>
        <v>0</v>
      </c>
      <c r="R46" s="311">
        <f>IFERROR(P46*'Adjusted Schedule 1'!$E$104,0)</f>
        <v>32679.434120027563</v>
      </c>
      <c r="S46" s="68">
        <f t="shared" si="4"/>
        <v>0</v>
      </c>
      <c r="T46" s="311">
        <f t="shared" si="5"/>
        <v>220816.91380752184</v>
      </c>
      <c r="V46" s="120">
        <f>'As-Filed Schedule 2C'!N46</f>
        <v>2</v>
      </c>
      <c r="W46" s="314">
        <f>SUMIFS(Adjustments!$G:$G,Adjustments!$H:$H,"2C",Adjustments!$I:$I,'Schedule 2C Adjustments'!$V$12,Adjustments!$J:$J,'Schedule 2C Adjustments'!$A46)</f>
        <v>0</v>
      </c>
      <c r="X46" s="310">
        <f t="shared" si="6"/>
        <v>2</v>
      </c>
      <c r="Y46" s="120">
        <f>'As-Filed Schedule 2C'!O46</f>
        <v>0</v>
      </c>
      <c r="Z46" s="314">
        <f>SUMIFS(Adjustments!$G:$G,Adjustments!$H:$H,"2C",Adjustments!$I:$I,'Schedule 2C Adjustments'!$Y$12,Adjustments!$J:$J,'Schedule 2C Adjustments'!$A46)</f>
        <v>0</v>
      </c>
      <c r="AA46" s="310">
        <f t="shared" si="7"/>
        <v>0</v>
      </c>
    </row>
    <row r="47" spans="1:27" x14ac:dyDescent="0.35">
      <c r="A47" s="24">
        <v>33</v>
      </c>
      <c r="B47" s="535" t="str">
        <f>IF('As-Filed Schedule 2C'!B47:D47=0,"",'As-Filed Schedule 2C'!B47:D47)</f>
        <v>4706 Housing Case Mgmt</v>
      </c>
      <c r="C47" s="535"/>
      <c r="D47" s="535"/>
      <c r="F47" s="117">
        <f>'As-Filed Schedule 2C'!F47</f>
        <v>226391.55355673598</v>
      </c>
      <c r="G47" s="314">
        <f>SUMIFS(Adjustments!$G:$G,Adjustments!$H:$H,"2C",Adjustments!$I:$I,'Schedule 2C Adjustments'!$F$12,Adjustments!$J:$J,'Schedule 2C Adjustments'!$A47)</f>
        <v>0</v>
      </c>
      <c r="H47" s="310">
        <f t="shared" si="0"/>
        <v>226391.55355673598</v>
      </c>
      <c r="I47" s="68">
        <f>IFERROR(F47*'As-Filed Schedule 1'!$E$103,0)</f>
        <v>39375.134380460848</v>
      </c>
      <c r="J47" s="311">
        <f>IFERROR(H47*'Adjusted Schedule 1'!$E$104,0)</f>
        <v>39324.157377238545</v>
      </c>
      <c r="K47" s="68">
        <f t="shared" si="1"/>
        <v>265766.68793719681</v>
      </c>
      <c r="L47" s="311">
        <f t="shared" si="2"/>
        <v>265715.71093397454</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2.5</v>
      </c>
      <c r="W47" s="314">
        <f>SUMIFS(Adjustments!$G:$G,Adjustments!$H:$H,"2C",Adjustments!$I:$I,'Schedule 2C Adjustments'!$V$12,Adjustments!$J:$J,'Schedule 2C Adjustments'!$A47)</f>
        <v>0</v>
      </c>
      <c r="X47" s="310">
        <f t="shared" si="6"/>
        <v>2.5</v>
      </c>
      <c r="Y47" s="120">
        <f>'As-Filed Schedule 2C'!O47</f>
        <v>11</v>
      </c>
      <c r="Z47" s="314">
        <f>SUMIFS(Adjustments!$G:$G,Adjustments!$H:$H,"2C",Adjustments!$I:$I,'Schedule 2C Adjustments'!$Y$12,Adjustments!$J:$J,'Schedule 2C Adjustments'!$A47)</f>
        <v>0</v>
      </c>
      <c r="AA47" s="310">
        <f t="shared" si="7"/>
        <v>11</v>
      </c>
    </row>
    <row r="48" spans="1:27" x14ac:dyDescent="0.35">
      <c r="A48" s="24">
        <v>34</v>
      </c>
      <c r="B48" s="535" t="str">
        <f>IF('As-Filed Schedule 2C'!B48:D48=0,"",'As-Filed Schedule 2C'!B48:D48)</f>
        <v>3010 Murphy Center</v>
      </c>
      <c r="C48" s="535"/>
      <c r="D48" s="535"/>
      <c r="F48" s="117">
        <f>'As-Filed Schedule 2C'!F48</f>
        <v>148065.59562685771</v>
      </c>
      <c r="G48" s="314">
        <f>SUMIFS(Adjustments!$G:$G,Adjustments!$H:$H,"2C",Adjustments!$I:$I,'Schedule 2C Adjustments'!$F$12,Adjustments!$J:$J,'Schedule 2C Adjustments'!$A48)</f>
        <v>-86026.371053897485</v>
      </c>
      <c r="H48" s="310">
        <f t="shared" si="0"/>
        <v>62039.224572960229</v>
      </c>
      <c r="I48" s="68">
        <f>IFERROR(F48*'As-Filed Schedule 1'!$E$103,0)</f>
        <v>25752.297880978218</v>
      </c>
      <c r="J48" s="311">
        <f>IFERROR(H48*'Adjusted Schedule 1'!$E$104,0)</f>
        <v>10776.198106072605</v>
      </c>
      <c r="K48" s="68">
        <f t="shared" si="1"/>
        <v>173817.89350783592</v>
      </c>
      <c r="L48" s="311">
        <f t="shared" si="2"/>
        <v>72815.422679032839</v>
      </c>
      <c r="N48" s="117">
        <f>'As-Filed Schedule 2C'!J48</f>
        <v>0</v>
      </c>
      <c r="O48" s="314">
        <f>SUMIFS(Adjustments!$G:$G,Adjustments!$H:$H,"2C",Adjustments!$I:$I,'Schedule 2C Adjustments'!$N$12,Adjustments!$J:$J,'Schedule 2C Adjustments'!$A48)</f>
        <v>34391.309274141015</v>
      </c>
      <c r="P48" s="310">
        <f t="shared" si="3"/>
        <v>34391.309274141015</v>
      </c>
      <c r="Q48" s="68">
        <f>IFERROR(N48*'As-Filed Schedule 1'!$E$103,0)</f>
        <v>0</v>
      </c>
      <c r="R48" s="311">
        <f>IFERROR(P48*'Adjusted Schedule 1'!$E$104,0)</f>
        <v>5973.7619935837292</v>
      </c>
      <c r="S48" s="68">
        <f t="shared" si="4"/>
        <v>0</v>
      </c>
      <c r="T48" s="311">
        <f t="shared" si="5"/>
        <v>40365.071267724743</v>
      </c>
      <c r="V48" s="120">
        <f>'As-Filed Schedule 2C'!N48</f>
        <v>5.5</v>
      </c>
      <c r="W48" s="314">
        <f>SUMIFS(Adjustments!$G:$G,Adjustments!$H:$H,"2C",Adjustments!$I:$I,'Schedule 2C Adjustments'!$V$12,Adjustments!$J:$J,'Schedule 2C Adjustments'!$A48)</f>
        <v>0</v>
      </c>
      <c r="X48" s="310">
        <f t="shared" si="6"/>
        <v>5.5</v>
      </c>
      <c r="Y48" s="120">
        <f>'As-Filed Schedule 2C'!O48</f>
        <v>256</v>
      </c>
      <c r="Z48" s="314">
        <f>SUMIFS(Adjustments!$G:$G,Adjustments!$H:$H,"2C",Adjustments!$I:$I,'Schedule 2C Adjustments'!$Y$12,Adjustments!$J:$J,'Schedule 2C Adjustments'!$A48)</f>
        <v>0</v>
      </c>
      <c r="AA48" s="310">
        <f t="shared" si="7"/>
        <v>256</v>
      </c>
    </row>
    <row r="49" spans="1:27" x14ac:dyDescent="0.35">
      <c r="A49" s="24">
        <v>35</v>
      </c>
      <c r="B49" s="535" t="str">
        <f>IF('As-Filed Schedule 2C'!B49:D49=0,"",'As-Filed Schedule 2C'!B49:D49)</f>
        <v>8807 Harm Reduction Grant</v>
      </c>
      <c r="C49" s="535"/>
      <c r="D49" s="535"/>
      <c r="F49" s="117">
        <f>'As-Filed Schedule 2C'!F49</f>
        <v>270135.07057898777</v>
      </c>
      <c r="G49" s="314">
        <f>SUMIFS(Adjustments!$G:$G,Adjustments!$H:$H,"2C",Adjustments!$I:$I,'Schedule 2C Adjustments'!$F$12,Adjustments!$J:$J,'Schedule 2C Adjustments'!$A49)</f>
        <v>-270135.07057898771</v>
      </c>
      <c r="H49" s="310">
        <f t="shared" si="0"/>
        <v>0</v>
      </c>
      <c r="I49" s="68">
        <f>IFERROR(F49*'As-Filed Schedule 1'!$E$103,0)</f>
        <v>46983.222376524223</v>
      </c>
      <c r="J49" s="311">
        <f>IFERROR(H49*'Adjusted Schedule 1'!$E$104,0)</f>
        <v>0</v>
      </c>
      <c r="K49" s="68">
        <f t="shared" si="1"/>
        <v>317118.29295551201</v>
      </c>
      <c r="L49" s="311">
        <f t="shared" si="2"/>
        <v>0</v>
      </c>
      <c r="N49" s="117">
        <f>'As-Filed Schedule 2C'!J49</f>
        <v>47670.894808056677</v>
      </c>
      <c r="O49" s="314">
        <f>SUMIFS(Adjustments!$G:$G,Adjustments!$H:$H,"2C",Adjustments!$I:$I,'Schedule 2C Adjustments'!$N$12,Adjustments!$J:$J,'Schedule 2C Adjustments'!$A49)</f>
        <v>270135.07057898771</v>
      </c>
      <c r="P49" s="310">
        <f t="shared" si="3"/>
        <v>317805.96538704436</v>
      </c>
      <c r="Q49" s="68">
        <f>IFERROR(N49*'As-Filed Schedule 1'!$E$103,0)</f>
        <v>8291.1568899748654</v>
      </c>
      <c r="R49" s="311">
        <f>IFERROR(P49*'Adjusted Schedule 1'!$E$104,0)</f>
        <v>55202.818311741357</v>
      </c>
      <c r="S49" s="68">
        <f t="shared" si="4"/>
        <v>55962.051698031544</v>
      </c>
      <c r="T49" s="311">
        <f t="shared" si="5"/>
        <v>373008.7836987857</v>
      </c>
      <c r="V49" s="120">
        <f>'As-Filed Schedule 2C'!N49</f>
        <v>3</v>
      </c>
      <c r="W49" s="314">
        <f>SUMIFS(Adjustments!$G:$G,Adjustments!$H:$H,"2C",Adjustments!$I:$I,'Schedule 2C Adjustments'!$V$12,Adjustments!$J:$J,'Schedule 2C Adjustments'!$A49)</f>
        <v>0</v>
      </c>
      <c r="X49" s="310">
        <f t="shared" si="6"/>
        <v>3</v>
      </c>
      <c r="Y49" s="120">
        <f>'As-Filed Schedule 2C'!O49</f>
        <v>0</v>
      </c>
      <c r="Z49" s="314">
        <f>SUMIFS(Adjustments!$G:$G,Adjustments!$H:$H,"2C",Adjustments!$I:$I,'Schedule 2C Adjustments'!$Y$12,Adjustments!$J:$J,'Schedule 2C Adjustments'!$A49)</f>
        <v>0</v>
      </c>
      <c r="AA49" s="310">
        <f t="shared" si="7"/>
        <v>0</v>
      </c>
    </row>
    <row r="50" spans="1:27" x14ac:dyDescent="0.35">
      <c r="A50" s="24">
        <v>36</v>
      </c>
      <c r="B50" s="535" t="str">
        <f>IF('As-Filed Schedule 2C'!B50:D50=0,"",'As-Filed Schedule 2C'!B50:D50)</f>
        <v>8808 Community Investment Grant</v>
      </c>
      <c r="C50" s="535"/>
      <c r="D50" s="535"/>
      <c r="F50" s="117">
        <f>'As-Filed Schedule 2C'!F50</f>
        <v>374622.50907111709</v>
      </c>
      <c r="G50" s="314">
        <f>SUMIFS(Adjustments!$G:$G,Adjustments!$H:$H,"2C",Adjustments!$I:$I,'Schedule 2C Adjustments'!$F$12,Adjustments!$J:$J,'Schedule 2C Adjustments'!$A50)</f>
        <v>-374622.50907111698</v>
      </c>
      <c r="H50" s="310">
        <f t="shared" si="0"/>
        <v>0</v>
      </c>
      <c r="I50" s="68">
        <f>IFERROR(F50*'As-Filed Schedule 1'!$E$103,0)</f>
        <v>65156.192467772213</v>
      </c>
      <c r="J50" s="311">
        <f>IFERROR(H50*'Adjusted Schedule 1'!$E$104,0)</f>
        <v>0</v>
      </c>
      <c r="K50" s="68">
        <f t="shared" si="1"/>
        <v>439778.70153888932</v>
      </c>
      <c r="L50" s="311">
        <f t="shared" si="2"/>
        <v>0</v>
      </c>
      <c r="N50" s="117">
        <f>'As-Filed Schedule 2C'!J50</f>
        <v>66109.854541961846</v>
      </c>
      <c r="O50" s="314">
        <f>SUMIFS(Adjustments!$G:$G,Adjustments!$H:$H,"2C",Adjustments!$I:$I,'Schedule 2C Adjustments'!$N$12,Adjustments!$J:$J,'Schedule 2C Adjustments'!$A50)</f>
        <v>374622.50907111698</v>
      </c>
      <c r="P50" s="310">
        <f t="shared" si="3"/>
        <v>440732.36361307884</v>
      </c>
      <c r="Q50" s="68">
        <f>IFERROR(N50*'As-Filed Schedule 1'!$E$103,0)</f>
        <v>11498.151611959804</v>
      </c>
      <c r="R50" s="311">
        <f>IFERROR(P50*'Adjusted Schedule 1'!$E$104,0)</f>
        <v>76555.103561403885</v>
      </c>
      <c r="S50" s="68">
        <f t="shared" si="4"/>
        <v>77608.006153921655</v>
      </c>
      <c r="T50" s="311">
        <f t="shared" si="5"/>
        <v>517287.46717448271</v>
      </c>
      <c r="V50" s="120">
        <f>'As-Filed Schedule 2C'!N50</f>
        <v>4</v>
      </c>
      <c r="W50" s="314">
        <f>SUMIFS(Adjustments!$G:$G,Adjustments!$H:$H,"2C",Adjustments!$I:$I,'Schedule 2C Adjustments'!$V$12,Adjustments!$J:$J,'Schedule 2C Adjustments'!$A50)</f>
        <v>0</v>
      </c>
      <c r="X50" s="310">
        <f t="shared" si="6"/>
        <v>4</v>
      </c>
      <c r="Y50" s="120">
        <f>'As-Filed Schedule 2C'!O50</f>
        <v>0</v>
      </c>
      <c r="Z50" s="314">
        <f>SUMIFS(Adjustments!$G:$G,Adjustments!$H:$H,"2C",Adjustments!$I:$I,'Schedule 2C Adjustments'!$Y$12,Adjustments!$J:$J,'Schedule 2C Adjustments'!$A50)</f>
        <v>0</v>
      </c>
      <c r="AA50" s="310">
        <f t="shared" si="7"/>
        <v>0</v>
      </c>
    </row>
    <row r="51" spans="1:27" x14ac:dyDescent="0.35">
      <c r="A51" s="24">
        <v>37</v>
      </c>
      <c r="B51" s="535" t="str">
        <f>IF('As-Filed Schedule 2C'!B51:D51=0,"",'As-Filed Schedule 2C'!B51:D51)</f>
        <v/>
      </c>
      <c r="C51" s="535"/>
      <c r="D51" s="535"/>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35" t="str">
        <f>IF('As-Filed Schedule 2C'!B52:D52=0,"",'As-Filed Schedule 2C'!B52:D52)</f>
        <v/>
      </c>
      <c r="C52" s="535"/>
      <c r="D52" s="535"/>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35" t="str">
        <f>IF('As-Filed Schedule 2C'!B53:D53=0,"",'As-Filed Schedule 2C'!B53:D53)</f>
        <v/>
      </c>
      <c r="C53" s="535"/>
      <c r="D53" s="535"/>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35" t="str">
        <f>IF('As-Filed Schedule 2C'!B54:D54=0,"",'As-Filed Schedule 2C'!B54:D54)</f>
        <v/>
      </c>
      <c r="C54" s="535"/>
      <c r="D54" s="535"/>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35" t="str">
        <f>IF('As-Filed Schedule 2C'!B55:D55=0,"",'As-Filed Schedule 2C'!B55:D55)</f>
        <v/>
      </c>
      <c r="C55" s="535"/>
      <c r="D55" s="535"/>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35" t="str">
        <f>IF('As-Filed Schedule 2C'!B56:D56=0,"",'As-Filed Schedule 2C'!B56:D56)</f>
        <v/>
      </c>
      <c r="C56" s="535"/>
      <c r="D56" s="535"/>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35" t="str">
        <f>IF('As-Filed Schedule 2C'!B57:D57=0,"",'As-Filed Schedule 2C'!B57:D57)</f>
        <v/>
      </c>
      <c r="C57" s="535"/>
      <c r="D57" s="535"/>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35" t="str">
        <f>IF('As-Filed Schedule 2C'!B58:D58=0,"",'As-Filed Schedule 2C'!B58:D58)</f>
        <v/>
      </c>
      <c r="C58" s="535"/>
      <c r="D58" s="535"/>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35" t="str">
        <f>IF('As-Filed Schedule 2C'!B59:D59=0,"",'As-Filed Schedule 2C'!B59:D59)</f>
        <v/>
      </c>
      <c r="C59" s="535"/>
      <c r="D59" s="535"/>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35" t="str">
        <f>IF('As-Filed Schedule 2C'!B60:D60=0,"",'As-Filed Schedule 2C'!B60:D60)</f>
        <v/>
      </c>
      <c r="C60" s="535"/>
      <c r="D60" s="535"/>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35" t="str">
        <f>IF('As-Filed Schedule 2C'!B61:D61=0,"",'As-Filed Schedule 2C'!B61:D61)</f>
        <v/>
      </c>
      <c r="C61" s="535"/>
      <c r="D61" s="535"/>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35" t="str">
        <f>IF('As-Filed Schedule 2C'!B62:D62=0,"",'As-Filed Schedule 2C'!B62:D62)</f>
        <v/>
      </c>
      <c r="C62" s="535"/>
      <c r="D62" s="535"/>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35" t="str">
        <f>IF('As-Filed Schedule 2C'!B63:D63=0,"",'As-Filed Schedule 2C'!B63:D63)</f>
        <v/>
      </c>
      <c r="C63" s="535"/>
      <c r="D63" s="535"/>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35" t="str">
        <f>IF('As-Filed Schedule 2C'!B64:D64=0,"",'As-Filed Schedule 2C'!B64:D64)</f>
        <v/>
      </c>
      <c r="C64" s="535"/>
      <c r="D64" s="535"/>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35" t="str">
        <f>IF('As-Filed Schedule 2C'!B65:D65=0,"",'As-Filed Schedule 2C'!B65:D65)</f>
        <v/>
      </c>
      <c r="C65" s="535"/>
      <c r="D65" s="535"/>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35" t="str">
        <f>IF('As-Filed Schedule 2C'!B66:D66=0,"",'As-Filed Schedule 2C'!B66:D66)</f>
        <v/>
      </c>
      <c r="C66" s="535"/>
      <c r="D66" s="535"/>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35" t="str">
        <f>IF('As-Filed Schedule 2C'!B67:D67=0,"",'As-Filed Schedule 2C'!B67:D67)</f>
        <v/>
      </c>
      <c r="C67" s="535"/>
      <c r="D67" s="535"/>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35" t="str">
        <f>IF('As-Filed Schedule 2C'!B68:D68=0,"",'As-Filed Schedule 2C'!B68:D68)</f>
        <v/>
      </c>
      <c r="C68" s="535"/>
      <c r="D68" s="535"/>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35" t="str">
        <f>IF('As-Filed Schedule 2C'!B69:D69=0,"",'As-Filed Schedule 2C'!B69:D69)</f>
        <v/>
      </c>
      <c r="C69" s="535"/>
      <c r="D69" s="535"/>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35" t="str">
        <f>IF('As-Filed Schedule 2C'!B70:D70=0,"",'As-Filed Schedule 2C'!B70:D70)</f>
        <v/>
      </c>
      <c r="C70" s="535"/>
      <c r="D70" s="535"/>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35" t="str">
        <f>IF('As-Filed Schedule 2C'!B71:D71=0,"",'As-Filed Schedule 2C'!B71:D71)</f>
        <v/>
      </c>
      <c r="C71" s="535"/>
      <c r="D71" s="535"/>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35" t="str">
        <f>IF('As-Filed Schedule 2C'!B72:D72=0,"",'As-Filed Schedule 2C'!B72:D72)</f>
        <v/>
      </c>
      <c r="C72" s="535"/>
      <c r="D72" s="535"/>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30504868.092349421</v>
      </c>
      <c r="G73" s="18">
        <f t="shared" ref="G73:L73" si="8">SUM(G15:G72)</f>
        <v>-837761.42947952438</v>
      </c>
      <c r="H73" s="18">
        <f t="shared" si="8"/>
        <v>29667106.662869897</v>
      </c>
      <c r="I73" s="18">
        <f t="shared" si="8"/>
        <v>5305556.9500011187</v>
      </c>
      <c r="J73" s="312">
        <f t="shared" si="8"/>
        <v>5153169.1576366518</v>
      </c>
      <c r="K73" s="18">
        <f t="shared" si="8"/>
        <v>35810425.04235056</v>
      </c>
      <c r="L73" s="312">
        <f t="shared" si="8"/>
        <v>34820275.82050655</v>
      </c>
      <c r="N73" s="18">
        <f>SUM(N15:N72)</f>
        <v>445313.29057450063</v>
      </c>
      <c r="O73" s="18">
        <f t="shared" ref="O73:T73" si="9">SUM(O15:O72)</f>
        <v>786126.36769976793</v>
      </c>
      <c r="P73" s="312">
        <f t="shared" si="9"/>
        <v>1231439.6582742685</v>
      </c>
      <c r="Q73" s="18">
        <f t="shared" si="9"/>
        <v>77451.081466172778</v>
      </c>
      <c r="R73" s="312">
        <f t="shared" si="9"/>
        <v>213900.7668871106</v>
      </c>
      <c r="S73" s="18">
        <f t="shared" si="9"/>
        <v>522764.37204067339</v>
      </c>
      <c r="T73" s="18">
        <f t="shared" si="9"/>
        <v>1445340.4251613792</v>
      </c>
      <c r="W73"/>
      <c r="X73"/>
      <c r="Y73" s="83" t="s">
        <v>313</v>
      </c>
      <c r="Z73"/>
      <c r="AA73"/>
    </row>
    <row r="74" spans="1:27" ht="15" thickBot="1" x14ac:dyDescent="0.4">
      <c r="G74"/>
      <c r="H74"/>
      <c r="J74" s="37" t="s">
        <v>257</v>
      </c>
      <c r="L74" s="325" t="s">
        <v>257</v>
      </c>
      <c r="O74"/>
      <c r="P74"/>
      <c r="R74" s="37" t="s">
        <v>258</v>
      </c>
      <c r="T74" s="325" t="s">
        <v>258</v>
      </c>
      <c r="W74"/>
      <c r="X74"/>
    </row>
    <row r="75" spans="1:27" s="72" customFormat="1" ht="16" thickBot="1" x14ac:dyDescent="0.4">
      <c r="A75" s="24">
        <v>60</v>
      </c>
      <c r="B75" s="73" t="s">
        <v>461</v>
      </c>
      <c r="F75" s="75">
        <f>K73+S73</f>
        <v>36333189.414391235</v>
      </c>
      <c r="G75"/>
      <c r="H75" s="335">
        <f>L73+T73</f>
        <v>36265616.245667927</v>
      </c>
      <c r="I75" s="74"/>
      <c r="J75"/>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752</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627</v>
      </c>
      <c r="C8" s="1"/>
      <c r="F8" s="471" t="s">
        <v>1021</v>
      </c>
      <c r="G8" s="41" t="s">
        <v>259</v>
      </c>
    </row>
    <row r="10" spans="1:27" x14ac:dyDescent="0.35">
      <c r="A10" s="1" t="s">
        <v>254</v>
      </c>
      <c r="B10" s="1" t="s">
        <v>256</v>
      </c>
      <c r="C10" s="1"/>
    </row>
    <row r="11" spans="1:27" x14ac:dyDescent="0.35">
      <c r="B11" s="334" t="s">
        <v>597</v>
      </c>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100"/>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2D'!B15:D15=0,"",'As-Filed Schedule 2D'!B15:D15)</f>
        <v>3700 PATH</v>
      </c>
      <c r="C15" s="535"/>
      <c r="D15" s="535"/>
      <c r="F15" s="117">
        <f>'As-Filed Schedule 2D'!F15</f>
        <v>808629.20879499672</v>
      </c>
      <c r="G15" s="459">
        <f>SUMIFS(Adjustments!$G:$G,Adjustments!$H:$H,"2D",Adjustments!$I:$I,'Schedule 2D Adjustments'!$F$12,Adjustments!$J:$J,'Schedule 2D Adjustments'!$A15)</f>
        <v>0</v>
      </c>
      <c r="H15" s="310">
        <f>SUM(F15:G15)</f>
        <v>808629.20879499672</v>
      </c>
      <c r="I15" s="68">
        <f>IFERROR(F15*'As-Filed Schedule 1'!$E$103,0)</f>
        <v>140640.77594789481</v>
      </c>
      <c r="J15" s="311">
        <f>IFERROR(H15*'Adjusted Schedule 1'!$E$104,0)</f>
        <v>140458.6954191172</v>
      </c>
      <c r="K15" s="68">
        <f>SUM(F15,I15)</f>
        <v>949269.98474289151</v>
      </c>
      <c r="L15" s="311">
        <f>SUM(H15,J15)</f>
        <v>949087.90421411395</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9.75</v>
      </c>
      <c r="W15" s="314">
        <f>SUMIFS(Adjustments!$G:$G,Adjustments!$H:$H,"2D",Adjustments!$I:$I,'Schedule 2D Adjustments'!$V$12,Adjustments!$J:$J,'Schedule 2D Adjustments'!$A15)</f>
        <v>0</v>
      </c>
      <c r="X15" s="310">
        <f>SUM(V15:W15)</f>
        <v>9.75</v>
      </c>
      <c r="Y15" s="120">
        <f>'As-Filed Schedule 2D'!O15</f>
        <v>1233</v>
      </c>
      <c r="Z15" s="314">
        <f>SUMIFS(Adjustments!$G:$G,Adjustments!$H:$H,"2D",Adjustments!$I:$I,'Schedule 2D Adjustments'!$Y$12,Adjustments!$J:$J,'Schedule 2D Adjustments'!$A15)</f>
        <v>0</v>
      </c>
      <c r="AA15" s="310">
        <f>SUM(Y15:Z15)</f>
        <v>1233</v>
      </c>
    </row>
    <row r="16" spans="1:27" x14ac:dyDescent="0.35">
      <c r="A16" s="24">
        <v>2</v>
      </c>
      <c r="B16" s="535" t="str">
        <f>IF('As-Filed Schedule 2D'!B16:D16=0,"",'As-Filed Schedule 2D'!B16:D16)</f>
        <v>3701 Spirit Crossing</v>
      </c>
      <c r="C16" s="535"/>
      <c r="D16" s="535"/>
      <c r="F16" s="117">
        <f>'As-Filed Schedule 2D'!F16</f>
        <v>847830.21024123393</v>
      </c>
      <c r="G16" s="459">
        <f>SUMIFS(Adjustments!$G:$G,Adjustments!$H:$H,"2D",Adjustments!$I:$I,'Schedule 2D Adjustments'!$F$12,Adjustments!$J:$J,'Schedule 2D Adjustments'!$A16)</f>
        <v>0</v>
      </c>
      <c r="H16" s="310">
        <f t="shared" ref="H16:H72" si="0">SUM(F16:G16)</f>
        <v>847830.21024123393</v>
      </c>
      <c r="I16" s="68">
        <f>IFERROR(F16*'As-Filed Schedule 1'!$E$103,0)</f>
        <v>147458.80725491262</v>
      </c>
      <c r="J16" s="311">
        <f>IFERROR(H16*'Adjusted Schedule 1'!$E$104,0)</f>
        <v>147267.89976441476</v>
      </c>
      <c r="K16" s="68">
        <f t="shared" ref="K16:K72" si="1">SUM(F16,I16)</f>
        <v>995289.01749614649</v>
      </c>
      <c r="L16" s="311">
        <f t="shared" ref="L16:L72" si="2">SUM(H16,J16)</f>
        <v>995098.11000564869</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7.7</v>
      </c>
      <c r="W16" s="314">
        <f>SUMIFS(Adjustments!$G:$G,Adjustments!$H:$H,"2D",Adjustments!$I:$I,'Schedule 2D Adjustments'!$V$12,Adjustments!$J:$J,'Schedule 2D Adjustments'!$A16)</f>
        <v>0</v>
      </c>
      <c r="X16" s="310">
        <f t="shared" ref="X16:X72" si="6">SUM(V16:W16)</f>
        <v>7.7</v>
      </c>
      <c r="Y16" s="120">
        <f>'As-Filed Schedule 2D'!O16</f>
        <v>1036</v>
      </c>
      <c r="Z16" s="314">
        <f>SUMIFS(Adjustments!$G:$G,Adjustments!$H:$H,"2D",Adjustments!$I:$I,'Schedule 2D Adjustments'!$Y$12,Adjustments!$J:$J,'Schedule 2D Adjustments'!$A16)</f>
        <v>0</v>
      </c>
      <c r="AA16" s="310">
        <f t="shared" ref="AA16:AA72" si="7">SUM(Y16:Z16)</f>
        <v>1036</v>
      </c>
    </row>
    <row r="17" spans="1:27" x14ac:dyDescent="0.35">
      <c r="A17" s="24">
        <v>3</v>
      </c>
      <c r="B17" s="535" t="str">
        <f>IF('As-Filed Schedule 2D'!B17:D17=0,"",'As-Filed Schedule 2D'!B17:D17)</f>
        <v>3820 eIOP</v>
      </c>
      <c r="C17" s="535"/>
      <c r="D17" s="535"/>
      <c r="F17" s="117">
        <f>'As-Filed Schedule 2D'!F17</f>
        <v>54125.01997315987</v>
      </c>
      <c r="G17" s="314">
        <f>SUMIFS(Adjustments!$G:$G,Adjustments!$H:$H,"2D",Adjustments!$I:$I,'Schedule 2D Adjustments'!$F$12,Adjustments!$J:$J,'Schedule 2D Adjustments'!$A17)</f>
        <v>0</v>
      </c>
      <c r="H17" s="310">
        <f t="shared" si="0"/>
        <v>54125.01997315987</v>
      </c>
      <c r="I17" s="68">
        <f>IFERROR(F17*'As-Filed Schedule 1'!$E$103,0)</f>
        <v>9413.690136872543</v>
      </c>
      <c r="J17" s="311">
        <f>IFERROR(H17*'Adjusted Schedule 1'!$E$104,0)</f>
        <v>9401.5027064042606</v>
      </c>
      <c r="K17" s="68">
        <f t="shared" si="1"/>
        <v>63538.710110032414</v>
      </c>
      <c r="L17" s="311">
        <f t="shared" si="2"/>
        <v>63526.522679564128</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2</v>
      </c>
      <c r="W17" s="314">
        <f>SUMIFS(Adjustments!$G:$G,Adjustments!$H:$H,"2D",Adjustments!$I:$I,'Schedule 2D Adjustments'!$V$12,Adjustments!$J:$J,'Schedule 2D Adjustments'!$A17)</f>
        <v>0</v>
      </c>
      <c r="X17" s="310">
        <f t="shared" si="6"/>
        <v>2</v>
      </c>
      <c r="Y17" s="120">
        <f>'As-Filed Schedule 2D'!O17</f>
        <v>48</v>
      </c>
      <c r="Z17" s="314">
        <f>SUMIFS(Adjustments!$G:$G,Adjustments!$H:$H,"2D",Adjustments!$I:$I,'Schedule 2D Adjustments'!$Y$12,Adjustments!$J:$J,'Schedule 2D Adjustments'!$A17)</f>
        <v>0</v>
      </c>
      <c r="AA17" s="310">
        <f t="shared" si="7"/>
        <v>48</v>
      </c>
    </row>
    <row r="18" spans="1:27" x14ac:dyDescent="0.35">
      <c r="A18" s="24">
        <v>4</v>
      </c>
      <c r="B18" s="535" t="str">
        <f>IF('As-Filed Schedule 2D'!B18:D18=0,"",'As-Filed Schedule 2D'!B18:D18)</f>
        <v>4205 Care Coordinations</v>
      </c>
      <c r="C18" s="535"/>
      <c r="D18" s="535"/>
      <c r="F18" s="117">
        <f>'As-Filed Schedule 2D'!F18</f>
        <v>301622.30394330411</v>
      </c>
      <c r="G18" s="314">
        <f>SUMIFS(Adjustments!$G:$G,Adjustments!$H:$H,"2D",Adjustments!$I:$I,'Schedule 2D Adjustments'!$F$12,Adjustments!$J:$J,'Schedule 2D Adjustments'!$A18)</f>
        <v>0</v>
      </c>
      <c r="H18" s="310">
        <f t="shared" si="0"/>
        <v>301622.30394330411</v>
      </c>
      <c r="I18" s="68">
        <f>IFERROR(F18*'As-Filed Schedule 1'!$E$103,0)</f>
        <v>52459.637134542907</v>
      </c>
      <c r="J18" s="311">
        <f>IFERROR(H18*'Adjusted Schedule 1'!$E$104,0)</f>
        <v>52391.720284649549</v>
      </c>
      <c r="K18" s="68">
        <f t="shared" si="1"/>
        <v>354081.94107784703</v>
      </c>
      <c r="L18" s="311">
        <f t="shared" si="2"/>
        <v>354014.02422795363</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2</v>
      </c>
      <c r="W18" s="314">
        <f>SUMIFS(Adjustments!$G:$G,Adjustments!$H:$H,"2D",Adjustments!$I:$I,'Schedule 2D Adjustments'!$V$12,Adjustments!$J:$J,'Schedule 2D Adjustments'!$A18)</f>
        <v>0</v>
      </c>
      <c r="X18" s="310">
        <f t="shared" si="6"/>
        <v>2</v>
      </c>
      <c r="Y18" s="120">
        <f>'As-Filed Schedule 2D'!O18</f>
        <v>343</v>
      </c>
      <c r="Z18" s="314">
        <f>SUMIFS(Adjustments!$G:$G,Adjustments!$H:$H,"2D",Adjustments!$I:$I,'Schedule 2D Adjustments'!$Y$12,Adjustments!$J:$J,'Schedule 2D Adjustments'!$A18)</f>
        <v>0</v>
      </c>
      <c r="AA18" s="310">
        <f t="shared" si="7"/>
        <v>343</v>
      </c>
    </row>
    <row r="19" spans="1:27" x14ac:dyDescent="0.35">
      <c r="A19" s="24">
        <v>5</v>
      </c>
      <c r="B19" s="535" t="str">
        <f>IF('As-Filed Schedule 2D'!B19:D19=0,"",'As-Filed Schedule 2D'!B19:D19)</f>
        <v>4600 FEP</v>
      </c>
      <c r="C19" s="535"/>
      <c r="D19" s="535"/>
      <c r="F19" s="117">
        <f>'As-Filed Schedule 2D'!F19</f>
        <v>434869.2257208309</v>
      </c>
      <c r="G19" s="314">
        <f>SUMIFS(Adjustments!$G:$G,Adjustments!$H:$H,"2D",Adjustments!$I:$I,'Schedule 2D Adjustments'!$F$12,Adjustments!$J:$J,'Schedule 2D Adjustments'!$A19)</f>
        <v>0</v>
      </c>
      <c r="H19" s="310">
        <f t="shared" si="0"/>
        <v>434869.2257208309</v>
      </c>
      <c r="I19" s="68">
        <f>IFERROR(F19*'As-Filed Schedule 1'!$E$103,0)</f>
        <v>75634.598251005315</v>
      </c>
      <c r="J19" s="311">
        <f>IFERROR(H19*'Adjusted Schedule 1'!$E$104,0)</f>
        <v>75536.677946238749</v>
      </c>
      <c r="K19" s="68">
        <f t="shared" si="1"/>
        <v>510503.82397183625</v>
      </c>
      <c r="L19" s="311">
        <f>SUM(H19,J19)</f>
        <v>510405.90366706962</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3.2</v>
      </c>
      <c r="W19" s="314">
        <f>SUMIFS(Adjustments!$G:$G,Adjustments!$H:$H,"2D",Adjustments!$I:$I,'Schedule 2D Adjustments'!$V$12,Adjustments!$J:$J,'Schedule 2D Adjustments'!$A19)</f>
        <v>0</v>
      </c>
      <c r="X19" s="310">
        <f t="shared" si="6"/>
        <v>3.2</v>
      </c>
      <c r="Y19" s="120">
        <f>'As-Filed Schedule 2D'!O19</f>
        <v>184</v>
      </c>
      <c r="Z19" s="314">
        <f>SUMIFS(Adjustments!$G:$G,Adjustments!$H:$H,"2D",Adjustments!$I:$I,'Schedule 2D Adjustments'!$Y$12,Adjustments!$J:$J,'Schedule 2D Adjustments'!$A19)</f>
        <v>0</v>
      </c>
      <c r="AA19" s="310">
        <f t="shared" si="7"/>
        <v>184</v>
      </c>
    </row>
    <row r="20" spans="1:27" x14ac:dyDescent="0.35">
      <c r="A20" s="24">
        <v>6</v>
      </c>
      <c r="B20" s="535" t="str">
        <f>IF('As-Filed Schedule 2D'!B20:D20=0,"",'As-Filed Schedule 2D'!B20:D20)</f>
        <v>4710 ACT</v>
      </c>
      <c r="C20" s="535"/>
      <c r="D20" s="535"/>
      <c r="F20" s="117">
        <f>'As-Filed Schedule 2D'!F20</f>
        <v>1098720.2860331039</v>
      </c>
      <c r="G20" s="314">
        <f>SUMIFS(Adjustments!$G:$G,Adjustments!$H:$H,"2D",Adjustments!$I:$I,'Schedule 2D Adjustments'!$F$12,Adjustments!$J:$J,'Schedule 2D Adjustments'!$A20)</f>
        <v>0</v>
      </c>
      <c r="H20" s="310">
        <f t="shared" si="0"/>
        <v>1098720.2860331039</v>
      </c>
      <c r="I20" s="68">
        <f>IFERROR(F20*'As-Filed Schedule 1'!$E$103,0)</f>
        <v>191094.84532182381</v>
      </c>
      <c r="J20" s="311">
        <f>IFERROR(H20*'Adjusted Schedule 1'!$E$104,0)</f>
        <v>190847.44445071541</v>
      </c>
      <c r="K20" s="68">
        <f>SUM(F20,I20)</f>
        <v>1289815.1313549278</v>
      </c>
      <c r="L20" s="311">
        <f t="shared" si="2"/>
        <v>1289567.7304838193</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23.5</v>
      </c>
      <c r="W20" s="314">
        <f>SUMIFS(Adjustments!$G:$G,Adjustments!$H:$H,"2D",Adjustments!$I:$I,'Schedule 2D Adjustments'!$V$12,Adjustments!$J:$J,'Schedule 2D Adjustments'!$A20)</f>
        <v>0</v>
      </c>
      <c r="X20" s="310">
        <f t="shared" si="6"/>
        <v>23.5</v>
      </c>
      <c r="Y20" s="120">
        <f>'As-Filed Schedule 2D'!O20</f>
        <v>512</v>
      </c>
      <c r="Z20" s="314">
        <f>SUMIFS(Adjustments!$G:$G,Adjustments!$H:$H,"2D",Adjustments!$I:$I,'Schedule 2D Adjustments'!$Y$12,Adjustments!$J:$J,'Schedule 2D Adjustments'!$A20)</f>
        <v>0</v>
      </c>
      <c r="AA20" s="310">
        <f t="shared" si="7"/>
        <v>512</v>
      </c>
    </row>
    <row r="21" spans="1:27" x14ac:dyDescent="0.35">
      <c r="A21" s="24">
        <v>7</v>
      </c>
      <c r="B21" s="535" t="str">
        <f>IF('As-Filed Schedule 2D'!B21:D21=0,"",'As-Filed Schedule 2D'!B21:D21)</f>
        <v>4717 CDDT/ICM</v>
      </c>
      <c r="C21" s="535"/>
      <c r="D21" s="535"/>
      <c r="F21" s="117">
        <f>'As-Filed Schedule 2D'!F21</f>
        <v>901537.30464408221</v>
      </c>
      <c r="G21" s="314">
        <f>SUMIFS(Adjustments!$G:$G,Adjustments!$H:$H,"2D",Adjustments!$I:$I,'Schedule 2D Adjustments'!$F$12,Adjustments!$J:$J,'Schedule 2D Adjustments'!$A21)</f>
        <v>0</v>
      </c>
      <c r="H21" s="310">
        <f t="shared" si="0"/>
        <v>901537.30464408221</v>
      </c>
      <c r="I21" s="68">
        <f>IFERROR(F21*'As-Filed Schedule 1'!$E$103,0)</f>
        <v>156799.80971756094</v>
      </c>
      <c r="J21" s="311">
        <f>IFERROR(H21*'Adjusted Schedule 1'!$E$104,0)</f>
        <v>156596.80890166544</v>
      </c>
      <c r="K21" s="68">
        <f t="shared" si="1"/>
        <v>1058337.1143616431</v>
      </c>
      <c r="L21" s="311">
        <f t="shared" si="2"/>
        <v>1058134.1135457477</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6</v>
      </c>
      <c r="W21" s="314">
        <f>SUMIFS(Adjustments!$G:$G,Adjustments!$H:$H,"2D",Adjustments!$I:$I,'Schedule 2D Adjustments'!$V$12,Adjustments!$J:$J,'Schedule 2D Adjustments'!$A21)</f>
        <v>0</v>
      </c>
      <c r="X21" s="310">
        <f t="shared" si="6"/>
        <v>6</v>
      </c>
      <c r="Y21" s="120">
        <f>'As-Filed Schedule 2D'!O21</f>
        <v>673</v>
      </c>
      <c r="Z21" s="314">
        <f>SUMIFS(Adjustments!$G:$G,Adjustments!$H:$H,"2D",Adjustments!$I:$I,'Schedule 2D Adjustments'!$Y$12,Adjustments!$J:$J,'Schedule 2D Adjustments'!$A21)</f>
        <v>0</v>
      </c>
      <c r="AA21" s="310">
        <f t="shared" si="7"/>
        <v>673</v>
      </c>
    </row>
    <row r="22" spans="1:27" x14ac:dyDescent="0.35">
      <c r="A22" s="24">
        <v>8</v>
      </c>
      <c r="B22" s="535" t="str">
        <f>IF('As-Filed Schedule 2D'!B22:D22=0,"",'As-Filed Schedule 2D'!B22:D22)</f>
        <v>5118 CBS Kids</v>
      </c>
      <c r="C22" s="535"/>
      <c r="D22" s="535"/>
      <c r="F22" s="117">
        <f>'As-Filed Schedule 2D'!F22</f>
        <v>1351262.5764587852</v>
      </c>
      <c r="G22" s="314">
        <f>SUMIFS(Adjustments!$G:$G,Adjustments!$H:$H,"2D",Adjustments!$I:$I,'Schedule 2D Adjustments'!$F$12,Adjustments!$J:$J,'Schedule 2D Adjustments'!$A22)</f>
        <v>0</v>
      </c>
      <c r="H22" s="310">
        <f t="shared" si="0"/>
        <v>1351262.5764587852</v>
      </c>
      <c r="I22" s="68">
        <f>IFERROR(F22*'As-Filed Schedule 1'!$E$103,0)</f>
        <v>235018.24469797825</v>
      </c>
      <c r="J22" s="311">
        <f>IFERROR(H22*'Adjusted Schedule 1'!$E$104,0)</f>
        <v>234713.97841404617</v>
      </c>
      <c r="K22" s="68">
        <f t="shared" si="1"/>
        <v>1586280.8211567635</v>
      </c>
      <c r="L22" s="311">
        <f t="shared" si="2"/>
        <v>1585976.5548728313</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13.5</v>
      </c>
      <c r="W22" s="314">
        <f>SUMIFS(Adjustments!$G:$G,Adjustments!$H:$H,"2D",Adjustments!$I:$I,'Schedule 2D Adjustments'!$V$12,Adjustments!$J:$J,'Schedule 2D Adjustments'!$A22)</f>
        <v>0</v>
      </c>
      <c r="X22" s="310">
        <f t="shared" si="6"/>
        <v>13.5</v>
      </c>
      <c r="Y22" s="120">
        <f>'As-Filed Schedule 2D'!O22</f>
        <v>633</v>
      </c>
      <c r="Z22" s="314">
        <f>SUMIFS(Adjustments!$G:$G,Adjustments!$H:$H,"2D",Adjustments!$I:$I,'Schedule 2D Adjustments'!$Y$12,Adjustments!$J:$J,'Schedule 2D Adjustments'!$A22)</f>
        <v>0</v>
      </c>
      <c r="AA22" s="310">
        <f t="shared" si="7"/>
        <v>633</v>
      </c>
    </row>
    <row r="23" spans="1:27" x14ac:dyDescent="0.35">
      <c r="A23" s="24">
        <v>9</v>
      </c>
      <c r="B23" s="535" t="str">
        <f>IF('As-Filed Schedule 2D'!B23:D23=0,"",'As-Filed Schedule 2D'!B23:D23)</f>
        <v>4716 AIIM</v>
      </c>
      <c r="C23" s="535"/>
      <c r="D23" s="535"/>
      <c r="F23" s="117">
        <f>'As-Filed Schedule 2D'!F23</f>
        <v>1142191.8355112185</v>
      </c>
      <c r="G23" s="314">
        <f>SUMIFS(Adjustments!$G:$G,Adjustments!$H:$H,"2D",Adjustments!$I:$I,'Schedule 2D Adjustments'!$F$12,Adjustments!$J:$J,'Schedule 2D Adjustments'!$A23)</f>
        <v>0</v>
      </c>
      <c r="H23" s="310">
        <f t="shared" si="0"/>
        <v>1142191.8355112185</v>
      </c>
      <c r="I23" s="68">
        <f>IFERROR(F23*'As-Filed Schedule 1'!$E$103,0)</f>
        <v>198655.63138268117</v>
      </c>
      <c r="J23" s="311">
        <f>IFERROR(H23*'Adjusted Schedule 1'!$E$104,0)</f>
        <v>198398.441942684</v>
      </c>
      <c r="K23" s="68">
        <f t="shared" si="1"/>
        <v>1340847.4668938997</v>
      </c>
      <c r="L23" s="311">
        <f t="shared" si="2"/>
        <v>1340590.2774539026</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13</v>
      </c>
      <c r="W23" s="314">
        <f>SUMIFS(Adjustments!$G:$G,Adjustments!$H:$H,"2D",Adjustments!$I:$I,'Schedule 2D Adjustments'!$V$12,Adjustments!$J:$J,'Schedule 2D Adjustments'!$A23)</f>
        <v>0</v>
      </c>
      <c r="X23" s="310">
        <f t="shared" si="6"/>
        <v>13</v>
      </c>
      <c r="Y23" s="120">
        <f>'As-Filed Schedule 2D'!O23</f>
        <v>1496</v>
      </c>
      <c r="Z23" s="314">
        <f>SUMIFS(Adjustments!$G:$G,Adjustments!$H:$H,"2D",Adjustments!$I:$I,'Schedule 2D Adjustments'!$Y$12,Adjustments!$J:$J,'Schedule 2D Adjustments'!$A23)</f>
        <v>0</v>
      </c>
      <c r="AA23" s="310">
        <f t="shared" si="7"/>
        <v>1496</v>
      </c>
    </row>
    <row r="24" spans="1:27" x14ac:dyDescent="0.35">
      <c r="A24" s="24">
        <v>10</v>
      </c>
      <c r="B24" s="535" t="str">
        <f>IF('As-Filed Schedule 2D'!B24:D24=0,"",'As-Filed Schedule 2D'!B24:D24)</f>
        <v>3725 FUSE</v>
      </c>
      <c r="C24" s="535"/>
      <c r="D24" s="535"/>
      <c r="F24" s="117">
        <f>'As-Filed Schedule 2D'!F24</f>
        <v>277707.29545747821</v>
      </c>
      <c r="G24" s="314">
        <f>SUMIFS(Adjustments!$G:$G,Adjustments!$H:$H,"2D",Adjustments!$I:$I,'Schedule 2D Adjustments'!$F$12,Adjustments!$J:$J,'Schedule 2D Adjustments'!$A24)</f>
        <v>0</v>
      </c>
      <c r="H24" s="310">
        <f t="shared" si="0"/>
        <v>277707.29545747821</v>
      </c>
      <c r="I24" s="68">
        <f>IFERROR(F24*'As-Filed Schedule 1'!$E$103,0)</f>
        <v>48300.221034227718</v>
      </c>
      <c r="J24" s="311">
        <f>IFERROR(H24*'Adjusted Schedule 1'!$E$104,0)</f>
        <v>48237.68917085656</v>
      </c>
      <c r="K24" s="68">
        <f t="shared" si="1"/>
        <v>326007.5164917059</v>
      </c>
      <c r="L24" s="311">
        <f t="shared" si="2"/>
        <v>325944.98462833476</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1.5</v>
      </c>
      <c r="W24" s="314">
        <f>SUMIFS(Adjustments!$G:$G,Adjustments!$H:$H,"2D",Adjustments!$I:$I,'Schedule 2D Adjustments'!$V$12,Adjustments!$J:$J,'Schedule 2D Adjustments'!$A24)</f>
        <v>0</v>
      </c>
      <c r="X24" s="310">
        <f t="shared" si="6"/>
        <v>1.5</v>
      </c>
      <c r="Y24" s="120">
        <f>'As-Filed Schedule 2D'!O24</f>
        <v>211</v>
      </c>
      <c r="Z24" s="314">
        <f>SUMIFS(Adjustments!$G:$G,Adjustments!$H:$H,"2D",Adjustments!$I:$I,'Schedule 2D Adjustments'!$Y$12,Adjustments!$J:$J,'Schedule 2D Adjustments'!$A24)</f>
        <v>0</v>
      </c>
      <c r="AA24" s="310">
        <f t="shared" si="7"/>
        <v>211</v>
      </c>
    </row>
    <row r="25" spans="1:27" x14ac:dyDescent="0.35">
      <c r="A25" s="24">
        <v>11</v>
      </c>
      <c r="B25" s="535" t="str">
        <f>IF('As-Filed Schedule 2D'!B25:D25=0,"",'As-Filed Schedule 2D'!B25:D25)</f>
        <v>5119 High Intensty Youth</v>
      </c>
      <c r="C25" s="535"/>
      <c r="D25" s="535"/>
      <c r="F25" s="117">
        <f>'As-Filed Schedule 2D'!F25</f>
        <v>1594916.8719724999</v>
      </c>
      <c r="G25" s="314">
        <f>SUMIFS(Adjustments!$G:$G,Adjustments!$H:$H,"2D",Adjustments!$I:$I,'Schedule 2D Adjustments'!$F$12,Adjustments!$J:$J,'Schedule 2D Adjustments'!$A25)</f>
        <v>0</v>
      </c>
      <c r="H25" s="310">
        <f t="shared" si="0"/>
        <v>1594916.8719724999</v>
      </c>
      <c r="I25" s="68">
        <f>IFERROR(F25*'As-Filed Schedule 1'!$E$103,0)</f>
        <v>277395.80020967143</v>
      </c>
      <c r="J25" s="311">
        <f>IFERROR(H25*'Adjusted Schedule 1'!$E$104,0)</f>
        <v>277036.66983910539</v>
      </c>
      <c r="K25" s="68">
        <f t="shared" si="1"/>
        <v>1872312.6721821714</v>
      </c>
      <c r="L25" s="311">
        <f t="shared" si="2"/>
        <v>1871953.5418116052</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12.4</v>
      </c>
      <c r="W25" s="314">
        <f>SUMIFS(Adjustments!$G:$G,Adjustments!$H:$H,"2D",Adjustments!$I:$I,'Schedule 2D Adjustments'!$V$12,Adjustments!$J:$J,'Schedule 2D Adjustments'!$A25)</f>
        <v>0</v>
      </c>
      <c r="X25" s="310">
        <f t="shared" si="6"/>
        <v>12.4</v>
      </c>
      <c r="Y25" s="120">
        <f>'As-Filed Schedule 2D'!O25</f>
        <v>462</v>
      </c>
      <c r="Z25" s="314">
        <f>SUMIFS(Adjustments!$G:$G,Adjustments!$H:$H,"2D",Adjustments!$I:$I,'Schedule 2D Adjustments'!$Y$12,Adjustments!$J:$J,'Schedule 2D Adjustments'!$A25)</f>
        <v>0</v>
      </c>
      <c r="AA25" s="310">
        <f t="shared" si="7"/>
        <v>462</v>
      </c>
    </row>
    <row r="26" spans="1:27" x14ac:dyDescent="0.35">
      <c r="A26" s="24">
        <v>12</v>
      </c>
      <c r="B26" s="535" t="str">
        <f>IF('As-Filed Schedule 2D'!B26:D26=0,"",'As-Filed Schedule 2D'!B26:D26)</f>
        <v/>
      </c>
      <c r="C26" s="535"/>
      <c r="D26" s="535"/>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35" t="str">
        <f>IF('As-Filed Schedule 2D'!B27:D27=0,"",'As-Filed Schedule 2D'!B27:D27)</f>
        <v/>
      </c>
      <c r="C27" s="535"/>
      <c r="D27" s="535"/>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35" t="str">
        <f>IF('As-Filed Schedule 2D'!B28:D28=0,"",'As-Filed Schedule 2D'!B28:D28)</f>
        <v/>
      </c>
      <c r="C28" s="535"/>
      <c r="D28" s="535"/>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35" t="str">
        <f>IF('As-Filed Schedule 2D'!B29:D29=0,"",'As-Filed Schedule 2D'!B29:D29)</f>
        <v/>
      </c>
      <c r="C29" s="535"/>
      <c r="D29" s="535"/>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35" t="str">
        <f>IF('As-Filed Schedule 2D'!B30:D30=0,"",'As-Filed Schedule 2D'!B30:D30)</f>
        <v/>
      </c>
      <c r="C30" s="535"/>
      <c r="D30" s="535"/>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35" t="str">
        <f>IF('As-Filed Schedule 2D'!B31:D31=0,"",'As-Filed Schedule 2D'!B31:D31)</f>
        <v/>
      </c>
      <c r="C31" s="535"/>
      <c r="D31" s="535"/>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35" t="str">
        <f>IF('As-Filed Schedule 2D'!B32:D32=0,"",'As-Filed Schedule 2D'!B32:D32)</f>
        <v/>
      </c>
      <c r="C32" s="535"/>
      <c r="D32" s="535"/>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35" t="str">
        <f>IF('As-Filed Schedule 2D'!B33:D33=0,"",'As-Filed Schedule 2D'!B33:D33)</f>
        <v/>
      </c>
      <c r="C33" s="535"/>
      <c r="D33" s="535"/>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35" t="str">
        <f>IF('As-Filed Schedule 2D'!B34:D34=0,"",'As-Filed Schedule 2D'!B34:D34)</f>
        <v/>
      </c>
      <c r="C34" s="535"/>
      <c r="D34" s="535"/>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35" t="str">
        <f>IF('As-Filed Schedule 2D'!B35:D35=0,"",'As-Filed Schedule 2D'!B35:D35)</f>
        <v/>
      </c>
      <c r="C35" s="535"/>
      <c r="D35" s="535"/>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35" t="str">
        <f>IF('As-Filed Schedule 2D'!B36:D36=0,"",'As-Filed Schedule 2D'!B36:D36)</f>
        <v/>
      </c>
      <c r="C36" s="535"/>
      <c r="D36" s="535"/>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35" t="str">
        <f>IF('As-Filed Schedule 2D'!B37:D37=0,"",'As-Filed Schedule 2D'!B37:D37)</f>
        <v/>
      </c>
      <c r="C37" s="535"/>
      <c r="D37" s="535"/>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35" t="str">
        <f>IF('As-Filed Schedule 2D'!B38:D38=0,"",'As-Filed Schedule 2D'!B38:D38)</f>
        <v/>
      </c>
      <c r="C38" s="535"/>
      <c r="D38" s="535"/>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35" t="str">
        <f>IF('As-Filed Schedule 2D'!B39:D39=0,"",'As-Filed Schedule 2D'!B39:D39)</f>
        <v/>
      </c>
      <c r="C39" s="535"/>
      <c r="D39" s="535"/>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35" t="str">
        <f>IF('As-Filed Schedule 2D'!B40:D40=0,"",'As-Filed Schedule 2D'!B40:D40)</f>
        <v/>
      </c>
      <c r="C40" s="535"/>
      <c r="D40" s="535"/>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35" t="str">
        <f>IF('As-Filed Schedule 2D'!B41:D41=0,"",'As-Filed Schedule 2D'!B41:D41)</f>
        <v/>
      </c>
      <c r="C41" s="535"/>
      <c r="D41" s="535"/>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35" t="str">
        <f>IF('As-Filed Schedule 2D'!B42:D42=0,"",'As-Filed Schedule 2D'!B42:D42)</f>
        <v/>
      </c>
      <c r="C42" s="535"/>
      <c r="D42" s="535"/>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35" t="str">
        <f>IF('As-Filed Schedule 2D'!B43:D43=0,"",'As-Filed Schedule 2D'!B43:D43)</f>
        <v/>
      </c>
      <c r="C43" s="535"/>
      <c r="D43" s="535"/>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35" t="str">
        <f>IF('As-Filed Schedule 2D'!B44:D44=0,"",'As-Filed Schedule 2D'!B44:D44)</f>
        <v/>
      </c>
      <c r="C44" s="535"/>
      <c r="D44" s="535"/>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35" t="str">
        <f>IF('As-Filed Schedule 2D'!B45:D45=0,"",'As-Filed Schedule 2D'!B45:D45)</f>
        <v/>
      </c>
      <c r="C45" s="535"/>
      <c r="D45" s="535"/>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35" t="str">
        <f>IF('As-Filed Schedule 2D'!B46:D46=0,"",'As-Filed Schedule 2D'!B46:D46)</f>
        <v/>
      </c>
      <c r="C46" s="535"/>
      <c r="D46" s="535"/>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35" t="str">
        <f>IF('As-Filed Schedule 2D'!B47:D47=0,"",'As-Filed Schedule 2D'!B47:D47)</f>
        <v/>
      </c>
      <c r="C47" s="535"/>
      <c r="D47" s="535"/>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35" t="str">
        <f>IF('As-Filed Schedule 2D'!B48:D48=0,"",'As-Filed Schedule 2D'!B48:D48)</f>
        <v/>
      </c>
      <c r="C48" s="535"/>
      <c r="D48" s="535"/>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35" t="str">
        <f>IF('As-Filed Schedule 2D'!B49:D49=0,"",'As-Filed Schedule 2D'!B49:D49)</f>
        <v/>
      </c>
      <c r="C49" s="535"/>
      <c r="D49" s="535"/>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35" t="str">
        <f>IF('As-Filed Schedule 2D'!B50:D50=0,"",'As-Filed Schedule 2D'!B50:D50)</f>
        <v/>
      </c>
      <c r="C50" s="535"/>
      <c r="D50" s="535"/>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35" t="str">
        <f>IF('As-Filed Schedule 2D'!B51:D51=0,"",'As-Filed Schedule 2D'!B51:D51)</f>
        <v/>
      </c>
      <c r="C51" s="535"/>
      <c r="D51" s="535"/>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35" t="str">
        <f>IF('As-Filed Schedule 2D'!B52:D52=0,"",'As-Filed Schedule 2D'!B52:D52)</f>
        <v/>
      </c>
      <c r="C52" s="535"/>
      <c r="D52" s="535"/>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35" t="str">
        <f>IF('As-Filed Schedule 2D'!B53:D53=0,"",'As-Filed Schedule 2D'!B53:D53)</f>
        <v/>
      </c>
      <c r="C53" s="535"/>
      <c r="D53" s="535"/>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35" t="str">
        <f>IF('As-Filed Schedule 2D'!B54:D54=0,"",'As-Filed Schedule 2D'!B54:D54)</f>
        <v/>
      </c>
      <c r="C54" s="535"/>
      <c r="D54" s="535"/>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35" t="str">
        <f>IF('As-Filed Schedule 2D'!B55:D55=0,"",'As-Filed Schedule 2D'!B55:D55)</f>
        <v/>
      </c>
      <c r="C55" s="535"/>
      <c r="D55" s="535"/>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35" t="str">
        <f>IF('As-Filed Schedule 2D'!B56:D56=0,"",'As-Filed Schedule 2D'!B56:D56)</f>
        <v/>
      </c>
      <c r="C56" s="535"/>
      <c r="D56" s="535"/>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35" t="str">
        <f>IF('As-Filed Schedule 2D'!B57:D57=0,"",'As-Filed Schedule 2D'!B57:D57)</f>
        <v/>
      </c>
      <c r="C57" s="535"/>
      <c r="D57" s="535"/>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35" t="str">
        <f>IF('As-Filed Schedule 2D'!B58:D58=0,"",'As-Filed Schedule 2D'!B58:D58)</f>
        <v/>
      </c>
      <c r="C58" s="535"/>
      <c r="D58" s="535"/>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35" t="str">
        <f>IF('As-Filed Schedule 2D'!B59:D59=0,"",'As-Filed Schedule 2D'!B59:D59)</f>
        <v/>
      </c>
      <c r="C59" s="535"/>
      <c r="D59" s="535"/>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35" t="str">
        <f>IF('As-Filed Schedule 2D'!B60:D60=0,"",'As-Filed Schedule 2D'!B60:D60)</f>
        <v/>
      </c>
      <c r="C60" s="535"/>
      <c r="D60" s="535"/>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35" t="str">
        <f>IF('As-Filed Schedule 2D'!B61:D61=0,"",'As-Filed Schedule 2D'!B61:D61)</f>
        <v/>
      </c>
      <c r="C61" s="535"/>
      <c r="D61" s="535"/>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35" t="str">
        <f>IF('As-Filed Schedule 2D'!B62:D62=0,"",'As-Filed Schedule 2D'!B62:D62)</f>
        <v/>
      </c>
      <c r="C62" s="535"/>
      <c r="D62" s="535"/>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35" t="str">
        <f>IF('As-Filed Schedule 2D'!B63:D63=0,"",'As-Filed Schedule 2D'!B63:D63)</f>
        <v/>
      </c>
      <c r="C63" s="535"/>
      <c r="D63" s="535"/>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35" t="str">
        <f>IF('As-Filed Schedule 2D'!B64:D64=0,"",'As-Filed Schedule 2D'!B64:D64)</f>
        <v/>
      </c>
      <c r="C64" s="535"/>
      <c r="D64" s="535"/>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35" t="str">
        <f>IF('As-Filed Schedule 2D'!B65:D65=0,"",'As-Filed Schedule 2D'!B65:D65)</f>
        <v/>
      </c>
      <c r="C65" s="535"/>
      <c r="D65" s="535"/>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35" t="str">
        <f>IF('As-Filed Schedule 2D'!B66:D66=0,"",'As-Filed Schedule 2D'!B66:D66)</f>
        <v/>
      </c>
      <c r="C66" s="535"/>
      <c r="D66" s="535"/>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35" t="str">
        <f>IF('As-Filed Schedule 2D'!B67:D67=0,"",'As-Filed Schedule 2D'!B67:D67)</f>
        <v/>
      </c>
      <c r="C67" s="535"/>
      <c r="D67" s="535"/>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35" t="str">
        <f>IF('As-Filed Schedule 2D'!B68:D68=0,"",'As-Filed Schedule 2D'!B68:D68)</f>
        <v/>
      </c>
      <c r="C68" s="535"/>
      <c r="D68" s="535"/>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35" t="str">
        <f>IF('As-Filed Schedule 2D'!B69:D69=0,"",'As-Filed Schedule 2D'!B69:D69)</f>
        <v/>
      </c>
      <c r="C69" s="535"/>
      <c r="D69" s="535"/>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35" t="str">
        <f>IF('As-Filed Schedule 2D'!B70:D70=0,"",'As-Filed Schedule 2D'!B70:D70)</f>
        <v/>
      </c>
      <c r="C70" s="535"/>
      <c r="D70" s="535"/>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35" t="str">
        <f>IF('As-Filed Schedule 2D'!B71:D71=0,"",'As-Filed Schedule 2D'!B71:D71)</f>
        <v/>
      </c>
      <c r="C71" s="535"/>
      <c r="D71" s="535"/>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35" t="str">
        <f>IF('As-Filed Schedule 2D'!B72:D72=0,"",'As-Filed Schedule 2D'!B72:D72)</f>
        <v/>
      </c>
      <c r="C72" s="535"/>
      <c r="D72" s="535"/>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8813412.1387506947</v>
      </c>
      <c r="G73" s="18">
        <f t="shared" ref="G73:H73" si="8">SUM(G15:G72)</f>
        <v>0</v>
      </c>
      <c r="H73" s="18">
        <f t="shared" si="8"/>
        <v>8813412.1387506947</v>
      </c>
      <c r="I73" s="18">
        <f t="shared" ref="I73:K73" si="9">SUM(I15:I72)</f>
        <v>1532872.0610891716</v>
      </c>
      <c r="J73" s="311">
        <f>IFERROR(H73*'Adjusted Schedule 1'!$E$104,0)</f>
        <v>1530887.5288398976</v>
      </c>
      <c r="K73" s="18">
        <f t="shared" si="9"/>
        <v>10346284.199839864</v>
      </c>
      <c r="L73" s="312">
        <f t="shared" ref="L73" si="10">SUM(L15:L72)</f>
        <v>10344299.667590592</v>
      </c>
      <c r="N73" s="18">
        <f>SUM(N15:N72)</f>
        <v>0</v>
      </c>
      <c r="O73" s="18">
        <f t="shared" ref="O73:P73" si="11">SUM(O15:O72)</f>
        <v>0</v>
      </c>
      <c r="P73" s="18">
        <f t="shared" si="11"/>
        <v>0</v>
      </c>
      <c r="Q73" s="18">
        <f t="shared" ref="Q73:S73" si="12">SUM(Q15:Q72)</f>
        <v>0</v>
      </c>
      <c r="R73" s="18">
        <f t="shared" si="12"/>
        <v>0</v>
      </c>
      <c r="S73" s="18">
        <f t="shared" si="12"/>
        <v>0</v>
      </c>
      <c r="T73" s="312">
        <f t="shared" ref="T73" si="13">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462</v>
      </c>
      <c r="F75" s="75">
        <f>K73+S73</f>
        <v>10346284.199839864</v>
      </c>
      <c r="G75"/>
      <c r="H75" s="75">
        <f>L73+T73</f>
        <v>10344299.667590592</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election activeCell="F8" sqref="F8"/>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838</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809</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2E'!B15:D15=0,"",'As-Filed Schedule 2E'!B15:D15)</f>
        <v/>
      </c>
      <c r="C15" s="535"/>
      <c r="D15" s="535"/>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35" t="str">
        <f>IF('As-Filed Schedule 2E'!B16:D16=0,"",'As-Filed Schedule 2E'!B16:D16)</f>
        <v/>
      </c>
      <c r="C16" s="535"/>
      <c r="D16" s="535"/>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35" t="str">
        <f>IF('As-Filed Schedule 2E'!B17:D17=0,"",'As-Filed Schedule 2E'!B17:D17)</f>
        <v/>
      </c>
      <c r="C17" s="535"/>
      <c r="D17" s="535"/>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35" t="str">
        <f>IF('As-Filed Schedule 2E'!B18:D18=0,"",'As-Filed Schedule 2E'!B18:D18)</f>
        <v/>
      </c>
      <c r="C18" s="535"/>
      <c r="D18" s="535"/>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35" t="str">
        <f>IF('As-Filed Schedule 2E'!B19:D19=0,"",'As-Filed Schedule 2E'!B19:D19)</f>
        <v/>
      </c>
      <c r="C19" s="535"/>
      <c r="D19" s="535"/>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35" t="str">
        <f>IF('As-Filed Schedule 2E'!B20:D20=0,"",'As-Filed Schedule 2E'!B20:D20)</f>
        <v/>
      </c>
      <c r="C20" s="535"/>
      <c r="D20" s="535"/>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35" t="str">
        <f>IF('As-Filed Schedule 2E'!B21:D21=0,"",'As-Filed Schedule 2E'!B21:D21)</f>
        <v/>
      </c>
      <c r="C21" s="535"/>
      <c r="D21" s="535"/>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35" t="str">
        <f>IF('As-Filed Schedule 2E'!B22:D22=0,"",'As-Filed Schedule 2E'!B22:D22)</f>
        <v/>
      </c>
      <c r="C22" s="535"/>
      <c r="D22" s="535"/>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35" t="str">
        <f>IF('As-Filed Schedule 2E'!B23:D23=0,"",'As-Filed Schedule 2E'!B23:D23)</f>
        <v/>
      </c>
      <c r="C23" s="535"/>
      <c r="D23" s="535"/>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35" t="str">
        <f>IF('As-Filed Schedule 2E'!B24:D24=0,"",'As-Filed Schedule 2E'!B24:D24)</f>
        <v/>
      </c>
      <c r="C24" s="535"/>
      <c r="D24" s="535"/>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35" t="str">
        <f>IF('As-Filed Schedule 2E'!B25:D25=0,"",'As-Filed Schedule 2E'!B25:D25)</f>
        <v/>
      </c>
      <c r="C25" s="535"/>
      <c r="D25" s="535"/>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35" t="str">
        <f>IF('As-Filed Schedule 2E'!B26:D26=0,"",'As-Filed Schedule 2E'!B26:D26)</f>
        <v/>
      </c>
      <c r="C26" s="535"/>
      <c r="D26" s="535"/>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35" t="str">
        <f>IF('As-Filed Schedule 2E'!B27:D27=0,"",'As-Filed Schedule 2E'!B27:D27)</f>
        <v/>
      </c>
      <c r="C27" s="535"/>
      <c r="D27" s="535"/>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35" t="str">
        <f>IF('As-Filed Schedule 2E'!B28:D28=0,"",'As-Filed Schedule 2E'!B28:D28)</f>
        <v/>
      </c>
      <c r="C28" s="535"/>
      <c r="D28" s="535"/>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35" t="str">
        <f>IF('As-Filed Schedule 2E'!B29:D29=0,"",'As-Filed Schedule 2E'!B29:D29)</f>
        <v/>
      </c>
      <c r="C29" s="535"/>
      <c r="D29" s="535"/>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35" t="str">
        <f>IF('As-Filed Schedule 2E'!B30:D30=0,"",'As-Filed Schedule 2E'!B30:D30)</f>
        <v/>
      </c>
      <c r="C30" s="535"/>
      <c r="D30" s="535"/>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35" t="str">
        <f>IF('As-Filed Schedule 2E'!B31:D31=0,"",'As-Filed Schedule 2E'!B31:D31)</f>
        <v/>
      </c>
      <c r="C31" s="535"/>
      <c r="D31" s="535"/>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35" t="str">
        <f>IF('As-Filed Schedule 2E'!B32:D32=0,"",'As-Filed Schedule 2E'!B32:D32)</f>
        <v/>
      </c>
      <c r="C32" s="535"/>
      <c r="D32" s="535"/>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35" t="str">
        <f>IF('As-Filed Schedule 2E'!B33:D33=0,"",'As-Filed Schedule 2E'!B33:D33)</f>
        <v/>
      </c>
      <c r="C33" s="535"/>
      <c r="D33" s="535"/>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35" t="str">
        <f>IF('As-Filed Schedule 2E'!B34:D34=0,"",'As-Filed Schedule 2E'!B34:D34)</f>
        <v/>
      </c>
      <c r="C34" s="535"/>
      <c r="D34" s="535"/>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35" t="str">
        <f>IF('As-Filed Schedule 2E'!B35:D35=0,"",'As-Filed Schedule 2E'!B35:D35)</f>
        <v/>
      </c>
      <c r="C35" s="535"/>
      <c r="D35" s="535"/>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35" t="str">
        <f>IF('As-Filed Schedule 2E'!B36:D36=0,"",'As-Filed Schedule 2E'!B36:D36)</f>
        <v/>
      </c>
      <c r="C36" s="535"/>
      <c r="D36" s="535"/>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35" t="str">
        <f>IF('As-Filed Schedule 2E'!B37:D37=0,"",'As-Filed Schedule 2E'!B37:D37)</f>
        <v/>
      </c>
      <c r="C37" s="535"/>
      <c r="D37" s="535"/>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35" t="str">
        <f>IF('As-Filed Schedule 2E'!B38:D38=0,"",'As-Filed Schedule 2E'!B38:D38)</f>
        <v/>
      </c>
      <c r="C38" s="535"/>
      <c r="D38" s="535"/>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35" t="str">
        <f>IF('As-Filed Schedule 2E'!B39:D39=0,"",'As-Filed Schedule 2E'!B39:D39)</f>
        <v/>
      </c>
      <c r="C39" s="535"/>
      <c r="D39" s="535"/>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35" t="str">
        <f>IF('As-Filed Schedule 2E'!B40:D40=0,"",'As-Filed Schedule 2E'!B40:D40)</f>
        <v/>
      </c>
      <c r="C40" s="535"/>
      <c r="D40" s="535"/>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35" t="str">
        <f>IF('As-Filed Schedule 2E'!B41:D41=0,"",'As-Filed Schedule 2E'!B41:D41)</f>
        <v/>
      </c>
      <c r="C41" s="535"/>
      <c r="D41" s="535"/>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35" t="str">
        <f>IF('As-Filed Schedule 2E'!B42:D42=0,"",'As-Filed Schedule 2E'!B42:D42)</f>
        <v/>
      </c>
      <c r="C42" s="535"/>
      <c r="D42" s="535"/>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35" t="str">
        <f>IF('As-Filed Schedule 2E'!B43:D43=0,"",'As-Filed Schedule 2E'!B43:D43)</f>
        <v/>
      </c>
      <c r="C43" s="535"/>
      <c r="D43" s="535"/>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35" t="str">
        <f>IF('As-Filed Schedule 2E'!B44:D44=0,"",'As-Filed Schedule 2E'!B44:D44)</f>
        <v/>
      </c>
      <c r="C44" s="535"/>
      <c r="D44" s="535"/>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35" t="str">
        <f>IF('As-Filed Schedule 2E'!B45:D45=0,"",'As-Filed Schedule 2E'!B45:D45)</f>
        <v/>
      </c>
      <c r="C45" s="535"/>
      <c r="D45" s="535"/>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35" t="str">
        <f>IF('As-Filed Schedule 2E'!B46:D46=0,"",'As-Filed Schedule 2E'!B46:D46)</f>
        <v/>
      </c>
      <c r="C46" s="535"/>
      <c r="D46" s="535"/>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35" t="str">
        <f>IF('As-Filed Schedule 2E'!B47:D47=0,"",'As-Filed Schedule 2E'!B47:D47)</f>
        <v/>
      </c>
      <c r="C47" s="535"/>
      <c r="D47" s="535"/>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35" t="str">
        <f>IF('As-Filed Schedule 2E'!B48:D48=0,"",'As-Filed Schedule 2E'!B48:D48)</f>
        <v/>
      </c>
      <c r="C48" s="535"/>
      <c r="D48" s="535"/>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35" t="str">
        <f>IF('As-Filed Schedule 2E'!B49:D49=0,"",'As-Filed Schedule 2E'!B49:D49)</f>
        <v/>
      </c>
      <c r="C49" s="535"/>
      <c r="D49" s="535"/>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35" t="str">
        <f>IF('As-Filed Schedule 2E'!B50:D50=0,"",'As-Filed Schedule 2E'!B50:D50)</f>
        <v/>
      </c>
      <c r="C50" s="535"/>
      <c r="D50" s="535"/>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35" t="str">
        <f>IF('As-Filed Schedule 2E'!B51:D51=0,"",'As-Filed Schedule 2E'!B51:D51)</f>
        <v/>
      </c>
      <c r="C51" s="535"/>
      <c r="D51" s="535"/>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35" t="str">
        <f>IF('As-Filed Schedule 2E'!B52:D52=0,"",'As-Filed Schedule 2E'!B52:D52)</f>
        <v/>
      </c>
      <c r="C52" s="535"/>
      <c r="D52" s="535"/>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35" t="str">
        <f>IF('As-Filed Schedule 2E'!B53:D53=0,"",'As-Filed Schedule 2E'!B53:D53)</f>
        <v/>
      </c>
      <c r="C53" s="535"/>
      <c r="D53" s="535"/>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35" t="str">
        <f>IF('As-Filed Schedule 2E'!B54:D54=0,"",'As-Filed Schedule 2E'!B54:D54)</f>
        <v/>
      </c>
      <c r="C54" s="535"/>
      <c r="D54" s="535"/>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35" t="str">
        <f>IF('As-Filed Schedule 2E'!B55:D55=0,"",'As-Filed Schedule 2E'!B55:D55)</f>
        <v/>
      </c>
      <c r="C55" s="535"/>
      <c r="D55" s="535"/>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35" t="str">
        <f>IF('As-Filed Schedule 2E'!B56:D56=0,"",'As-Filed Schedule 2E'!B56:D56)</f>
        <v/>
      </c>
      <c r="C56" s="535"/>
      <c r="D56" s="535"/>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35" t="str">
        <f>IF('As-Filed Schedule 2E'!B57:D57=0,"",'As-Filed Schedule 2E'!B57:D57)</f>
        <v/>
      </c>
      <c r="C57" s="535"/>
      <c r="D57" s="535"/>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35" t="str">
        <f>IF('As-Filed Schedule 2E'!B58:D58=0,"",'As-Filed Schedule 2E'!B58:D58)</f>
        <v/>
      </c>
      <c r="C58" s="535"/>
      <c r="D58" s="535"/>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35" t="str">
        <f>IF('As-Filed Schedule 2E'!B59:D59=0,"",'As-Filed Schedule 2E'!B59:D59)</f>
        <v/>
      </c>
      <c r="C59" s="535"/>
      <c r="D59" s="535"/>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35" t="str">
        <f>IF('As-Filed Schedule 2E'!B60:D60=0,"",'As-Filed Schedule 2E'!B60:D60)</f>
        <v/>
      </c>
      <c r="C60" s="535"/>
      <c r="D60" s="535"/>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35" t="str">
        <f>IF('As-Filed Schedule 2E'!B61:D61=0,"",'As-Filed Schedule 2E'!B61:D61)</f>
        <v/>
      </c>
      <c r="C61" s="535"/>
      <c r="D61" s="535"/>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35" t="str">
        <f>IF('As-Filed Schedule 2E'!B62:D62=0,"",'As-Filed Schedule 2E'!B62:D62)</f>
        <v/>
      </c>
      <c r="C62" s="535"/>
      <c r="D62" s="535"/>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35" t="str">
        <f>IF('As-Filed Schedule 2E'!B63:D63=0,"",'As-Filed Schedule 2E'!B63:D63)</f>
        <v/>
      </c>
      <c r="C63" s="535"/>
      <c r="D63" s="535"/>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35" t="str">
        <f>IF('As-Filed Schedule 2E'!B64:D64=0,"",'As-Filed Schedule 2E'!B64:D64)</f>
        <v/>
      </c>
      <c r="C64" s="535"/>
      <c r="D64" s="535"/>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35" t="str">
        <f>IF('As-Filed Schedule 2E'!B65:D65=0,"",'As-Filed Schedule 2E'!B65:D65)</f>
        <v/>
      </c>
      <c r="C65" s="535"/>
      <c r="D65" s="535"/>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35" t="str">
        <f>IF('As-Filed Schedule 2E'!B66:D66=0,"",'As-Filed Schedule 2E'!B66:D66)</f>
        <v/>
      </c>
      <c r="C66" s="535"/>
      <c r="D66" s="535"/>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35" t="str">
        <f>IF('As-Filed Schedule 2E'!B67:D67=0,"",'As-Filed Schedule 2E'!B67:D67)</f>
        <v/>
      </c>
      <c r="C67" s="535"/>
      <c r="D67" s="535"/>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35" t="str">
        <f>IF('As-Filed Schedule 2E'!B68:D68=0,"",'As-Filed Schedule 2E'!B68:D68)</f>
        <v/>
      </c>
      <c r="C68" s="535"/>
      <c r="D68" s="535"/>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35" t="str">
        <f>IF('As-Filed Schedule 2E'!B69:D69=0,"",'As-Filed Schedule 2E'!B69:D69)</f>
        <v/>
      </c>
      <c r="C69" s="535"/>
      <c r="D69" s="535"/>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35" t="str">
        <f>IF('As-Filed Schedule 2E'!B70:D70=0,"",'As-Filed Schedule 2E'!B70:D70)</f>
        <v/>
      </c>
      <c r="C70" s="535"/>
      <c r="D70" s="535"/>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35" t="str">
        <f>IF('As-Filed Schedule 2E'!B71:D71=0,"",'As-Filed Schedule 2E'!B71:D71)</f>
        <v/>
      </c>
      <c r="C71" s="535"/>
      <c r="D71" s="535"/>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35" t="str">
        <f>IF('As-Filed Schedule 2E'!B72:D72=0,"",'As-Filed Schedule 2E'!B72:D72)</f>
        <v/>
      </c>
      <c r="C72" s="535"/>
      <c r="D72" s="535"/>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810</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839</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812</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2F'!B15:D15=0,"",'As-Filed Schedule 2F'!B15:D15)</f>
        <v/>
      </c>
      <c r="C15" s="535"/>
      <c r="D15" s="535"/>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35" t="str">
        <f>IF('As-Filed Schedule 2F'!B16:D16=0,"",'As-Filed Schedule 2F'!B16:D16)</f>
        <v/>
      </c>
      <c r="C16" s="535"/>
      <c r="D16" s="535"/>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35" t="str">
        <f>IF('As-Filed Schedule 2F'!B17:D17=0,"",'As-Filed Schedule 2F'!B17:D17)</f>
        <v/>
      </c>
      <c r="C17" s="535"/>
      <c r="D17" s="535"/>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35" t="str">
        <f>IF('As-Filed Schedule 2F'!B18:D18=0,"",'As-Filed Schedule 2F'!B18:D18)</f>
        <v/>
      </c>
      <c r="C18" s="535"/>
      <c r="D18" s="535"/>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35" t="str">
        <f>IF('As-Filed Schedule 2F'!B19:D19=0,"",'As-Filed Schedule 2F'!B19:D19)</f>
        <v/>
      </c>
      <c r="C19" s="535"/>
      <c r="D19" s="535"/>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35" t="str">
        <f>IF('As-Filed Schedule 2F'!B20:D20=0,"",'As-Filed Schedule 2F'!B20:D20)</f>
        <v/>
      </c>
      <c r="C20" s="535"/>
      <c r="D20" s="535"/>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35" t="str">
        <f>IF('As-Filed Schedule 2F'!B21:D21=0,"",'As-Filed Schedule 2F'!B21:D21)</f>
        <v/>
      </c>
      <c r="C21" s="535"/>
      <c r="D21" s="535"/>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35" t="str">
        <f>IF('As-Filed Schedule 2F'!B22:D22=0,"",'As-Filed Schedule 2F'!B22:D22)</f>
        <v/>
      </c>
      <c r="C22" s="535"/>
      <c r="D22" s="535"/>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35" t="str">
        <f>IF('As-Filed Schedule 2F'!B23:D23=0,"",'As-Filed Schedule 2F'!B23:D23)</f>
        <v/>
      </c>
      <c r="C23" s="535"/>
      <c r="D23" s="535"/>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35" t="str">
        <f>IF('As-Filed Schedule 2F'!B24:D24=0,"",'As-Filed Schedule 2F'!B24:D24)</f>
        <v/>
      </c>
      <c r="C24" s="535"/>
      <c r="D24" s="535"/>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35" t="str">
        <f>IF('As-Filed Schedule 2F'!B25:D25=0,"",'As-Filed Schedule 2F'!B25:D25)</f>
        <v/>
      </c>
      <c r="C25" s="535"/>
      <c r="D25" s="535"/>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35" t="str">
        <f>IF('As-Filed Schedule 2F'!B26:D26=0,"",'As-Filed Schedule 2F'!B26:D26)</f>
        <v/>
      </c>
      <c r="C26" s="535"/>
      <c r="D26" s="535"/>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35" t="str">
        <f>IF('As-Filed Schedule 2F'!B27:D27=0,"",'As-Filed Schedule 2F'!B27:D27)</f>
        <v/>
      </c>
      <c r="C27" s="535"/>
      <c r="D27" s="535"/>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35" t="str">
        <f>IF('As-Filed Schedule 2F'!B28:D28=0,"",'As-Filed Schedule 2F'!B28:D28)</f>
        <v/>
      </c>
      <c r="C28" s="535"/>
      <c r="D28" s="535"/>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35" t="str">
        <f>IF('As-Filed Schedule 2F'!B29:D29=0,"",'As-Filed Schedule 2F'!B29:D29)</f>
        <v/>
      </c>
      <c r="C29" s="535"/>
      <c r="D29" s="535"/>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35" t="str">
        <f>IF('As-Filed Schedule 2F'!B30:D30=0,"",'As-Filed Schedule 2F'!B30:D30)</f>
        <v/>
      </c>
      <c r="C30" s="535"/>
      <c r="D30" s="535"/>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35" t="str">
        <f>IF('As-Filed Schedule 2F'!B31:D31=0,"",'As-Filed Schedule 2F'!B31:D31)</f>
        <v/>
      </c>
      <c r="C31" s="535"/>
      <c r="D31" s="535"/>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35" t="str">
        <f>IF('As-Filed Schedule 2F'!B32:D32=0,"",'As-Filed Schedule 2F'!B32:D32)</f>
        <v/>
      </c>
      <c r="C32" s="535"/>
      <c r="D32" s="535"/>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35" t="str">
        <f>IF('As-Filed Schedule 2F'!B33:D33=0,"",'As-Filed Schedule 2F'!B33:D33)</f>
        <v/>
      </c>
      <c r="C33" s="535"/>
      <c r="D33" s="535"/>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35" t="str">
        <f>IF('As-Filed Schedule 2F'!B34:D34=0,"",'As-Filed Schedule 2F'!B34:D34)</f>
        <v/>
      </c>
      <c r="C34" s="535"/>
      <c r="D34" s="535"/>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35" t="str">
        <f>IF('As-Filed Schedule 2F'!B35:D35=0,"",'As-Filed Schedule 2F'!B35:D35)</f>
        <v/>
      </c>
      <c r="C35" s="535"/>
      <c r="D35" s="535"/>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35" t="str">
        <f>IF('As-Filed Schedule 2F'!B36:D36=0,"",'As-Filed Schedule 2F'!B36:D36)</f>
        <v/>
      </c>
      <c r="C36" s="535"/>
      <c r="D36" s="535"/>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35" t="str">
        <f>IF('As-Filed Schedule 2F'!B37:D37=0,"",'As-Filed Schedule 2F'!B37:D37)</f>
        <v/>
      </c>
      <c r="C37" s="535"/>
      <c r="D37" s="535"/>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35" t="str">
        <f>IF('As-Filed Schedule 2F'!B38:D38=0,"",'As-Filed Schedule 2F'!B38:D38)</f>
        <v/>
      </c>
      <c r="C38" s="535"/>
      <c r="D38" s="535"/>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35" t="str">
        <f>IF('As-Filed Schedule 2F'!B39:D39=0,"",'As-Filed Schedule 2F'!B39:D39)</f>
        <v/>
      </c>
      <c r="C39" s="535"/>
      <c r="D39" s="535"/>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35" t="str">
        <f>IF('As-Filed Schedule 2F'!B40:D40=0,"",'As-Filed Schedule 2F'!B40:D40)</f>
        <v/>
      </c>
      <c r="C40" s="535"/>
      <c r="D40" s="535"/>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35" t="str">
        <f>IF('As-Filed Schedule 2F'!B41:D41=0,"",'As-Filed Schedule 2F'!B41:D41)</f>
        <v/>
      </c>
      <c r="C41" s="535"/>
      <c r="D41" s="535"/>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35" t="str">
        <f>IF('As-Filed Schedule 2F'!B42:D42=0,"",'As-Filed Schedule 2F'!B42:D42)</f>
        <v/>
      </c>
      <c r="C42" s="535"/>
      <c r="D42" s="535"/>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35" t="str">
        <f>IF('As-Filed Schedule 2F'!B43:D43=0,"",'As-Filed Schedule 2F'!B43:D43)</f>
        <v/>
      </c>
      <c r="C43" s="535"/>
      <c r="D43" s="535"/>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35" t="str">
        <f>IF('As-Filed Schedule 2F'!B44:D44=0,"",'As-Filed Schedule 2F'!B44:D44)</f>
        <v/>
      </c>
      <c r="C44" s="535"/>
      <c r="D44" s="535"/>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35" t="str">
        <f>IF('As-Filed Schedule 2F'!B45:D45=0,"",'As-Filed Schedule 2F'!B45:D45)</f>
        <v/>
      </c>
      <c r="C45" s="535"/>
      <c r="D45" s="535"/>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35" t="str">
        <f>IF('As-Filed Schedule 2F'!B46:D46=0,"",'As-Filed Schedule 2F'!B46:D46)</f>
        <v/>
      </c>
      <c r="C46" s="535"/>
      <c r="D46" s="535"/>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35" t="str">
        <f>IF('As-Filed Schedule 2F'!B47:D47=0,"",'As-Filed Schedule 2F'!B47:D47)</f>
        <v/>
      </c>
      <c r="C47" s="535"/>
      <c r="D47" s="535"/>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35" t="str">
        <f>IF('As-Filed Schedule 2F'!B48:D48=0,"",'As-Filed Schedule 2F'!B48:D48)</f>
        <v/>
      </c>
      <c r="C48" s="535"/>
      <c r="D48" s="535"/>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35" t="str">
        <f>IF('As-Filed Schedule 2F'!B49:D49=0,"",'As-Filed Schedule 2F'!B49:D49)</f>
        <v/>
      </c>
      <c r="C49" s="535"/>
      <c r="D49" s="535"/>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35" t="str">
        <f>IF('As-Filed Schedule 2F'!B50:D50=0,"",'As-Filed Schedule 2F'!B50:D50)</f>
        <v/>
      </c>
      <c r="C50" s="535"/>
      <c r="D50" s="535"/>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35" t="str">
        <f>IF('As-Filed Schedule 2F'!B51:D51=0,"",'As-Filed Schedule 2F'!B51:D51)</f>
        <v/>
      </c>
      <c r="C51" s="535"/>
      <c r="D51" s="535"/>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35" t="str">
        <f>IF('As-Filed Schedule 2F'!B52:D52=0,"",'As-Filed Schedule 2F'!B52:D52)</f>
        <v/>
      </c>
      <c r="C52" s="535"/>
      <c r="D52" s="535"/>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35" t="str">
        <f>IF('As-Filed Schedule 2F'!B53:D53=0,"",'As-Filed Schedule 2F'!B53:D53)</f>
        <v/>
      </c>
      <c r="C53" s="535"/>
      <c r="D53" s="535"/>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35" t="str">
        <f>IF('As-Filed Schedule 2F'!B54:D54=0,"",'As-Filed Schedule 2F'!B54:D54)</f>
        <v/>
      </c>
      <c r="C54" s="535"/>
      <c r="D54" s="535"/>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35" t="str">
        <f>IF('As-Filed Schedule 2F'!B55:D55=0,"",'As-Filed Schedule 2F'!B55:D55)</f>
        <v/>
      </c>
      <c r="C55" s="535"/>
      <c r="D55" s="535"/>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35" t="str">
        <f>IF('As-Filed Schedule 2F'!B56:D56=0,"",'As-Filed Schedule 2F'!B56:D56)</f>
        <v/>
      </c>
      <c r="C56" s="535"/>
      <c r="D56" s="535"/>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35" t="str">
        <f>IF('As-Filed Schedule 2F'!B57:D57=0,"",'As-Filed Schedule 2F'!B57:D57)</f>
        <v/>
      </c>
      <c r="C57" s="535"/>
      <c r="D57" s="535"/>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35" t="str">
        <f>IF('As-Filed Schedule 2F'!B58:D58=0,"",'As-Filed Schedule 2F'!B58:D58)</f>
        <v/>
      </c>
      <c r="C58" s="535"/>
      <c r="D58" s="535"/>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35" t="str">
        <f>IF('As-Filed Schedule 2F'!B59:D59=0,"",'As-Filed Schedule 2F'!B59:D59)</f>
        <v/>
      </c>
      <c r="C59" s="535"/>
      <c r="D59" s="535"/>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35" t="str">
        <f>IF('As-Filed Schedule 2F'!B60:D60=0,"",'As-Filed Schedule 2F'!B60:D60)</f>
        <v/>
      </c>
      <c r="C60" s="535"/>
      <c r="D60" s="535"/>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35" t="str">
        <f>IF('As-Filed Schedule 2F'!B61:D61=0,"",'As-Filed Schedule 2F'!B61:D61)</f>
        <v/>
      </c>
      <c r="C61" s="535"/>
      <c r="D61" s="535"/>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35" t="str">
        <f>IF('As-Filed Schedule 2F'!B62:D62=0,"",'As-Filed Schedule 2F'!B62:D62)</f>
        <v/>
      </c>
      <c r="C62" s="535"/>
      <c r="D62" s="535"/>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35" t="str">
        <f>IF('As-Filed Schedule 2F'!B63:D63=0,"",'As-Filed Schedule 2F'!B63:D63)</f>
        <v/>
      </c>
      <c r="C63" s="535"/>
      <c r="D63" s="535"/>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35" t="str">
        <f>IF('As-Filed Schedule 2F'!B64:D64=0,"",'As-Filed Schedule 2F'!B64:D64)</f>
        <v/>
      </c>
      <c r="C64" s="535"/>
      <c r="D64" s="535"/>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35" t="str">
        <f>IF('As-Filed Schedule 2F'!B65:D65=0,"",'As-Filed Schedule 2F'!B65:D65)</f>
        <v/>
      </c>
      <c r="C65" s="535"/>
      <c r="D65" s="535"/>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35" t="str">
        <f>IF('As-Filed Schedule 2F'!B66:D66=0,"",'As-Filed Schedule 2F'!B66:D66)</f>
        <v/>
      </c>
      <c r="C66" s="535"/>
      <c r="D66" s="535"/>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35" t="str">
        <f>IF('As-Filed Schedule 2F'!B67:D67=0,"",'As-Filed Schedule 2F'!B67:D67)</f>
        <v/>
      </c>
      <c r="C67" s="535"/>
      <c r="D67" s="535"/>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35" t="str">
        <f>IF('As-Filed Schedule 2F'!B68:D68=0,"",'As-Filed Schedule 2F'!B68:D68)</f>
        <v/>
      </c>
      <c r="C68" s="535"/>
      <c r="D68" s="535"/>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35" t="str">
        <f>IF('As-Filed Schedule 2F'!B69:D69=0,"",'As-Filed Schedule 2F'!B69:D69)</f>
        <v/>
      </c>
      <c r="C69" s="535"/>
      <c r="D69" s="535"/>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35" t="str">
        <f>IF('As-Filed Schedule 2F'!B70:D70=0,"",'As-Filed Schedule 2F'!B70:D70)</f>
        <v/>
      </c>
      <c r="C70" s="535"/>
      <c r="D70" s="535"/>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35" t="str">
        <f>IF('As-Filed Schedule 2F'!B71:D71=0,"",'As-Filed Schedule 2F'!B71:D71)</f>
        <v/>
      </c>
      <c r="C71" s="535"/>
      <c r="D71" s="535"/>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35" t="str">
        <f>IF('As-Filed Schedule 2F'!B72:D72=0,"",'As-Filed Schedule 2F'!B72:D72)</f>
        <v/>
      </c>
      <c r="C72" s="535"/>
      <c r="D72" s="535"/>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840</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815</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2G'!B15:D15=0,"",'As-Filed Schedule 2G'!B15:D15)</f>
        <v/>
      </c>
      <c r="C15" s="535"/>
      <c r="D15" s="535"/>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35" t="str">
        <f>IF('As-Filed Schedule 2G'!B16:D16=0,"",'As-Filed Schedule 2G'!B16:D16)</f>
        <v/>
      </c>
      <c r="C16" s="535"/>
      <c r="D16" s="535"/>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35" t="str">
        <f>IF('As-Filed Schedule 2G'!B17:D17=0,"",'As-Filed Schedule 2G'!B17:D17)</f>
        <v/>
      </c>
      <c r="C17" s="535"/>
      <c r="D17" s="535"/>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35" t="str">
        <f>IF('As-Filed Schedule 2G'!B18:D18=0,"",'As-Filed Schedule 2G'!B18:D18)</f>
        <v/>
      </c>
      <c r="C18" s="535"/>
      <c r="D18" s="535"/>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35" t="str">
        <f>IF('As-Filed Schedule 2G'!B19:D19=0,"",'As-Filed Schedule 2G'!B19:D19)</f>
        <v/>
      </c>
      <c r="C19" s="535"/>
      <c r="D19" s="535"/>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35" t="str">
        <f>IF('As-Filed Schedule 2G'!B20:D20=0,"",'As-Filed Schedule 2G'!B20:D20)</f>
        <v/>
      </c>
      <c r="C20" s="535"/>
      <c r="D20" s="535"/>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35" t="str">
        <f>IF('As-Filed Schedule 2G'!B21:D21=0,"",'As-Filed Schedule 2G'!B21:D21)</f>
        <v/>
      </c>
      <c r="C21" s="535"/>
      <c r="D21" s="535"/>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35" t="str">
        <f>IF('As-Filed Schedule 2G'!B22:D22=0,"",'As-Filed Schedule 2G'!B22:D22)</f>
        <v/>
      </c>
      <c r="C22" s="535"/>
      <c r="D22" s="535"/>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35" t="str">
        <f>IF('As-Filed Schedule 2G'!B23:D23=0,"",'As-Filed Schedule 2G'!B23:D23)</f>
        <v/>
      </c>
      <c r="C23" s="535"/>
      <c r="D23" s="535"/>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35" t="str">
        <f>IF('As-Filed Schedule 2G'!B24:D24=0,"",'As-Filed Schedule 2G'!B24:D24)</f>
        <v/>
      </c>
      <c r="C24" s="535"/>
      <c r="D24" s="535"/>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35" t="str">
        <f>IF('As-Filed Schedule 2G'!B25:D25=0,"",'As-Filed Schedule 2G'!B25:D25)</f>
        <v/>
      </c>
      <c r="C25" s="535"/>
      <c r="D25" s="535"/>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35" t="str">
        <f>IF('As-Filed Schedule 2G'!B26:D26=0,"",'As-Filed Schedule 2G'!B26:D26)</f>
        <v/>
      </c>
      <c r="C26" s="535"/>
      <c r="D26" s="535"/>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35" t="str">
        <f>IF('As-Filed Schedule 2G'!B27:D27=0,"",'As-Filed Schedule 2G'!B27:D27)</f>
        <v/>
      </c>
      <c r="C27" s="535"/>
      <c r="D27" s="535"/>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35" t="str">
        <f>IF('As-Filed Schedule 2G'!B28:D28=0,"",'As-Filed Schedule 2G'!B28:D28)</f>
        <v/>
      </c>
      <c r="C28" s="535"/>
      <c r="D28" s="535"/>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35" t="str">
        <f>IF('As-Filed Schedule 2G'!B29:D29=0,"",'As-Filed Schedule 2G'!B29:D29)</f>
        <v/>
      </c>
      <c r="C29" s="535"/>
      <c r="D29" s="535"/>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35" t="str">
        <f>IF('As-Filed Schedule 2G'!B30:D30=0,"",'As-Filed Schedule 2G'!B30:D30)</f>
        <v/>
      </c>
      <c r="C30" s="535"/>
      <c r="D30" s="535"/>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35" t="str">
        <f>IF('As-Filed Schedule 2G'!B31:D31=0,"",'As-Filed Schedule 2G'!B31:D31)</f>
        <v/>
      </c>
      <c r="C31" s="535"/>
      <c r="D31" s="535"/>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35" t="str">
        <f>IF('As-Filed Schedule 2G'!B32:D32=0,"",'As-Filed Schedule 2G'!B32:D32)</f>
        <v/>
      </c>
      <c r="C32" s="535"/>
      <c r="D32" s="535"/>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35" t="str">
        <f>IF('As-Filed Schedule 2G'!B33:D33=0,"",'As-Filed Schedule 2G'!B33:D33)</f>
        <v/>
      </c>
      <c r="C33" s="535"/>
      <c r="D33" s="535"/>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35" t="str">
        <f>IF('As-Filed Schedule 2G'!B34:D34=0,"",'As-Filed Schedule 2G'!B34:D34)</f>
        <v/>
      </c>
      <c r="C34" s="535"/>
      <c r="D34" s="535"/>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35" t="str">
        <f>IF('As-Filed Schedule 2G'!B35:D35=0,"",'As-Filed Schedule 2G'!B35:D35)</f>
        <v/>
      </c>
      <c r="C35" s="535"/>
      <c r="D35" s="535"/>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35" t="str">
        <f>IF('As-Filed Schedule 2G'!B36:D36=0,"",'As-Filed Schedule 2G'!B36:D36)</f>
        <v/>
      </c>
      <c r="C36" s="535"/>
      <c r="D36" s="535"/>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35" t="str">
        <f>IF('As-Filed Schedule 2G'!B37:D37=0,"",'As-Filed Schedule 2G'!B37:D37)</f>
        <v/>
      </c>
      <c r="C37" s="535"/>
      <c r="D37" s="535"/>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35" t="str">
        <f>IF('As-Filed Schedule 2G'!B38:D38=0,"",'As-Filed Schedule 2G'!B38:D38)</f>
        <v/>
      </c>
      <c r="C38" s="535"/>
      <c r="D38" s="535"/>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35" t="str">
        <f>IF('As-Filed Schedule 2G'!B39:D39=0,"",'As-Filed Schedule 2G'!B39:D39)</f>
        <v/>
      </c>
      <c r="C39" s="535"/>
      <c r="D39" s="535"/>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35" t="str">
        <f>IF('As-Filed Schedule 2G'!B40:D40=0,"",'As-Filed Schedule 2G'!B40:D40)</f>
        <v/>
      </c>
      <c r="C40" s="535"/>
      <c r="D40" s="535"/>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35" t="str">
        <f>IF('As-Filed Schedule 2G'!B41:D41=0,"",'As-Filed Schedule 2G'!B41:D41)</f>
        <v/>
      </c>
      <c r="C41" s="535"/>
      <c r="D41" s="535"/>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35" t="str">
        <f>IF('As-Filed Schedule 2G'!B42:D42=0,"",'As-Filed Schedule 2G'!B42:D42)</f>
        <v/>
      </c>
      <c r="C42" s="535"/>
      <c r="D42" s="535"/>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35" t="str">
        <f>IF('As-Filed Schedule 2G'!B43:D43=0,"",'As-Filed Schedule 2G'!B43:D43)</f>
        <v/>
      </c>
      <c r="C43" s="535"/>
      <c r="D43" s="535"/>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35" t="str">
        <f>IF('As-Filed Schedule 2G'!B44:D44=0,"",'As-Filed Schedule 2G'!B44:D44)</f>
        <v/>
      </c>
      <c r="C44" s="535"/>
      <c r="D44" s="535"/>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35" t="str">
        <f>IF('As-Filed Schedule 2G'!B45:D45=0,"",'As-Filed Schedule 2G'!B45:D45)</f>
        <v/>
      </c>
      <c r="C45" s="535"/>
      <c r="D45" s="535"/>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35" t="str">
        <f>IF('As-Filed Schedule 2G'!B46:D46=0,"",'As-Filed Schedule 2G'!B46:D46)</f>
        <v/>
      </c>
      <c r="C46" s="535"/>
      <c r="D46" s="535"/>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35" t="str">
        <f>IF('As-Filed Schedule 2G'!B47:D47=0,"",'As-Filed Schedule 2G'!B47:D47)</f>
        <v/>
      </c>
      <c r="C47" s="535"/>
      <c r="D47" s="535"/>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35" t="str">
        <f>IF('As-Filed Schedule 2G'!B48:D48=0,"",'As-Filed Schedule 2G'!B48:D48)</f>
        <v/>
      </c>
      <c r="C48" s="535"/>
      <c r="D48" s="535"/>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35" t="str">
        <f>IF('As-Filed Schedule 2G'!B49:D49=0,"",'As-Filed Schedule 2G'!B49:D49)</f>
        <v/>
      </c>
      <c r="C49" s="535"/>
      <c r="D49" s="535"/>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35" t="str">
        <f>IF('As-Filed Schedule 2G'!B50:D50=0,"",'As-Filed Schedule 2G'!B50:D50)</f>
        <v/>
      </c>
      <c r="C50" s="535"/>
      <c r="D50" s="535"/>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35" t="str">
        <f>IF('As-Filed Schedule 2G'!B51:D51=0,"",'As-Filed Schedule 2G'!B51:D51)</f>
        <v/>
      </c>
      <c r="C51" s="535"/>
      <c r="D51" s="535"/>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35" t="str">
        <f>IF('As-Filed Schedule 2G'!B52:D52=0,"",'As-Filed Schedule 2G'!B52:D52)</f>
        <v/>
      </c>
      <c r="C52" s="535"/>
      <c r="D52" s="535"/>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35" t="str">
        <f>IF('As-Filed Schedule 2G'!B53:D53=0,"",'As-Filed Schedule 2G'!B53:D53)</f>
        <v/>
      </c>
      <c r="C53" s="535"/>
      <c r="D53" s="535"/>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35" t="str">
        <f>IF('As-Filed Schedule 2G'!B54:D54=0,"",'As-Filed Schedule 2G'!B54:D54)</f>
        <v/>
      </c>
      <c r="C54" s="535"/>
      <c r="D54" s="535"/>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35" t="str">
        <f>IF('As-Filed Schedule 2G'!B55:D55=0,"",'As-Filed Schedule 2G'!B55:D55)</f>
        <v/>
      </c>
      <c r="C55" s="535"/>
      <c r="D55" s="535"/>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35" t="str">
        <f>IF('As-Filed Schedule 2G'!B56:D56=0,"",'As-Filed Schedule 2G'!B56:D56)</f>
        <v/>
      </c>
      <c r="C56" s="535"/>
      <c r="D56" s="535"/>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35" t="str">
        <f>IF('As-Filed Schedule 2G'!B57:D57=0,"",'As-Filed Schedule 2G'!B57:D57)</f>
        <v/>
      </c>
      <c r="C57" s="535"/>
      <c r="D57" s="535"/>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35" t="str">
        <f>IF('As-Filed Schedule 2G'!B58:D58=0,"",'As-Filed Schedule 2G'!B58:D58)</f>
        <v/>
      </c>
      <c r="C58" s="535"/>
      <c r="D58" s="535"/>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35" t="str">
        <f>IF('As-Filed Schedule 2G'!B59:D59=0,"",'As-Filed Schedule 2G'!B59:D59)</f>
        <v/>
      </c>
      <c r="C59" s="535"/>
      <c r="D59" s="535"/>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35" t="str">
        <f>IF('As-Filed Schedule 2G'!B60:D60=0,"",'As-Filed Schedule 2G'!B60:D60)</f>
        <v/>
      </c>
      <c r="C60" s="535"/>
      <c r="D60" s="535"/>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35" t="str">
        <f>IF('As-Filed Schedule 2G'!B61:D61=0,"",'As-Filed Schedule 2G'!B61:D61)</f>
        <v/>
      </c>
      <c r="C61" s="535"/>
      <c r="D61" s="535"/>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35" t="str">
        <f>IF('As-Filed Schedule 2G'!B62:D62=0,"",'As-Filed Schedule 2G'!B62:D62)</f>
        <v/>
      </c>
      <c r="C62" s="535"/>
      <c r="D62" s="535"/>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35" t="str">
        <f>IF('As-Filed Schedule 2G'!B63:D63=0,"",'As-Filed Schedule 2G'!B63:D63)</f>
        <v/>
      </c>
      <c r="C63" s="535"/>
      <c r="D63" s="535"/>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35" t="str">
        <f>IF('As-Filed Schedule 2G'!B64:D64=0,"",'As-Filed Schedule 2G'!B64:D64)</f>
        <v/>
      </c>
      <c r="C64" s="535"/>
      <c r="D64" s="535"/>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35" t="str">
        <f>IF('As-Filed Schedule 2G'!B65:D65=0,"",'As-Filed Schedule 2G'!B65:D65)</f>
        <v/>
      </c>
      <c r="C65" s="535"/>
      <c r="D65" s="535"/>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35" t="str">
        <f>IF('As-Filed Schedule 2G'!B66:D66=0,"",'As-Filed Schedule 2G'!B66:D66)</f>
        <v/>
      </c>
      <c r="C66" s="535"/>
      <c r="D66" s="535"/>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35" t="str">
        <f>IF('As-Filed Schedule 2G'!B67:D67=0,"",'As-Filed Schedule 2G'!B67:D67)</f>
        <v/>
      </c>
      <c r="C67" s="535"/>
      <c r="D67" s="535"/>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35" t="str">
        <f>IF('As-Filed Schedule 2G'!B68:D68=0,"",'As-Filed Schedule 2G'!B68:D68)</f>
        <v/>
      </c>
      <c r="C68" s="535"/>
      <c r="D68" s="535"/>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35" t="str">
        <f>IF('As-Filed Schedule 2G'!B69:D69=0,"",'As-Filed Schedule 2G'!B69:D69)</f>
        <v/>
      </c>
      <c r="C69" s="535"/>
      <c r="D69" s="535"/>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35" t="str">
        <f>IF('As-Filed Schedule 2G'!B70:D70=0,"",'As-Filed Schedule 2G'!B70:D70)</f>
        <v/>
      </c>
      <c r="C70" s="535"/>
      <c r="D70" s="535"/>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35" t="str">
        <f>IF('As-Filed Schedule 2G'!B71:D71=0,"",'As-Filed Schedule 2G'!B71:D71)</f>
        <v/>
      </c>
      <c r="C71" s="535"/>
      <c r="D71" s="535"/>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35" t="str">
        <f>IF('As-Filed Schedule 2G'!B72:D72=0,"",'As-Filed Schedule 2G'!B72:D72)</f>
        <v/>
      </c>
      <c r="C72" s="535"/>
      <c r="D72" s="535"/>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841</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818</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2H'!B15:D15=0,"",'As-Filed Schedule 2H'!B15:D15)</f>
        <v/>
      </c>
      <c r="C15" s="535"/>
      <c r="D15" s="535"/>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35" t="str">
        <f>IF('As-Filed Schedule 2H'!B16:D16=0,"",'As-Filed Schedule 2H'!B16:D16)</f>
        <v/>
      </c>
      <c r="C16" s="535"/>
      <c r="D16" s="535"/>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35" t="str">
        <f>IF('As-Filed Schedule 2H'!B17:D17=0,"",'As-Filed Schedule 2H'!B17:D17)</f>
        <v/>
      </c>
      <c r="C17" s="535"/>
      <c r="D17" s="535"/>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35" t="str">
        <f>IF('As-Filed Schedule 2H'!B18:D18=0,"",'As-Filed Schedule 2H'!B18:D18)</f>
        <v/>
      </c>
      <c r="C18" s="535"/>
      <c r="D18" s="535"/>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35" t="str">
        <f>IF('As-Filed Schedule 2H'!B19:D19=0,"",'As-Filed Schedule 2H'!B19:D19)</f>
        <v/>
      </c>
      <c r="C19" s="535"/>
      <c r="D19" s="535"/>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35" t="str">
        <f>IF('As-Filed Schedule 2H'!B20:D20=0,"",'As-Filed Schedule 2H'!B20:D20)</f>
        <v/>
      </c>
      <c r="C20" s="535"/>
      <c r="D20" s="535"/>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35" t="str">
        <f>IF('As-Filed Schedule 2H'!B21:D21=0,"",'As-Filed Schedule 2H'!B21:D21)</f>
        <v/>
      </c>
      <c r="C21" s="535"/>
      <c r="D21" s="535"/>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35" t="str">
        <f>IF('As-Filed Schedule 2H'!B22:D22=0,"",'As-Filed Schedule 2H'!B22:D22)</f>
        <v/>
      </c>
      <c r="C22" s="535"/>
      <c r="D22" s="535"/>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35" t="str">
        <f>IF('As-Filed Schedule 2H'!B23:D23=0,"",'As-Filed Schedule 2H'!B23:D23)</f>
        <v/>
      </c>
      <c r="C23" s="535"/>
      <c r="D23" s="535"/>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35" t="str">
        <f>IF('As-Filed Schedule 2H'!B24:D24=0,"",'As-Filed Schedule 2H'!B24:D24)</f>
        <v/>
      </c>
      <c r="C24" s="535"/>
      <c r="D24" s="535"/>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35" t="str">
        <f>IF('As-Filed Schedule 2H'!B25:D25=0,"",'As-Filed Schedule 2H'!B25:D25)</f>
        <v/>
      </c>
      <c r="C25" s="535"/>
      <c r="D25" s="535"/>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35" t="str">
        <f>IF('As-Filed Schedule 2H'!B26:D26=0,"",'As-Filed Schedule 2H'!B26:D26)</f>
        <v/>
      </c>
      <c r="C26" s="535"/>
      <c r="D26" s="535"/>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35" t="str">
        <f>IF('As-Filed Schedule 2H'!B27:D27=0,"",'As-Filed Schedule 2H'!B27:D27)</f>
        <v/>
      </c>
      <c r="C27" s="535"/>
      <c r="D27" s="535"/>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35" t="str">
        <f>IF('As-Filed Schedule 2H'!B28:D28=0,"",'As-Filed Schedule 2H'!B28:D28)</f>
        <v/>
      </c>
      <c r="C28" s="535"/>
      <c r="D28" s="535"/>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35" t="str">
        <f>IF('As-Filed Schedule 2H'!B29:D29=0,"",'As-Filed Schedule 2H'!B29:D29)</f>
        <v/>
      </c>
      <c r="C29" s="535"/>
      <c r="D29" s="535"/>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35" t="str">
        <f>IF('As-Filed Schedule 2H'!B30:D30=0,"",'As-Filed Schedule 2H'!B30:D30)</f>
        <v/>
      </c>
      <c r="C30" s="535"/>
      <c r="D30" s="535"/>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35" t="str">
        <f>IF('As-Filed Schedule 2H'!B31:D31=0,"",'As-Filed Schedule 2H'!B31:D31)</f>
        <v/>
      </c>
      <c r="C31" s="535"/>
      <c r="D31" s="535"/>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35" t="str">
        <f>IF('As-Filed Schedule 2H'!B32:D32=0,"",'As-Filed Schedule 2H'!B32:D32)</f>
        <v/>
      </c>
      <c r="C32" s="535"/>
      <c r="D32" s="535"/>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35" t="str">
        <f>IF('As-Filed Schedule 2H'!B33:D33=0,"",'As-Filed Schedule 2H'!B33:D33)</f>
        <v/>
      </c>
      <c r="C33" s="535"/>
      <c r="D33" s="535"/>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35" t="str">
        <f>IF('As-Filed Schedule 2H'!B34:D34=0,"",'As-Filed Schedule 2H'!B34:D34)</f>
        <v/>
      </c>
      <c r="C34" s="535"/>
      <c r="D34" s="535"/>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35" t="str">
        <f>IF('As-Filed Schedule 2H'!B35:D35=0,"",'As-Filed Schedule 2H'!B35:D35)</f>
        <v/>
      </c>
      <c r="C35" s="535"/>
      <c r="D35" s="535"/>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35" t="str">
        <f>IF('As-Filed Schedule 2H'!B36:D36=0,"",'As-Filed Schedule 2H'!B36:D36)</f>
        <v/>
      </c>
      <c r="C36" s="535"/>
      <c r="D36" s="535"/>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35" t="str">
        <f>IF('As-Filed Schedule 2H'!B37:D37=0,"",'As-Filed Schedule 2H'!B37:D37)</f>
        <v/>
      </c>
      <c r="C37" s="535"/>
      <c r="D37" s="535"/>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35" t="str">
        <f>IF('As-Filed Schedule 2H'!B38:D38=0,"",'As-Filed Schedule 2H'!B38:D38)</f>
        <v/>
      </c>
      <c r="C38" s="535"/>
      <c r="D38" s="535"/>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35" t="str">
        <f>IF('As-Filed Schedule 2H'!B39:D39=0,"",'As-Filed Schedule 2H'!B39:D39)</f>
        <v/>
      </c>
      <c r="C39" s="535"/>
      <c r="D39" s="535"/>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35" t="str">
        <f>IF('As-Filed Schedule 2H'!B40:D40=0,"",'As-Filed Schedule 2H'!B40:D40)</f>
        <v/>
      </c>
      <c r="C40" s="535"/>
      <c r="D40" s="535"/>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35" t="str">
        <f>IF('As-Filed Schedule 2H'!B41:D41=0,"",'As-Filed Schedule 2H'!B41:D41)</f>
        <v/>
      </c>
      <c r="C41" s="535"/>
      <c r="D41" s="535"/>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35" t="str">
        <f>IF('As-Filed Schedule 2H'!B42:D42=0,"",'As-Filed Schedule 2H'!B42:D42)</f>
        <v/>
      </c>
      <c r="C42" s="535"/>
      <c r="D42" s="535"/>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35" t="str">
        <f>IF('As-Filed Schedule 2H'!B43:D43=0,"",'As-Filed Schedule 2H'!B43:D43)</f>
        <v/>
      </c>
      <c r="C43" s="535"/>
      <c r="D43" s="535"/>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35" t="str">
        <f>IF('As-Filed Schedule 2H'!B44:D44=0,"",'As-Filed Schedule 2H'!B44:D44)</f>
        <v/>
      </c>
      <c r="C44" s="535"/>
      <c r="D44" s="535"/>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35" t="str">
        <f>IF('As-Filed Schedule 2H'!B45:D45=0,"",'As-Filed Schedule 2H'!B45:D45)</f>
        <v/>
      </c>
      <c r="C45" s="535"/>
      <c r="D45" s="535"/>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35" t="str">
        <f>IF('As-Filed Schedule 2H'!B46:D46=0,"",'As-Filed Schedule 2H'!B46:D46)</f>
        <v/>
      </c>
      <c r="C46" s="535"/>
      <c r="D46" s="535"/>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35" t="str">
        <f>IF('As-Filed Schedule 2H'!B47:D47=0,"",'As-Filed Schedule 2H'!B47:D47)</f>
        <v/>
      </c>
      <c r="C47" s="535"/>
      <c r="D47" s="535"/>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35" t="str">
        <f>IF('As-Filed Schedule 2H'!B48:D48=0,"",'As-Filed Schedule 2H'!B48:D48)</f>
        <v/>
      </c>
      <c r="C48" s="535"/>
      <c r="D48" s="535"/>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35" t="str">
        <f>IF('As-Filed Schedule 2H'!B49:D49=0,"",'As-Filed Schedule 2H'!B49:D49)</f>
        <v/>
      </c>
      <c r="C49" s="535"/>
      <c r="D49" s="535"/>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35" t="str">
        <f>IF('As-Filed Schedule 2H'!B50:D50=0,"",'As-Filed Schedule 2H'!B50:D50)</f>
        <v/>
      </c>
      <c r="C50" s="535"/>
      <c r="D50" s="535"/>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35" t="str">
        <f>IF('As-Filed Schedule 2H'!B51:D51=0,"",'As-Filed Schedule 2H'!B51:D51)</f>
        <v/>
      </c>
      <c r="C51" s="535"/>
      <c r="D51" s="535"/>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35" t="str">
        <f>IF('As-Filed Schedule 2H'!B52:D52=0,"",'As-Filed Schedule 2H'!B52:D52)</f>
        <v/>
      </c>
      <c r="C52" s="535"/>
      <c r="D52" s="535"/>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35" t="str">
        <f>IF('As-Filed Schedule 2H'!B53:D53=0,"",'As-Filed Schedule 2H'!B53:D53)</f>
        <v/>
      </c>
      <c r="C53" s="535"/>
      <c r="D53" s="535"/>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35" t="str">
        <f>IF('As-Filed Schedule 2H'!B54:D54=0,"",'As-Filed Schedule 2H'!B54:D54)</f>
        <v/>
      </c>
      <c r="C54" s="535"/>
      <c r="D54" s="535"/>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35" t="str">
        <f>IF('As-Filed Schedule 2H'!B55:D55=0,"",'As-Filed Schedule 2H'!B55:D55)</f>
        <v/>
      </c>
      <c r="C55" s="535"/>
      <c r="D55" s="535"/>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35" t="str">
        <f>IF('As-Filed Schedule 2H'!B56:D56=0,"",'As-Filed Schedule 2H'!B56:D56)</f>
        <v/>
      </c>
      <c r="C56" s="535"/>
      <c r="D56" s="535"/>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35" t="str">
        <f>IF('As-Filed Schedule 2H'!B57:D57=0,"",'As-Filed Schedule 2H'!B57:D57)</f>
        <v/>
      </c>
      <c r="C57" s="535"/>
      <c r="D57" s="535"/>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35" t="str">
        <f>IF('As-Filed Schedule 2H'!B58:D58=0,"",'As-Filed Schedule 2H'!B58:D58)</f>
        <v/>
      </c>
      <c r="C58" s="535"/>
      <c r="D58" s="535"/>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35" t="str">
        <f>IF('As-Filed Schedule 2H'!B59:D59=0,"",'As-Filed Schedule 2H'!B59:D59)</f>
        <v/>
      </c>
      <c r="C59" s="535"/>
      <c r="D59" s="535"/>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35" t="str">
        <f>IF('As-Filed Schedule 2H'!B60:D60=0,"",'As-Filed Schedule 2H'!B60:D60)</f>
        <v/>
      </c>
      <c r="C60" s="535"/>
      <c r="D60" s="535"/>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35" t="str">
        <f>IF('As-Filed Schedule 2H'!B61:D61=0,"",'As-Filed Schedule 2H'!B61:D61)</f>
        <v/>
      </c>
      <c r="C61" s="535"/>
      <c r="D61" s="535"/>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35" t="str">
        <f>IF('As-Filed Schedule 2H'!B62:D62=0,"",'As-Filed Schedule 2H'!B62:D62)</f>
        <v/>
      </c>
      <c r="C62" s="535"/>
      <c r="D62" s="535"/>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35" t="str">
        <f>IF('As-Filed Schedule 2H'!B63:D63=0,"",'As-Filed Schedule 2H'!B63:D63)</f>
        <v/>
      </c>
      <c r="C63" s="535"/>
      <c r="D63" s="535"/>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35" t="str">
        <f>IF('As-Filed Schedule 2H'!B64:D64=0,"",'As-Filed Schedule 2H'!B64:D64)</f>
        <v/>
      </c>
      <c r="C64" s="535"/>
      <c r="D64" s="535"/>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35" t="str">
        <f>IF('As-Filed Schedule 2H'!B65:D65=0,"",'As-Filed Schedule 2H'!B65:D65)</f>
        <v/>
      </c>
      <c r="C65" s="535"/>
      <c r="D65" s="535"/>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35" t="str">
        <f>IF('As-Filed Schedule 2H'!B66:D66=0,"",'As-Filed Schedule 2H'!B66:D66)</f>
        <v/>
      </c>
      <c r="C66" s="535"/>
      <c r="D66" s="535"/>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35" t="str">
        <f>IF('As-Filed Schedule 2H'!B67:D67=0,"",'As-Filed Schedule 2H'!B67:D67)</f>
        <v/>
      </c>
      <c r="C67" s="535"/>
      <c r="D67" s="535"/>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35" t="str">
        <f>IF('As-Filed Schedule 2H'!B68:D68=0,"",'As-Filed Schedule 2H'!B68:D68)</f>
        <v/>
      </c>
      <c r="C68" s="535"/>
      <c r="D68" s="535"/>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35" t="str">
        <f>IF('As-Filed Schedule 2H'!B69:D69=0,"",'As-Filed Schedule 2H'!B69:D69)</f>
        <v/>
      </c>
      <c r="C69" s="535"/>
      <c r="D69" s="535"/>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35" t="str">
        <f>IF('As-Filed Schedule 2H'!B70:D70=0,"",'As-Filed Schedule 2H'!B70:D70)</f>
        <v/>
      </c>
      <c r="C70" s="535"/>
      <c r="D70" s="535"/>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35" t="str">
        <f>IF('As-Filed Schedule 2H'!B71:D71=0,"",'As-Filed Schedule 2H'!B71:D71)</f>
        <v/>
      </c>
      <c r="C71" s="535"/>
      <c r="D71" s="535"/>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35" t="str">
        <f>IF('As-Filed Schedule 2H'!B72:D72=0,"",'As-Filed Schedule 2H'!B72:D72)</f>
        <v/>
      </c>
      <c r="C72" s="535"/>
      <c r="D72" s="535"/>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842</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821</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2I'!B15:D15=0,"",'As-Filed Schedule 2I'!B15:D15)</f>
        <v/>
      </c>
      <c r="C15" s="535"/>
      <c r="D15" s="535"/>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35" t="str">
        <f>IF('As-Filed Schedule 2I'!B16:D16=0,"",'As-Filed Schedule 2I'!B16:D16)</f>
        <v/>
      </c>
      <c r="C16" s="535"/>
      <c r="D16" s="535"/>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35" t="str">
        <f>IF('As-Filed Schedule 2I'!B17:D17=0,"",'As-Filed Schedule 2I'!B17:D17)</f>
        <v/>
      </c>
      <c r="C17" s="535"/>
      <c r="D17" s="535"/>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35" t="str">
        <f>IF('As-Filed Schedule 2I'!B18:D18=0,"",'As-Filed Schedule 2I'!B18:D18)</f>
        <v/>
      </c>
      <c r="C18" s="535"/>
      <c r="D18" s="535"/>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35" t="str">
        <f>IF('As-Filed Schedule 2I'!B19:D19=0,"",'As-Filed Schedule 2I'!B19:D19)</f>
        <v/>
      </c>
      <c r="C19" s="535"/>
      <c r="D19" s="535"/>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35" t="str">
        <f>IF('As-Filed Schedule 2I'!B20:D20=0,"",'As-Filed Schedule 2I'!B20:D20)</f>
        <v/>
      </c>
      <c r="C20" s="535"/>
      <c r="D20" s="535"/>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35" t="str">
        <f>IF('As-Filed Schedule 2I'!B21:D21=0,"",'As-Filed Schedule 2I'!B21:D21)</f>
        <v/>
      </c>
      <c r="C21" s="535"/>
      <c r="D21" s="535"/>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35" t="str">
        <f>IF('As-Filed Schedule 2I'!B22:D22=0,"",'As-Filed Schedule 2I'!B22:D22)</f>
        <v/>
      </c>
      <c r="C22" s="535"/>
      <c r="D22" s="535"/>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35" t="str">
        <f>IF('As-Filed Schedule 2I'!B23:D23=0,"",'As-Filed Schedule 2I'!B23:D23)</f>
        <v/>
      </c>
      <c r="C23" s="535"/>
      <c r="D23" s="535"/>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35" t="str">
        <f>IF('As-Filed Schedule 2I'!B24:D24=0,"",'As-Filed Schedule 2I'!B24:D24)</f>
        <v/>
      </c>
      <c r="C24" s="535"/>
      <c r="D24" s="535"/>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35" t="str">
        <f>IF('As-Filed Schedule 2I'!B25:D25=0,"",'As-Filed Schedule 2I'!B25:D25)</f>
        <v/>
      </c>
      <c r="C25" s="535"/>
      <c r="D25" s="535"/>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35" t="str">
        <f>IF('As-Filed Schedule 2I'!B26:D26=0,"",'As-Filed Schedule 2I'!B26:D26)</f>
        <v/>
      </c>
      <c r="C26" s="535"/>
      <c r="D26" s="535"/>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35" t="str">
        <f>IF('As-Filed Schedule 2I'!B27:D27=0,"",'As-Filed Schedule 2I'!B27:D27)</f>
        <v/>
      </c>
      <c r="C27" s="535"/>
      <c r="D27" s="535"/>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35" t="str">
        <f>IF('As-Filed Schedule 2I'!B28:D28=0,"",'As-Filed Schedule 2I'!B28:D28)</f>
        <v/>
      </c>
      <c r="C28" s="535"/>
      <c r="D28" s="535"/>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35" t="str">
        <f>IF('As-Filed Schedule 2I'!B29:D29=0,"",'As-Filed Schedule 2I'!B29:D29)</f>
        <v/>
      </c>
      <c r="C29" s="535"/>
      <c r="D29" s="535"/>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35" t="str">
        <f>IF('As-Filed Schedule 2I'!B30:D30=0,"",'As-Filed Schedule 2I'!B30:D30)</f>
        <v/>
      </c>
      <c r="C30" s="535"/>
      <c r="D30" s="535"/>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35" t="str">
        <f>IF('As-Filed Schedule 2I'!B31:D31=0,"",'As-Filed Schedule 2I'!B31:D31)</f>
        <v/>
      </c>
      <c r="C31" s="535"/>
      <c r="D31" s="535"/>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35" t="str">
        <f>IF('As-Filed Schedule 2I'!B32:D32=0,"",'As-Filed Schedule 2I'!B32:D32)</f>
        <v/>
      </c>
      <c r="C32" s="535"/>
      <c r="D32" s="535"/>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35" t="str">
        <f>IF('As-Filed Schedule 2I'!B33:D33=0,"",'As-Filed Schedule 2I'!B33:D33)</f>
        <v/>
      </c>
      <c r="C33" s="535"/>
      <c r="D33" s="535"/>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35" t="str">
        <f>IF('As-Filed Schedule 2I'!B34:D34=0,"",'As-Filed Schedule 2I'!B34:D34)</f>
        <v/>
      </c>
      <c r="C34" s="535"/>
      <c r="D34" s="535"/>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35" t="str">
        <f>IF('As-Filed Schedule 2I'!B35:D35=0,"",'As-Filed Schedule 2I'!B35:D35)</f>
        <v/>
      </c>
      <c r="C35" s="535"/>
      <c r="D35" s="535"/>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35" t="str">
        <f>IF('As-Filed Schedule 2I'!B36:D36=0,"",'As-Filed Schedule 2I'!B36:D36)</f>
        <v/>
      </c>
      <c r="C36" s="535"/>
      <c r="D36" s="535"/>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35" t="str">
        <f>IF('As-Filed Schedule 2I'!B37:D37=0,"",'As-Filed Schedule 2I'!B37:D37)</f>
        <v/>
      </c>
      <c r="C37" s="535"/>
      <c r="D37" s="535"/>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35" t="str">
        <f>IF('As-Filed Schedule 2I'!B38:D38=0,"",'As-Filed Schedule 2I'!B38:D38)</f>
        <v/>
      </c>
      <c r="C38" s="535"/>
      <c r="D38" s="535"/>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35" t="str">
        <f>IF('As-Filed Schedule 2I'!B39:D39=0,"",'As-Filed Schedule 2I'!B39:D39)</f>
        <v/>
      </c>
      <c r="C39" s="535"/>
      <c r="D39" s="535"/>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35" t="str">
        <f>IF('As-Filed Schedule 2I'!B40:D40=0,"",'As-Filed Schedule 2I'!B40:D40)</f>
        <v/>
      </c>
      <c r="C40" s="535"/>
      <c r="D40" s="535"/>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35" t="str">
        <f>IF('As-Filed Schedule 2I'!B41:D41=0,"",'As-Filed Schedule 2I'!B41:D41)</f>
        <v/>
      </c>
      <c r="C41" s="535"/>
      <c r="D41" s="535"/>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35" t="str">
        <f>IF('As-Filed Schedule 2I'!B42:D42=0,"",'As-Filed Schedule 2I'!B42:D42)</f>
        <v/>
      </c>
      <c r="C42" s="535"/>
      <c r="D42" s="535"/>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35" t="str">
        <f>IF('As-Filed Schedule 2I'!B43:D43=0,"",'As-Filed Schedule 2I'!B43:D43)</f>
        <v/>
      </c>
      <c r="C43" s="535"/>
      <c r="D43" s="535"/>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35" t="str">
        <f>IF('As-Filed Schedule 2I'!B44:D44=0,"",'As-Filed Schedule 2I'!B44:D44)</f>
        <v/>
      </c>
      <c r="C44" s="535"/>
      <c r="D44" s="535"/>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35" t="str">
        <f>IF('As-Filed Schedule 2I'!B45:D45=0,"",'As-Filed Schedule 2I'!B45:D45)</f>
        <v/>
      </c>
      <c r="C45" s="535"/>
      <c r="D45" s="535"/>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35" t="str">
        <f>IF('As-Filed Schedule 2I'!B46:D46=0,"",'As-Filed Schedule 2I'!B46:D46)</f>
        <v/>
      </c>
      <c r="C46" s="535"/>
      <c r="D46" s="535"/>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35" t="str">
        <f>IF('As-Filed Schedule 2I'!B47:D47=0,"",'As-Filed Schedule 2I'!B47:D47)</f>
        <v/>
      </c>
      <c r="C47" s="535"/>
      <c r="D47" s="535"/>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35" t="str">
        <f>IF('As-Filed Schedule 2I'!B48:D48=0,"",'As-Filed Schedule 2I'!B48:D48)</f>
        <v/>
      </c>
      <c r="C48" s="535"/>
      <c r="D48" s="535"/>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35" t="str">
        <f>IF('As-Filed Schedule 2I'!B49:D49=0,"",'As-Filed Schedule 2I'!B49:D49)</f>
        <v/>
      </c>
      <c r="C49" s="535"/>
      <c r="D49" s="535"/>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35" t="str">
        <f>IF('As-Filed Schedule 2I'!B50:D50=0,"",'As-Filed Schedule 2I'!B50:D50)</f>
        <v/>
      </c>
      <c r="C50" s="535"/>
      <c r="D50" s="535"/>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35" t="str">
        <f>IF('As-Filed Schedule 2I'!B51:D51=0,"",'As-Filed Schedule 2I'!B51:D51)</f>
        <v/>
      </c>
      <c r="C51" s="535"/>
      <c r="D51" s="535"/>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35" t="str">
        <f>IF('As-Filed Schedule 2I'!B52:D52=0,"",'As-Filed Schedule 2I'!B52:D52)</f>
        <v/>
      </c>
      <c r="C52" s="535"/>
      <c r="D52" s="535"/>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35" t="str">
        <f>IF('As-Filed Schedule 2I'!B53:D53=0,"",'As-Filed Schedule 2I'!B53:D53)</f>
        <v/>
      </c>
      <c r="C53" s="535"/>
      <c r="D53" s="535"/>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35" t="str">
        <f>IF('As-Filed Schedule 2I'!B54:D54=0,"",'As-Filed Schedule 2I'!B54:D54)</f>
        <v/>
      </c>
      <c r="C54" s="535"/>
      <c r="D54" s="535"/>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35" t="str">
        <f>IF('As-Filed Schedule 2I'!B55:D55=0,"",'As-Filed Schedule 2I'!B55:D55)</f>
        <v/>
      </c>
      <c r="C55" s="535"/>
      <c r="D55" s="535"/>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35" t="str">
        <f>IF('As-Filed Schedule 2I'!B56:D56=0,"",'As-Filed Schedule 2I'!B56:D56)</f>
        <v/>
      </c>
      <c r="C56" s="535"/>
      <c r="D56" s="535"/>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35" t="str">
        <f>IF('As-Filed Schedule 2I'!B57:D57=0,"",'As-Filed Schedule 2I'!B57:D57)</f>
        <v/>
      </c>
      <c r="C57" s="535"/>
      <c r="D57" s="535"/>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35" t="str">
        <f>IF('As-Filed Schedule 2I'!B58:D58=0,"",'As-Filed Schedule 2I'!B58:D58)</f>
        <v/>
      </c>
      <c r="C58" s="535"/>
      <c r="D58" s="535"/>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35" t="str">
        <f>IF('As-Filed Schedule 2I'!B59:D59=0,"",'As-Filed Schedule 2I'!B59:D59)</f>
        <v/>
      </c>
      <c r="C59" s="535"/>
      <c r="D59" s="535"/>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35" t="str">
        <f>IF('As-Filed Schedule 2I'!B60:D60=0,"",'As-Filed Schedule 2I'!B60:D60)</f>
        <v/>
      </c>
      <c r="C60" s="535"/>
      <c r="D60" s="535"/>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35" t="str">
        <f>IF('As-Filed Schedule 2I'!B61:D61=0,"",'As-Filed Schedule 2I'!B61:D61)</f>
        <v/>
      </c>
      <c r="C61" s="535"/>
      <c r="D61" s="535"/>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35" t="str">
        <f>IF('As-Filed Schedule 2I'!B62:D62=0,"",'As-Filed Schedule 2I'!B62:D62)</f>
        <v/>
      </c>
      <c r="C62" s="535"/>
      <c r="D62" s="535"/>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35" t="str">
        <f>IF('As-Filed Schedule 2I'!B63:D63=0,"",'As-Filed Schedule 2I'!B63:D63)</f>
        <v/>
      </c>
      <c r="C63" s="535"/>
      <c r="D63" s="535"/>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35" t="str">
        <f>IF('As-Filed Schedule 2I'!B64:D64=0,"",'As-Filed Schedule 2I'!B64:D64)</f>
        <v/>
      </c>
      <c r="C64" s="535"/>
      <c r="D64" s="535"/>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35" t="str">
        <f>IF('As-Filed Schedule 2I'!B65:D65=0,"",'As-Filed Schedule 2I'!B65:D65)</f>
        <v/>
      </c>
      <c r="C65" s="535"/>
      <c r="D65" s="535"/>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35" t="str">
        <f>IF('As-Filed Schedule 2I'!B66:D66=0,"",'As-Filed Schedule 2I'!B66:D66)</f>
        <v/>
      </c>
      <c r="C66" s="535"/>
      <c r="D66" s="535"/>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35" t="str">
        <f>IF('As-Filed Schedule 2I'!B67:D67=0,"",'As-Filed Schedule 2I'!B67:D67)</f>
        <v/>
      </c>
      <c r="C67" s="535"/>
      <c r="D67" s="535"/>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35" t="str">
        <f>IF('As-Filed Schedule 2I'!B68:D68=0,"",'As-Filed Schedule 2I'!B68:D68)</f>
        <v/>
      </c>
      <c r="C68" s="535"/>
      <c r="D68" s="535"/>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35" t="str">
        <f>IF('As-Filed Schedule 2I'!B69:D69=0,"",'As-Filed Schedule 2I'!B69:D69)</f>
        <v/>
      </c>
      <c r="C69" s="535"/>
      <c r="D69" s="535"/>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35" t="str">
        <f>IF('As-Filed Schedule 2I'!B70:D70=0,"",'As-Filed Schedule 2I'!B70:D70)</f>
        <v/>
      </c>
      <c r="C70" s="535"/>
      <c r="D70" s="535"/>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35" t="str">
        <f>IF('As-Filed Schedule 2I'!B71:D71=0,"",'As-Filed Schedule 2I'!B71:D71)</f>
        <v/>
      </c>
      <c r="C71" s="535"/>
      <c r="D71" s="535"/>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35" t="str">
        <f>IF('As-Filed Schedule 2I'!B72:D72=0,"",'As-Filed Schedule 2I'!B72:D72)</f>
        <v/>
      </c>
      <c r="C72" s="535"/>
      <c r="D72" s="535"/>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843</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824</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2J'!B15:D15=0,"",'As-Filed Schedule 2J'!B15:D15)</f>
        <v/>
      </c>
      <c r="C15" s="535"/>
      <c r="D15" s="535"/>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35" t="str">
        <f>IF('As-Filed Schedule 2J'!B16:D16=0,"",'As-Filed Schedule 2J'!B16:D16)</f>
        <v/>
      </c>
      <c r="C16" s="535"/>
      <c r="D16" s="535"/>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35" t="str">
        <f>IF('As-Filed Schedule 2J'!B17:D17=0,"",'As-Filed Schedule 2J'!B17:D17)</f>
        <v/>
      </c>
      <c r="C17" s="535"/>
      <c r="D17" s="535"/>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35" t="str">
        <f>IF('As-Filed Schedule 2J'!B18:D18=0,"",'As-Filed Schedule 2J'!B18:D18)</f>
        <v/>
      </c>
      <c r="C18" s="535"/>
      <c r="D18" s="535"/>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35" t="str">
        <f>IF('As-Filed Schedule 2J'!B19:D19=0,"",'As-Filed Schedule 2J'!B19:D19)</f>
        <v/>
      </c>
      <c r="C19" s="535"/>
      <c r="D19" s="535"/>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35" t="str">
        <f>IF('As-Filed Schedule 2J'!B20:D20=0,"",'As-Filed Schedule 2J'!B20:D20)</f>
        <v/>
      </c>
      <c r="C20" s="535"/>
      <c r="D20" s="535"/>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35" t="str">
        <f>IF('As-Filed Schedule 2J'!B21:D21=0,"",'As-Filed Schedule 2J'!B21:D21)</f>
        <v/>
      </c>
      <c r="C21" s="535"/>
      <c r="D21" s="535"/>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35" t="str">
        <f>IF('As-Filed Schedule 2J'!B22:D22=0,"",'As-Filed Schedule 2J'!B22:D22)</f>
        <v/>
      </c>
      <c r="C22" s="535"/>
      <c r="D22" s="535"/>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35" t="str">
        <f>IF('As-Filed Schedule 2J'!B23:D23=0,"",'As-Filed Schedule 2J'!B23:D23)</f>
        <v/>
      </c>
      <c r="C23" s="535"/>
      <c r="D23" s="535"/>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35" t="str">
        <f>IF('As-Filed Schedule 2J'!B24:D24=0,"",'As-Filed Schedule 2J'!B24:D24)</f>
        <v/>
      </c>
      <c r="C24" s="535"/>
      <c r="D24" s="535"/>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35" t="str">
        <f>IF('As-Filed Schedule 2J'!B25:D25=0,"",'As-Filed Schedule 2J'!B25:D25)</f>
        <v/>
      </c>
      <c r="C25" s="535"/>
      <c r="D25" s="535"/>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35" t="str">
        <f>IF('As-Filed Schedule 2J'!B26:D26=0,"",'As-Filed Schedule 2J'!B26:D26)</f>
        <v/>
      </c>
      <c r="C26" s="535"/>
      <c r="D26" s="535"/>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35" t="str">
        <f>IF('As-Filed Schedule 2J'!B27:D27=0,"",'As-Filed Schedule 2J'!B27:D27)</f>
        <v/>
      </c>
      <c r="C27" s="535"/>
      <c r="D27" s="535"/>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35" t="str">
        <f>IF('As-Filed Schedule 2J'!B28:D28=0,"",'As-Filed Schedule 2J'!B28:D28)</f>
        <v/>
      </c>
      <c r="C28" s="535"/>
      <c r="D28" s="535"/>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35" t="str">
        <f>IF('As-Filed Schedule 2J'!B29:D29=0,"",'As-Filed Schedule 2J'!B29:D29)</f>
        <v/>
      </c>
      <c r="C29" s="535"/>
      <c r="D29" s="535"/>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35" t="str">
        <f>IF('As-Filed Schedule 2J'!B30:D30=0,"",'As-Filed Schedule 2J'!B30:D30)</f>
        <v/>
      </c>
      <c r="C30" s="535"/>
      <c r="D30" s="535"/>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35" t="str">
        <f>IF('As-Filed Schedule 2J'!B31:D31=0,"",'As-Filed Schedule 2J'!B31:D31)</f>
        <v/>
      </c>
      <c r="C31" s="535"/>
      <c r="D31" s="535"/>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35" t="str">
        <f>IF('As-Filed Schedule 2J'!B32:D32=0,"",'As-Filed Schedule 2J'!B32:D32)</f>
        <v/>
      </c>
      <c r="C32" s="535"/>
      <c r="D32" s="535"/>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35" t="str">
        <f>IF('As-Filed Schedule 2J'!B33:D33=0,"",'As-Filed Schedule 2J'!B33:D33)</f>
        <v/>
      </c>
      <c r="C33" s="535"/>
      <c r="D33" s="535"/>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35" t="str">
        <f>IF('As-Filed Schedule 2J'!B34:D34=0,"",'As-Filed Schedule 2J'!B34:D34)</f>
        <v/>
      </c>
      <c r="C34" s="535"/>
      <c r="D34" s="535"/>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35" t="str">
        <f>IF('As-Filed Schedule 2J'!B35:D35=0,"",'As-Filed Schedule 2J'!B35:D35)</f>
        <v/>
      </c>
      <c r="C35" s="535"/>
      <c r="D35" s="535"/>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35" t="str">
        <f>IF('As-Filed Schedule 2J'!B36:D36=0,"",'As-Filed Schedule 2J'!B36:D36)</f>
        <v/>
      </c>
      <c r="C36" s="535"/>
      <c r="D36" s="535"/>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35" t="str">
        <f>IF('As-Filed Schedule 2J'!B37:D37=0,"",'As-Filed Schedule 2J'!B37:D37)</f>
        <v/>
      </c>
      <c r="C37" s="535"/>
      <c r="D37" s="535"/>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35" t="str">
        <f>IF('As-Filed Schedule 2J'!B38:D38=0,"",'As-Filed Schedule 2J'!B38:D38)</f>
        <v/>
      </c>
      <c r="C38" s="535"/>
      <c r="D38" s="535"/>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35" t="str">
        <f>IF('As-Filed Schedule 2J'!B39:D39=0,"",'As-Filed Schedule 2J'!B39:D39)</f>
        <v/>
      </c>
      <c r="C39" s="535"/>
      <c r="D39" s="535"/>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35" t="str">
        <f>IF('As-Filed Schedule 2J'!B40:D40=0,"",'As-Filed Schedule 2J'!B40:D40)</f>
        <v/>
      </c>
      <c r="C40" s="535"/>
      <c r="D40" s="535"/>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35" t="str">
        <f>IF('As-Filed Schedule 2J'!B41:D41=0,"",'As-Filed Schedule 2J'!B41:D41)</f>
        <v/>
      </c>
      <c r="C41" s="535"/>
      <c r="D41" s="535"/>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35" t="str">
        <f>IF('As-Filed Schedule 2J'!B42:D42=0,"",'As-Filed Schedule 2J'!B42:D42)</f>
        <v/>
      </c>
      <c r="C42" s="535"/>
      <c r="D42" s="535"/>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35" t="str">
        <f>IF('As-Filed Schedule 2J'!B43:D43=0,"",'As-Filed Schedule 2J'!B43:D43)</f>
        <v/>
      </c>
      <c r="C43" s="535"/>
      <c r="D43" s="535"/>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35" t="str">
        <f>IF('As-Filed Schedule 2J'!B44:D44=0,"",'As-Filed Schedule 2J'!B44:D44)</f>
        <v/>
      </c>
      <c r="C44" s="535"/>
      <c r="D44" s="535"/>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35" t="str">
        <f>IF('As-Filed Schedule 2J'!B45:D45=0,"",'As-Filed Schedule 2J'!B45:D45)</f>
        <v/>
      </c>
      <c r="C45" s="535"/>
      <c r="D45" s="535"/>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35" t="str">
        <f>IF('As-Filed Schedule 2J'!B46:D46=0,"",'As-Filed Schedule 2J'!B46:D46)</f>
        <v/>
      </c>
      <c r="C46" s="535"/>
      <c r="D46" s="535"/>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35" t="str">
        <f>IF('As-Filed Schedule 2J'!B47:D47=0,"",'As-Filed Schedule 2J'!B47:D47)</f>
        <v/>
      </c>
      <c r="C47" s="535"/>
      <c r="D47" s="535"/>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35" t="str">
        <f>IF('As-Filed Schedule 2J'!B48:D48=0,"",'As-Filed Schedule 2J'!B48:D48)</f>
        <v/>
      </c>
      <c r="C48" s="535"/>
      <c r="D48" s="535"/>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35" t="str">
        <f>IF('As-Filed Schedule 2J'!B49:D49=0,"",'As-Filed Schedule 2J'!B49:D49)</f>
        <v/>
      </c>
      <c r="C49" s="535"/>
      <c r="D49" s="535"/>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35" t="str">
        <f>IF('As-Filed Schedule 2J'!B50:D50=0,"",'As-Filed Schedule 2J'!B50:D50)</f>
        <v/>
      </c>
      <c r="C50" s="535"/>
      <c r="D50" s="535"/>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35" t="str">
        <f>IF('As-Filed Schedule 2J'!B51:D51=0,"",'As-Filed Schedule 2J'!B51:D51)</f>
        <v/>
      </c>
      <c r="C51" s="535"/>
      <c r="D51" s="535"/>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35" t="str">
        <f>IF('As-Filed Schedule 2J'!B52:D52=0,"",'As-Filed Schedule 2J'!B52:D52)</f>
        <v/>
      </c>
      <c r="C52" s="535"/>
      <c r="D52" s="535"/>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35" t="str">
        <f>IF('As-Filed Schedule 2J'!B53:D53=0,"",'As-Filed Schedule 2J'!B53:D53)</f>
        <v/>
      </c>
      <c r="C53" s="535"/>
      <c r="D53" s="535"/>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35" t="str">
        <f>IF('As-Filed Schedule 2J'!B54:D54=0,"",'As-Filed Schedule 2J'!B54:D54)</f>
        <v/>
      </c>
      <c r="C54" s="535"/>
      <c r="D54" s="535"/>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35" t="str">
        <f>IF('As-Filed Schedule 2J'!B55:D55=0,"",'As-Filed Schedule 2J'!B55:D55)</f>
        <v/>
      </c>
      <c r="C55" s="535"/>
      <c r="D55" s="535"/>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35" t="str">
        <f>IF('As-Filed Schedule 2J'!B56:D56=0,"",'As-Filed Schedule 2J'!B56:D56)</f>
        <v/>
      </c>
      <c r="C56" s="535"/>
      <c r="D56" s="535"/>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35" t="str">
        <f>IF('As-Filed Schedule 2J'!B57:D57=0,"",'As-Filed Schedule 2J'!B57:D57)</f>
        <v/>
      </c>
      <c r="C57" s="535"/>
      <c r="D57" s="535"/>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35" t="str">
        <f>IF('As-Filed Schedule 2J'!B58:D58=0,"",'As-Filed Schedule 2J'!B58:D58)</f>
        <v/>
      </c>
      <c r="C58" s="535"/>
      <c r="D58" s="535"/>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35" t="str">
        <f>IF('As-Filed Schedule 2J'!B59:D59=0,"",'As-Filed Schedule 2J'!B59:D59)</f>
        <v/>
      </c>
      <c r="C59" s="535"/>
      <c r="D59" s="535"/>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35" t="str">
        <f>IF('As-Filed Schedule 2J'!B60:D60=0,"",'As-Filed Schedule 2J'!B60:D60)</f>
        <v/>
      </c>
      <c r="C60" s="535"/>
      <c r="D60" s="535"/>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35" t="str">
        <f>IF('As-Filed Schedule 2J'!B61:D61=0,"",'As-Filed Schedule 2J'!B61:D61)</f>
        <v/>
      </c>
      <c r="C61" s="535"/>
      <c r="D61" s="535"/>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35" t="str">
        <f>IF('As-Filed Schedule 2J'!B62:D62=0,"",'As-Filed Schedule 2J'!B62:D62)</f>
        <v/>
      </c>
      <c r="C62" s="535"/>
      <c r="D62" s="535"/>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35" t="str">
        <f>IF('As-Filed Schedule 2J'!B63:D63=0,"",'As-Filed Schedule 2J'!B63:D63)</f>
        <v/>
      </c>
      <c r="C63" s="535"/>
      <c r="D63" s="535"/>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35" t="str">
        <f>IF('As-Filed Schedule 2J'!B64:D64=0,"",'As-Filed Schedule 2J'!B64:D64)</f>
        <v/>
      </c>
      <c r="C64" s="535"/>
      <c r="D64" s="535"/>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35" t="str">
        <f>IF('As-Filed Schedule 2J'!B65:D65=0,"",'As-Filed Schedule 2J'!B65:D65)</f>
        <v/>
      </c>
      <c r="C65" s="535"/>
      <c r="D65" s="535"/>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35" t="str">
        <f>IF('As-Filed Schedule 2J'!B66:D66=0,"",'As-Filed Schedule 2J'!B66:D66)</f>
        <v/>
      </c>
      <c r="C66" s="535"/>
      <c r="D66" s="535"/>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35" t="str">
        <f>IF('As-Filed Schedule 2J'!B67:D67=0,"",'As-Filed Schedule 2J'!B67:D67)</f>
        <v/>
      </c>
      <c r="C67" s="535"/>
      <c r="D67" s="535"/>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35" t="str">
        <f>IF('As-Filed Schedule 2J'!B68:D68=0,"",'As-Filed Schedule 2J'!B68:D68)</f>
        <v/>
      </c>
      <c r="C68" s="535"/>
      <c r="D68" s="535"/>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35" t="str">
        <f>IF('As-Filed Schedule 2J'!B69:D69=0,"",'As-Filed Schedule 2J'!B69:D69)</f>
        <v/>
      </c>
      <c r="C69" s="535"/>
      <c r="D69" s="535"/>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35" t="str">
        <f>IF('As-Filed Schedule 2J'!B70:D70=0,"",'As-Filed Schedule 2J'!B70:D70)</f>
        <v/>
      </c>
      <c r="C70" s="535"/>
      <c r="D70" s="535"/>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35" t="str">
        <f>IF('As-Filed Schedule 2J'!B71:D71=0,"",'As-Filed Schedule 2J'!B71:D71)</f>
        <v/>
      </c>
      <c r="C71" s="535"/>
      <c r="D71" s="535"/>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35" t="str">
        <f>IF('As-Filed Schedule 2J'!B72:D72=0,"",'As-Filed Schedule 2J'!B72:D72)</f>
        <v/>
      </c>
      <c r="C72" s="535"/>
      <c r="D72" s="535"/>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844</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827</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2K'!B15:D15=0,"",'As-Filed Schedule 2K'!B15:D15)</f>
        <v/>
      </c>
      <c r="C15" s="535"/>
      <c r="D15" s="535"/>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35" t="str">
        <f>IF('As-Filed Schedule 2K'!B16:D16=0,"",'As-Filed Schedule 2K'!B16:D16)</f>
        <v/>
      </c>
      <c r="C16" s="535"/>
      <c r="D16" s="535"/>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35" t="str">
        <f>IF('As-Filed Schedule 2K'!B17:D17=0,"",'As-Filed Schedule 2K'!B17:D17)</f>
        <v/>
      </c>
      <c r="C17" s="535"/>
      <c r="D17" s="535"/>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35" t="str">
        <f>IF('As-Filed Schedule 2K'!B18:D18=0,"",'As-Filed Schedule 2K'!B18:D18)</f>
        <v/>
      </c>
      <c r="C18" s="535"/>
      <c r="D18" s="535"/>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35" t="str">
        <f>IF('As-Filed Schedule 2K'!B19:D19=0,"",'As-Filed Schedule 2K'!B19:D19)</f>
        <v/>
      </c>
      <c r="C19" s="535"/>
      <c r="D19" s="535"/>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35" t="str">
        <f>IF('As-Filed Schedule 2K'!B20:D20=0,"",'As-Filed Schedule 2K'!B20:D20)</f>
        <v/>
      </c>
      <c r="C20" s="535"/>
      <c r="D20" s="535"/>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35" t="str">
        <f>IF('As-Filed Schedule 2K'!B21:D21=0,"",'As-Filed Schedule 2K'!B21:D21)</f>
        <v/>
      </c>
      <c r="C21" s="535"/>
      <c r="D21" s="535"/>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35" t="str">
        <f>IF('As-Filed Schedule 2K'!B22:D22=0,"",'As-Filed Schedule 2K'!B22:D22)</f>
        <v/>
      </c>
      <c r="C22" s="535"/>
      <c r="D22" s="535"/>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35" t="str">
        <f>IF('As-Filed Schedule 2K'!B23:D23=0,"",'As-Filed Schedule 2K'!B23:D23)</f>
        <v/>
      </c>
      <c r="C23" s="535"/>
      <c r="D23" s="535"/>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35" t="str">
        <f>IF('As-Filed Schedule 2K'!B24:D24=0,"",'As-Filed Schedule 2K'!B24:D24)</f>
        <v/>
      </c>
      <c r="C24" s="535"/>
      <c r="D24" s="535"/>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35" t="str">
        <f>IF('As-Filed Schedule 2K'!B25:D25=0,"",'As-Filed Schedule 2K'!B25:D25)</f>
        <v/>
      </c>
      <c r="C25" s="535"/>
      <c r="D25" s="535"/>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35" t="str">
        <f>IF('As-Filed Schedule 2K'!B26:D26=0,"",'As-Filed Schedule 2K'!B26:D26)</f>
        <v/>
      </c>
      <c r="C26" s="535"/>
      <c r="D26" s="535"/>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35" t="str">
        <f>IF('As-Filed Schedule 2K'!B27:D27=0,"",'As-Filed Schedule 2K'!B27:D27)</f>
        <v/>
      </c>
      <c r="C27" s="535"/>
      <c r="D27" s="535"/>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35" t="str">
        <f>IF('As-Filed Schedule 2K'!B28:D28=0,"",'As-Filed Schedule 2K'!B28:D28)</f>
        <v/>
      </c>
      <c r="C28" s="535"/>
      <c r="D28" s="535"/>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35" t="str">
        <f>IF('As-Filed Schedule 2K'!B29:D29=0,"",'As-Filed Schedule 2K'!B29:D29)</f>
        <v/>
      </c>
      <c r="C29" s="535"/>
      <c r="D29" s="535"/>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35" t="str">
        <f>IF('As-Filed Schedule 2K'!B30:D30=0,"",'As-Filed Schedule 2K'!B30:D30)</f>
        <v/>
      </c>
      <c r="C30" s="535"/>
      <c r="D30" s="535"/>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35" t="str">
        <f>IF('As-Filed Schedule 2K'!B31:D31=0,"",'As-Filed Schedule 2K'!B31:D31)</f>
        <v/>
      </c>
      <c r="C31" s="535"/>
      <c r="D31" s="535"/>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35" t="str">
        <f>IF('As-Filed Schedule 2K'!B32:D32=0,"",'As-Filed Schedule 2K'!B32:D32)</f>
        <v/>
      </c>
      <c r="C32" s="535"/>
      <c r="D32" s="535"/>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35" t="str">
        <f>IF('As-Filed Schedule 2K'!B33:D33=0,"",'As-Filed Schedule 2K'!B33:D33)</f>
        <v/>
      </c>
      <c r="C33" s="535"/>
      <c r="D33" s="535"/>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35" t="str">
        <f>IF('As-Filed Schedule 2K'!B34:D34=0,"",'As-Filed Schedule 2K'!B34:D34)</f>
        <v/>
      </c>
      <c r="C34" s="535"/>
      <c r="D34" s="535"/>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35" t="str">
        <f>IF('As-Filed Schedule 2K'!B35:D35=0,"",'As-Filed Schedule 2K'!B35:D35)</f>
        <v/>
      </c>
      <c r="C35" s="535"/>
      <c r="D35" s="535"/>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35" t="str">
        <f>IF('As-Filed Schedule 2K'!B36:D36=0,"",'As-Filed Schedule 2K'!B36:D36)</f>
        <v/>
      </c>
      <c r="C36" s="535"/>
      <c r="D36" s="535"/>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35" t="str">
        <f>IF('As-Filed Schedule 2K'!B37:D37=0,"",'As-Filed Schedule 2K'!B37:D37)</f>
        <v/>
      </c>
      <c r="C37" s="535"/>
      <c r="D37" s="535"/>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35" t="str">
        <f>IF('As-Filed Schedule 2K'!B38:D38=0,"",'As-Filed Schedule 2K'!B38:D38)</f>
        <v/>
      </c>
      <c r="C38" s="535"/>
      <c r="D38" s="535"/>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35" t="str">
        <f>IF('As-Filed Schedule 2K'!B39:D39=0,"",'As-Filed Schedule 2K'!B39:D39)</f>
        <v/>
      </c>
      <c r="C39" s="535"/>
      <c r="D39" s="535"/>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35" t="str">
        <f>IF('As-Filed Schedule 2K'!B40:D40=0,"",'As-Filed Schedule 2K'!B40:D40)</f>
        <v/>
      </c>
      <c r="C40" s="535"/>
      <c r="D40" s="535"/>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35" t="str">
        <f>IF('As-Filed Schedule 2K'!B41:D41=0,"",'As-Filed Schedule 2K'!B41:D41)</f>
        <v/>
      </c>
      <c r="C41" s="535"/>
      <c r="D41" s="535"/>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35" t="str">
        <f>IF('As-Filed Schedule 2K'!B42:D42=0,"",'As-Filed Schedule 2K'!B42:D42)</f>
        <v/>
      </c>
      <c r="C42" s="535"/>
      <c r="D42" s="535"/>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35" t="str">
        <f>IF('As-Filed Schedule 2K'!B43:D43=0,"",'As-Filed Schedule 2K'!B43:D43)</f>
        <v/>
      </c>
      <c r="C43" s="535"/>
      <c r="D43" s="535"/>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35" t="str">
        <f>IF('As-Filed Schedule 2K'!B44:D44=0,"",'As-Filed Schedule 2K'!B44:D44)</f>
        <v/>
      </c>
      <c r="C44" s="535"/>
      <c r="D44" s="535"/>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35" t="str">
        <f>IF('As-Filed Schedule 2K'!B45:D45=0,"",'As-Filed Schedule 2K'!B45:D45)</f>
        <v/>
      </c>
      <c r="C45" s="535"/>
      <c r="D45" s="535"/>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35" t="str">
        <f>IF('As-Filed Schedule 2K'!B46:D46=0,"",'As-Filed Schedule 2K'!B46:D46)</f>
        <v/>
      </c>
      <c r="C46" s="535"/>
      <c r="D46" s="535"/>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35" t="str">
        <f>IF('As-Filed Schedule 2K'!B47:D47=0,"",'As-Filed Schedule 2K'!B47:D47)</f>
        <v/>
      </c>
      <c r="C47" s="535"/>
      <c r="D47" s="535"/>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35" t="str">
        <f>IF('As-Filed Schedule 2K'!B48:D48=0,"",'As-Filed Schedule 2K'!B48:D48)</f>
        <v/>
      </c>
      <c r="C48" s="535"/>
      <c r="D48" s="535"/>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35" t="str">
        <f>IF('As-Filed Schedule 2K'!B49:D49=0,"",'As-Filed Schedule 2K'!B49:D49)</f>
        <v/>
      </c>
      <c r="C49" s="535"/>
      <c r="D49" s="535"/>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35" t="str">
        <f>IF('As-Filed Schedule 2K'!B50:D50=0,"",'As-Filed Schedule 2K'!B50:D50)</f>
        <v/>
      </c>
      <c r="C50" s="535"/>
      <c r="D50" s="535"/>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35" t="str">
        <f>IF('As-Filed Schedule 2K'!B51:D51=0,"",'As-Filed Schedule 2K'!B51:D51)</f>
        <v/>
      </c>
      <c r="C51" s="535"/>
      <c r="D51" s="535"/>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35" t="str">
        <f>IF('As-Filed Schedule 2K'!B52:D52=0,"",'As-Filed Schedule 2K'!B52:D52)</f>
        <v/>
      </c>
      <c r="C52" s="535"/>
      <c r="D52" s="535"/>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35" t="str">
        <f>IF('As-Filed Schedule 2K'!B53:D53=0,"",'As-Filed Schedule 2K'!B53:D53)</f>
        <v/>
      </c>
      <c r="C53" s="535"/>
      <c r="D53" s="535"/>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35" t="str">
        <f>IF('As-Filed Schedule 2K'!B54:D54=0,"",'As-Filed Schedule 2K'!B54:D54)</f>
        <v/>
      </c>
      <c r="C54" s="535"/>
      <c r="D54" s="535"/>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35" t="str">
        <f>IF('As-Filed Schedule 2K'!B55:D55=0,"",'As-Filed Schedule 2K'!B55:D55)</f>
        <v/>
      </c>
      <c r="C55" s="535"/>
      <c r="D55" s="535"/>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35" t="str">
        <f>IF('As-Filed Schedule 2K'!B56:D56=0,"",'As-Filed Schedule 2K'!B56:D56)</f>
        <v/>
      </c>
      <c r="C56" s="535"/>
      <c r="D56" s="535"/>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35" t="str">
        <f>IF('As-Filed Schedule 2K'!B57:D57=0,"",'As-Filed Schedule 2K'!B57:D57)</f>
        <v/>
      </c>
      <c r="C57" s="535"/>
      <c r="D57" s="535"/>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35" t="str">
        <f>IF('As-Filed Schedule 2K'!B58:D58=0,"",'As-Filed Schedule 2K'!B58:D58)</f>
        <v/>
      </c>
      <c r="C58" s="535"/>
      <c r="D58" s="535"/>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35" t="str">
        <f>IF('As-Filed Schedule 2K'!B59:D59=0,"",'As-Filed Schedule 2K'!B59:D59)</f>
        <v/>
      </c>
      <c r="C59" s="535"/>
      <c r="D59" s="535"/>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35" t="str">
        <f>IF('As-Filed Schedule 2K'!B60:D60=0,"",'As-Filed Schedule 2K'!B60:D60)</f>
        <v/>
      </c>
      <c r="C60" s="535"/>
      <c r="D60" s="535"/>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35" t="str">
        <f>IF('As-Filed Schedule 2K'!B61:D61=0,"",'As-Filed Schedule 2K'!B61:D61)</f>
        <v/>
      </c>
      <c r="C61" s="535"/>
      <c r="D61" s="535"/>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35" t="str">
        <f>IF('As-Filed Schedule 2K'!B62:D62=0,"",'As-Filed Schedule 2K'!B62:D62)</f>
        <v/>
      </c>
      <c r="C62" s="535"/>
      <c r="D62" s="535"/>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35" t="str">
        <f>IF('As-Filed Schedule 2K'!B63:D63=0,"",'As-Filed Schedule 2K'!B63:D63)</f>
        <v/>
      </c>
      <c r="C63" s="535"/>
      <c r="D63" s="535"/>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35" t="str">
        <f>IF('As-Filed Schedule 2K'!B64:D64=0,"",'As-Filed Schedule 2K'!B64:D64)</f>
        <v/>
      </c>
      <c r="C64" s="535"/>
      <c r="D64" s="535"/>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35" t="str">
        <f>IF('As-Filed Schedule 2K'!B65:D65=0,"",'As-Filed Schedule 2K'!B65:D65)</f>
        <v/>
      </c>
      <c r="C65" s="535"/>
      <c r="D65" s="535"/>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35" t="str">
        <f>IF('As-Filed Schedule 2K'!B66:D66=0,"",'As-Filed Schedule 2K'!B66:D66)</f>
        <v/>
      </c>
      <c r="C66" s="535"/>
      <c r="D66" s="535"/>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35" t="str">
        <f>IF('As-Filed Schedule 2K'!B67:D67=0,"",'As-Filed Schedule 2K'!B67:D67)</f>
        <v/>
      </c>
      <c r="C67" s="535"/>
      <c r="D67" s="535"/>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35" t="str">
        <f>IF('As-Filed Schedule 2K'!B68:D68=0,"",'As-Filed Schedule 2K'!B68:D68)</f>
        <v/>
      </c>
      <c r="C68" s="535"/>
      <c r="D68" s="535"/>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35" t="str">
        <f>IF('As-Filed Schedule 2K'!B69:D69=0,"",'As-Filed Schedule 2K'!B69:D69)</f>
        <v/>
      </c>
      <c r="C69" s="535"/>
      <c r="D69" s="535"/>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35" t="str">
        <f>IF('As-Filed Schedule 2K'!B70:D70=0,"",'As-Filed Schedule 2K'!B70:D70)</f>
        <v/>
      </c>
      <c r="C70" s="535"/>
      <c r="D70" s="535"/>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35" t="str">
        <f>IF('As-Filed Schedule 2K'!B71:D71=0,"",'As-Filed Schedule 2K'!B71:D71)</f>
        <v/>
      </c>
      <c r="C71" s="535"/>
      <c r="D71" s="535"/>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35" t="str">
        <f>IF('As-Filed Schedule 2K'!B72:D72=0,"",'As-Filed Schedule 2K'!B72:D72)</f>
        <v/>
      </c>
      <c r="C72" s="535"/>
      <c r="D72" s="535"/>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845</v>
      </c>
      <c r="B3" s="515"/>
      <c r="C3" s="515"/>
      <c r="D3" s="515"/>
      <c r="E3" s="515"/>
      <c r="F3" s="515"/>
      <c r="G3" s="515"/>
      <c r="H3" s="515"/>
      <c r="I3" s="515"/>
      <c r="J3" s="515"/>
      <c r="K3" s="515"/>
      <c r="L3" s="322"/>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830</v>
      </c>
      <c r="C8" s="1"/>
      <c r="F8" s="471" t="s">
        <v>952</v>
      </c>
      <c r="G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2L'!B15:D15=0,"",'As-Filed Schedule 2L'!B15:D15)</f>
        <v/>
      </c>
      <c r="C15" s="535"/>
      <c r="D15" s="535"/>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35" t="str">
        <f>IF('As-Filed Schedule 2L'!B16:D16=0,"",'As-Filed Schedule 2L'!B16:D16)</f>
        <v/>
      </c>
      <c r="C16" s="535"/>
      <c r="D16" s="535"/>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35" t="str">
        <f>IF('As-Filed Schedule 2L'!B17:D17=0,"",'As-Filed Schedule 2L'!B17:D17)</f>
        <v/>
      </c>
      <c r="C17" s="535"/>
      <c r="D17" s="535"/>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35" t="str">
        <f>IF('As-Filed Schedule 2L'!B18:D18=0,"",'As-Filed Schedule 2L'!B18:D18)</f>
        <v/>
      </c>
      <c r="C18" s="535"/>
      <c r="D18" s="535"/>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35" t="str">
        <f>IF('As-Filed Schedule 2L'!B19:D19=0,"",'As-Filed Schedule 2L'!B19:D19)</f>
        <v/>
      </c>
      <c r="C19" s="535"/>
      <c r="D19" s="535"/>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35" t="str">
        <f>IF('As-Filed Schedule 2L'!B20:D20=0,"",'As-Filed Schedule 2L'!B20:D20)</f>
        <v/>
      </c>
      <c r="C20" s="535"/>
      <c r="D20" s="535"/>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35" t="str">
        <f>IF('As-Filed Schedule 2L'!B21:D21=0,"",'As-Filed Schedule 2L'!B21:D21)</f>
        <v/>
      </c>
      <c r="C21" s="535"/>
      <c r="D21" s="535"/>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35" t="str">
        <f>IF('As-Filed Schedule 2L'!B22:D22=0,"",'As-Filed Schedule 2L'!B22:D22)</f>
        <v/>
      </c>
      <c r="C22" s="535"/>
      <c r="D22" s="535"/>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35" t="str">
        <f>IF('As-Filed Schedule 2L'!B23:D23=0,"",'As-Filed Schedule 2L'!B23:D23)</f>
        <v/>
      </c>
      <c r="C23" s="535"/>
      <c r="D23" s="535"/>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35" t="str">
        <f>IF('As-Filed Schedule 2L'!B24:D24=0,"",'As-Filed Schedule 2L'!B24:D24)</f>
        <v/>
      </c>
      <c r="C24" s="535"/>
      <c r="D24" s="535"/>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35" t="str">
        <f>IF('As-Filed Schedule 2L'!B25:D25=0,"",'As-Filed Schedule 2L'!B25:D25)</f>
        <v/>
      </c>
      <c r="C25" s="535"/>
      <c r="D25" s="535"/>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35" t="str">
        <f>IF('As-Filed Schedule 2L'!B26:D26=0,"",'As-Filed Schedule 2L'!B26:D26)</f>
        <v/>
      </c>
      <c r="C26" s="535"/>
      <c r="D26" s="535"/>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35" t="str">
        <f>IF('As-Filed Schedule 2L'!B27:D27=0,"",'As-Filed Schedule 2L'!B27:D27)</f>
        <v/>
      </c>
      <c r="C27" s="535"/>
      <c r="D27" s="535"/>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35" t="str">
        <f>IF('As-Filed Schedule 2L'!B28:D28=0,"",'As-Filed Schedule 2L'!B28:D28)</f>
        <v/>
      </c>
      <c r="C28" s="535"/>
      <c r="D28" s="535"/>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35" t="str">
        <f>IF('As-Filed Schedule 2L'!B29:D29=0,"",'As-Filed Schedule 2L'!B29:D29)</f>
        <v/>
      </c>
      <c r="C29" s="535"/>
      <c r="D29" s="535"/>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35" t="str">
        <f>IF('As-Filed Schedule 2L'!B30:D30=0,"",'As-Filed Schedule 2L'!B30:D30)</f>
        <v/>
      </c>
      <c r="C30" s="535"/>
      <c r="D30" s="535"/>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35" t="str">
        <f>IF('As-Filed Schedule 2L'!B31:D31=0,"",'As-Filed Schedule 2L'!B31:D31)</f>
        <v/>
      </c>
      <c r="C31" s="535"/>
      <c r="D31" s="535"/>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35" t="str">
        <f>IF('As-Filed Schedule 2L'!B32:D32=0,"",'As-Filed Schedule 2L'!B32:D32)</f>
        <v/>
      </c>
      <c r="C32" s="535"/>
      <c r="D32" s="535"/>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35" t="str">
        <f>IF('As-Filed Schedule 2L'!B33:D33=0,"",'As-Filed Schedule 2L'!B33:D33)</f>
        <v/>
      </c>
      <c r="C33" s="535"/>
      <c r="D33" s="535"/>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35" t="str">
        <f>IF('As-Filed Schedule 2L'!B34:D34=0,"",'As-Filed Schedule 2L'!B34:D34)</f>
        <v/>
      </c>
      <c r="C34" s="535"/>
      <c r="D34" s="535"/>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35" t="str">
        <f>IF('As-Filed Schedule 2L'!B35:D35=0,"",'As-Filed Schedule 2L'!B35:D35)</f>
        <v/>
      </c>
      <c r="C35" s="535"/>
      <c r="D35" s="535"/>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35" t="str">
        <f>IF('As-Filed Schedule 2L'!B36:D36=0,"",'As-Filed Schedule 2L'!B36:D36)</f>
        <v/>
      </c>
      <c r="C36" s="535"/>
      <c r="D36" s="535"/>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35" t="str">
        <f>IF('As-Filed Schedule 2L'!B37:D37=0,"",'As-Filed Schedule 2L'!B37:D37)</f>
        <v/>
      </c>
      <c r="C37" s="535"/>
      <c r="D37" s="535"/>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35" t="str">
        <f>IF('As-Filed Schedule 2L'!B38:D38=0,"",'As-Filed Schedule 2L'!B38:D38)</f>
        <v/>
      </c>
      <c r="C38" s="535"/>
      <c r="D38" s="535"/>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35" t="str">
        <f>IF('As-Filed Schedule 2L'!B39:D39=0,"",'As-Filed Schedule 2L'!B39:D39)</f>
        <v/>
      </c>
      <c r="C39" s="535"/>
      <c r="D39" s="535"/>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35" t="str">
        <f>IF('As-Filed Schedule 2L'!B40:D40=0,"",'As-Filed Schedule 2L'!B40:D40)</f>
        <v/>
      </c>
      <c r="C40" s="535"/>
      <c r="D40" s="535"/>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35" t="str">
        <f>IF('As-Filed Schedule 2L'!B41:D41=0,"",'As-Filed Schedule 2L'!B41:D41)</f>
        <v/>
      </c>
      <c r="C41" s="535"/>
      <c r="D41" s="535"/>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35" t="str">
        <f>IF('As-Filed Schedule 2L'!B42:D42=0,"",'As-Filed Schedule 2L'!B42:D42)</f>
        <v/>
      </c>
      <c r="C42" s="535"/>
      <c r="D42" s="535"/>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35" t="str">
        <f>IF('As-Filed Schedule 2L'!B43:D43=0,"",'As-Filed Schedule 2L'!B43:D43)</f>
        <v/>
      </c>
      <c r="C43" s="535"/>
      <c r="D43" s="535"/>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35" t="str">
        <f>IF('As-Filed Schedule 2L'!B44:D44=0,"",'As-Filed Schedule 2L'!B44:D44)</f>
        <v/>
      </c>
      <c r="C44" s="535"/>
      <c r="D44" s="535"/>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35" t="str">
        <f>IF('As-Filed Schedule 2L'!B45:D45=0,"",'As-Filed Schedule 2L'!B45:D45)</f>
        <v/>
      </c>
      <c r="C45" s="535"/>
      <c r="D45" s="535"/>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35" t="str">
        <f>IF('As-Filed Schedule 2L'!B46:D46=0,"",'As-Filed Schedule 2L'!B46:D46)</f>
        <v/>
      </c>
      <c r="C46" s="535"/>
      <c r="D46" s="535"/>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35" t="str">
        <f>IF('As-Filed Schedule 2L'!B47:D47=0,"",'As-Filed Schedule 2L'!B47:D47)</f>
        <v/>
      </c>
      <c r="C47" s="535"/>
      <c r="D47" s="535"/>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35" t="str">
        <f>IF('As-Filed Schedule 2L'!B48:D48=0,"",'As-Filed Schedule 2L'!B48:D48)</f>
        <v/>
      </c>
      <c r="C48" s="535"/>
      <c r="D48" s="535"/>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35" t="str">
        <f>IF('As-Filed Schedule 2L'!B49:D49=0,"",'As-Filed Schedule 2L'!B49:D49)</f>
        <v/>
      </c>
      <c r="C49" s="535"/>
      <c r="D49" s="535"/>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35" t="str">
        <f>IF('As-Filed Schedule 2L'!B50:D50=0,"",'As-Filed Schedule 2L'!B50:D50)</f>
        <v/>
      </c>
      <c r="C50" s="535"/>
      <c r="D50" s="535"/>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35" t="str">
        <f>IF('As-Filed Schedule 2L'!B51:D51=0,"",'As-Filed Schedule 2L'!B51:D51)</f>
        <v/>
      </c>
      <c r="C51" s="535"/>
      <c r="D51" s="535"/>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35" t="str">
        <f>IF('As-Filed Schedule 2L'!B52:D52=0,"",'As-Filed Schedule 2L'!B52:D52)</f>
        <v/>
      </c>
      <c r="C52" s="535"/>
      <c r="D52" s="535"/>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35" t="str">
        <f>IF('As-Filed Schedule 2L'!B53:D53=0,"",'As-Filed Schedule 2L'!B53:D53)</f>
        <v/>
      </c>
      <c r="C53" s="535"/>
      <c r="D53" s="535"/>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35" t="str">
        <f>IF('As-Filed Schedule 2L'!B54:D54=0,"",'As-Filed Schedule 2L'!B54:D54)</f>
        <v/>
      </c>
      <c r="C54" s="535"/>
      <c r="D54" s="535"/>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35" t="str">
        <f>IF('As-Filed Schedule 2L'!B55:D55=0,"",'As-Filed Schedule 2L'!B55:D55)</f>
        <v/>
      </c>
      <c r="C55" s="535"/>
      <c r="D55" s="535"/>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35" t="str">
        <f>IF('As-Filed Schedule 2L'!B56:D56=0,"",'As-Filed Schedule 2L'!B56:D56)</f>
        <v/>
      </c>
      <c r="C56" s="535"/>
      <c r="D56" s="535"/>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35" t="str">
        <f>IF('As-Filed Schedule 2L'!B57:D57=0,"",'As-Filed Schedule 2L'!B57:D57)</f>
        <v/>
      </c>
      <c r="C57" s="535"/>
      <c r="D57" s="535"/>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35" t="str">
        <f>IF('As-Filed Schedule 2L'!B58:D58=0,"",'As-Filed Schedule 2L'!B58:D58)</f>
        <v/>
      </c>
      <c r="C58" s="535"/>
      <c r="D58" s="535"/>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35" t="str">
        <f>IF('As-Filed Schedule 2L'!B59:D59=0,"",'As-Filed Schedule 2L'!B59:D59)</f>
        <v/>
      </c>
      <c r="C59" s="535"/>
      <c r="D59" s="535"/>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35" t="str">
        <f>IF('As-Filed Schedule 2L'!B60:D60=0,"",'As-Filed Schedule 2L'!B60:D60)</f>
        <v/>
      </c>
      <c r="C60" s="535"/>
      <c r="D60" s="535"/>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35" t="str">
        <f>IF('As-Filed Schedule 2L'!B61:D61=0,"",'As-Filed Schedule 2L'!B61:D61)</f>
        <v/>
      </c>
      <c r="C61" s="535"/>
      <c r="D61" s="535"/>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35" t="str">
        <f>IF('As-Filed Schedule 2L'!B62:D62=0,"",'As-Filed Schedule 2L'!B62:D62)</f>
        <v/>
      </c>
      <c r="C62" s="535"/>
      <c r="D62" s="535"/>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35" t="str">
        <f>IF('As-Filed Schedule 2L'!B63:D63=0,"",'As-Filed Schedule 2L'!B63:D63)</f>
        <v/>
      </c>
      <c r="C63" s="535"/>
      <c r="D63" s="535"/>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35" t="str">
        <f>IF('As-Filed Schedule 2L'!B64:D64=0,"",'As-Filed Schedule 2L'!B64:D64)</f>
        <v/>
      </c>
      <c r="C64" s="535"/>
      <c r="D64" s="535"/>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35" t="str">
        <f>IF('As-Filed Schedule 2L'!B65:D65=0,"",'As-Filed Schedule 2L'!B65:D65)</f>
        <v/>
      </c>
      <c r="C65" s="535"/>
      <c r="D65" s="535"/>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35" t="str">
        <f>IF('As-Filed Schedule 2L'!B66:D66=0,"",'As-Filed Schedule 2L'!B66:D66)</f>
        <v/>
      </c>
      <c r="C66" s="535"/>
      <c r="D66" s="535"/>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35" t="str">
        <f>IF('As-Filed Schedule 2L'!B67:D67=0,"",'As-Filed Schedule 2L'!B67:D67)</f>
        <v/>
      </c>
      <c r="C67" s="535"/>
      <c r="D67" s="535"/>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35" t="str">
        <f>IF('As-Filed Schedule 2L'!B68:D68=0,"",'As-Filed Schedule 2L'!B68:D68)</f>
        <v/>
      </c>
      <c r="C68" s="535"/>
      <c r="D68" s="535"/>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35" t="str">
        <f>IF('As-Filed Schedule 2L'!B69:D69=0,"",'As-Filed Schedule 2L'!B69:D69)</f>
        <v/>
      </c>
      <c r="C69" s="535"/>
      <c r="D69" s="535"/>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35" t="str">
        <f>IF('As-Filed Schedule 2L'!B70:D70=0,"",'As-Filed Schedule 2L'!B70:D70)</f>
        <v/>
      </c>
      <c r="C70" s="535"/>
      <c r="D70" s="535"/>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35" t="str">
        <f>IF('As-Filed Schedule 2L'!B71:D71=0,"",'As-Filed Schedule 2L'!B71:D71)</f>
        <v/>
      </c>
      <c r="C71" s="535"/>
      <c r="D71" s="535"/>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35" t="str">
        <f>IF('As-Filed Schedule 2L'!B72:D72=0,"",'As-Filed Schedule 2L'!B72:D72)</f>
        <v/>
      </c>
      <c r="C72" s="535"/>
      <c r="D72" s="535"/>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election activeCell="I8" sqref="I8"/>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5" t="s">
        <v>846</v>
      </c>
      <c r="B3" s="515"/>
      <c r="C3" s="515"/>
      <c r="D3" s="515"/>
      <c r="E3" s="515"/>
      <c r="F3" s="515"/>
      <c r="G3" s="515"/>
      <c r="H3" s="515"/>
      <c r="I3" s="515"/>
      <c r="J3" s="515"/>
      <c r="K3" s="515"/>
      <c r="L3" s="322"/>
    </row>
    <row r="4" spans="1:27" ht="21" customHeight="1" x14ac:dyDescent="0.5">
      <c r="A4" s="242" t="s">
        <v>833</v>
      </c>
    </row>
    <row r="5" spans="1:27" x14ac:dyDescent="0.35">
      <c r="A5" s="1" t="s">
        <v>772</v>
      </c>
      <c r="C5" s="421" t="str">
        <f>Results!$C$6</f>
        <v>SummitStone Health Partners</v>
      </c>
    </row>
    <row r="6" spans="1:27" x14ac:dyDescent="0.35">
      <c r="A6" s="1" t="s">
        <v>0</v>
      </c>
      <c r="C6" s="35">
        <f>Results!$C$7</f>
        <v>45473</v>
      </c>
      <c r="F6" s="35"/>
      <c r="G6" s="320"/>
      <c r="H6" s="60"/>
    </row>
    <row r="8" spans="1:27" x14ac:dyDescent="0.35">
      <c r="A8" s="1" t="s">
        <v>253</v>
      </c>
      <c r="B8" s="1" t="s">
        <v>834</v>
      </c>
      <c r="C8" s="1"/>
      <c r="I8" s="471" t="s">
        <v>952</v>
      </c>
      <c r="J8" s="41" t="s">
        <v>259</v>
      </c>
    </row>
    <row r="10" spans="1:27" x14ac:dyDescent="0.35">
      <c r="A10" s="1" t="s">
        <v>254</v>
      </c>
      <c r="B10" s="1" t="s">
        <v>256</v>
      </c>
      <c r="C10" s="1"/>
    </row>
    <row r="12" spans="1:27" x14ac:dyDescent="0.35">
      <c r="B12" s="530">
        <v>1</v>
      </c>
      <c r="C12" s="530"/>
      <c r="D12" s="530"/>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615</v>
      </c>
      <c r="X12" s="257" t="s">
        <v>628</v>
      </c>
      <c r="Y12" s="23">
        <v>9</v>
      </c>
      <c r="Z12" s="256" t="s">
        <v>617</v>
      </c>
      <c r="AA12" s="257" t="s">
        <v>618</v>
      </c>
    </row>
    <row r="13" spans="1:27" ht="15" customHeight="1" x14ac:dyDescent="0.35">
      <c r="B13" s="531" t="s">
        <v>255</v>
      </c>
      <c r="C13" s="531"/>
      <c r="D13" s="531"/>
      <c r="F13" s="533" t="s">
        <v>261</v>
      </c>
      <c r="G13" s="538"/>
      <c r="H13" s="538"/>
      <c r="I13" s="538"/>
      <c r="J13" s="538"/>
      <c r="K13" s="538"/>
      <c r="L13" s="534"/>
      <c r="N13" s="533" t="s">
        <v>262</v>
      </c>
      <c r="O13" s="538"/>
      <c r="P13" s="538"/>
      <c r="Q13" s="538"/>
      <c r="R13" s="538"/>
      <c r="S13" s="538"/>
      <c r="T13" s="534"/>
      <c r="V13" s="532" t="s">
        <v>250</v>
      </c>
      <c r="W13" s="589" t="s">
        <v>619</v>
      </c>
      <c r="X13" s="590" t="s">
        <v>620</v>
      </c>
      <c r="Y13" s="532" t="s">
        <v>312</v>
      </c>
      <c r="Z13" s="589" t="s">
        <v>629</v>
      </c>
      <c r="AA13" s="590" t="s">
        <v>630</v>
      </c>
    </row>
    <row r="14" spans="1:27" ht="55.5" customHeight="1" x14ac:dyDescent="0.35">
      <c r="B14" s="531"/>
      <c r="C14" s="531"/>
      <c r="D14" s="531"/>
      <c r="E14" s="48"/>
      <c r="F14" s="10" t="s">
        <v>214</v>
      </c>
      <c r="G14" s="258" t="s">
        <v>608</v>
      </c>
      <c r="H14" s="259" t="s">
        <v>609</v>
      </c>
      <c r="I14" s="151" t="s">
        <v>491</v>
      </c>
      <c r="J14" s="259" t="s">
        <v>612</v>
      </c>
      <c r="K14" s="151" t="s">
        <v>215</v>
      </c>
      <c r="L14" s="259" t="s">
        <v>614</v>
      </c>
      <c r="M14" s="48"/>
      <c r="N14" s="151" t="s">
        <v>214</v>
      </c>
      <c r="O14" s="258" t="s">
        <v>608</v>
      </c>
      <c r="P14" s="259" t="s">
        <v>609</v>
      </c>
      <c r="Q14" s="151" t="s">
        <v>491</v>
      </c>
      <c r="R14" s="259" t="s">
        <v>612</v>
      </c>
      <c r="S14" s="10" t="s">
        <v>215</v>
      </c>
      <c r="T14" s="259" t="s">
        <v>614</v>
      </c>
      <c r="U14" s="48"/>
      <c r="V14" s="532"/>
      <c r="W14" s="589"/>
      <c r="X14" s="590"/>
      <c r="Y14" s="532"/>
      <c r="Z14" s="589"/>
      <c r="AA14" s="590"/>
    </row>
    <row r="15" spans="1:27" x14ac:dyDescent="0.35">
      <c r="A15" s="24">
        <v>1</v>
      </c>
      <c r="B15" s="535" t="str">
        <f>IF('As-Filed Schedule 2M'!B15:D15=0,"",'As-Filed Schedule 2M'!B15:D15)</f>
        <v/>
      </c>
      <c r="C15" s="535"/>
      <c r="D15" s="535"/>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35" t="str">
        <f>IF('As-Filed Schedule 2M'!B16:D16=0,"",'As-Filed Schedule 2M'!B16:D16)</f>
        <v/>
      </c>
      <c r="C16" s="535"/>
      <c r="D16" s="535"/>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35" t="str">
        <f>IF('As-Filed Schedule 2M'!B17:D17=0,"",'As-Filed Schedule 2M'!B17:D17)</f>
        <v/>
      </c>
      <c r="C17" s="535"/>
      <c r="D17" s="535"/>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35" t="str">
        <f>IF('As-Filed Schedule 2M'!B18:D18=0,"",'As-Filed Schedule 2M'!B18:D18)</f>
        <v/>
      </c>
      <c r="C18" s="535"/>
      <c r="D18" s="535"/>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35" t="str">
        <f>IF('As-Filed Schedule 2M'!B19:D19=0,"",'As-Filed Schedule 2M'!B19:D19)</f>
        <v/>
      </c>
      <c r="C19" s="535"/>
      <c r="D19" s="535"/>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35" t="str">
        <f>IF('As-Filed Schedule 2M'!B20:D20=0,"",'As-Filed Schedule 2M'!B20:D20)</f>
        <v/>
      </c>
      <c r="C20" s="535"/>
      <c r="D20" s="535"/>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35" t="str">
        <f>IF('As-Filed Schedule 2M'!B21:D21=0,"",'As-Filed Schedule 2M'!B21:D21)</f>
        <v/>
      </c>
      <c r="C21" s="535"/>
      <c r="D21" s="535"/>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35" t="str">
        <f>IF('As-Filed Schedule 2M'!B22:D22=0,"",'As-Filed Schedule 2M'!B22:D22)</f>
        <v/>
      </c>
      <c r="C22" s="535"/>
      <c r="D22" s="535"/>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35" t="str">
        <f>IF('As-Filed Schedule 2M'!B23:D23=0,"",'As-Filed Schedule 2M'!B23:D23)</f>
        <v/>
      </c>
      <c r="C23" s="535"/>
      <c r="D23" s="535"/>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35" t="str">
        <f>IF('As-Filed Schedule 2M'!B24:D24=0,"",'As-Filed Schedule 2M'!B24:D24)</f>
        <v/>
      </c>
      <c r="C24" s="535"/>
      <c r="D24" s="535"/>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35" t="str">
        <f>IF('As-Filed Schedule 2M'!B25:D25=0,"",'As-Filed Schedule 2M'!B25:D25)</f>
        <v/>
      </c>
      <c r="C25" s="535"/>
      <c r="D25" s="535"/>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35" t="str">
        <f>IF('As-Filed Schedule 2M'!B26:D26=0,"",'As-Filed Schedule 2M'!B26:D26)</f>
        <v/>
      </c>
      <c r="C26" s="535"/>
      <c r="D26" s="535"/>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35" t="str">
        <f>IF('As-Filed Schedule 2M'!B27:D27=0,"",'As-Filed Schedule 2M'!B27:D27)</f>
        <v/>
      </c>
      <c r="C27" s="535"/>
      <c r="D27" s="535"/>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35" t="str">
        <f>IF('As-Filed Schedule 2M'!B28:D28=0,"",'As-Filed Schedule 2M'!B28:D28)</f>
        <v/>
      </c>
      <c r="C28" s="535"/>
      <c r="D28" s="535"/>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35" t="str">
        <f>IF('As-Filed Schedule 2M'!B29:D29=0,"",'As-Filed Schedule 2M'!B29:D29)</f>
        <v/>
      </c>
      <c r="C29" s="535"/>
      <c r="D29" s="535"/>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35" t="str">
        <f>IF('As-Filed Schedule 2M'!B30:D30=0,"",'As-Filed Schedule 2M'!B30:D30)</f>
        <v/>
      </c>
      <c r="C30" s="535"/>
      <c r="D30" s="535"/>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35" t="str">
        <f>IF('As-Filed Schedule 2M'!B31:D31=0,"",'As-Filed Schedule 2M'!B31:D31)</f>
        <v/>
      </c>
      <c r="C31" s="535"/>
      <c r="D31" s="535"/>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35" t="str">
        <f>IF('As-Filed Schedule 2M'!B32:D32=0,"",'As-Filed Schedule 2M'!B32:D32)</f>
        <v/>
      </c>
      <c r="C32" s="535"/>
      <c r="D32" s="535"/>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35" t="str">
        <f>IF('As-Filed Schedule 2M'!B33:D33=0,"",'As-Filed Schedule 2M'!B33:D33)</f>
        <v/>
      </c>
      <c r="C33" s="535"/>
      <c r="D33" s="535"/>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35" t="str">
        <f>IF('As-Filed Schedule 2M'!B34:D34=0,"",'As-Filed Schedule 2M'!B34:D34)</f>
        <v/>
      </c>
      <c r="C34" s="535"/>
      <c r="D34" s="535"/>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35" t="str">
        <f>IF('As-Filed Schedule 2M'!B35:D35=0,"",'As-Filed Schedule 2M'!B35:D35)</f>
        <v/>
      </c>
      <c r="C35" s="535"/>
      <c r="D35" s="535"/>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35" t="str">
        <f>IF('As-Filed Schedule 2M'!B36:D36=0,"",'As-Filed Schedule 2M'!B36:D36)</f>
        <v/>
      </c>
      <c r="C36" s="535"/>
      <c r="D36" s="535"/>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35" t="str">
        <f>IF('As-Filed Schedule 2M'!B37:D37=0,"",'As-Filed Schedule 2M'!B37:D37)</f>
        <v/>
      </c>
      <c r="C37" s="535"/>
      <c r="D37" s="535"/>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35" t="str">
        <f>IF('As-Filed Schedule 2M'!B38:D38=0,"",'As-Filed Schedule 2M'!B38:D38)</f>
        <v/>
      </c>
      <c r="C38" s="535"/>
      <c r="D38" s="535"/>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35" t="str">
        <f>IF('As-Filed Schedule 2M'!B39:D39=0,"",'As-Filed Schedule 2M'!B39:D39)</f>
        <v/>
      </c>
      <c r="C39" s="535"/>
      <c r="D39" s="535"/>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35" t="str">
        <f>IF('As-Filed Schedule 2M'!B40:D40=0,"",'As-Filed Schedule 2M'!B40:D40)</f>
        <v/>
      </c>
      <c r="C40" s="535"/>
      <c r="D40" s="535"/>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35" t="str">
        <f>IF('As-Filed Schedule 2M'!B41:D41=0,"",'As-Filed Schedule 2M'!B41:D41)</f>
        <v/>
      </c>
      <c r="C41" s="535"/>
      <c r="D41" s="535"/>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35" t="str">
        <f>IF('As-Filed Schedule 2M'!B42:D42=0,"",'As-Filed Schedule 2M'!B42:D42)</f>
        <v/>
      </c>
      <c r="C42" s="535"/>
      <c r="D42" s="535"/>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35" t="str">
        <f>IF('As-Filed Schedule 2M'!B43:D43=0,"",'As-Filed Schedule 2M'!B43:D43)</f>
        <v/>
      </c>
      <c r="C43" s="535"/>
      <c r="D43" s="535"/>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35" t="str">
        <f>IF('As-Filed Schedule 2M'!B44:D44=0,"",'As-Filed Schedule 2M'!B44:D44)</f>
        <v/>
      </c>
      <c r="C44" s="535"/>
      <c r="D44" s="535"/>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35" t="str">
        <f>IF('As-Filed Schedule 2M'!B45:D45=0,"",'As-Filed Schedule 2M'!B45:D45)</f>
        <v/>
      </c>
      <c r="C45" s="535"/>
      <c r="D45" s="535"/>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35" t="str">
        <f>IF('As-Filed Schedule 2M'!B46:D46=0,"",'As-Filed Schedule 2M'!B46:D46)</f>
        <v/>
      </c>
      <c r="C46" s="535"/>
      <c r="D46" s="535"/>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35" t="str">
        <f>IF('As-Filed Schedule 2M'!B47:D47=0,"",'As-Filed Schedule 2M'!B47:D47)</f>
        <v/>
      </c>
      <c r="C47" s="535"/>
      <c r="D47" s="535"/>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35" t="str">
        <f>IF('As-Filed Schedule 2M'!B48:D48=0,"",'As-Filed Schedule 2M'!B48:D48)</f>
        <v/>
      </c>
      <c r="C48" s="535"/>
      <c r="D48" s="535"/>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35" t="str">
        <f>IF('As-Filed Schedule 2M'!B49:D49=0,"",'As-Filed Schedule 2M'!B49:D49)</f>
        <v/>
      </c>
      <c r="C49" s="535"/>
      <c r="D49" s="535"/>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35" t="str">
        <f>IF('As-Filed Schedule 2M'!B50:D50=0,"",'As-Filed Schedule 2M'!B50:D50)</f>
        <v/>
      </c>
      <c r="C50" s="535"/>
      <c r="D50" s="535"/>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35" t="str">
        <f>IF('As-Filed Schedule 2M'!B51:D51=0,"",'As-Filed Schedule 2M'!B51:D51)</f>
        <v/>
      </c>
      <c r="C51" s="535"/>
      <c r="D51" s="535"/>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35" t="str">
        <f>IF('As-Filed Schedule 2M'!B52:D52=0,"",'As-Filed Schedule 2M'!B52:D52)</f>
        <v/>
      </c>
      <c r="C52" s="535"/>
      <c r="D52" s="535"/>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35" t="str">
        <f>IF('As-Filed Schedule 2M'!B53:D53=0,"",'As-Filed Schedule 2M'!B53:D53)</f>
        <v/>
      </c>
      <c r="C53" s="535"/>
      <c r="D53" s="535"/>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35" t="str">
        <f>IF('As-Filed Schedule 2M'!B54:D54=0,"",'As-Filed Schedule 2M'!B54:D54)</f>
        <v/>
      </c>
      <c r="C54" s="535"/>
      <c r="D54" s="535"/>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35" t="str">
        <f>IF('As-Filed Schedule 2M'!B55:D55=0,"",'As-Filed Schedule 2M'!B55:D55)</f>
        <v/>
      </c>
      <c r="C55" s="535"/>
      <c r="D55" s="535"/>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35" t="str">
        <f>IF('As-Filed Schedule 2M'!B56:D56=0,"",'As-Filed Schedule 2M'!B56:D56)</f>
        <v/>
      </c>
      <c r="C56" s="535"/>
      <c r="D56" s="535"/>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35" t="str">
        <f>IF('As-Filed Schedule 2M'!B57:D57=0,"",'As-Filed Schedule 2M'!B57:D57)</f>
        <v/>
      </c>
      <c r="C57" s="535"/>
      <c r="D57" s="535"/>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35" t="str">
        <f>IF('As-Filed Schedule 2M'!B58:D58=0,"",'As-Filed Schedule 2M'!B58:D58)</f>
        <v/>
      </c>
      <c r="C58" s="535"/>
      <c r="D58" s="535"/>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35" t="str">
        <f>IF('As-Filed Schedule 2M'!B59:D59=0,"",'As-Filed Schedule 2M'!B59:D59)</f>
        <v/>
      </c>
      <c r="C59" s="535"/>
      <c r="D59" s="535"/>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35" t="str">
        <f>IF('As-Filed Schedule 2M'!B60:D60=0,"",'As-Filed Schedule 2M'!B60:D60)</f>
        <v/>
      </c>
      <c r="C60" s="535"/>
      <c r="D60" s="535"/>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35" t="str">
        <f>IF('As-Filed Schedule 2M'!B61:D61=0,"",'As-Filed Schedule 2M'!B61:D61)</f>
        <v/>
      </c>
      <c r="C61" s="535"/>
      <c r="D61" s="535"/>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35" t="str">
        <f>IF('As-Filed Schedule 2M'!B62:D62=0,"",'As-Filed Schedule 2M'!B62:D62)</f>
        <v/>
      </c>
      <c r="C62" s="535"/>
      <c r="D62" s="535"/>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35" t="str">
        <f>IF('As-Filed Schedule 2M'!B63:D63=0,"",'As-Filed Schedule 2M'!B63:D63)</f>
        <v/>
      </c>
      <c r="C63" s="535"/>
      <c r="D63" s="535"/>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35" t="str">
        <f>IF('As-Filed Schedule 2M'!B64:D64=0,"",'As-Filed Schedule 2M'!B64:D64)</f>
        <v/>
      </c>
      <c r="C64" s="535"/>
      <c r="D64" s="535"/>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35" t="str">
        <f>IF('As-Filed Schedule 2M'!B65:D65=0,"",'As-Filed Schedule 2M'!B65:D65)</f>
        <v/>
      </c>
      <c r="C65" s="535"/>
      <c r="D65" s="535"/>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35" t="str">
        <f>IF('As-Filed Schedule 2M'!B66:D66=0,"",'As-Filed Schedule 2M'!B66:D66)</f>
        <v/>
      </c>
      <c r="C66" s="535"/>
      <c r="D66" s="535"/>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35" t="str">
        <f>IF('As-Filed Schedule 2M'!B67:D67=0,"",'As-Filed Schedule 2M'!B67:D67)</f>
        <v/>
      </c>
      <c r="C67" s="535"/>
      <c r="D67" s="535"/>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35" t="str">
        <f>IF('As-Filed Schedule 2M'!B68:D68=0,"",'As-Filed Schedule 2M'!B68:D68)</f>
        <v/>
      </c>
      <c r="C68" s="535"/>
      <c r="D68" s="535"/>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35" t="str">
        <f>IF('As-Filed Schedule 2M'!B69:D69=0,"",'As-Filed Schedule 2M'!B69:D69)</f>
        <v/>
      </c>
      <c r="C69" s="535"/>
      <c r="D69" s="535"/>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35" t="str">
        <f>IF('As-Filed Schedule 2M'!B70:D70=0,"",'As-Filed Schedule 2M'!B70:D70)</f>
        <v/>
      </c>
      <c r="C70" s="535"/>
      <c r="D70" s="535"/>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35" t="str">
        <f>IF('As-Filed Schedule 2M'!B71:D71=0,"",'As-Filed Schedule 2M'!B71:D71)</f>
        <v/>
      </c>
      <c r="C71" s="535"/>
      <c r="D71" s="535"/>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35" t="str">
        <f>IF('As-Filed Schedule 2M'!B72:D72=0,"",'As-Filed Schedule 2M'!B72:D72)</f>
        <v/>
      </c>
      <c r="C72" s="535"/>
      <c r="D72" s="535"/>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773</v>
      </c>
      <c r="C1" s="11"/>
      <c r="D1" s="4"/>
      <c r="E1" s="13"/>
      <c r="F1" s="13"/>
      <c r="G1" s="137"/>
      <c r="H1" s="137"/>
      <c r="I1" s="13"/>
      <c r="J1" s="13"/>
    </row>
    <row r="2" spans="1:33" ht="21" x14ac:dyDescent="0.5">
      <c r="A2" s="2" t="s">
        <v>771</v>
      </c>
      <c r="C2" s="11"/>
      <c r="D2" s="4"/>
      <c r="E2" s="13"/>
      <c r="F2" s="13"/>
      <c r="G2" s="137"/>
      <c r="H2" s="137"/>
      <c r="I2" s="13"/>
      <c r="J2" s="13"/>
    </row>
    <row r="3" spans="1:33" ht="25" customHeight="1" x14ac:dyDescent="0.5">
      <c r="A3" s="5" t="s">
        <v>929</v>
      </c>
      <c r="B3" s="5"/>
      <c r="C3" s="12"/>
      <c r="D3" s="7"/>
      <c r="E3" s="14"/>
      <c r="F3" s="13"/>
      <c r="G3" s="137"/>
      <c r="H3" s="137"/>
      <c r="I3" s="13"/>
      <c r="J3" s="14"/>
    </row>
    <row r="4" spans="1:33" x14ac:dyDescent="0.35">
      <c r="C4" s="11"/>
      <c r="D4" s="4"/>
      <c r="E4" s="13" t="s">
        <v>759</v>
      </c>
      <c r="F4" s="13"/>
      <c r="G4" s="137"/>
      <c r="H4" s="137"/>
      <c r="I4" s="13"/>
      <c r="J4" s="50"/>
      <c r="AE4" s="130"/>
      <c r="AF4" s="130"/>
      <c r="AG4" s="130"/>
    </row>
    <row r="5" spans="1:33" x14ac:dyDescent="0.35">
      <c r="A5" s="1" t="s">
        <v>772</v>
      </c>
      <c r="C5" s="421" t="str">
        <f>Results!$C$6</f>
        <v>SummitStone Health Partners</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24" t="s">
        <v>480</v>
      </c>
      <c r="B9" s="524"/>
      <c r="C9" s="524"/>
      <c r="D9" s="524"/>
      <c r="E9" s="524"/>
      <c r="F9" s="524"/>
      <c r="G9" s="524"/>
      <c r="H9" s="524"/>
      <c r="I9" s="524"/>
      <c r="J9" s="524"/>
      <c r="K9" s="524"/>
      <c r="L9" s="343"/>
      <c r="M9" s="338"/>
      <c r="N9" s="100"/>
      <c r="AE9" s="40"/>
      <c r="AF9" s="40"/>
      <c r="AG9" s="40"/>
    </row>
    <row r="10" spans="1:33" x14ac:dyDescent="0.35">
      <c r="A10" s="524"/>
      <c r="B10" s="524"/>
      <c r="C10" s="524"/>
      <c r="D10" s="524"/>
      <c r="E10" s="524"/>
      <c r="F10" s="524"/>
      <c r="G10" s="524"/>
      <c r="H10" s="524"/>
      <c r="I10" s="524"/>
      <c r="J10" s="524"/>
      <c r="K10" s="524"/>
      <c r="L10" s="343"/>
      <c r="M10" s="338"/>
      <c r="N10" s="100"/>
      <c r="AE10" s="40"/>
      <c r="AF10" s="40"/>
      <c r="AG10" s="40"/>
    </row>
    <row r="11" spans="1:33" x14ac:dyDescent="0.35">
      <c r="A11" s="524"/>
      <c r="B11" s="524"/>
      <c r="C11" s="524"/>
      <c r="D11" s="524"/>
      <c r="E11" s="524"/>
      <c r="F11" s="524"/>
      <c r="G11" s="524"/>
      <c r="H11" s="524"/>
      <c r="I11" s="524"/>
      <c r="J11" s="524"/>
      <c r="K11" s="524"/>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17">
        <v>1</v>
      </c>
      <c r="C13" s="518"/>
      <c r="D13" s="175">
        <v>2</v>
      </c>
      <c r="E13" s="175">
        <v>3</v>
      </c>
      <c r="F13" s="175">
        <v>4</v>
      </c>
      <c r="G13" s="175">
        <v>5</v>
      </c>
      <c r="H13" s="175">
        <v>6</v>
      </c>
      <c r="I13" s="175">
        <v>7</v>
      </c>
      <c r="J13" s="175">
        <v>8</v>
      </c>
      <c r="K13" s="175">
        <v>9</v>
      </c>
      <c r="L13" s="256" t="s">
        <v>617</v>
      </c>
      <c r="M13" s="257" t="s">
        <v>618</v>
      </c>
      <c r="N13" s="175">
        <v>10</v>
      </c>
      <c r="O13" s="257">
        <v>10</v>
      </c>
      <c r="P13" s="23">
        <v>11</v>
      </c>
      <c r="Q13" s="256" t="s">
        <v>641</v>
      </c>
      <c r="R13" s="257" t="s">
        <v>644</v>
      </c>
      <c r="S13" s="23">
        <v>12</v>
      </c>
      <c r="T13" s="257" t="s">
        <v>645</v>
      </c>
      <c r="U13" s="23">
        <v>13</v>
      </c>
      <c r="V13" s="256" t="s">
        <v>647</v>
      </c>
      <c r="W13" s="257" t="s">
        <v>648</v>
      </c>
      <c r="X13" s="23">
        <v>14</v>
      </c>
      <c r="Y13" s="257" t="s">
        <v>652</v>
      </c>
      <c r="Z13" s="23">
        <v>15</v>
      </c>
      <c r="AA13" s="257" t="s">
        <v>653</v>
      </c>
      <c r="AB13" s="23">
        <v>16</v>
      </c>
      <c r="AC13" s="257" t="s">
        <v>654</v>
      </c>
    </row>
    <row r="14" spans="1:33" x14ac:dyDescent="0.35">
      <c r="A14" s="100"/>
      <c r="B14" s="551" t="s">
        <v>631</v>
      </c>
      <c r="C14" s="552"/>
      <c r="D14" s="548" t="s">
        <v>632</v>
      </c>
      <c r="E14" s="548" t="s">
        <v>633</v>
      </c>
      <c r="F14" s="548" t="s">
        <v>634</v>
      </c>
      <c r="G14" s="555" t="s">
        <v>635</v>
      </c>
      <c r="H14" s="555" t="s">
        <v>636</v>
      </c>
      <c r="I14" s="208"/>
      <c r="J14" s="208"/>
      <c r="K14" s="548" t="s">
        <v>160</v>
      </c>
      <c r="L14" s="585" t="s">
        <v>638</v>
      </c>
      <c r="M14" s="587" t="s">
        <v>639</v>
      </c>
      <c r="N14" s="548" t="s">
        <v>161</v>
      </c>
      <c r="O14" s="587" t="s">
        <v>640</v>
      </c>
      <c r="P14" s="533" t="s">
        <v>168</v>
      </c>
      <c r="Q14" s="538"/>
      <c r="R14" s="538"/>
      <c r="S14" s="538"/>
      <c r="T14" s="534"/>
      <c r="U14" s="533" t="s">
        <v>34</v>
      </c>
      <c r="V14" s="538"/>
      <c r="W14" s="538"/>
      <c r="X14" s="538"/>
      <c r="Y14" s="534"/>
      <c r="Z14" s="533" t="s">
        <v>169</v>
      </c>
      <c r="AA14" s="538"/>
      <c r="AB14" s="538"/>
      <c r="AC14" s="538"/>
    </row>
    <row r="15" spans="1:33" ht="60" customHeight="1" x14ac:dyDescent="0.35">
      <c r="A15" s="100"/>
      <c r="B15" s="553"/>
      <c r="C15" s="554"/>
      <c r="D15" s="549"/>
      <c r="E15" s="549"/>
      <c r="F15" s="549"/>
      <c r="G15" s="556"/>
      <c r="H15" s="556"/>
      <c r="I15" s="209" t="s">
        <v>454</v>
      </c>
      <c r="J15" s="209" t="s">
        <v>637</v>
      </c>
      <c r="K15" s="549"/>
      <c r="L15" s="586"/>
      <c r="M15" s="588"/>
      <c r="N15" s="549"/>
      <c r="O15" s="588"/>
      <c r="P15" s="10" t="s">
        <v>162</v>
      </c>
      <c r="Q15" s="258" t="s">
        <v>642</v>
      </c>
      <c r="R15" s="259" t="s">
        <v>643</v>
      </c>
      <c r="S15" s="10" t="s">
        <v>163</v>
      </c>
      <c r="T15" s="259" t="s">
        <v>646</v>
      </c>
      <c r="U15" s="10" t="s">
        <v>164</v>
      </c>
      <c r="V15" s="258" t="s">
        <v>649</v>
      </c>
      <c r="W15" s="259" t="s">
        <v>650</v>
      </c>
      <c r="X15" s="10" t="s">
        <v>165</v>
      </c>
      <c r="Y15" s="259" t="s">
        <v>651</v>
      </c>
      <c r="Z15" s="10" t="s">
        <v>166</v>
      </c>
      <c r="AA15" s="259" t="s">
        <v>655</v>
      </c>
      <c r="AB15" s="10" t="s">
        <v>167</v>
      </c>
      <c r="AC15" s="259" t="s">
        <v>656</v>
      </c>
    </row>
    <row r="16" spans="1:33" x14ac:dyDescent="0.35">
      <c r="A16" s="100"/>
      <c r="B16" s="337" t="s">
        <v>597</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46" t="str">
        <f>'As-Filed Schedule 3'!B17:C17</f>
        <v>Crisis Stabilization Unit (CSU)</v>
      </c>
      <c r="C17" s="547"/>
      <c r="D17" s="365" t="str">
        <f>'As-Filed Schedule 3'!D17</f>
        <v>CSU</v>
      </c>
      <c r="E17" s="365" t="str">
        <f>'As-Filed Schedule 3'!E17</f>
        <v>CSL</v>
      </c>
      <c r="F17" s="364">
        <f>'As-Filed Schedule 3'!F17</f>
        <v>10</v>
      </c>
      <c r="G17" s="363">
        <f>'As-Filed Schedule 3'!G17</f>
        <v>0</v>
      </c>
      <c r="H17" s="363">
        <f>'As-Filed Schedule 3'!H17</f>
        <v>45261</v>
      </c>
      <c r="I17" s="213">
        <f>IF(B17=0,"",IF(AND(G17=0,H17=0),365,IF(AND(G17&gt;0,H17=0),$C$6-G17+1,IF(AND(G17=0,H17&gt;0),H17-($C$6-365),H17-G17+1))))</f>
        <v>153</v>
      </c>
      <c r="J17" s="98"/>
      <c r="K17" s="414">
        <f>SUM(K18:K20)</f>
        <v>1372</v>
      </c>
      <c r="L17" s="416">
        <f>SUM(L18:L20)</f>
        <v>0</v>
      </c>
      <c r="M17" s="418">
        <f>SUM(M18:M20)</f>
        <v>1372</v>
      </c>
      <c r="N17" s="215">
        <f>IF(K17&gt;0,K17/(F17*I17),"")</f>
        <v>0.89673202614379088</v>
      </c>
      <c r="O17" s="346">
        <f>IF(M17&gt;0,M17/(F17*I17),"")</f>
        <v>0.89673202614379088</v>
      </c>
      <c r="P17" s="126">
        <f>'As-Filed Schedule 3'!M17</f>
        <v>1974755.394729668</v>
      </c>
      <c r="Q17" s="349">
        <f>SUMIFS(Adjustments!$G:$G,Adjustments!$H:$H,"3",Adjustments!$I:$I,'Schedule 3 Adjustments'!$P$13,Adjustments!$J:$J,$A17)</f>
        <v>-1015.5443847425961</v>
      </c>
      <c r="R17" s="353">
        <f>SUM(P17:Q17)</f>
        <v>1973739.8503449254</v>
      </c>
      <c r="S17" s="85">
        <f>IFERROR(P17/K17,"")</f>
        <v>1439.3260894531109</v>
      </c>
      <c r="T17" s="357">
        <f>IFERROR(R17/M17,"")</f>
        <v>1438.5858967528611</v>
      </c>
      <c r="U17" s="126">
        <f>'As-Filed Schedule 3'!O17</f>
        <v>84060.891032265819</v>
      </c>
      <c r="V17" s="349">
        <f>SUMIFS(Adjustments!$G:$G,Adjustments!$H:$H,"3",Adjustments!$I:$I,'Schedule 3 Adjustments'!$U$13,Adjustments!$J:$J,$A17)</f>
        <v>0</v>
      </c>
      <c r="W17" s="353">
        <f>SUM(U17:V17)</f>
        <v>84060.891032265819</v>
      </c>
      <c r="X17" s="85">
        <f>IFERROR(U17/K17,"")</f>
        <v>61.268871014771008</v>
      </c>
      <c r="Y17" s="85">
        <f>IFERROR(W17/M17,"")</f>
        <v>61.268871014771008</v>
      </c>
      <c r="Z17" s="85">
        <f>IF(P17=0,"",P17-U17)</f>
        <v>1890694.5036974023</v>
      </c>
      <c r="AA17" s="85">
        <f>IF(R17=0,"",R17-W17)</f>
        <v>1889678.9593126597</v>
      </c>
      <c r="AB17" s="85">
        <f>IFERROR(Z17/K17,"")</f>
        <v>1378.05721843834</v>
      </c>
      <c r="AC17" s="357">
        <f>IFERROR(AA17/M17,"")</f>
        <v>1377.3170257380903</v>
      </c>
    </row>
    <row r="18" spans="1:29" x14ac:dyDescent="0.35">
      <c r="A18" s="216" t="s">
        <v>447</v>
      </c>
      <c r="B18" s="217"/>
      <c r="C18" s="217"/>
      <c r="D18" s="217"/>
      <c r="E18" s="217"/>
      <c r="F18" s="218"/>
      <c r="G18" s="219"/>
      <c r="H18" s="219"/>
      <c r="I18" s="220"/>
      <c r="J18" s="369" t="str">
        <f>'As-Filed Schedule 3'!J18</f>
        <v>H0018</v>
      </c>
      <c r="K18" s="415">
        <f>'As-Filed Schedule 3'!K18</f>
        <v>1372</v>
      </c>
      <c r="L18" s="417">
        <f>SUMIFS(Adjustments!$G:$G,Adjustments!$H:$H,"3",Adjustments!$I:$I,'Schedule 3 Adjustments'!$K$13,Adjustments!$J:$J,"1a")</f>
        <v>0</v>
      </c>
      <c r="M18" s="419">
        <f>SUM(K18:L18)</f>
        <v>1372</v>
      </c>
      <c r="N18" s="222"/>
      <c r="O18" s="354"/>
      <c r="P18" s="87"/>
      <c r="Q18" s="350"/>
      <c r="R18" s="354"/>
      <c r="S18" s="87"/>
      <c r="T18" s="354"/>
      <c r="U18" s="87"/>
      <c r="V18" s="350"/>
      <c r="W18" s="354"/>
      <c r="X18" s="87"/>
      <c r="Y18" s="354"/>
      <c r="Z18" s="87"/>
      <c r="AA18" s="354"/>
      <c r="AB18" s="87"/>
      <c r="AC18" s="354"/>
    </row>
    <row r="19" spans="1:29" x14ac:dyDescent="0.35">
      <c r="A19" s="223" t="s">
        <v>448</v>
      </c>
      <c r="B19" s="224"/>
      <c r="C19" s="224"/>
      <c r="D19" s="224"/>
      <c r="E19" s="224"/>
      <c r="F19" s="225"/>
      <c r="G19" s="226"/>
      <c r="H19" s="226"/>
      <c r="I19" s="227"/>
      <c r="J19" s="369">
        <f>'As-Filed Schedule 3'!J19</f>
        <v>0</v>
      </c>
      <c r="K19" s="415">
        <f>'As-Filed Schedule 3'!K19</f>
        <v>0</v>
      </c>
      <c r="L19" s="417">
        <f>SUMIFS(Adjustments!$G:$G,Adjustments!$H:$H,"3",Adjustments!$I:$I,'Schedule 3 Adjustments'!$K$13,Adjustments!$J:$J,"1b")</f>
        <v>0</v>
      </c>
      <c r="M19" s="419">
        <f>SUM(K19:L19)</f>
        <v>0</v>
      </c>
      <c r="N19" s="229"/>
      <c r="O19" s="355"/>
      <c r="P19" s="88"/>
      <c r="Q19" s="351"/>
      <c r="R19" s="355"/>
      <c r="S19" s="88"/>
      <c r="T19" s="355"/>
      <c r="U19" s="88"/>
      <c r="V19" s="351"/>
      <c r="W19" s="355"/>
      <c r="X19" s="88"/>
      <c r="Y19" s="355"/>
      <c r="Z19" s="88"/>
      <c r="AA19" s="355"/>
      <c r="AB19" s="88"/>
      <c r="AC19" s="355"/>
    </row>
    <row r="20" spans="1:29" x14ac:dyDescent="0.35">
      <c r="A20" s="230" t="s">
        <v>449</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46" t="str">
        <f>'As-Filed Schedule 3'!B22:C22</f>
        <v>Garcia House</v>
      </c>
      <c r="C22" s="547"/>
      <c r="D22" s="365" t="str">
        <f>'As-Filed Schedule 3'!D22</f>
        <v>Residential</v>
      </c>
      <c r="E22" s="365" t="str">
        <f>'As-Filed Schedule 3'!E22</f>
        <v>ALR</v>
      </c>
      <c r="F22" s="364">
        <f>'As-Filed Schedule 3'!F22</f>
        <v>16</v>
      </c>
      <c r="G22" s="363">
        <f>'As-Filed Schedule 3'!G22</f>
        <v>0</v>
      </c>
      <c r="H22" s="363">
        <f>'As-Filed Schedule 3'!H22</f>
        <v>0</v>
      </c>
      <c r="I22" s="139">
        <f>IF(B22=0,"",IF(AND(G22=0,H22=0),365,IF(AND(G22&gt;0,H22=0),$C$6-G22+1,IF(AND(G22=0,H22&gt;0),H22-($C$6-365),H22-G22+1))))</f>
        <v>365</v>
      </c>
      <c r="J22" s="98"/>
      <c r="K22" s="414">
        <f>SUM(K23:K25)</f>
        <v>4190</v>
      </c>
      <c r="L22" s="416">
        <f>SUM(L23:L25)</f>
        <v>-1847</v>
      </c>
      <c r="M22" s="418">
        <f>SUM(M23:M25)</f>
        <v>2343</v>
      </c>
      <c r="N22" s="91">
        <f>IF(K22&gt;0,K22/(F22*I22),"")</f>
        <v>0.71746575342465757</v>
      </c>
      <c r="O22" s="346">
        <f>IF(M22&gt;0,M22/(F22*I22),"")</f>
        <v>0.40119863013698631</v>
      </c>
      <c r="P22" s="126">
        <f>'As-Filed Schedule 3'!M22</f>
        <v>4851452.5779167879</v>
      </c>
      <c r="Q22" s="349">
        <f>SUMIFS(Adjustments!$G:$G,Adjustments!$H:$H,"3",Adjustments!$I:$I,'Schedule 3 Adjustments'!$P$13,Adjustments!$J:$J,$A22)</f>
        <v>-53131.174773284351</v>
      </c>
      <c r="R22" s="353">
        <f>SUM(P22:Q22)</f>
        <v>4798321.4031435037</v>
      </c>
      <c r="S22" s="85">
        <f>IFERROR(P22/K22,"")</f>
        <v>1157.8645770684459</v>
      </c>
      <c r="T22" s="357">
        <f>IFERROR(R22/M22,"")</f>
        <v>2047.9391391991053</v>
      </c>
      <c r="U22" s="126">
        <f>'As-Filed Schedule 3'!O22</f>
        <v>381082.47527094866</v>
      </c>
      <c r="V22" s="349">
        <f>SUMIFS(Adjustments!$G:$G,Adjustments!$H:$H,"3",Adjustments!$I:$I,'Schedule 3 Adjustments'!$U$13,Adjustments!$J:$J,$A22)</f>
        <v>0</v>
      </c>
      <c r="W22" s="353">
        <f>SUM(U22:V22)</f>
        <v>381082.47527094866</v>
      </c>
      <c r="X22" s="85">
        <f>IFERROR(U22/K22,"")</f>
        <v>90.950471425047411</v>
      </c>
      <c r="Y22" s="85">
        <f>IFERROR(W22/M22,"")</f>
        <v>162.64723656463877</v>
      </c>
      <c r="Z22" s="86">
        <f>IF(P22=0,"",P22-U22)</f>
        <v>4470370.1026458396</v>
      </c>
      <c r="AA22" s="359">
        <f>IF(R22=0,"",R22-W22)</f>
        <v>4417238.9278725553</v>
      </c>
      <c r="AB22" s="85">
        <f>IFERROR(Z22/K22,"")</f>
        <v>1066.9141056433984</v>
      </c>
      <c r="AC22" s="357">
        <f>IFERROR(AA22/M22,"")</f>
        <v>1885.2919026344666</v>
      </c>
    </row>
    <row r="23" spans="1:29" x14ac:dyDescent="0.35">
      <c r="A23" s="101" t="s">
        <v>447</v>
      </c>
      <c r="B23" s="87"/>
      <c r="C23" s="87"/>
      <c r="D23" s="87"/>
      <c r="E23" s="87"/>
      <c r="F23" s="132"/>
      <c r="G23" s="135"/>
      <c r="H23" s="135"/>
      <c r="I23" s="104"/>
      <c r="J23" s="369" t="str">
        <f>'As-Filed Schedule 3'!J23</f>
        <v>H0011 3.7 WM</v>
      </c>
      <c r="K23" s="415">
        <f>'As-Filed Schedule 3'!K23</f>
        <v>113</v>
      </c>
      <c r="L23" s="417">
        <f>SUMIFS(Adjustments!$G:$G,Adjustments!$H:$H,"3",Adjustments!$I:$I,'Schedule 3 Adjustments'!$K$13,Adjustments!$J:$J,"2a")</f>
        <v>0</v>
      </c>
      <c r="M23" s="419">
        <f>SUM(K23:L23)</f>
        <v>113</v>
      </c>
      <c r="N23" s="89"/>
      <c r="O23" s="354"/>
      <c r="P23" s="87"/>
      <c r="Q23" s="350"/>
      <c r="R23" s="354"/>
      <c r="S23" s="87"/>
      <c r="T23" s="354"/>
      <c r="U23" s="87"/>
      <c r="V23" s="350"/>
      <c r="W23" s="354"/>
      <c r="X23" s="87"/>
      <c r="Y23" s="354"/>
      <c r="Z23" s="87"/>
      <c r="AA23" s="354"/>
      <c r="AB23" s="87"/>
      <c r="AC23" s="354"/>
    </row>
    <row r="24" spans="1:29" x14ac:dyDescent="0.35">
      <c r="A24" s="102" t="s">
        <v>448</v>
      </c>
      <c r="B24" s="88"/>
      <c r="C24" s="88"/>
      <c r="D24" s="88"/>
      <c r="E24" s="88"/>
      <c r="F24" s="133"/>
      <c r="G24" s="136"/>
      <c r="H24" s="136"/>
      <c r="I24" s="105"/>
      <c r="J24" s="369" t="str">
        <f>'As-Filed Schedule 3'!J24</f>
        <v>H2036 3.7</v>
      </c>
      <c r="K24" s="415">
        <f>'As-Filed Schedule 3'!K24</f>
        <v>4077</v>
      </c>
      <c r="L24" s="417">
        <f>SUMIFS(Adjustments!$G:$G,Adjustments!$H:$H,"3",Adjustments!$I:$I,'Schedule 3 Adjustments'!$K$13,Adjustments!$J:$J,"2b")</f>
        <v>-1847</v>
      </c>
      <c r="M24" s="419">
        <f>SUM(K24:L24)</f>
        <v>2230</v>
      </c>
      <c r="N24" s="90"/>
      <c r="O24" s="355"/>
      <c r="P24" s="88"/>
      <c r="Q24" s="351"/>
      <c r="R24" s="355"/>
      <c r="S24" s="88"/>
      <c r="T24" s="355"/>
      <c r="U24" s="88"/>
      <c r="V24" s="351"/>
      <c r="W24" s="355"/>
      <c r="X24" s="88"/>
      <c r="Y24" s="355"/>
      <c r="Z24" s="88"/>
      <c r="AA24" s="355"/>
      <c r="AB24" s="88"/>
      <c r="AC24" s="355"/>
    </row>
    <row r="25" spans="1:29" x14ac:dyDescent="0.35">
      <c r="A25" s="103" t="s">
        <v>449</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46" t="str">
        <f>'As-Filed Schedule 3'!B27:C27</f>
        <v>Longview</v>
      </c>
      <c r="C27" s="547"/>
      <c r="D27" s="365" t="str">
        <f>'As-Filed Schedule 3'!D27</f>
        <v>CSU</v>
      </c>
      <c r="E27" s="365" t="str">
        <f>'As-Filed Schedule 3'!E27</f>
        <v>CSL</v>
      </c>
      <c r="F27" s="364">
        <f>'As-Filed Schedule 3'!F27</f>
        <v>26.25</v>
      </c>
      <c r="G27" s="363">
        <f>'As-Filed Schedule 3'!G27</f>
        <v>45262</v>
      </c>
      <c r="H27" s="363">
        <f>'As-Filed Schedule 3'!H27</f>
        <v>0</v>
      </c>
      <c r="I27" s="139">
        <f>IF(B27=0,"",IF(AND(G27=0,H27=0),365,IF(AND(G27&gt;0,H27=0),$C$6-G27+1,IF(AND(G27=0,H27&gt;0),H27-($C$6-365),H27-G27+1))))</f>
        <v>212</v>
      </c>
      <c r="J27" s="98"/>
      <c r="K27" s="414">
        <f>SUM(K28:K30)</f>
        <v>4001</v>
      </c>
      <c r="L27" s="416">
        <f>SUM(L28:L30)</f>
        <v>-1414</v>
      </c>
      <c r="M27" s="418">
        <f>SUM(M28:M30)</f>
        <v>2587</v>
      </c>
      <c r="N27" s="91">
        <f>IF(K27&gt;0,K27/(F27*I27),"")</f>
        <v>0.7189577717879605</v>
      </c>
      <c r="O27" s="346">
        <f>IF(M27&gt;0,M27/(F27*I27),"")</f>
        <v>0.46486972147349503</v>
      </c>
      <c r="P27" s="126">
        <f>'As-Filed Schedule 3'!M27</f>
        <v>20973596.45353803</v>
      </c>
      <c r="Q27" s="349">
        <f>SUMIFS(Adjustments!$G:$G,Adjustments!$H:$H,"3",Adjustments!$I:$I,'Schedule 3 Adjustments'!$P$13,Adjustments!$J:$J,'As-Filed Schedule 3'!A27)</f>
        <v>-10785.952611190871</v>
      </c>
      <c r="R27" s="353">
        <f>SUM(P27:Q27)</f>
        <v>20962810.500926841</v>
      </c>
      <c r="S27" s="85">
        <f>IFERROR(P27/K27,"")</f>
        <v>5242.0885912366984</v>
      </c>
      <c r="T27" s="357">
        <f>IFERROR(R27/M27,"")</f>
        <v>8103.1350989280409</v>
      </c>
      <c r="U27" s="126">
        <f>'As-Filed Schedule 3'!O27</f>
        <v>572488.26237738819</v>
      </c>
      <c r="V27" s="349">
        <f>SUMIFS(Adjustments!$G:$G,Adjustments!$H:$H,"3",Adjustments!$I:$I,'Schedule 3 Adjustments'!$U$13,Adjustments!$J:$J,$A27)</f>
        <v>0</v>
      </c>
      <c r="W27" s="353">
        <f>SUM(U27:V27)</f>
        <v>572488.26237738819</v>
      </c>
      <c r="X27" s="85">
        <f>IFERROR(U27/K27,"")</f>
        <v>143.08629402084185</v>
      </c>
      <c r="Y27" s="85">
        <f>IFERROR(W27/M27,"")</f>
        <v>221.29426454479636</v>
      </c>
      <c r="Z27" s="86">
        <f>IF(P27=0,"",P27-U27)</f>
        <v>20401108.191160642</v>
      </c>
      <c r="AA27" s="359">
        <f>IF(R27=0,"",R27-W27)</f>
        <v>20390322.238549452</v>
      </c>
      <c r="AB27" s="85">
        <f>IFERROR(Z27/K27,"")</f>
        <v>5099.0022972158567</v>
      </c>
      <c r="AC27" s="357">
        <f>IFERROR(AA27/M27,"")</f>
        <v>7881.8408343832443</v>
      </c>
    </row>
    <row r="28" spans="1:29" x14ac:dyDescent="0.35">
      <c r="A28" s="101" t="s">
        <v>447</v>
      </c>
      <c r="B28" s="87"/>
      <c r="C28" s="87"/>
      <c r="D28" s="87"/>
      <c r="E28" s="87"/>
      <c r="F28" s="132"/>
      <c r="G28" s="135"/>
      <c r="H28" s="135"/>
      <c r="I28" s="104"/>
      <c r="J28" s="369" t="str">
        <f>'As-Filed Schedule 3'!J28</f>
        <v>H0018</v>
      </c>
      <c r="K28" s="415">
        <f>'As-Filed Schedule 3'!K28</f>
        <v>2132</v>
      </c>
      <c r="L28" s="417">
        <f>SUMIFS(Adjustments!$G:$G,Adjustments!$H:$H,"3",Adjustments!$I:$I,'Schedule 3 Adjustments'!$K$13,Adjustments!$J:$J,"3a")</f>
        <v>-1373</v>
      </c>
      <c r="M28" s="419">
        <f>SUM(K28:L28)</f>
        <v>759</v>
      </c>
      <c r="N28" s="89"/>
      <c r="O28" s="354"/>
      <c r="P28" s="87"/>
      <c r="Q28" s="350"/>
      <c r="R28" s="354"/>
      <c r="S28" s="87"/>
      <c r="T28" s="354"/>
      <c r="U28" s="87"/>
      <c r="V28" s="350"/>
      <c r="W28" s="354"/>
      <c r="X28" s="87"/>
      <c r="Y28" s="354"/>
      <c r="Z28" s="87"/>
      <c r="AA28" s="354"/>
      <c r="AB28" s="87"/>
      <c r="AC28" s="354"/>
    </row>
    <row r="29" spans="1:29" x14ac:dyDescent="0.35">
      <c r="A29" s="102" t="s">
        <v>448</v>
      </c>
      <c r="B29" s="88"/>
      <c r="C29" s="88"/>
      <c r="D29" s="88"/>
      <c r="E29" s="88"/>
      <c r="F29" s="133"/>
      <c r="G29" s="136"/>
      <c r="H29" s="136"/>
      <c r="I29" s="105"/>
      <c r="J29" s="369" t="str">
        <f>'As-Filed Schedule 3'!J29</f>
        <v>H0011 3.7 WM</v>
      </c>
      <c r="K29" s="415">
        <f>'As-Filed Schedule 3'!K29</f>
        <v>1168</v>
      </c>
      <c r="L29" s="417">
        <f>SUMIFS(Adjustments!$G:$G,Adjustments!$H:$H,"3",Adjustments!$I:$I,'Schedule 3 Adjustments'!$K$13,Adjustments!$J:$J,"3b")</f>
        <v>-41</v>
      </c>
      <c r="M29" s="419">
        <f>SUM(K29:L29)</f>
        <v>1127</v>
      </c>
      <c r="N29" s="90"/>
      <c r="O29" s="355"/>
      <c r="P29" s="88"/>
      <c r="Q29" s="351"/>
      <c r="R29" s="355"/>
      <c r="S29" s="88"/>
      <c r="T29" s="355"/>
      <c r="U29" s="88"/>
      <c r="V29" s="351"/>
      <c r="W29" s="355"/>
      <c r="X29" s="88"/>
      <c r="Y29" s="355"/>
      <c r="Z29" s="88"/>
      <c r="AA29" s="355"/>
      <c r="AB29" s="88"/>
      <c r="AC29" s="355"/>
    </row>
    <row r="30" spans="1:29" x14ac:dyDescent="0.35">
      <c r="A30" s="103" t="s">
        <v>449</v>
      </c>
      <c r="B30" s="88"/>
      <c r="C30" s="88"/>
      <c r="D30" s="88"/>
      <c r="E30" s="88"/>
      <c r="F30" s="133"/>
      <c r="G30" s="136"/>
      <c r="H30" s="136"/>
      <c r="I30" s="105"/>
      <c r="J30" s="369" t="str">
        <f>'As-Filed Schedule 3'!J30</f>
        <v>H0010 3.2 WM</v>
      </c>
      <c r="K30" s="415">
        <f>'As-Filed Schedule 3'!K30</f>
        <v>701</v>
      </c>
      <c r="L30" s="417">
        <f>SUMIFS(Adjustments!$G:$G,Adjustments!$H:$H,"3",Adjustments!$I:$I,'Schedule 3 Adjustments'!$K$13,Adjustments!$J:$J,"3c")</f>
        <v>0</v>
      </c>
      <c r="M30" s="419">
        <f>SUM(K30:L30)</f>
        <v>701</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46">
        <f>'As-Filed Schedule 3'!B32:C32</f>
        <v>0</v>
      </c>
      <c r="C32" s="547"/>
      <c r="D32" s="365">
        <f>'As-Filed Schedule 3'!D32</f>
        <v>0</v>
      </c>
      <c r="E32" s="365">
        <f>'As-Filed Schedule 3'!E32</f>
        <v>0</v>
      </c>
      <c r="F32" s="364">
        <f>'As-Filed Schedule 3'!F32</f>
        <v>0</v>
      </c>
      <c r="G32" s="363">
        <f>'As-Filed Schedule 3'!G32</f>
        <v>0</v>
      </c>
      <c r="H32" s="363">
        <f>'As-Filed Schedule 3'!H32</f>
        <v>0</v>
      </c>
      <c r="I32" s="139" t="str">
        <f>IF(B32=0,"",IF(AND(G32=0,H32=0),365,IF(AND(G32&gt;0,H32=0),$C$6-G32+1,IF(AND(G32=0,H32&gt;0),H32-($C$6-365),H32-G32+1))))</f>
        <v/>
      </c>
      <c r="J32" s="98"/>
      <c r="K32" s="414">
        <f>SUM(K33:K35)</f>
        <v>0</v>
      </c>
      <c r="L32" s="416">
        <f>SUM(L33:L35)</f>
        <v>0</v>
      </c>
      <c r="M32" s="418">
        <f>SUM(M33:M35)</f>
        <v>0</v>
      </c>
      <c r="N32" s="91" t="str">
        <f>IF(K32&gt;0,K32/(F32*I32),"")</f>
        <v/>
      </c>
      <c r="O32" s="346" t="str">
        <f>IF(M32&gt;0,M32/(F32*I32),"")</f>
        <v/>
      </c>
      <c r="P32" s="126">
        <f>'As-Filed Schedule 3'!M32</f>
        <v>0</v>
      </c>
      <c r="Q32" s="349">
        <f>SUMIFS(Adjustments!$G:$G,Adjustments!$H:$H,"3",Adjustments!$I:$I,'Schedule 3 Adjustments'!$P$13,Adjustments!$J:$J,'As-Filed Schedule 3'!A32)</f>
        <v>0</v>
      </c>
      <c r="R32" s="353">
        <f>SUM(P32:Q32)</f>
        <v>0</v>
      </c>
      <c r="S32" s="85" t="str">
        <f>IFERROR(P32/K32,"")</f>
        <v/>
      </c>
      <c r="T32" s="357" t="str">
        <f>IFERROR(R32/M32,"")</f>
        <v/>
      </c>
      <c r="U32" s="126">
        <f>'As-Filed Schedule 3'!O32</f>
        <v>0</v>
      </c>
      <c r="V32" s="349">
        <f>SUMIFS(Adjustments!$G:$G,Adjustments!$H:$H,"3",Adjustments!$I:$I,'Schedule 3 Adjustments'!$U$13,Adjustments!$J:$J,$A32)</f>
        <v>0</v>
      </c>
      <c r="W32" s="353">
        <f>SUM(U32:V32)</f>
        <v>0</v>
      </c>
      <c r="X32" s="85" t="str">
        <f>IFERROR(U32/K32,"")</f>
        <v/>
      </c>
      <c r="Y32" s="85" t="str">
        <f>IFERROR(W32/M32,"")</f>
        <v/>
      </c>
      <c r="Z32" s="86" t="str">
        <f>IF(P32=0,"",P32-U32)</f>
        <v/>
      </c>
      <c r="AA32" s="359" t="str">
        <f>IF(R32=0,"",R32-W32)</f>
        <v/>
      </c>
      <c r="AB32" s="85" t="str">
        <f>IFERROR(Z32/K32,"")</f>
        <v/>
      </c>
      <c r="AC32" s="357" t="str">
        <f>IFERROR(AA32/M32,"")</f>
        <v/>
      </c>
    </row>
    <row r="33" spans="1:29" x14ac:dyDescent="0.35">
      <c r="A33" s="101" t="s">
        <v>447</v>
      </c>
      <c r="B33" s="87"/>
      <c r="C33" s="87"/>
      <c r="D33" s="87"/>
      <c r="E33" s="87"/>
      <c r="F33" s="132"/>
      <c r="G33" s="135"/>
      <c r="H33" s="135"/>
      <c r="I33" s="104"/>
      <c r="J33" s="369">
        <f>'As-Filed Schedule 3'!J33</f>
        <v>0</v>
      </c>
      <c r="K33" s="415">
        <f>'As-Filed Schedule 3'!K33</f>
        <v>0</v>
      </c>
      <c r="L33" s="417">
        <f>SUMIFS(Adjustments!$G:$G,Adjustments!$H:$H,"3",Adjustments!$I:$I,'Schedule 3 Adjustments'!$K$13,Adjustments!$J:$J,"4a")</f>
        <v>0</v>
      </c>
      <c r="M33" s="419">
        <f>SUM(K33:L33)</f>
        <v>0</v>
      </c>
      <c r="N33" s="89"/>
      <c r="O33" s="354"/>
      <c r="P33" s="87"/>
      <c r="Q33" s="350"/>
      <c r="R33" s="354"/>
      <c r="S33" s="87"/>
      <c r="T33" s="354"/>
      <c r="U33" s="87"/>
      <c r="V33" s="350"/>
      <c r="W33" s="354"/>
      <c r="X33" s="87"/>
      <c r="Y33" s="354"/>
      <c r="Z33" s="87"/>
      <c r="AA33" s="354"/>
      <c r="AB33" s="87"/>
      <c r="AC33" s="354"/>
    </row>
    <row r="34" spans="1:29" x14ac:dyDescent="0.35">
      <c r="A34" s="102" t="s">
        <v>448</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449</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46">
        <f>'As-Filed Schedule 3'!B37:C37</f>
        <v>0</v>
      </c>
      <c r="C37" s="547"/>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447</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448</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449</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46">
        <f>'As-Filed Schedule 3'!B42:C42</f>
        <v>0</v>
      </c>
      <c r="C42" s="547"/>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447</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448</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449</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46">
        <f>'As-Filed Schedule 3'!B47:C47</f>
        <v>0</v>
      </c>
      <c r="C47" s="547"/>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447</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448</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449</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46">
        <f>'As-Filed Schedule 3'!B52:C52</f>
        <v>0</v>
      </c>
      <c r="C52" s="547"/>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447</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448</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449</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46">
        <f>'As-Filed Schedule 3'!B57:C57</f>
        <v>0</v>
      </c>
      <c r="C57" s="547"/>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447</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448</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449</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46">
        <f>'As-Filed Schedule 3'!B62:C62</f>
        <v>0</v>
      </c>
      <c r="C62" s="547"/>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447</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448</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449</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46">
        <f>'As-Filed Schedule 3'!B67:C67</f>
        <v>0</v>
      </c>
      <c r="C67" s="547"/>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447</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448</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449</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46">
        <f>'As-Filed Schedule 3'!B72:C72</f>
        <v>0</v>
      </c>
      <c r="C72" s="547"/>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447</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448</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449</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46">
        <f>'As-Filed Schedule 3'!B77:C77</f>
        <v>0</v>
      </c>
      <c r="C77" s="547"/>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447</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448</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449</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46">
        <f>'As-Filed Schedule 3'!B82:C82</f>
        <v>0</v>
      </c>
      <c r="C82" s="547"/>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447</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448</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449</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46">
        <f>'As-Filed Schedule 3'!B87:C87</f>
        <v>0</v>
      </c>
      <c r="C87" s="547"/>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447</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448</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449</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46">
        <f>'As-Filed Schedule 3'!B92:C92</f>
        <v>0</v>
      </c>
      <c r="C92" s="547"/>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447</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448</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449</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46">
        <f>'As-Filed Schedule 3'!B97:C97</f>
        <v>0</v>
      </c>
      <c r="C97" s="547"/>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447</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448</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449</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46">
        <f>'As-Filed Schedule 3'!B102:C102</f>
        <v>0</v>
      </c>
      <c r="C102" s="547"/>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447</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448</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449</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46">
        <f>'As-Filed Schedule 3'!B107:C107</f>
        <v>0</v>
      </c>
      <c r="C107" s="547"/>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447</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448</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449</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46">
        <f>'As-Filed Schedule 3'!B112:C112</f>
        <v>0</v>
      </c>
      <c r="C112" s="547"/>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447</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448</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449</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46">
        <f>'As-Filed Schedule 3'!B117:C117</f>
        <v>0</v>
      </c>
      <c r="C117" s="547"/>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447</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448</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449</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46">
        <f>'As-Filed Schedule 3'!B122:C122</f>
        <v>0</v>
      </c>
      <c r="C122" s="547"/>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447</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448</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449</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46">
        <f>'As-Filed Schedule 3'!B127:C127</f>
        <v>0</v>
      </c>
      <c r="C127" s="547"/>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447</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448</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449</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46">
        <f>'As-Filed Schedule 3'!B132:C132</f>
        <v>0</v>
      </c>
      <c r="C132" s="547"/>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447</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448</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449</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46">
        <f>'As-Filed Schedule 3'!B137:C137</f>
        <v>0</v>
      </c>
      <c r="C137" s="547"/>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447</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448</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449</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46">
        <f>'As-Filed Schedule 3'!B142:C142</f>
        <v>0</v>
      </c>
      <c r="C142" s="547"/>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447</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448</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449</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46">
        <f>'As-Filed Schedule 3'!B147:C147</f>
        <v>0</v>
      </c>
      <c r="C147" s="547"/>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447</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448</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449</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46">
        <f>'As-Filed Schedule 3'!B152:C152</f>
        <v>0</v>
      </c>
      <c r="C152" s="547"/>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447</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448</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449</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46">
        <f>'As-Filed Schedule 3'!B157:C157</f>
        <v>0</v>
      </c>
      <c r="C157" s="547"/>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447</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448</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449</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46">
        <f>'As-Filed Schedule 3'!B162:C162</f>
        <v>0</v>
      </c>
      <c r="C162" s="547"/>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447</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448</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449</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45" t="s">
        <v>173</v>
      </c>
      <c r="C167" s="545"/>
      <c r="D167" s="545"/>
      <c r="E167" s="545"/>
      <c r="F167" s="27">
        <f>F162+F157+F152+F147+F142+F137+F132+F127+F122+F117+F112+F107+F102+F97+F92+F87+F82+F77+F72+F67+F62+F57+F52+F47+F42+F37+F32+F27+F22+F17</f>
        <v>52.25</v>
      </c>
      <c r="G167" s="32"/>
      <c r="H167" s="32"/>
      <c r="I167" s="32"/>
      <c r="J167" s="32"/>
      <c r="K167" s="27">
        <f>K162+K157+K152+K147+K142+K137+K132+K127+K122+K117+K112+K107+K102+K97+K92+K87+K82+K77+K72+K67+K62+K57+K52+K47+K42+K37+K32+K27+K22+K17</f>
        <v>9563</v>
      </c>
      <c r="L167" s="345">
        <f>L162+L157+L152+L147+L142+L137+L132+L127+L122+L117+L112+L107+L102+L97+L92+L87+L82+L77+L72+L67+L62+L57+L52+L47+L42+L37+L32+L27+L22+L17</f>
        <v>-3261</v>
      </c>
      <c r="M167" s="339">
        <f>M162+M157+M152+M147+M142+M137+M132+M127+M122+M117+M112+M107+M102+M97+M92+M87+M82+M77+M72+M67+M62+M57+M52+M47+M42+M37+M32+M27+M22+M17</f>
        <v>6302</v>
      </c>
      <c r="N167" s="29">
        <f>IF(K167&gt;0,K167/(F167*365),"")</f>
        <v>0.50143540669856457</v>
      </c>
      <c r="O167" s="348">
        <f>IF(M167&gt;0,M167/(F167*365),"")</f>
        <v>0.33044504162023991</v>
      </c>
      <c r="P167" s="27">
        <f>P162+P157+P152+P147+P142+P137+P132+P127+P122+P117+P112+P107+P102+P97+P92+P87+P82+P77+P72+P67+P62+P57+P52+P47+P42+P37+P32+P27+P22+P17</f>
        <v>27799804.426184483</v>
      </c>
      <c r="Q167" s="345">
        <f>Q162+Q157+Q152+Q147+Q142+Q137+Q132+Q127+Q122+Q117+Q112+Q107+Q102+Q97+Q92+Q87+Q82+Q77+Q72+Q67+Q62+Q57+Q52+Q47+Q42+Q37+Q32+Q27+Q22+Q17</f>
        <v>-64932.671769217821</v>
      </c>
      <c r="R167" s="339">
        <f>R162+R157+R152+R147+R142+R137+R132+R127+R122+R117+R112+R107+R102+R97+R92+R87+R82+R77+R72+R67+R62+R57+R52+R47+R42+R37+R32+R27+R22+R17</f>
        <v>27734871.75441527</v>
      </c>
      <c r="S167" s="17">
        <f>IFERROR(P167/K167,"")</f>
        <v>2907.0170894263811</v>
      </c>
      <c r="T167" s="358">
        <f>IFERROR(R167/M167,"")</f>
        <v>4400.9634646803033</v>
      </c>
      <c r="U167" s="27">
        <f>U162+U157+U152+U147+U142+U137+U132+U127+U122+U117+U112+U107+U102+U97+U92+U87+U82+U77+U72+U67+U62+U57+U52+U47+U42+U37+U32+U27+U22+U17</f>
        <v>1037631.6286806028</v>
      </c>
      <c r="V167" s="345">
        <f>V162+V157+V152+V147+V142+V137+V132+V127+V122+V117+V112+V107+V102+V97+V92+V87+V82+V77+V72+V67+V62+V57+V52+V47+V42+V37+V32+V27+V22+V17</f>
        <v>0</v>
      </c>
      <c r="W167" s="339">
        <f>W162+W157+W152+W147+W142+W137+W132+W127+W122+W117+W112+W107+W102+W97+W92+W87+W82+W77+W72+W67+W62+W57+W52+W47+W42+W37+W32+W27+W22+W17</f>
        <v>1037631.6286806028</v>
      </c>
      <c r="X167" s="17">
        <f t="shared" ref="X167" si="0">IFERROR(U167/K167,"")</f>
        <v>108.50482366209377</v>
      </c>
      <c r="Y167" s="358">
        <f>IFERROR(W167/M167,"")</f>
        <v>164.65116291345649</v>
      </c>
      <c r="Z167" s="30">
        <f t="shared" ref="Z167" si="1">IF(P167=0,"",P167-U167)</f>
        <v>26762172.797503881</v>
      </c>
      <c r="AA167" s="360">
        <f>IF(R167=0,"",R167-W167)</f>
        <v>26697240.125734668</v>
      </c>
      <c r="AB167" s="17">
        <f>IFERROR(Z167/K167,"")</f>
        <v>2798.5122657642873</v>
      </c>
      <c r="AC167" s="358">
        <f>IFERROR(AA167/M167,"")</f>
        <v>4236.3123017668468</v>
      </c>
    </row>
    <row r="169" spans="1:29" x14ac:dyDescent="0.35">
      <c r="A169" s="19">
        <v>32</v>
      </c>
      <c r="O169" s="37" t="s">
        <v>199</v>
      </c>
      <c r="P169" s="39">
        <f>'As-Filed Schedule 1'!G91</f>
        <v>23681075.077650409</v>
      </c>
      <c r="Q169"/>
      <c r="R169" s="311">
        <f>'Schedule 1 Adjustments'!O92</f>
        <v>23630438.827279661</v>
      </c>
    </row>
    <row r="170" spans="1:29" x14ac:dyDescent="0.35">
      <c r="A170" s="19">
        <v>33</v>
      </c>
      <c r="O170" s="37" t="s">
        <v>186</v>
      </c>
      <c r="P170" s="39">
        <f>'As-Filed Schedule 1'!G93</f>
        <v>4118729.4261844815</v>
      </c>
      <c r="Q170"/>
      <c r="R170" s="311">
        <f>'Schedule 1 Adjustments'!O94</f>
        <v>4104433.4261844815</v>
      </c>
    </row>
    <row r="171" spans="1:29" x14ac:dyDescent="0.35">
      <c r="A171" s="19">
        <v>34</v>
      </c>
      <c r="O171" s="37" t="s">
        <v>200</v>
      </c>
      <c r="P171" s="18">
        <f>SUM(P169:P170)</f>
        <v>27799804.503834892</v>
      </c>
      <c r="Q171"/>
      <c r="R171" s="312">
        <f>SUM(R169:R170)</f>
        <v>27734872.253464144</v>
      </c>
    </row>
    <row r="172" spans="1:29" x14ac:dyDescent="0.35">
      <c r="A172" s="19">
        <v>35</v>
      </c>
      <c r="O172" s="37" t="s">
        <v>10</v>
      </c>
      <c r="P172" s="18">
        <f>P167-P171</f>
        <v>-7.7650409191846848E-2</v>
      </c>
      <c r="Q172"/>
      <c r="R172" s="312">
        <f>R167-R171</f>
        <v>-0.4990488737821579</v>
      </c>
    </row>
    <row r="173" spans="1:29" x14ac:dyDescent="0.35">
      <c r="P173" s="38" t="str">
        <f>IF(P172&lt;&gt;0,"ERROR","")</f>
        <v>ERROR</v>
      </c>
      <c r="Q173" s="352" t="str">
        <f>IF(Q172&lt;&gt;0,"ERROR","")</f>
        <v/>
      </c>
      <c r="R173" s="38" t="str">
        <f>IF(R172&lt;&gt;0,"ERROR","")</f>
        <v>ERROR</v>
      </c>
    </row>
    <row r="174" spans="1:29" ht="43.5" x14ac:dyDescent="0.35">
      <c r="J174" s="6" t="s">
        <v>40</v>
      </c>
      <c r="K174" s="6" t="s">
        <v>446</v>
      </c>
      <c r="L174" s="129" t="s">
        <v>657</v>
      </c>
      <c r="M174" s="6" t="s">
        <v>445</v>
      </c>
      <c r="N174" s="129" t="s">
        <v>658</v>
      </c>
      <c r="O174" s="78" t="s">
        <v>10</v>
      </c>
      <c r="P174" s="129" t="s">
        <v>659</v>
      </c>
      <c r="Q174"/>
    </row>
    <row r="175" spans="1:29" x14ac:dyDescent="0.35">
      <c r="A175" s="19">
        <v>36</v>
      </c>
      <c r="J175" s="93" t="s">
        <v>442</v>
      </c>
      <c r="K175" s="27">
        <f>SUMIF($J$17:$J$167,"H0010 3.2 WM",$K$17:$K$167)</f>
        <v>701</v>
      </c>
      <c r="L175" s="339">
        <f>SUMIF($J$17:$J$167,"H0010 3.2 WM",$M$17:$M$167)</f>
        <v>701</v>
      </c>
      <c r="M175" s="27">
        <f>'As-Filed Schedule 4'!D122+'As-Filed Schedule 4'!H122</f>
        <v>701</v>
      </c>
      <c r="N175" s="339">
        <f>'Adjusted Schedule 4'!D123+'Adjusted Schedule 4'!H123</f>
        <v>701</v>
      </c>
      <c r="O175" s="27">
        <f t="shared" ref="O175:P179" si="2">M175-K175</f>
        <v>0</v>
      </c>
      <c r="P175" s="339">
        <f t="shared" si="2"/>
        <v>0</v>
      </c>
      <c r="Q175"/>
      <c r="S175" s="92" t="str">
        <f>IF(O175&lt;&gt;0,"ERROR","")</f>
        <v/>
      </c>
      <c r="T175" s="92" t="str">
        <f>IF(Q175&lt;&gt;0,"ERROR","")</f>
        <v/>
      </c>
    </row>
    <row r="176" spans="1:29" x14ac:dyDescent="0.35">
      <c r="A176" s="19">
        <v>37</v>
      </c>
      <c r="J176" s="94" t="s">
        <v>443</v>
      </c>
      <c r="K176" s="27">
        <f>SUMIF($J$17:$J$167,"H0011 3.7 WM",$K$17:$K$167)</f>
        <v>1281</v>
      </c>
      <c r="L176" s="339">
        <f>SUMIF($J$17:$J$167,"H0011 3.7 WM",$M$17:$M$167)</f>
        <v>1240</v>
      </c>
      <c r="M176" s="27">
        <f>'As-Filed Schedule 4'!D123+'As-Filed Schedule 4'!H123</f>
        <v>1281</v>
      </c>
      <c r="N176" s="339">
        <f>'Adjusted Schedule 4'!D124+'Adjusted Schedule 4'!H124</f>
        <v>1240</v>
      </c>
      <c r="O176" s="27">
        <f t="shared" si="2"/>
        <v>0</v>
      </c>
      <c r="P176" s="339">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0</v>
      </c>
      <c r="L177" s="339">
        <f>SUMIF($J$17:$J$167,#REF!,$M$17:$M$167)</f>
        <v>0</v>
      </c>
      <c r="M177" s="27">
        <f>'As-Filed Schedule 4'!D125+'As-Filed Schedule 4'!H125</f>
        <v>0</v>
      </c>
      <c r="N177" s="339">
        <f>'Adjusted Schedule 4'!D126+'Adjusted Schedule 4'!H126</f>
        <v>0</v>
      </c>
      <c r="O177" s="27">
        <f t="shared" si="2"/>
        <v>0</v>
      </c>
      <c r="P177" s="339">
        <f t="shared" si="2"/>
        <v>0</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3504</v>
      </c>
      <c r="L178" s="339">
        <f>SUMIF($J$17:$J$167,#REF!,$M$17:$M$167)</f>
        <v>0</v>
      </c>
      <c r="M178" s="27">
        <f>'As-Filed Schedule 4'!D126+'As-Filed Schedule 4'!H126</f>
        <v>3504</v>
      </c>
      <c r="N178" s="339">
        <f>'Adjusted Schedule 4'!D127+'Adjusted Schedule 4'!H127</f>
        <v>2131</v>
      </c>
      <c r="O178" s="27">
        <f t="shared" si="2"/>
        <v>0</v>
      </c>
      <c r="P178" s="339">
        <f t="shared" si="2"/>
        <v>2131</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0</v>
      </c>
      <c r="L179" s="339">
        <f>SUMIF($J$17:$J$167,#REF!,$M$17:$M$167)</f>
        <v>0</v>
      </c>
      <c r="M179" s="27">
        <f>'As-Filed Schedule 4'!D127+'As-Filed Schedule 4'!H127</f>
        <v>0</v>
      </c>
      <c r="N179" s="339">
        <f>'Adjusted Schedule 4'!D128+'Adjusted Schedule 4'!H128</f>
        <v>0</v>
      </c>
      <c r="O179" s="27">
        <f t="shared" si="2"/>
        <v>0</v>
      </c>
      <c r="P179" s="339">
        <f t="shared" si="2"/>
        <v>0</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40">
        <f>SUMIF($J$17:$J$167,#REF!,$M$17:$M$167)</f>
        <v>0</v>
      </c>
      <c r="M180" s="89"/>
      <c r="N180" s="354"/>
      <c r="O180" s="87"/>
      <c r="P180" s="354"/>
      <c r="Q180"/>
    </row>
    <row r="181" spans="1:20" x14ac:dyDescent="0.35">
      <c r="A181" s="19">
        <v>42</v>
      </c>
      <c r="C181" s="234" t="s">
        <v>470</v>
      </c>
      <c r="D181" s="235"/>
      <c r="E181" s="235" t="s">
        <v>471</v>
      </c>
      <c r="F181" s="100"/>
      <c r="G181" s="146"/>
      <c r="J181" s="95" t="s">
        <v>444</v>
      </c>
      <c r="K181" s="108">
        <f t="shared" si="4"/>
        <v>0</v>
      </c>
      <c r="L181" s="341">
        <f>SUMIF($J$17:$J$167,#REF!,$M$17:$M$167)</f>
        <v>0</v>
      </c>
      <c r="M181" s="90"/>
      <c r="N181" s="355"/>
      <c r="O181" s="88"/>
      <c r="P181" s="355"/>
      <c r="Q181"/>
    </row>
    <row r="182" spans="1:20" x14ac:dyDescent="0.35">
      <c r="A182" s="19">
        <v>43</v>
      </c>
      <c r="C182" s="236" t="s">
        <v>478</v>
      </c>
      <c r="D182" s="237"/>
      <c r="E182" s="237" t="s">
        <v>475</v>
      </c>
      <c r="F182" s="238"/>
      <c r="G182" s="147"/>
      <c r="J182" s="95" t="s">
        <v>439</v>
      </c>
      <c r="K182" s="108">
        <f t="shared" si="4"/>
        <v>0</v>
      </c>
      <c r="L182" s="341">
        <f>SUMIF($J$17:$J$167,#REF!,$M$17:$M$167)</f>
        <v>0</v>
      </c>
      <c r="M182" s="109"/>
      <c r="N182" s="356"/>
      <c r="O182" s="110"/>
      <c r="P182" s="356"/>
      <c r="Q182"/>
    </row>
    <row r="183" spans="1:20" x14ac:dyDescent="0.35">
      <c r="A183" s="19">
        <v>44</v>
      </c>
      <c r="C183" s="100"/>
      <c r="D183" s="100"/>
      <c r="E183" s="100"/>
      <c r="F183" s="100"/>
      <c r="J183" s="96" t="s">
        <v>438</v>
      </c>
      <c r="K183" s="107">
        <f t="shared" si="4"/>
        <v>4077</v>
      </c>
      <c r="L183" s="342">
        <f>SUMIF($J$17:$J$167,#REF!,$M$17:$M$167)</f>
        <v>0</v>
      </c>
      <c r="M183" s="27">
        <f>'As-Filed Schedule 4'!D180+'As-Filed Schedule 4'!H180</f>
        <v>4078</v>
      </c>
      <c r="N183" s="339">
        <f>'Adjusted Schedule 4'!E181+'Adjusted Schedule 4'!I181</f>
        <v>0</v>
      </c>
      <c r="O183" s="27">
        <f>M183-SUM(K180:K183)</f>
        <v>1</v>
      </c>
      <c r="P183" s="339">
        <f>N183-SUM(L180:L183)</f>
        <v>0</v>
      </c>
      <c r="Q183"/>
      <c r="S183" s="92" t="str">
        <f>IF(O183&lt;&gt;0,"ERROR","")</f>
        <v>ERROR</v>
      </c>
      <c r="T183" s="92" t="str">
        <f t="shared" ref="T183" si="5">IF(Q183&lt;&gt;0,"ERROR","")</f>
        <v/>
      </c>
    </row>
    <row r="184" spans="1:20" x14ac:dyDescent="0.35">
      <c r="A184" s="19">
        <v>45</v>
      </c>
      <c r="C184" s="100"/>
      <c r="D184" s="100"/>
      <c r="E184" s="100"/>
      <c r="F184" s="100"/>
      <c r="J184" s="94" t="s">
        <v>481</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773</v>
      </c>
      <c r="D1" s="48"/>
      <c r="E1" s="261"/>
      <c r="F1" s="48"/>
      <c r="G1" s="49"/>
      <c r="H1" s="49"/>
      <c r="J1" s="50"/>
      <c r="L1" s="50"/>
    </row>
    <row r="2" spans="1:20" ht="21" x14ac:dyDescent="0.5">
      <c r="A2" s="2" t="s">
        <v>771</v>
      </c>
      <c r="D2" s="54"/>
      <c r="E2" s="385"/>
      <c r="F2" s="54"/>
      <c r="G2" s="49"/>
      <c r="H2" s="49"/>
      <c r="J2" s="50"/>
      <c r="L2" s="50"/>
    </row>
    <row r="3" spans="1:20" ht="25" customHeight="1" x14ac:dyDescent="0.5">
      <c r="A3" s="5" t="s">
        <v>930</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57"/>
      <c r="S4" s="591"/>
      <c r="T4" s="557"/>
    </row>
    <row r="5" spans="1:20" ht="15" customHeight="1" x14ac:dyDescent="0.35">
      <c r="A5" s="1" t="s">
        <v>772</v>
      </c>
      <c r="C5" s="421" t="str">
        <f>Results!$C$6</f>
        <v>SummitStone Health Partners</v>
      </c>
      <c r="D5" s="55"/>
      <c r="E5" s="386"/>
      <c r="F5" s="55"/>
      <c r="G5" s="53"/>
      <c r="H5" s="53"/>
      <c r="I5" s="53"/>
      <c r="J5" s="50"/>
      <c r="L5" s="50"/>
      <c r="R5" s="557"/>
      <c r="S5" s="591"/>
      <c r="T5" s="557"/>
    </row>
    <row r="6" spans="1:20" x14ac:dyDescent="0.35">
      <c r="A6" s="1" t="s">
        <v>0</v>
      </c>
      <c r="C6" s="35">
        <f>Results!$C$7</f>
        <v>45473</v>
      </c>
      <c r="D6" s="35"/>
      <c r="E6" s="320"/>
      <c r="F6" s="60"/>
      <c r="G6" s="35"/>
      <c r="H6" s="35"/>
      <c r="I6" s="60"/>
      <c r="R6" s="557"/>
      <c r="S6" s="591"/>
      <c r="T6" s="557"/>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615</v>
      </c>
      <c r="S7" s="257" t="s">
        <v>616</v>
      </c>
      <c r="T7" s="81"/>
    </row>
    <row r="8" spans="1:20" x14ac:dyDescent="0.35">
      <c r="A8" s="19">
        <v>1</v>
      </c>
      <c r="C8" s="46" t="s">
        <v>193</v>
      </c>
      <c r="D8" s="26">
        <f>'As-Filed Schedule 1'!F95</f>
        <v>53601334.637558341</v>
      </c>
      <c r="E8" s="407" t="s">
        <v>760</v>
      </c>
      <c r="F8" s="384">
        <f>'Schedule 1 Adjustments'!L96</f>
        <v>51121502.335679173</v>
      </c>
      <c r="G8" s="46" t="s">
        <v>197</v>
      </c>
      <c r="H8" s="31">
        <f>H197</f>
        <v>320727.75</v>
      </c>
      <c r="I8" s="382">
        <f>I197</f>
        <v>170842.83</v>
      </c>
      <c r="L8" s="427" t="s">
        <v>856</v>
      </c>
      <c r="M8" s="26">
        <f>'As-Filed Schedule 1'!F95</f>
        <v>53601334.637558341</v>
      </c>
      <c r="N8" s="407" t="s">
        <v>760</v>
      </c>
      <c r="O8" s="384">
        <f>'Schedule 1 Adjustments'!L96</f>
        <v>51121502.335679173</v>
      </c>
      <c r="P8" s="427" t="s">
        <v>857</v>
      </c>
      <c r="Q8" s="180">
        <f>'As-Filed Schedule 4'!K8</f>
        <v>162332</v>
      </c>
      <c r="R8" s="388">
        <f>SUMIFS(Adjustments!$G:$G,Adjustments!$H:$H,"4",Adjustments!$I:$I,'Schedule 4 Adjustments'!$Q$7,Adjustments!$J:$J,'Schedule 4 Adjustments'!$A8)</f>
        <v>-21891</v>
      </c>
      <c r="S8" s="310">
        <f>SUM(Q8:R8)</f>
        <v>140441</v>
      </c>
      <c r="T8" s="25"/>
    </row>
    <row r="9" spans="1:20" x14ac:dyDescent="0.35">
      <c r="A9" s="19">
        <v>2</v>
      </c>
      <c r="C9" s="46" t="s">
        <v>251</v>
      </c>
      <c r="D9" s="117">
        <f>'As-Filed Schedule 4'!D9</f>
        <v>0</v>
      </c>
      <c r="E9" s="388">
        <f>SUMIFS(Adjustments!$G:$G,Adjustments!$H:$H,"4",Adjustments!$I:$I,'Schedule 4 Adjustments'!$D$7,Adjustments!$J:$J,'Schedule 4 Adjustments'!$A9)</f>
        <v>0</v>
      </c>
      <c r="F9" s="310">
        <f>SUM(D9:E9)</f>
        <v>0</v>
      </c>
      <c r="G9" s="46" t="s">
        <v>198</v>
      </c>
      <c r="H9" s="31">
        <f>P197</f>
        <v>112135.2</v>
      </c>
      <c r="I9" s="382">
        <f>Q197</f>
        <v>246846.42000000007</v>
      </c>
      <c r="L9" s="427" t="s">
        <v>858</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194</v>
      </c>
      <c r="D10" s="18">
        <f>D8-D9</f>
        <v>53601334.637558341</v>
      </c>
      <c r="E10" s="408" t="s">
        <v>760</v>
      </c>
      <c r="F10" s="312">
        <f>F8-F9</f>
        <v>51121502.335679173</v>
      </c>
      <c r="G10" s="42" t="s">
        <v>195</v>
      </c>
      <c r="H10" s="9">
        <f>SUM(H8:H9)</f>
        <v>432862.95</v>
      </c>
      <c r="I10" s="379">
        <f>SUM(I8:I9)</f>
        <v>417689.25000000006</v>
      </c>
      <c r="L10" s="428" t="s">
        <v>859</v>
      </c>
      <c r="M10" s="185">
        <f>M8-M9</f>
        <v>53601334.637558341</v>
      </c>
      <c r="N10" s="408" t="s">
        <v>760</v>
      </c>
      <c r="O10" s="312">
        <f>O8-O9</f>
        <v>51121502.335679173</v>
      </c>
      <c r="P10" s="432"/>
      <c r="Q10" s="432"/>
      <c r="T10" s="45"/>
    </row>
    <row r="11" spans="1:20" x14ac:dyDescent="0.35">
      <c r="A11" s="1"/>
      <c r="L11" s="206"/>
      <c r="M11" s="206"/>
      <c r="N11" s="431"/>
      <c r="O11" s="431"/>
      <c r="P11" s="432"/>
      <c r="Q11" s="433"/>
      <c r="T11" s="45"/>
    </row>
    <row r="12" spans="1:20" ht="18.5" x14ac:dyDescent="0.45">
      <c r="A12" s="19">
        <v>4</v>
      </c>
      <c r="G12" s="44" t="s">
        <v>196</v>
      </c>
      <c r="H12" s="43">
        <f>D10/H10</f>
        <v>123.82980487833005</v>
      </c>
      <c r="I12" s="383">
        <f>F10/I10</f>
        <v>122.39123304149955</v>
      </c>
      <c r="L12" s="206"/>
      <c r="M12" s="206"/>
      <c r="N12" s="429"/>
      <c r="O12" s="451"/>
      <c r="P12" s="429" t="s">
        <v>860</v>
      </c>
      <c r="Q12" s="430">
        <f>M10/Q8</f>
        <v>330.19573859472155</v>
      </c>
      <c r="S12" s="430">
        <f>O10/S8</f>
        <v>364.00696616856311</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616</v>
      </c>
    </row>
    <row r="15" spans="1:20" x14ac:dyDescent="0.35">
      <c r="A15" s="1"/>
      <c r="C15" s="35"/>
      <c r="D15" s="558" t="s">
        <v>191</v>
      </c>
      <c r="E15" s="559"/>
      <c r="F15" s="559"/>
      <c r="G15" s="559"/>
      <c r="H15" s="559"/>
      <c r="I15" s="559"/>
      <c r="J15" s="560"/>
      <c r="K15" s="381"/>
      <c r="L15" s="558" t="s">
        <v>192</v>
      </c>
      <c r="M15" s="559"/>
      <c r="N15" s="559"/>
      <c r="O15" s="559"/>
      <c r="P15" s="559"/>
      <c r="Q15" s="559"/>
      <c r="R15" s="560"/>
      <c r="S15" s="374"/>
    </row>
    <row r="16" spans="1:20" ht="43.5" x14ac:dyDescent="0.35">
      <c r="B16" s="208" t="s">
        <v>40</v>
      </c>
      <c r="C16" s="208" t="s">
        <v>11</v>
      </c>
      <c r="D16" s="208" t="s">
        <v>187</v>
      </c>
      <c r="E16" s="362" t="s">
        <v>660</v>
      </c>
      <c r="F16" s="409" t="s">
        <v>661</v>
      </c>
      <c r="G16" s="239" t="s">
        <v>483</v>
      </c>
      <c r="H16" s="239" t="s">
        <v>189</v>
      </c>
      <c r="I16" s="377" t="s">
        <v>662</v>
      </c>
      <c r="J16" s="240" t="s">
        <v>156</v>
      </c>
      <c r="K16" s="375" t="s">
        <v>663</v>
      </c>
      <c r="L16" s="240" t="s">
        <v>188</v>
      </c>
      <c r="M16" s="391" t="s">
        <v>664</v>
      </c>
      <c r="N16" s="375" t="s">
        <v>665</v>
      </c>
      <c r="O16" s="239" t="s">
        <v>484</v>
      </c>
      <c r="P16" s="16" t="s">
        <v>190</v>
      </c>
      <c r="Q16" s="377" t="s">
        <v>666</v>
      </c>
      <c r="R16" s="15" t="s">
        <v>157</v>
      </c>
      <c r="S16" s="375" t="s">
        <v>667</v>
      </c>
    </row>
    <row r="17" spans="1:19" s="22" customFormat="1" x14ac:dyDescent="0.35">
      <c r="A17" s="19">
        <v>5</v>
      </c>
      <c r="B17" s="424" t="s">
        <v>786</v>
      </c>
      <c r="C17" s="20" t="s">
        <v>787</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2988</v>
      </c>
      <c r="E18" s="388">
        <f>SUMIFS(Adjustments!$G:$G,Adjustments!$H:$H,"4",Adjustments!$I:$I,'Schedule 4 Adjustments'!$D$14,Adjustments!$J:$J,'Schedule 4 Adjustments'!$A18)</f>
        <v>-2982</v>
      </c>
      <c r="F18" s="380">
        <f>SUM(D18:E18)</f>
        <v>6</v>
      </c>
      <c r="G18" s="410">
        <v>0</v>
      </c>
      <c r="H18" s="148">
        <f>D18*G18</f>
        <v>0</v>
      </c>
      <c r="I18" s="378">
        <f>F18*G18</f>
        <v>0</v>
      </c>
      <c r="J18" s="149">
        <f>G18*$H$12</f>
        <v>0</v>
      </c>
      <c r="K18" s="376">
        <f>G18*$I$12</f>
        <v>0</v>
      </c>
      <c r="L18" s="150">
        <f>'As-Filed Schedule 4'!H18</f>
        <v>14</v>
      </c>
      <c r="M18" s="388">
        <f>SUMIFS(Adjustments!$G:$G,Adjustments!$H:$H,"4",Adjustments!$I:$I,'Schedule 4 Adjustments'!$L$14,Adjustments!$J:$J,'Schedule 4 Adjustments'!$A18)</f>
        <v>2980</v>
      </c>
      <c r="N18" s="380">
        <f>SUM(L18:M18)</f>
        <v>2994</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2</v>
      </c>
      <c r="E20" s="388">
        <f>SUMIFS(Adjustments!$G:$G,Adjustments!$H:$H,"4",Adjustments!$I:$I,'Schedule 4 Adjustments'!$D$14,Adjustments!$J:$J,'Schedule 4 Adjustments'!$A20)</f>
        <v>-2</v>
      </c>
      <c r="F20" s="380">
        <f>SUM(D20:E20)</f>
        <v>0</v>
      </c>
      <c r="G20" s="410">
        <v>0</v>
      </c>
      <c r="H20" s="148">
        <f t="shared" ref="H20:H83" si="8">D20*G20</f>
        <v>0</v>
      </c>
      <c r="I20" s="378">
        <f t="shared" si="1"/>
        <v>0</v>
      </c>
      <c r="J20" s="149">
        <f t="shared" si="2"/>
        <v>0</v>
      </c>
      <c r="K20" s="376">
        <f t="shared" si="3"/>
        <v>0</v>
      </c>
      <c r="L20" s="150">
        <f>'As-Filed Schedule 4'!H20</f>
        <v>4</v>
      </c>
      <c r="M20" s="388">
        <f>SUMIFS(Adjustments!$G:$G,Adjustments!$H:$H,"4",Adjustments!$I:$I,'Schedule 4 Adjustments'!$L$14,Adjustments!$J:$J,'Schedule 4 Adjustments'!$A20)</f>
        <v>2</v>
      </c>
      <c r="N20" s="380">
        <f t="shared" si="4"/>
        <v>6</v>
      </c>
      <c r="O20" s="410">
        <v>0</v>
      </c>
      <c r="P20" s="47">
        <f t="shared" ref="P20:P82" si="9">L20*O20</f>
        <v>0</v>
      </c>
      <c r="Q20" s="378">
        <f>N20*O20</f>
        <v>0</v>
      </c>
      <c r="R20" s="21">
        <f t="shared" si="6"/>
        <v>0</v>
      </c>
      <c r="S20" s="376">
        <f t="shared" si="7"/>
        <v>0</v>
      </c>
    </row>
    <row r="21" spans="1:19" s="22" customFormat="1" x14ac:dyDescent="0.35">
      <c r="A21" s="19">
        <v>9</v>
      </c>
      <c r="B21" s="19">
        <v>90785</v>
      </c>
      <c r="C21" s="20" t="s">
        <v>319</v>
      </c>
      <c r="D21" s="116">
        <f>'As-Filed Schedule 4'!D21</f>
        <v>307</v>
      </c>
      <c r="E21" s="388">
        <f>SUMIFS(Adjustments!$G:$G,Adjustments!$H:$H,"4",Adjustments!$I:$I,'Schedule 4 Adjustments'!$D$14,Adjustments!$J:$J,'Schedule 4 Adjustments'!$A21)</f>
        <v>-212</v>
      </c>
      <c r="F21" s="380">
        <f t="shared" si="0"/>
        <v>95</v>
      </c>
      <c r="G21" s="410">
        <v>0.44</v>
      </c>
      <c r="H21" s="47">
        <f t="shared" si="8"/>
        <v>135.08000000000001</v>
      </c>
      <c r="I21" s="378">
        <f t="shared" si="1"/>
        <v>41.8</v>
      </c>
      <c r="J21" s="21">
        <f t="shared" si="2"/>
        <v>54.485114146465222</v>
      </c>
      <c r="K21" s="376">
        <f t="shared" si="3"/>
        <v>53.852142538259798</v>
      </c>
      <c r="L21" s="150">
        <f>'As-Filed Schedule 4'!H21</f>
        <v>494</v>
      </c>
      <c r="M21" s="388">
        <f>SUMIFS(Adjustments!$G:$G,Adjustments!$H:$H,"4",Adjustments!$I:$I,'Schedule 4 Adjustments'!$L$14,Adjustments!$J:$J,'Schedule 4 Adjustments'!$A21)</f>
        <v>212</v>
      </c>
      <c r="N21" s="380">
        <f t="shared" si="4"/>
        <v>706</v>
      </c>
      <c r="O21" s="410">
        <v>0.39</v>
      </c>
      <c r="P21" s="47">
        <f t="shared" si="9"/>
        <v>192.66</v>
      </c>
      <c r="Q21" s="378">
        <f>N21*O21</f>
        <v>275.34000000000003</v>
      </c>
      <c r="R21" s="21">
        <f t="shared" si="6"/>
        <v>48.293623902548724</v>
      </c>
      <c r="S21" s="376">
        <f t="shared" si="7"/>
        <v>47.732580886184827</v>
      </c>
    </row>
    <row r="22" spans="1:19" s="22" customFormat="1" x14ac:dyDescent="0.35">
      <c r="A22" s="19">
        <v>10</v>
      </c>
      <c r="B22" s="19">
        <v>90791</v>
      </c>
      <c r="C22" s="20" t="s">
        <v>320</v>
      </c>
      <c r="D22" s="116">
        <f>'As-Filed Schedule 4'!D22</f>
        <v>2490</v>
      </c>
      <c r="E22" s="388">
        <f>SUMIFS(Adjustments!$G:$G,Adjustments!$H:$H,"4",Adjustments!$I:$I,'Schedule 4 Adjustments'!$D$14,Adjustments!$J:$J,'Schedule 4 Adjustments'!$A22)</f>
        <v>-652</v>
      </c>
      <c r="F22" s="380">
        <f t="shared" si="0"/>
        <v>1838</v>
      </c>
      <c r="G22" s="410">
        <v>5.17</v>
      </c>
      <c r="H22" s="47">
        <f t="shared" si="8"/>
        <v>12873.3</v>
      </c>
      <c r="I22" s="378">
        <f t="shared" si="1"/>
        <v>9502.4599999999991</v>
      </c>
      <c r="J22" s="21">
        <f t="shared" si="2"/>
        <v>640.20009122096633</v>
      </c>
      <c r="K22" s="376">
        <f t="shared" si="3"/>
        <v>632.76267482455262</v>
      </c>
      <c r="L22" s="150">
        <f>'As-Filed Schedule 4'!H22</f>
        <v>213</v>
      </c>
      <c r="M22" s="388">
        <f>SUMIFS(Adjustments!$G:$G,Adjustments!$H:$H,"4",Adjustments!$I:$I,'Schedule 4 Adjustments'!$L$14,Adjustments!$J:$J,'Schedule 4 Adjustments'!$A22)</f>
        <v>652</v>
      </c>
      <c r="N22" s="380">
        <f t="shared" si="4"/>
        <v>865</v>
      </c>
      <c r="O22" s="410">
        <v>4.43</v>
      </c>
      <c r="P22" s="47">
        <f t="shared" si="9"/>
        <v>943.58999999999992</v>
      </c>
      <c r="Q22" s="378">
        <f>N22*O22</f>
        <v>3831.95</v>
      </c>
      <c r="R22" s="21">
        <f t="shared" si="6"/>
        <v>548.56603561100212</v>
      </c>
      <c r="S22" s="376">
        <f t="shared" si="7"/>
        <v>542.19316237384294</v>
      </c>
    </row>
    <row r="23" spans="1:19" s="22" customFormat="1" x14ac:dyDescent="0.35">
      <c r="A23" s="19">
        <v>11</v>
      </c>
      <c r="B23" s="19">
        <v>90792</v>
      </c>
      <c r="C23" s="20" t="s">
        <v>321</v>
      </c>
      <c r="D23" s="116">
        <f>'As-Filed Schedule 4'!D23</f>
        <v>192</v>
      </c>
      <c r="E23" s="388">
        <f>SUMIFS(Adjustments!$G:$G,Adjustments!$H:$H,"4",Adjustments!$I:$I,'Schedule 4 Adjustments'!$D$14,Adjustments!$J:$J,'Schedule 4 Adjustments'!$A23)</f>
        <v>-20</v>
      </c>
      <c r="F23" s="380">
        <f t="shared" si="0"/>
        <v>172</v>
      </c>
      <c r="G23" s="410">
        <v>5.82</v>
      </c>
      <c r="H23" s="47">
        <f t="shared" si="8"/>
        <v>1117.44</v>
      </c>
      <c r="I23" s="378">
        <f t="shared" si="1"/>
        <v>1001.0400000000001</v>
      </c>
      <c r="J23" s="21">
        <f t="shared" si="2"/>
        <v>720.68946439188096</v>
      </c>
      <c r="K23" s="376">
        <f t="shared" si="3"/>
        <v>712.31697630152735</v>
      </c>
      <c r="L23" s="150">
        <f>'As-Filed Schedule 4'!H23</f>
        <v>472</v>
      </c>
      <c r="M23" s="388">
        <f>SUMIFS(Adjustments!$G:$G,Adjustments!$H:$H,"4",Adjustments!$I:$I,'Schedule 4 Adjustments'!$L$14,Adjustments!$J:$J,'Schedule 4 Adjustments'!$A23)</f>
        <v>20</v>
      </c>
      <c r="N23" s="380">
        <f t="shared" si="4"/>
        <v>492</v>
      </c>
      <c r="O23" s="410">
        <v>5.08</v>
      </c>
      <c r="P23" s="47">
        <f t="shared" si="9"/>
        <v>2397.7600000000002</v>
      </c>
      <c r="Q23" s="378">
        <f t="shared" si="5"/>
        <v>2499.36</v>
      </c>
      <c r="R23" s="21">
        <f t="shared" si="6"/>
        <v>629.05540878191664</v>
      </c>
      <c r="S23" s="376">
        <f>O23*$I$12</f>
        <v>621.74746385081767</v>
      </c>
    </row>
    <row r="24" spans="1:19" s="22" customFormat="1" x14ac:dyDescent="0.35">
      <c r="A24" s="19">
        <v>12</v>
      </c>
      <c r="B24" s="19">
        <v>90832</v>
      </c>
      <c r="C24" s="20" t="s">
        <v>325</v>
      </c>
      <c r="D24" s="116">
        <f>'As-Filed Schedule 4'!D24</f>
        <v>3913</v>
      </c>
      <c r="E24" s="388">
        <f>SUMIFS(Adjustments!$G:$G,Adjustments!$H:$H,"4",Adjustments!$I:$I,'Schedule 4 Adjustments'!$D$14,Adjustments!$J:$J,'Schedule 4 Adjustments'!$A24)</f>
        <v>-1250</v>
      </c>
      <c r="F24" s="380">
        <f t="shared" si="0"/>
        <v>2663</v>
      </c>
      <c r="G24" s="410">
        <v>2.35</v>
      </c>
      <c r="H24" s="47">
        <f t="shared" si="8"/>
        <v>9195.5500000000011</v>
      </c>
      <c r="I24" s="378">
        <f t="shared" si="1"/>
        <v>6258.05</v>
      </c>
      <c r="J24" s="21">
        <f t="shared" si="2"/>
        <v>291.00004146407565</v>
      </c>
      <c r="K24" s="376">
        <f t="shared" si="3"/>
        <v>287.61939764752395</v>
      </c>
      <c r="L24" s="150">
        <f>'As-Filed Schedule 4'!H24</f>
        <v>743</v>
      </c>
      <c r="M24" s="388">
        <f>SUMIFS(Adjustments!$G:$G,Adjustments!$H:$H,"4",Adjustments!$I:$I,'Schedule 4 Adjustments'!$L$14,Adjustments!$J:$J,'Schedule 4 Adjustments'!$A24)</f>
        <v>1249</v>
      </c>
      <c r="N24" s="380">
        <f t="shared" si="4"/>
        <v>1992</v>
      </c>
      <c r="O24" s="410">
        <v>2.0499999999999998</v>
      </c>
      <c r="P24" s="47">
        <f t="shared" si="9"/>
        <v>1523.1499999999999</v>
      </c>
      <c r="Q24" s="378">
        <f t="shared" si="5"/>
        <v>4083.5999999999995</v>
      </c>
      <c r="R24" s="21">
        <f t="shared" si="6"/>
        <v>253.85110000057659</v>
      </c>
      <c r="S24" s="376">
        <f>O24*$I$12</f>
        <v>250.90202773507406</v>
      </c>
    </row>
    <row r="25" spans="1:19" s="22" customFormat="1" x14ac:dyDescent="0.35">
      <c r="A25" s="19">
        <v>13</v>
      </c>
      <c r="B25" s="19">
        <v>90833</v>
      </c>
      <c r="C25" s="20" t="s">
        <v>322</v>
      </c>
      <c r="D25" s="116">
        <f>'As-Filed Schedule 4'!D25</f>
        <v>10</v>
      </c>
      <c r="E25" s="388">
        <f>SUMIFS(Adjustments!$G:$G,Adjustments!$H:$H,"4",Adjustments!$I:$I,'Schedule 4 Adjustments'!$D$14,Adjustments!$J:$J,'Schedule 4 Adjustments'!$A25)</f>
        <v>-9</v>
      </c>
      <c r="F25" s="380">
        <f t="shared" si="0"/>
        <v>1</v>
      </c>
      <c r="G25" s="410">
        <v>2.16</v>
      </c>
      <c r="H25" s="47">
        <f t="shared" si="8"/>
        <v>21.6</v>
      </c>
      <c r="I25" s="378">
        <f t="shared" si="1"/>
        <v>2.16</v>
      </c>
      <c r="J25" s="21">
        <f t="shared" si="2"/>
        <v>267.47237853719292</v>
      </c>
      <c r="K25" s="376">
        <f t="shared" si="3"/>
        <v>264.36506336963902</v>
      </c>
      <c r="L25" s="150">
        <f>'As-Filed Schedule 4'!H25</f>
        <v>0</v>
      </c>
      <c r="M25" s="388">
        <f>SUMIFS(Adjustments!$G:$G,Adjustments!$H:$H,"4",Adjustments!$I:$I,'Schedule 4 Adjustments'!$L$14,Adjustments!$J:$J,'Schedule 4 Adjustments'!$A25)</f>
        <v>9</v>
      </c>
      <c r="N25" s="380">
        <f t="shared" si="4"/>
        <v>9</v>
      </c>
      <c r="O25" s="410">
        <v>1.92</v>
      </c>
      <c r="P25" s="47">
        <f t="shared" si="9"/>
        <v>0</v>
      </c>
      <c r="Q25" s="378">
        <f t="shared" si="5"/>
        <v>17.28</v>
      </c>
      <c r="R25" s="21">
        <f t="shared" si="6"/>
        <v>237.75322536639368</v>
      </c>
      <c r="S25" s="376">
        <f t="shared" si="7"/>
        <v>234.99116743967912</v>
      </c>
    </row>
    <row r="26" spans="1:19" s="22" customFormat="1" x14ac:dyDescent="0.35">
      <c r="A26" s="19">
        <v>14</v>
      </c>
      <c r="B26" s="19">
        <v>90834</v>
      </c>
      <c r="C26" s="20" t="s">
        <v>323</v>
      </c>
      <c r="D26" s="116">
        <f>'As-Filed Schedule 4'!D26</f>
        <v>8477</v>
      </c>
      <c r="E26" s="388">
        <f>SUMIFS(Adjustments!$G:$G,Adjustments!$H:$H,"4",Adjustments!$I:$I,'Schedule 4 Adjustments'!$D$14,Adjustments!$J:$J,'Schedule 4 Adjustments'!$A26)</f>
        <v>-3244</v>
      </c>
      <c r="F26" s="380">
        <f t="shared" si="0"/>
        <v>5233</v>
      </c>
      <c r="G26" s="410">
        <v>3.1</v>
      </c>
      <c r="H26" s="47">
        <f t="shared" si="8"/>
        <v>26278.7</v>
      </c>
      <c r="I26" s="378">
        <f t="shared" si="1"/>
        <v>16222.300000000001</v>
      </c>
      <c r="J26" s="21">
        <f t="shared" si="2"/>
        <v>383.87239512282315</v>
      </c>
      <c r="K26" s="376">
        <f t="shared" si="3"/>
        <v>379.41282242864861</v>
      </c>
      <c r="L26" s="150">
        <f>'As-Filed Schedule 4'!H26</f>
        <v>1178</v>
      </c>
      <c r="M26" s="388">
        <f>SUMIFS(Adjustments!$G:$G,Adjustments!$H:$H,"4",Adjustments!$I:$I,'Schedule 4 Adjustments'!$L$14,Adjustments!$J:$J,'Schedule 4 Adjustments'!$A26)</f>
        <v>3244</v>
      </c>
      <c r="N26" s="380">
        <f t="shared" si="4"/>
        <v>4422</v>
      </c>
      <c r="O26" s="410">
        <v>2.71</v>
      </c>
      <c r="P26" s="47">
        <f t="shared" si="9"/>
        <v>3192.38</v>
      </c>
      <c r="Q26" s="378">
        <f t="shared" si="5"/>
        <v>11983.619999999999</v>
      </c>
      <c r="R26" s="21">
        <f t="shared" si="6"/>
        <v>335.57877122027446</v>
      </c>
      <c r="S26" s="376">
        <f t="shared" si="7"/>
        <v>331.68024154246376</v>
      </c>
    </row>
    <row r="27" spans="1:19" s="22" customFormat="1" x14ac:dyDescent="0.35">
      <c r="A27" s="19">
        <v>15</v>
      </c>
      <c r="B27" s="19">
        <v>90836</v>
      </c>
      <c r="C27" s="20" t="s">
        <v>326</v>
      </c>
      <c r="D27" s="116">
        <f>'As-Filed Schedule 4'!D27</f>
        <v>2</v>
      </c>
      <c r="E27" s="388">
        <f>SUMIFS(Adjustments!$G:$G,Adjustments!$H:$H,"4",Adjustments!$I:$I,'Schedule 4 Adjustments'!$D$14,Adjustments!$J:$J,'Schedule 4 Adjustments'!$A27)</f>
        <v>-2</v>
      </c>
      <c r="F27" s="380">
        <f t="shared" si="0"/>
        <v>0</v>
      </c>
      <c r="G27" s="410">
        <v>2.73</v>
      </c>
      <c r="H27" s="47">
        <f t="shared" si="8"/>
        <v>5.46</v>
      </c>
      <c r="I27" s="378">
        <f t="shared" si="1"/>
        <v>0</v>
      </c>
      <c r="J27" s="21">
        <f t="shared" si="2"/>
        <v>338.05536731784105</v>
      </c>
      <c r="K27" s="376">
        <f t="shared" si="3"/>
        <v>334.12806620329377</v>
      </c>
      <c r="L27" s="150">
        <f>'As-Filed Schedule 4'!H27</f>
        <v>0</v>
      </c>
      <c r="M27" s="388">
        <f>SUMIFS(Adjustments!$G:$G,Adjustments!$H:$H,"4",Adjustments!$I:$I,'Schedule 4 Adjustments'!$L$14,Adjustments!$J:$J,'Schedule 4 Adjustments'!$A27)</f>
        <v>2</v>
      </c>
      <c r="N27" s="380">
        <f t="shared" si="4"/>
        <v>2</v>
      </c>
      <c r="O27" s="410">
        <v>2.4300000000000002</v>
      </c>
      <c r="P27" s="47">
        <f t="shared" si="9"/>
        <v>0</v>
      </c>
      <c r="Q27" s="378">
        <f t="shared" si="5"/>
        <v>4.8600000000000003</v>
      </c>
      <c r="R27" s="21">
        <f t="shared" si="6"/>
        <v>300.90642585434205</v>
      </c>
      <c r="S27" s="376">
        <f>O27*$I$12</f>
        <v>297.41069629084393</v>
      </c>
    </row>
    <row r="28" spans="1:19" s="22" customFormat="1" x14ac:dyDescent="0.35">
      <c r="A28" s="19">
        <v>16</v>
      </c>
      <c r="B28" s="19">
        <v>90837</v>
      </c>
      <c r="C28" s="20" t="s">
        <v>324</v>
      </c>
      <c r="D28" s="116">
        <f>'As-Filed Schedule 4'!D28</f>
        <v>23096</v>
      </c>
      <c r="E28" s="388">
        <f>SUMIFS(Adjustments!$G:$G,Adjustments!$H:$H,"4",Adjustments!$I:$I,'Schedule 4 Adjustments'!$D$14,Adjustments!$J:$J,'Schedule 4 Adjustments'!$A28)</f>
        <v>-7452</v>
      </c>
      <c r="F28" s="380">
        <f t="shared" si="0"/>
        <v>15644</v>
      </c>
      <c r="G28" s="410">
        <v>4.57</v>
      </c>
      <c r="H28" s="47">
        <f t="shared" si="8"/>
        <v>105548.72</v>
      </c>
      <c r="I28" s="378">
        <f t="shared" si="1"/>
        <v>71493.08</v>
      </c>
      <c r="J28" s="21">
        <f t="shared" si="2"/>
        <v>565.90220829396833</v>
      </c>
      <c r="K28" s="376">
        <f t="shared" si="3"/>
        <v>559.32793499965294</v>
      </c>
      <c r="L28" s="150">
        <f>'As-Filed Schedule 4'!H28</f>
        <v>4615</v>
      </c>
      <c r="M28" s="388">
        <f>SUMIFS(Adjustments!$G:$G,Adjustments!$H:$H,"4",Adjustments!$I:$I,'Schedule 4 Adjustments'!$L$14,Adjustments!$J:$J,'Schedule 4 Adjustments'!$A28)</f>
        <v>7453</v>
      </c>
      <c r="N28" s="380">
        <f t="shared" si="4"/>
        <v>12068</v>
      </c>
      <c r="O28" s="410">
        <v>4</v>
      </c>
      <c r="P28" s="47">
        <f t="shared" si="9"/>
        <v>18460</v>
      </c>
      <c r="Q28" s="378">
        <f t="shared" si="5"/>
        <v>48272</v>
      </c>
      <c r="R28" s="21">
        <f t="shared" si="6"/>
        <v>495.31921951332021</v>
      </c>
      <c r="S28" s="376">
        <f t="shared" si="7"/>
        <v>489.56493216599819</v>
      </c>
    </row>
    <row r="29" spans="1:19" s="22" customFormat="1" x14ac:dyDescent="0.35">
      <c r="A29" s="19">
        <v>17</v>
      </c>
      <c r="B29" s="19">
        <v>90838</v>
      </c>
      <c r="C29" s="20" t="s">
        <v>327</v>
      </c>
      <c r="D29" s="116">
        <f>'As-Filed Schedule 4'!D29</f>
        <v>1</v>
      </c>
      <c r="E29" s="388">
        <f>SUMIFS(Adjustments!$G:$G,Adjustments!$H:$H,"4",Adjustments!$I:$I,'Schedule 4 Adjustments'!$D$14,Adjustments!$J:$J,'Schedule 4 Adjustments'!$A29)</f>
        <v>-1</v>
      </c>
      <c r="F29" s="380">
        <f t="shared" si="0"/>
        <v>0</v>
      </c>
      <c r="G29" s="410">
        <v>3.62</v>
      </c>
      <c r="H29" s="47">
        <f t="shared" si="8"/>
        <v>3.62</v>
      </c>
      <c r="I29" s="378">
        <f t="shared" si="1"/>
        <v>0</v>
      </c>
      <c r="J29" s="21">
        <f t="shared" si="2"/>
        <v>448.26389365955481</v>
      </c>
      <c r="K29" s="376">
        <f t="shared" si="3"/>
        <v>443.05626361022837</v>
      </c>
      <c r="L29" s="150">
        <f>'As-Filed Schedule 4'!H29</f>
        <v>0</v>
      </c>
      <c r="M29" s="388">
        <f>SUMIFS(Adjustments!$G:$G,Adjustments!$H:$H,"4",Adjustments!$I:$I,'Schedule 4 Adjustments'!$L$14,Adjustments!$J:$J,'Schedule 4 Adjustments'!$A29)</f>
        <v>1</v>
      </c>
      <c r="N29" s="380">
        <f t="shared" si="4"/>
        <v>1</v>
      </c>
      <c r="O29" s="410">
        <v>3.22</v>
      </c>
      <c r="P29" s="47">
        <f t="shared" si="9"/>
        <v>0</v>
      </c>
      <c r="Q29" s="378">
        <f t="shared" si="5"/>
        <v>3.22</v>
      </c>
      <c r="R29" s="21">
        <f t="shared" si="6"/>
        <v>398.73197170822277</v>
      </c>
      <c r="S29" s="376">
        <f t="shared" si="7"/>
        <v>394.09977039362855</v>
      </c>
    </row>
    <row r="30" spans="1:19" s="22" customFormat="1" x14ac:dyDescent="0.35">
      <c r="A30" s="19">
        <v>18</v>
      </c>
      <c r="B30" s="19">
        <v>90839</v>
      </c>
      <c r="C30" s="20" t="s">
        <v>329</v>
      </c>
      <c r="D30" s="116">
        <f>'As-Filed Schedule 4'!D30</f>
        <v>49</v>
      </c>
      <c r="E30" s="388">
        <f>SUMIFS(Adjustments!$G:$G,Adjustments!$H:$H,"4",Adjustments!$I:$I,'Schedule 4 Adjustments'!$D$14,Adjustments!$J:$J,'Schedule 4 Adjustments'!$A30)</f>
        <v>-17</v>
      </c>
      <c r="F30" s="380">
        <f t="shared" si="0"/>
        <v>32</v>
      </c>
      <c r="G30" s="410">
        <v>4.4000000000000004</v>
      </c>
      <c r="H30" s="47">
        <f t="shared" si="8"/>
        <v>215.60000000000002</v>
      </c>
      <c r="I30" s="378">
        <f t="shared" si="1"/>
        <v>140.80000000000001</v>
      </c>
      <c r="J30" s="21">
        <f t="shared" si="2"/>
        <v>544.8511414646523</v>
      </c>
      <c r="K30" s="376">
        <f t="shared" si="3"/>
        <v>538.52142538259807</v>
      </c>
      <c r="L30" s="150">
        <f>'As-Filed Schedule 4'!H30</f>
        <v>26</v>
      </c>
      <c r="M30" s="388">
        <f>SUMIFS(Adjustments!$G:$G,Adjustments!$H:$H,"4",Adjustments!$I:$I,'Schedule 4 Adjustments'!$L$14,Adjustments!$J:$J,'Schedule 4 Adjustments'!$A30)</f>
        <v>17</v>
      </c>
      <c r="N30" s="380">
        <f t="shared" si="4"/>
        <v>43</v>
      </c>
      <c r="O30" s="410">
        <v>3.87</v>
      </c>
      <c r="P30" s="47">
        <f t="shared" si="9"/>
        <v>100.62</v>
      </c>
      <c r="Q30" s="378">
        <f t="shared" si="5"/>
        <v>166.41</v>
      </c>
      <c r="R30" s="21">
        <f t="shared" si="6"/>
        <v>479.22134487913729</v>
      </c>
      <c r="S30" s="376">
        <f t="shared" si="7"/>
        <v>473.65407187060327</v>
      </c>
    </row>
    <row r="31" spans="1:19" s="22" customFormat="1" x14ac:dyDescent="0.35">
      <c r="A31" s="19">
        <v>19</v>
      </c>
      <c r="B31" s="19">
        <v>90840</v>
      </c>
      <c r="C31" s="20" t="s">
        <v>328</v>
      </c>
      <c r="D31" s="116">
        <f>'As-Filed Schedule 4'!D31</f>
        <v>6</v>
      </c>
      <c r="E31" s="388">
        <f>SUMIFS(Adjustments!$G:$G,Adjustments!$H:$H,"4",Adjustments!$I:$I,'Schedule 4 Adjustments'!$D$14,Adjustments!$J:$J,'Schedule 4 Adjustments'!$A31)</f>
        <v>-5</v>
      </c>
      <c r="F31" s="380">
        <f t="shared" si="0"/>
        <v>1</v>
      </c>
      <c r="G31" s="410">
        <v>2.1800000000000002</v>
      </c>
      <c r="H31" s="47">
        <f t="shared" si="8"/>
        <v>13.080000000000002</v>
      </c>
      <c r="I31" s="378">
        <f t="shared" si="1"/>
        <v>2.1800000000000002</v>
      </c>
      <c r="J31" s="21">
        <f t="shared" si="2"/>
        <v>269.94897463475951</v>
      </c>
      <c r="K31" s="376">
        <f t="shared" si="3"/>
        <v>266.81288803046903</v>
      </c>
      <c r="L31" s="150">
        <f>'As-Filed Schedule 4'!H31</f>
        <v>1</v>
      </c>
      <c r="M31" s="388">
        <f>SUMIFS(Adjustments!$G:$G,Adjustments!$H:$H,"4",Adjustments!$I:$I,'Schedule 4 Adjustments'!$L$14,Adjustments!$J:$J,'Schedule 4 Adjustments'!$A31)</f>
        <v>5</v>
      </c>
      <c r="N31" s="380">
        <f t="shared" si="4"/>
        <v>6</v>
      </c>
      <c r="O31" s="410">
        <v>1.94</v>
      </c>
      <c r="P31" s="47">
        <f t="shared" si="9"/>
        <v>1.94</v>
      </c>
      <c r="Q31" s="378">
        <f>N31*O31</f>
        <v>11.64</v>
      </c>
      <c r="R31" s="21">
        <f t="shared" si="6"/>
        <v>240.22982146396029</v>
      </c>
      <c r="S31" s="376">
        <f t="shared" si="7"/>
        <v>237.43899210050913</v>
      </c>
    </row>
    <row r="32" spans="1:19" s="22" customFormat="1" x14ac:dyDescent="0.35">
      <c r="A32" s="19">
        <v>20</v>
      </c>
      <c r="B32" s="19">
        <v>90846</v>
      </c>
      <c r="C32" s="20" t="s">
        <v>113</v>
      </c>
      <c r="D32" s="116">
        <f>'As-Filed Schedule 4'!D32</f>
        <v>538</v>
      </c>
      <c r="E32" s="388">
        <f>SUMIFS(Adjustments!$G:$G,Adjustments!$H:$H,"4",Adjustments!$I:$I,'Schedule 4 Adjustments'!$D$14,Adjustments!$J:$J,'Schedule 4 Adjustments'!$A32)</f>
        <v>-253</v>
      </c>
      <c r="F32" s="380">
        <f t="shared" si="0"/>
        <v>285</v>
      </c>
      <c r="G32" s="410">
        <v>2.93</v>
      </c>
      <c r="H32" s="47">
        <f t="shared" si="8"/>
        <v>1576.3400000000001</v>
      </c>
      <c r="I32" s="378">
        <f t="shared" si="1"/>
        <v>835.05000000000007</v>
      </c>
      <c r="J32" s="21">
        <f t="shared" si="2"/>
        <v>362.82132829350707</v>
      </c>
      <c r="K32" s="376">
        <f t="shared" si="3"/>
        <v>358.60631281159368</v>
      </c>
      <c r="L32" s="150">
        <f>'As-Filed Schedule 4'!H32</f>
        <v>68</v>
      </c>
      <c r="M32" s="388">
        <f>SUMIFS(Adjustments!$G:$G,Adjustments!$H:$H,"4",Adjustments!$I:$I,'Schedule 4 Adjustments'!$L$14,Adjustments!$J:$J,'Schedule 4 Adjustments'!$A32)</f>
        <v>253</v>
      </c>
      <c r="N32" s="380">
        <f t="shared" si="4"/>
        <v>321</v>
      </c>
      <c r="O32" s="410">
        <v>2.92</v>
      </c>
      <c r="P32" s="47">
        <f t="shared" si="9"/>
        <v>198.56</v>
      </c>
      <c r="Q32" s="378">
        <f t="shared" si="5"/>
        <v>937.31999999999994</v>
      </c>
      <c r="R32" s="21">
        <f t="shared" si="6"/>
        <v>361.58303024472372</v>
      </c>
      <c r="S32" s="376">
        <f t="shared" si="7"/>
        <v>357.38240048117865</v>
      </c>
    </row>
    <row r="33" spans="1:19" s="22" customFormat="1" x14ac:dyDescent="0.35">
      <c r="A33" s="19">
        <v>21</v>
      </c>
      <c r="B33" s="19">
        <v>90847</v>
      </c>
      <c r="C33" s="20" t="s">
        <v>114</v>
      </c>
      <c r="D33" s="116">
        <f>'As-Filed Schedule 4'!D33</f>
        <v>1322</v>
      </c>
      <c r="E33" s="388">
        <f>SUMIFS(Adjustments!$G:$G,Adjustments!$H:$H,"4",Adjustments!$I:$I,'Schedule 4 Adjustments'!$D$14,Adjustments!$J:$J,'Schedule 4 Adjustments'!$A33)</f>
        <v>-812</v>
      </c>
      <c r="F33" s="380">
        <f t="shared" si="0"/>
        <v>510</v>
      </c>
      <c r="G33" s="410">
        <v>3.07</v>
      </c>
      <c r="H33" s="47">
        <f t="shared" si="8"/>
        <v>4058.54</v>
      </c>
      <c r="I33" s="378">
        <f t="shared" si="1"/>
        <v>1565.6999999999998</v>
      </c>
      <c r="J33" s="21">
        <f t="shared" si="2"/>
        <v>380.15750097647322</v>
      </c>
      <c r="K33" s="376">
        <f t="shared" si="3"/>
        <v>375.74108543740357</v>
      </c>
      <c r="L33" s="150">
        <f>'As-Filed Schedule 4'!H33</f>
        <v>182</v>
      </c>
      <c r="M33" s="388">
        <f>SUMIFS(Adjustments!$G:$G,Adjustments!$H:$H,"4",Adjustments!$I:$I,'Schedule 4 Adjustments'!$L$14,Adjustments!$J:$J,'Schedule 4 Adjustments'!$A33)</f>
        <v>812</v>
      </c>
      <c r="N33" s="380">
        <f t="shared" si="4"/>
        <v>994</v>
      </c>
      <c r="O33" s="410">
        <v>3.05</v>
      </c>
      <c r="P33" s="47">
        <f t="shared" si="9"/>
        <v>555.1</v>
      </c>
      <c r="Q33" s="378">
        <f t="shared" si="5"/>
        <v>3031.7</v>
      </c>
      <c r="R33" s="21">
        <f t="shared" si="6"/>
        <v>377.68090487890663</v>
      </c>
      <c r="S33" s="376">
        <f t="shared" si="7"/>
        <v>373.29326077657362</v>
      </c>
    </row>
    <row r="34" spans="1:19" s="22" customFormat="1" x14ac:dyDescent="0.35">
      <c r="A34" s="19">
        <v>22</v>
      </c>
      <c r="B34" s="19">
        <v>90849</v>
      </c>
      <c r="C34" s="20" t="s">
        <v>115</v>
      </c>
      <c r="D34" s="116">
        <f>'As-Filed Schedule 4'!D34</f>
        <v>8</v>
      </c>
      <c r="E34" s="388">
        <f>SUMIFS(Adjustments!$G:$G,Adjustments!$H:$H,"4",Adjustments!$I:$I,'Schedule 4 Adjustments'!$D$14,Adjustments!$J:$J,'Schedule 4 Adjustments'!$A34)</f>
        <v>0</v>
      </c>
      <c r="F34" s="380">
        <f t="shared" si="0"/>
        <v>8</v>
      </c>
      <c r="G34" s="410">
        <v>1.1299999999999999</v>
      </c>
      <c r="H34" s="47">
        <f t="shared" si="8"/>
        <v>9.0399999999999991</v>
      </c>
      <c r="I34" s="378">
        <f t="shared" si="1"/>
        <v>9.0399999999999991</v>
      </c>
      <c r="J34" s="21">
        <f t="shared" si="2"/>
        <v>139.92767951251295</v>
      </c>
      <c r="K34" s="376">
        <f t="shared" si="3"/>
        <v>138.30209333689447</v>
      </c>
      <c r="L34" s="150">
        <f>'As-Filed Schedule 4'!H34</f>
        <v>10</v>
      </c>
      <c r="M34" s="388">
        <f>SUMIFS(Adjustments!$G:$G,Adjustments!$H:$H,"4",Adjustments!$I:$I,'Schedule 4 Adjustments'!$L$14,Adjustments!$J:$J,'Schedule 4 Adjustments'!$A34)</f>
        <v>0</v>
      </c>
      <c r="N34" s="380">
        <f t="shared" si="4"/>
        <v>10</v>
      </c>
      <c r="O34" s="410">
        <v>0.88</v>
      </c>
      <c r="P34" s="47">
        <f t="shared" si="9"/>
        <v>8.8000000000000007</v>
      </c>
      <c r="Q34" s="378">
        <f t="shared" si="5"/>
        <v>8.8000000000000007</v>
      </c>
      <c r="R34" s="21">
        <f t="shared" si="6"/>
        <v>108.97022829293044</v>
      </c>
      <c r="S34" s="376">
        <f t="shared" si="7"/>
        <v>107.7042850765196</v>
      </c>
    </row>
    <row r="35" spans="1:19" s="22" customFormat="1" x14ac:dyDescent="0.35">
      <c r="A35" s="19">
        <v>23</v>
      </c>
      <c r="B35" s="19">
        <v>90853</v>
      </c>
      <c r="C35" s="20" t="s">
        <v>116</v>
      </c>
      <c r="D35" s="116">
        <f>'As-Filed Schedule 4'!D35</f>
        <v>8627</v>
      </c>
      <c r="E35" s="388">
        <f>SUMIFS(Adjustments!$G:$G,Adjustments!$H:$H,"4",Adjustments!$I:$I,'Schedule 4 Adjustments'!$D$14,Adjustments!$J:$J,'Schedule 4 Adjustments'!$A35)</f>
        <v>-4447</v>
      </c>
      <c r="F35" s="380">
        <f t="shared" si="0"/>
        <v>4180</v>
      </c>
      <c r="G35" s="410">
        <v>0.83</v>
      </c>
      <c r="H35" s="47">
        <f t="shared" si="8"/>
        <v>7160.41</v>
      </c>
      <c r="I35" s="378">
        <f t="shared" si="1"/>
        <v>3469.3999999999996</v>
      </c>
      <c r="J35" s="21">
        <f t="shared" si="2"/>
        <v>102.77873804901394</v>
      </c>
      <c r="K35" s="376">
        <f t="shared" si="3"/>
        <v>101.58472342444462</v>
      </c>
      <c r="L35" s="150">
        <f>'As-Filed Schedule 4'!H35</f>
        <v>3966</v>
      </c>
      <c r="M35" s="388">
        <f>SUMIFS(Adjustments!$G:$G,Adjustments!$H:$H,"4",Adjustments!$I:$I,'Schedule 4 Adjustments'!$L$14,Adjustments!$J:$J,'Schedule 4 Adjustments'!$A35)</f>
        <v>4446</v>
      </c>
      <c r="N35" s="380">
        <f t="shared" si="4"/>
        <v>8412</v>
      </c>
      <c r="O35" s="410">
        <v>0.72</v>
      </c>
      <c r="P35" s="47">
        <f t="shared" si="9"/>
        <v>2855.52</v>
      </c>
      <c r="Q35" s="378">
        <f t="shared" si="5"/>
        <v>6056.6399999999994</v>
      </c>
      <c r="R35" s="21">
        <f t="shared" si="6"/>
        <v>89.157459512397637</v>
      </c>
      <c r="S35" s="376">
        <f t="shared" si="7"/>
        <v>88.121687789879672</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641.43838926974968</v>
      </c>
      <c r="K36" s="376">
        <f t="shared" si="3"/>
        <v>633.98658715496765</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386.34899122038979</v>
      </c>
      <c r="S36" s="376">
        <f t="shared" si="7"/>
        <v>381.86064708947862</v>
      </c>
    </row>
    <row r="37" spans="1:19" s="22" customFormat="1" x14ac:dyDescent="0.35">
      <c r="A37" s="19">
        <v>25</v>
      </c>
      <c r="B37" s="19">
        <v>90875</v>
      </c>
      <c r="C37" s="20" t="s">
        <v>152</v>
      </c>
      <c r="D37" s="116">
        <f>'As-Filed Schedule 4'!D37</f>
        <v>36</v>
      </c>
      <c r="E37" s="388">
        <f>SUMIFS(Adjustments!$G:$G,Adjustments!$H:$H,"4",Adjustments!$I:$I,'Schedule 4 Adjustments'!$D$14,Adjustments!$J:$J,'Schedule 4 Adjustments'!$A37)</f>
        <v>-32</v>
      </c>
      <c r="F37" s="380">
        <f t="shared" si="0"/>
        <v>4</v>
      </c>
      <c r="G37" s="410">
        <v>1.75</v>
      </c>
      <c r="H37" s="47">
        <f t="shared" si="8"/>
        <v>63</v>
      </c>
      <c r="I37" s="378">
        <f t="shared" si="1"/>
        <v>7</v>
      </c>
      <c r="J37" s="21">
        <f t="shared" si="2"/>
        <v>216.70215853707759</v>
      </c>
      <c r="K37" s="376">
        <f t="shared" si="3"/>
        <v>214.18465782262422</v>
      </c>
      <c r="L37" s="150">
        <f>'As-Filed Schedule 4'!H37</f>
        <v>15</v>
      </c>
      <c r="M37" s="388">
        <f>SUMIFS(Adjustments!$G:$G,Adjustments!$H:$H,"4",Adjustments!$I:$I,'Schedule 4 Adjustments'!$L$14,Adjustments!$J:$J,'Schedule 4 Adjustments'!$A37)</f>
        <v>32</v>
      </c>
      <c r="N37" s="380">
        <f t="shared" si="4"/>
        <v>47</v>
      </c>
      <c r="O37" s="410">
        <v>1.74</v>
      </c>
      <c r="P37" s="47">
        <f t="shared" si="9"/>
        <v>26.1</v>
      </c>
      <c r="Q37" s="378">
        <f t="shared" si="5"/>
        <v>81.78</v>
      </c>
      <c r="R37" s="21">
        <f t="shared" si="6"/>
        <v>215.4638604882943</v>
      </c>
      <c r="S37" s="376">
        <f t="shared" si="7"/>
        <v>212.96074549220921</v>
      </c>
    </row>
    <row r="38" spans="1:19" s="22" customFormat="1" x14ac:dyDescent="0.35">
      <c r="A38" s="19">
        <v>26</v>
      </c>
      <c r="B38" s="19">
        <v>90876</v>
      </c>
      <c r="C38" s="20" t="s">
        <v>153</v>
      </c>
      <c r="D38" s="116">
        <f>'As-Filed Schedule 4'!D38</f>
        <v>839</v>
      </c>
      <c r="E38" s="388">
        <f>SUMIFS(Adjustments!$G:$G,Adjustments!$H:$H,"4",Adjustments!$I:$I,'Schedule 4 Adjustments'!$D$14,Adjustments!$J:$J,'Schedule 4 Adjustments'!$A38)</f>
        <v>-799</v>
      </c>
      <c r="F38" s="380">
        <f t="shared" si="0"/>
        <v>40</v>
      </c>
      <c r="G38" s="410">
        <v>3.08</v>
      </c>
      <c r="H38" s="47">
        <f t="shared" si="8"/>
        <v>2584.12</v>
      </c>
      <c r="I38" s="378">
        <f t="shared" si="1"/>
        <v>123.2</v>
      </c>
      <c r="J38" s="21">
        <f t="shared" si="2"/>
        <v>381.39579902525657</v>
      </c>
      <c r="K38" s="376">
        <f t="shared" si="3"/>
        <v>376.9649977678186</v>
      </c>
      <c r="L38" s="150">
        <f>'As-Filed Schedule 4'!H38</f>
        <v>665</v>
      </c>
      <c r="M38" s="388">
        <f>SUMIFS(Adjustments!$G:$G,Adjustments!$H:$H,"4",Adjustments!$I:$I,'Schedule 4 Adjustments'!$L$14,Adjustments!$J:$J,'Schedule 4 Adjustments'!$A38)</f>
        <v>799</v>
      </c>
      <c r="N38" s="380">
        <f t="shared" si="4"/>
        <v>1464</v>
      </c>
      <c r="O38" s="410">
        <v>2.76</v>
      </c>
      <c r="P38" s="47">
        <f t="shared" si="9"/>
        <v>1835.3999999999999</v>
      </c>
      <c r="Q38" s="378">
        <f t="shared" si="5"/>
        <v>4040.64</v>
      </c>
      <c r="R38" s="21">
        <f t="shared" si="6"/>
        <v>341.77026146419092</v>
      </c>
      <c r="S38" s="376">
        <f t="shared" si="7"/>
        <v>337.7998031945387</v>
      </c>
    </row>
    <row r="39" spans="1:19" s="22" customFormat="1" x14ac:dyDescent="0.35">
      <c r="A39" s="19">
        <v>27</v>
      </c>
      <c r="B39" s="19">
        <v>90887</v>
      </c>
      <c r="C39" s="20" t="s">
        <v>330</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317.00430048852496</v>
      </c>
      <c r="K39" s="376">
        <f t="shared" si="3"/>
        <v>313.32155658623884</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264.99578243962634</v>
      </c>
      <c r="S39" s="376">
        <f t="shared" si="7"/>
        <v>261.91723870880907</v>
      </c>
    </row>
    <row r="40" spans="1:19" s="22" customFormat="1" x14ac:dyDescent="0.35">
      <c r="A40" s="19">
        <v>28</v>
      </c>
      <c r="B40" s="19">
        <v>96116</v>
      </c>
      <c r="C40" s="20" t="s">
        <v>341</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341.77026146419092</v>
      </c>
      <c r="K40" s="376">
        <f t="shared" si="3"/>
        <v>337.7998031945387</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293.47663756164224</v>
      </c>
      <c r="S40" s="376">
        <f t="shared" si="7"/>
        <v>290.06722230835396</v>
      </c>
    </row>
    <row r="41" spans="1:19" s="22" customFormat="1" x14ac:dyDescent="0.35">
      <c r="A41" s="19">
        <v>29</v>
      </c>
      <c r="B41" s="19">
        <v>96121</v>
      </c>
      <c r="C41" s="20" t="s">
        <v>340</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278.61706097624261</v>
      </c>
      <c r="K41" s="376">
        <f t="shared" si="3"/>
        <v>275.38027434337397</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243.9447156103102</v>
      </c>
      <c r="S41" s="376">
        <f t="shared" si="7"/>
        <v>241.11072909175411</v>
      </c>
    </row>
    <row r="42" spans="1:19" s="22" customFormat="1" x14ac:dyDescent="0.35">
      <c r="A42" s="19">
        <v>30</v>
      </c>
      <c r="B42" s="19">
        <v>96130</v>
      </c>
      <c r="C42" s="20" t="s">
        <v>338</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445.78729756198817</v>
      </c>
      <c r="K42" s="376">
        <f t="shared" si="3"/>
        <v>440.60843894939836</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402.44686585457265</v>
      </c>
      <c r="S42" s="376">
        <f t="shared" si="7"/>
        <v>397.77150738487353</v>
      </c>
    </row>
    <row r="43" spans="1:19" s="22" customFormat="1" x14ac:dyDescent="0.35">
      <c r="A43" s="19">
        <v>31</v>
      </c>
      <c r="B43" s="19">
        <v>96131</v>
      </c>
      <c r="C43" s="20" t="s">
        <v>339</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318.2425985373082</v>
      </c>
      <c r="K43" s="376">
        <f t="shared" si="3"/>
        <v>314.54546891665382</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278.61706097624261</v>
      </c>
      <c r="S43" s="376">
        <f t="shared" si="7"/>
        <v>275.38027434337397</v>
      </c>
    </row>
    <row r="44" spans="1:19" s="22" customFormat="1" x14ac:dyDescent="0.35">
      <c r="A44" s="19">
        <v>32</v>
      </c>
      <c r="B44" s="19">
        <v>96132</v>
      </c>
      <c r="C44" s="20" t="s">
        <v>332</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476.74474878157071</v>
      </c>
      <c r="K44" s="376">
        <f t="shared" si="3"/>
        <v>471.20624720977327</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388.82558731795638</v>
      </c>
      <c r="S44" s="376">
        <f t="shared" si="7"/>
        <v>384.30847175030857</v>
      </c>
    </row>
    <row r="45" spans="1:19" s="22" customFormat="1" x14ac:dyDescent="0.35">
      <c r="A45" s="19">
        <v>33</v>
      </c>
      <c r="B45" s="19">
        <v>96133</v>
      </c>
      <c r="C45" s="20" t="s">
        <v>333</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361.58303024472372</v>
      </c>
      <c r="K45" s="376">
        <f t="shared" si="3"/>
        <v>357.38240048117865</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279.8553590250259</v>
      </c>
      <c r="S45" s="376">
        <f t="shared" si="7"/>
        <v>276.60418667378894</v>
      </c>
    </row>
    <row r="46" spans="1:19" s="22" customFormat="1" x14ac:dyDescent="0.35">
      <c r="A46" s="19">
        <v>34</v>
      </c>
      <c r="B46" s="19">
        <v>96136</v>
      </c>
      <c r="C46" s="20" t="s">
        <v>334</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154.78725609791258</v>
      </c>
      <c r="K46" s="376">
        <f t="shared" si="3"/>
        <v>152.98904130187444</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85.442565366047731</v>
      </c>
      <c r="S46" s="376">
        <f t="shared" si="7"/>
        <v>84.449950798634674</v>
      </c>
    </row>
    <row r="47" spans="1:19" s="22" customFormat="1" x14ac:dyDescent="0.35">
      <c r="A47" s="19">
        <v>35</v>
      </c>
      <c r="B47" s="19">
        <v>96137</v>
      </c>
      <c r="C47" s="20" t="s">
        <v>335</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139.92767951251295</v>
      </c>
      <c r="K47" s="376">
        <f t="shared" si="3"/>
        <v>138.30209333689447</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65.629796585514924</v>
      </c>
      <c r="S47" s="376">
        <f t="shared" si="7"/>
        <v>64.867353511994764</v>
      </c>
    </row>
    <row r="48" spans="1:19" s="22" customFormat="1" x14ac:dyDescent="0.35">
      <c r="A48" s="19">
        <v>36</v>
      </c>
      <c r="B48" s="19">
        <v>96138</v>
      </c>
      <c r="C48" s="20" t="s">
        <v>336</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127.54469902467996</v>
      </c>
      <c r="K48" s="376">
        <f t="shared" si="3"/>
        <v>126.06297003274453</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70.582988780648122</v>
      </c>
      <c r="S48" s="376">
        <f t="shared" si="7"/>
        <v>69.763002833654738</v>
      </c>
    </row>
    <row r="49" spans="1:19" s="22" customFormat="1" x14ac:dyDescent="0.35">
      <c r="A49" s="19">
        <v>37</v>
      </c>
      <c r="B49" s="19">
        <v>96139</v>
      </c>
      <c r="C49" s="20" t="s">
        <v>337</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131.25959317102985</v>
      </c>
      <c r="K49" s="376">
        <f t="shared" si="3"/>
        <v>129.73470702398953</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61.914902439165026</v>
      </c>
      <c r="S49" s="376">
        <f t="shared" si="7"/>
        <v>61.195616520749773</v>
      </c>
    </row>
    <row r="50" spans="1:19" s="22" customFormat="1" x14ac:dyDescent="0.35">
      <c r="A50" s="19">
        <v>38</v>
      </c>
      <c r="B50" s="19">
        <v>96146</v>
      </c>
      <c r="C50" s="20" t="s">
        <v>331</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8.6680863414831038</v>
      </c>
      <c r="K50" s="376">
        <f t="shared" si="3"/>
        <v>8.5673863129049685</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8.6680863414831038</v>
      </c>
      <c r="S50" s="376">
        <f t="shared" si="7"/>
        <v>8.5673863129049685</v>
      </c>
    </row>
    <row r="51" spans="1:19" s="22" customFormat="1" x14ac:dyDescent="0.35">
      <c r="A51" s="19">
        <v>39</v>
      </c>
      <c r="B51" s="19">
        <v>96372</v>
      </c>
      <c r="C51" s="20" t="s">
        <v>118</v>
      </c>
      <c r="D51" s="116">
        <f>'As-Filed Schedule 4'!D51</f>
        <v>883</v>
      </c>
      <c r="E51" s="388">
        <f>SUMIFS(Adjustments!$G:$G,Adjustments!$H:$H,"4",Adjustments!$I:$I,'Schedule 4 Adjustments'!$D$14,Adjustments!$J:$J,'Schedule 4 Adjustments'!$A51)</f>
        <v>-726</v>
      </c>
      <c r="F51" s="380">
        <f t="shared" si="0"/>
        <v>157</v>
      </c>
      <c r="G51" s="410">
        <v>0.43</v>
      </c>
      <c r="H51" s="47">
        <f t="shared" si="8"/>
        <v>379.69</v>
      </c>
      <c r="I51" s="378">
        <f t="shared" si="1"/>
        <v>67.510000000000005</v>
      </c>
      <c r="J51" s="21">
        <f t="shared" si="2"/>
        <v>53.246816097681922</v>
      </c>
      <c r="K51" s="376">
        <f t="shared" si="3"/>
        <v>52.628230207844801</v>
      </c>
      <c r="L51" s="150">
        <f>'As-Filed Schedule 4'!H51</f>
        <v>1436</v>
      </c>
      <c r="M51" s="388">
        <f>SUMIFS(Adjustments!$G:$G,Adjustments!$H:$H,"4",Adjustments!$I:$I,'Schedule 4 Adjustments'!$L$14,Adjustments!$J:$J,'Schedule 4 Adjustments'!$A51)</f>
        <v>726</v>
      </c>
      <c r="N51" s="380">
        <f t="shared" si="4"/>
        <v>2162</v>
      </c>
      <c r="O51" s="410">
        <v>0.43</v>
      </c>
      <c r="P51" s="47">
        <f t="shared" si="9"/>
        <v>617.48</v>
      </c>
      <c r="Q51" s="378">
        <f t="shared" si="5"/>
        <v>929.66</v>
      </c>
      <c r="R51" s="21">
        <f t="shared" si="6"/>
        <v>53.246816097681922</v>
      </c>
      <c r="S51" s="376">
        <f t="shared" si="7"/>
        <v>52.628230207844801</v>
      </c>
    </row>
    <row r="52" spans="1:19" s="22" customFormat="1" x14ac:dyDescent="0.35">
      <c r="A52" s="19">
        <v>40</v>
      </c>
      <c r="B52" s="19">
        <v>97535</v>
      </c>
      <c r="C52" s="20" t="s">
        <v>119</v>
      </c>
      <c r="D52" s="116">
        <f>'As-Filed Schedule 4'!D52</f>
        <v>6</v>
      </c>
      <c r="E52" s="388">
        <f>SUMIFS(Adjustments!$G:$G,Adjustments!$H:$H,"4",Adjustments!$I:$I,'Schedule 4 Adjustments'!$D$14,Adjustments!$J:$J,'Schedule 4 Adjustments'!$A52)</f>
        <v>-6</v>
      </c>
      <c r="F52" s="380">
        <f t="shared" si="0"/>
        <v>0</v>
      </c>
      <c r="G52" s="410">
        <v>0.98</v>
      </c>
      <c r="H52" s="47">
        <f t="shared" si="8"/>
        <v>5.88</v>
      </c>
      <c r="I52" s="378">
        <f t="shared" si="1"/>
        <v>0</v>
      </c>
      <c r="J52" s="21">
        <f t="shared" si="2"/>
        <v>121.35320878076345</v>
      </c>
      <c r="K52" s="376">
        <f t="shared" si="3"/>
        <v>119.94340838066955</v>
      </c>
      <c r="L52" s="150">
        <f>'As-Filed Schedule 4'!H52</f>
        <v>0</v>
      </c>
      <c r="M52" s="388">
        <f>SUMIFS(Adjustments!$G:$G,Adjustments!$H:$H,"4",Adjustments!$I:$I,'Schedule 4 Adjustments'!$L$14,Adjustments!$J:$J,'Schedule 4 Adjustments'!$A52)</f>
        <v>6</v>
      </c>
      <c r="N52" s="380">
        <f t="shared" si="4"/>
        <v>6</v>
      </c>
      <c r="O52" s="410">
        <v>0.98</v>
      </c>
      <c r="P52" s="47">
        <f t="shared" si="9"/>
        <v>0</v>
      </c>
      <c r="Q52" s="378">
        <f t="shared" si="5"/>
        <v>5.88</v>
      </c>
      <c r="R52" s="21">
        <f t="shared" si="6"/>
        <v>121.35320878076345</v>
      </c>
      <c r="S52" s="376">
        <f t="shared" si="7"/>
        <v>119.94340838066955</v>
      </c>
    </row>
    <row r="53" spans="1:19" s="22" customFormat="1" x14ac:dyDescent="0.35">
      <c r="A53" s="19">
        <v>41</v>
      </c>
      <c r="B53" s="19">
        <v>97537</v>
      </c>
      <c r="C53" s="20" t="s">
        <v>120</v>
      </c>
      <c r="D53" s="116">
        <f>'As-Filed Schedule 4'!D53</f>
        <v>0</v>
      </c>
      <c r="E53" s="388">
        <f>SUMIFS(Adjustments!$G:$G,Adjustments!$H:$H,"4",Adjustments!$I:$I,'Schedule 4 Adjustments'!$D$14,Adjustments!$J:$J,'Schedule 4 Adjustments'!$A53)</f>
        <v>0</v>
      </c>
      <c r="F53" s="380">
        <f t="shared" si="0"/>
        <v>0</v>
      </c>
      <c r="G53" s="410">
        <v>0.95</v>
      </c>
      <c r="H53" s="47">
        <f t="shared" si="8"/>
        <v>0</v>
      </c>
      <c r="I53" s="378">
        <f t="shared" si="1"/>
        <v>0</v>
      </c>
      <c r="J53" s="21">
        <f t="shared" si="2"/>
        <v>117.63831463441355</v>
      </c>
      <c r="K53" s="376">
        <f t="shared" si="3"/>
        <v>116.27167138942457</v>
      </c>
      <c r="L53" s="150">
        <f>'As-Filed Schedule 4'!H53</f>
        <v>0</v>
      </c>
      <c r="M53" s="388">
        <f>SUMIFS(Adjustments!$G:$G,Adjustments!$H:$H,"4",Adjustments!$I:$I,'Schedule 4 Adjustments'!$L$14,Adjustments!$J:$J,'Schedule 4 Adjustments'!$A53)</f>
        <v>0</v>
      </c>
      <c r="N53" s="380">
        <f t="shared" si="4"/>
        <v>0</v>
      </c>
      <c r="O53" s="410">
        <v>0.95</v>
      </c>
      <c r="P53" s="47">
        <f t="shared" si="9"/>
        <v>0</v>
      </c>
      <c r="Q53" s="378">
        <f t="shared" si="5"/>
        <v>0</v>
      </c>
      <c r="R53" s="21">
        <f t="shared" si="6"/>
        <v>117.63831463441355</v>
      </c>
      <c r="S53" s="376">
        <f t="shared" si="7"/>
        <v>116.27167138942457</v>
      </c>
    </row>
    <row r="54" spans="1:19" s="22" customFormat="1" x14ac:dyDescent="0.35">
      <c r="A54" s="19">
        <v>42</v>
      </c>
      <c r="B54" s="19">
        <v>98966</v>
      </c>
      <c r="C54" s="20" t="s">
        <v>342</v>
      </c>
      <c r="D54" s="116">
        <f>'As-Filed Schedule 4'!D54</f>
        <v>21</v>
      </c>
      <c r="E54" s="388">
        <f>SUMIFS(Adjustments!$G:$G,Adjustments!$H:$H,"4",Adjustments!$I:$I,'Schedule 4 Adjustments'!$D$14,Adjustments!$J:$J,'Schedule 4 Adjustments'!$A54)</f>
        <v>-20</v>
      </c>
      <c r="F54" s="380">
        <f t="shared" si="0"/>
        <v>1</v>
      </c>
      <c r="G54" s="410">
        <v>0.39</v>
      </c>
      <c r="H54" s="47">
        <f t="shared" si="8"/>
        <v>8.19</v>
      </c>
      <c r="I54" s="378">
        <f t="shared" si="1"/>
        <v>0.39</v>
      </c>
      <c r="J54" s="21">
        <f t="shared" si="2"/>
        <v>48.293623902548724</v>
      </c>
      <c r="K54" s="376">
        <f t="shared" si="3"/>
        <v>47.732580886184827</v>
      </c>
      <c r="L54" s="150">
        <f>'As-Filed Schedule 4'!H54</f>
        <v>0</v>
      </c>
      <c r="M54" s="388">
        <f>SUMIFS(Adjustments!$G:$G,Adjustments!$H:$H,"4",Adjustments!$I:$I,'Schedule 4 Adjustments'!$L$14,Adjustments!$J:$J,'Schedule 4 Adjustments'!$A54)</f>
        <v>20</v>
      </c>
      <c r="N54" s="380">
        <f t="shared" si="4"/>
        <v>20</v>
      </c>
      <c r="O54" s="410">
        <v>0.34</v>
      </c>
      <c r="P54" s="47">
        <f t="shared" si="9"/>
        <v>0</v>
      </c>
      <c r="Q54" s="378">
        <f t="shared" si="5"/>
        <v>6.8000000000000007</v>
      </c>
      <c r="R54" s="21">
        <f t="shared" si="6"/>
        <v>42.102133658632219</v>
      </c>
      <c r="S54" s="376">
        <f t="shared" si="7"/>
        <v>41.613019234109849</v>
      </c>
    </row>
    <row r="55" spans="1:19" s="22" customFormat="1" x14ac:dyDescent="0.35">
      <c r="A55" s="19">
        <v>43</v>
      </c>
      <c r="B55" s="19">
        <v>98967</v>
      </c>
      <c r="C55" s="20" t="s">
        <v>343</v>
      </c>
      <c r="D55" s="116">
        <f>'As-Filed Schedule 4'!D55</f>
        <v>12</v>
      </c>
      <c r="E55" s="388">
        <f>SUMIFS(Adjustments!$G:$G,Adjustments!$H:$H,"4",Adjustments!$I:$I,'Schedule 4 Adjustments'!$D$14,Adjustments!$J:$J,'Schedule 4 Adjustments'!$A55)</f>
        <v>-11</v>
      </c>
      <c r="F55" s="380">
        <f t="shared" si="0"/>
        <v>1</v>
      </c>
      <c r="G55" s="410">
        <v>0.72</v>
      </c>
      <c r="H55" s="47">
        <f t="shared" si="8"/>
        <v>8.64</v>
      </c>
      <c r="I55" s="378">
        <f t="shared" si="1"/>
        <v>0.72</v>
      </c>
      <c r="J55" s="21">
        <f t="shared" si="2"/>
        <v>89.157459512397637</v>
      </c>
      <c r="K55" s="376">
        <f t="shared" si="3"/>
        <v>88.121687789879672</v>
      </c>
      <c r="L55" s="150">
        <f>'As-Filed Schedule 4'!H55</f>
        <v>0</v>
      </c>
      <c r="M55" s="388">
        <f>SUMIFS(Adjustments!$G:$G,Adjustments!$H:$H,"4",Adjustments!$I:$I,'Schedule 4 Adjustments'!$L$14,Adjustments!$J:$J,'Schedule 4 Adjustments'!$A55)</f>
        <v>11</v>
      </c>
      <c r="N55" s="380">
        <f t="shared" si="4"/>
        <v>11</v>
      </c>
      <c r="O55" s="410">
        <v>0.66</v>
      </c>
      <c r="P55" s="47">
        <f t="shared" si="9"/>
        <v>0</v>
      </c>
      <c r="Q55" s="378">
        <f t="shared" si="5"/>
        <v>7.2600000000000007</v>
      </c>
      <c r="R55" s="21">
        <f t="shared" si="6"/>
        <v>81.727671219697839</v>
      </c>
      <c r="S55" s="376">
        <f t="shared" si="7"/>
        <v>80.778213807389704</v>
      </c>
    </row>
    <row r="56" spans="1:19" s="22" customFormat="1" x14ac:dyDescent="0.35">
      <c r="A56" s="19">
        <v>44</v>
      </c>
      <c r="B56" s="19">
        <v>98968</v>
      </c>
      <c r="C56" s="20" t="s">
        <v>344</v>
      </c>
      <c r="D56" s="116">
        <f>'As-Filed Schedule 4'!D56</f>
        <v>8</v>
      </c>
      <c r="E56" s="388">
        <f>SUMIFS(Adjustments!$G:$G,Adjustments!$H:$H,"4",Adjustments!$I:$I,'Schedule 4 Adjustments'!$D$14,Adjustments!$J:$J,'Schedule 4 Adjustments'!$A56)</f>
        <v>-8</v>
      </c>
      <c r="F56" s="380">
        <f t="shared" si="0"/>
        <v>0</v>
      </c>
      <c r="G56" s="410">
        <v>0.99</v>
      </c>
      <c r="H56" s="47">
        <f t="shared" si="8"/>
        <v>7.92</v>
      </c>
      <c r="I56" s="378">
        <f t="shared" si="1"/>
        <v>0</v>
      </c>
      <c r="J56" s="21">
        <f t="shared" si="2"/>
        <v>122.59150682954674</v>
      </c>
      <c r="K56" s="376">
        <f t="shared" si="3"/>
        <v>121.16732071108456</v>
      </c>
      <c r="L56" s="150">
        <f>'As-Filed Schedule 4'!H56</f>
        <v>0</v>
      </c>
      <c r="M56" s="388">
        <f>SUMIFS(Adjustments!$G:$G,Adjustments!$H:$H,"4",Adjustments!$I:$I,'Schedule 4 Adjustments'!$L$14,Adjustments!$J:$J,'Schedule 4 Adjustments'!$A56)</f>
        <v>8</v>
      </c>
      <c r="N56" s="380">
        <f t="shared" si="4"/>
        <v>8</v>
      </c>
      <c r="O56" s="410">
        <v>0.92</v>
      </c>
      <c r="P56" s="47">
        <f t="shared" si="9"/>
        <v>0</v>
      </c>
      <c r="Q56" s="378">
        <f t="shared" si="5"/>
        <v>7.36</v>
      </c>
      <c r="R56" s="21">
        <f t="shared" si="6"/>
        <v>113.92342048806366</v>
      </c>
      <c r="S56" s="376">
        <f t="shared" si="7"/>
        <v>112.59993439817958</v>
      </c>
    </row>
    <row r="57" spans="1:19" s="22" customFormat="1" x14ac:dyDescent="0.35">
      <c r="A57" s="19">
        <v>45</v>
      </c>
      <c r="B57" s="19">
        <v>99202</v>
      </c>
      <c r="C57" s="20" t="s">
        <v>154</v>
      </c>
      <c r="D57" s="116">
        <f>'As-Filed Schedule 4'!D57</f>
        <v>14</v>
      </c>
      <c r="E57" s="388">
        <f>SUMIFS(Adjustments!$G:$G,Adjustments!$H:$H,"4",Adjustments!$I:$I,'Schedule 4 Adjustments'!$D$14,Adjustments!$J:$J,'Schedule 4 Adjustments'!$A57)</f>
        <v>-14</v>
      </c>
      <c r="F57" s="380">
        <f t="shared" si="0"/>
        <v>0</v>
      </c>
      <c r="G57" s="410">
        <v>2.17</v>
      </c>
      <c r="H57" s="47">
        <f t="shared" si="8"/>
        <v>30.38</v>
      </c>
      <c r="I57" s="378">
        <f t="shared" si="1"/>
        <v>0</v>
      </c>
      <c r="J57" s="21">
        <f t="shared" si="2"/>
        <v>268.71067658597622</v>
      </c>
      <c r="K57" s="376">
        <f t="shared" si="3"/>
        <v>265.58897570005399</v>
      </c>
      <c r="L57" s="150">
        <f>'As-Filed Schedule 4'!H57</f>
        <v>56</v>
      </c>
      <c r="M57" s="388">
        <f>SUMIFS(Adjustments!$G:$G,Adjustments!$H:$H,"4",Adjustments!$I:$I,'Schedule 4 Adjustments'!$L$14,Adjustments!$J:$J,'Schedule 4 Adjustments'!$A57)</f>
        <v>14</v>
      </c>
      <c r="N57" s="380">
        <f t="shared" si="4"/>
        <v>70</v>
      </c>
      <c r="O57" s="410">
        <v>1.41</v>
      </c>
      <c r="P57" s="47">
        <f t="shared" si="9"/>
        <v>78.959999999999994</v>
      </c>
      <c r="Q57" s="378">
        <f t="shared" si="5"/>
        <v>98.699999999999989</v>
      </c>
      <c r="R57" s="21">
        <f t="shared" si="6"/>
        <v>174.60002487844537</v>
      </c>
      <c r="S57" s="376">
        <f t="shared" si="7"/>
        <v>172.57163858851436</v>
      </c>
    </row>
    <row r="58" spans="1:19" s="22" customFormat="1" x14ac:dyDescent="0.35">
      <c r="A58" s="19">
        <v>46</v>
      </c>
      <c r="B58" s="19">
        <v>99203</v>
      </c>
      <c r="C58" s="20" t="s">
        <v>154</v>
      </c>
      <c r="D58" s="116">
        <f>'As-Filed Schedule 4'!D58</f>
        <v>110</v>
      </c>
      <c r="E58" s="388">
        <f>SUMIFS(Adjustments!$G:$G,Adjustments!$H:$H,"4",Adjustments!$I:$I,'Schedule 4 Adjustments'!$D$14,Adjustments!$J:$J,'Schedule 4 Adjustments'!$A58)</f>
        <v>-106</v>
      </c>
      <c r="F58" s="380">
        <f t="shared" si="0"/>
        <v>4</v>
      </c>
      <c r="G58" s="410">
        <v>3.35</v>
      </c>
      <c r="H58" s="47">
        <f t="shared" si="8"/>
        <v>368.5</v>
      </c>
      <c r="I58" s="378">
        <f t="shared" si="1"/>
        <v>13.4</v>
      </c>
      <c r="J58" s="21">
        <f t="shared" si="2"/>
        <v>414.82984634240569</v>
      </c>
      <c r="K58" s="376">
        <f t="shared" si="3"/>
        <v>410.01063068902351</v>
      </c>
      <c r="L58" s="150">
        <f>'As-Filed Schedule 4'!H58</f>
        <v>261</v>
      </c>
      <c r="M58" s="388">
        <f>SUMIFS(Adjustments!$G:$G,Adjustments!$H:$H,"4",Adjustments!$I:$I,'Schedule 4 Adjustments'!$L$14,Adjustments!$J:$J,'Schedule 4 Adjustments'!$A58)</f>
        <v>104</v>
      </c>
      <c r="N58" s="380">
        <f t="shared" si="4"/>
        <v>365</v>
      </c>
      <c r="O58" s="410">
        <v>2.44</v>
      </c>
      <c r="P58" s="47">
        <f t="shared" si="9"/>
        <v>636.84</v>
      </c>
      <c r="Q58" s="378">
        <f t="shared" si="5"/>
        <v>890.6</v>
      </c>
      <c r="R58" s="21">
        <f t="shared" si="6"/>
        <v>302.14472390312534</v>
      </c>
      <c r="S58" s="376">
        <f t="shared" si="7"/>
        <v>298.63460862125891</v>
      </c>
    </row>
    <row r="59" spans="1:19" s="22" customFormat="1" x14ac:dyDescent="0.35">
      <c r="A59" s="19">
        <v>47</v>
      </c>
      <c r="B59" s="19">
        <v>99204</v>
      </c>
      <c r="C59" s="20" t="s">
        <v>154</v>
      </c>
      <c r="D59" s="116">
        <f>'As-Filed Schedule 4'!D59</f>
        <v>253</v>
      </c>
      <c r="E59" s="388">
        <f>SUMIFS(Adjustments!$G:$G,Adjustments!$H:$H,"4",Adjustments!$I:$I,'Schedule 4 Adjustments'!$D$14,Adjustments!$J:$J,'Schedule 4 Adjustments'!$A59)</f>
        <v>-243</v>
      </c>
      <c r="F59" s="380">
        <f t="shared" si="0"/>
        <v>10</v>
      </c>
      <c r="G59" s="410">
        <v>5.0199999999999996</v>
      </c>
      <c r="H59" s="47">
        <f t="shared" si="8"/>
        <v>1270.06</v>
      </c>
      <c r="I59" s="378">
        <f t="shared" si="1"/>
        <v>50.199999999999996</v>
      </c>
      <c r="J59" s="21">
        <f t="shared" si="2"/>
        <v>621.62562048921677</v>
      </c>
      <c r="K59" s="376">
        <f t="shared" si="3"/>
        <v>614.4039898683277</v>
      </c>
      <c r="L59" s="150">
        <f>'As-Filed Schedule 4'!H59</f>
        <v>618</v>
      </c>
      <c r="M59" s="388">
        <f>SUMIFS(Adjustments!$G:$G,Adjustments!$H:$H,"4",Adjustments!$I:$I,'Schedule 4 Adjustments'!$L$14,Adjustments!$J:$J,'Schedule 4 Adjustments'!$A59)</f>
        <v>237</v>
      </c>
      <c r="N59" s="380">
        <f t="shared" si="4"/>
        <v>855</v>
      </c>
      <c r="O59" s="410">
        <v>3.97</v>
      </c>
      <c r="P59" s="47">
        <f t="shared" si="9"/>
        <v>2453.46</v>
      </c>
      <c r="Q59" s="378">
        <f t="shared" si="5"/>
        <v>3394.3500000000004</v>
      </c>
      <c r="R59" s="21">
        <f t="shared" si="6"/>
        <v>491.60432536697033</v>
      </c>
      <c r="S59" s="376">
        <f t="shared" si="7"/>
        <v>485.8931951747532</v>
      </c>
    </row>
    <row r="60" spans="1:19" s="22" customFormat="1" x14ac:dyDescent="0.35">
      <c r="A60" s="19">
        <v>48</v>
      </c>
      <c r="B60" s="19">
        <v>99205</v>
      </c>
      <c r="C60" s="20" t="s">
        <v>154</v>
      </c>
      <c r="D60" s="116">
        <f>'As-Filed Schedule 4'!D60</f>
        <v>149</v>
      </c>
      <c r="E60" s="388">
        <f>SUMIFS(Adjustments!$G:$G,Adjustments!$H:$H,"4",Adjustments!$I:$I,'Schedule 4 Adjustments'!$D$14,Adjustments!$J:$J,'Schedule 4 Adjustments'!$A60)</f>
        <v>-142</v>
      </c>
      <c r="F60" s="380">
        <f t="shared" si="0"/>
        <v>7</v>
      </c>
      <c r="G60" s="410">
        <v>6.62</v>
      </c>
      <c r="H60" s="47">
        <f t="shared" si="8"/>
        <v>986.38</v>
      </c>
      <c r="I60" s="378">
        <f t="shared" si="1"/>
        <v>46.34</v>
      </c>
      <c r="J60" s="21">
        <f t="shared" si="2"/>
        <v>819.75330829454492</v>
      </c>
      <c r="K60" s="376">
        <f t="shared" si="3"/>
        <v>810.229962734727</v>
      </c>
      <c r="L60" s="150">
        <f>'As-Filed Schedule 4'!H60</f>
        <v>176</v>
      </c>
      <c r="M60" s="388">
        <f>SUMIFS(Adjustments!$G:$G,Adjustments!$H:$H,"4",Adjustments!$I:$I,'Schedule 4 Adjustments'!$L$14,Adjustments!$J:$J,'Schedule 4 Adjustments'!$A60)</f>
        <v>139</v>
      </c>
      <c r="N60" s="380">
        <f t="shared" si="4"/>
        <v>315</v>
      </c>
      <c r="O60" s="410">
        <v>5.4</v>
      </c>
      <c r="P60" s="47">
        <f t="shared" si="9"/>
        <v>950.40000000000009</v>
      </c>
      <c r="Q60" s="378">
        <f t="shared" si="5"/>
        <v>1701</v>
      </c>
      <c r="R60" s="21">
        <f t="shared" si="6"/>
        <v>668.68094634298234</v>
      </c>
      <c r="S60" s="376">
        <f t="shared" si="7"/>
        <v>660.91265842409757</v>
      </c>
    </row>
    <row r="61" spans="1:19" s="22" customFormat="1" ht="43.5" x14ac:dyDescent="0.35">
      <c r="A61" s="19">
        <v>49</v>
      </c>
      <c r="B61" s="19">
        <v>99211</v>
      </c>
      <c r="C61" s="20" t="s">
        <v>345</v>
      </c>
      <c r="D61" s="116">
        <f>'As-Filed Schedule 4'!D61</f>
        <v>1318</v>
      </c>
      <c r="E61" s="388">
        <f>SUMIFS(Adjustments!$G:$G,Adjustments!$H:$H,"4",Adjustments!$I:$I,'Schedule 4 Adjustments'!$D$14,Adjustments!$J:$J,'Schedule 4 Adjustments'!$A61)</f>
        <v>-1273</v>
      </c>
      <c r="F61" s="380">
        <f t="shared" si="0"/>
        <v>45</v>
      </c>
      <c r="G61" s="410">
        <v>0.7</v>
      </c>
      <c r="H61" s="47">
        <f t="shared" si="8"/>
        <v>922.59999999999991</v>
      </c>
      <c r="I61" s="378">
        <f t="shared" si="1"/>
        <v>31.499999999999996</v>
      </c>
      <c r="J61" s="21">
        <f t="shared" si="2"/>
        <v>86.680863414831038</v>
      </c>
      <c r="K61" s="376">
        <f t="shared" si="3"/>
        <v>85.673863129049678</v>
      </c>
      <c r="L61" s="150">
        <f>'As-Filed Schedule 4'!H61</f>
        <v>42</v>
      </c>
      <c r="M61" s="388">
        <f>SUMIFS(Adjustments!$G:$G,Adjustments!$H:$H,"4",Adjustments!$I:$I,'Schedule 4 Adjustments'!$L$14,Adjustments!$J:$J,'Schedule 4 Adjustments'!$A61)</f>
        <v>1270</v>
      </c>
      <c r="N61" s="380">
        <f t="shared" si="4"/>
        <v>1312</v>
      </c>
      <c r="O61" s="410">
        <v>0.26</v>
      </c>
      <c r="P61" s="47">
        <f t="shared" si="9"/>
        <v>10.92</v>
      </c>
      <c r="Q61" s="378">
        <f t="shared" si="5"/>
        <v>341.12</v>
      </c>
      <c r="R61" s="21">
        <f t="shared" si="6"/>
        <v>32.195749268365816</v>
      </c>
      <c r="S61" s="376">
        <f t="shared" si="7"/>
        <v>31.821720590789884</v>
      </c>
    </row>
    <row r="62" spans="1:19" s="22" customFormat="1" x14ac:dyDescent="0.35">
      <c r="A62" s="19">
        <v>50</v>
      </c>
      <c r="B62" s="19">
        <v>99212</v>
      </c>
      <c r="C62" s="20" t="s">
        <v>155</v>
      </c>
      <c r="D62" s="116">
        <f>'As-Filed Schedule 4'!D62</f>
        <v>113</v>
      </c>
      <c r="E62" s="388">
        <f>SUMIFS(Adjustments!$G:$G,Adjustments!$H:$H,"4",Adjustments!$I:$I,'Schedule 4 Adjustments'!$D$14,Adjustments!$J:$J,'Schedule 4 Adjustments'!$A62)</f>
        <v>-104</v>
      </c>
      <c r="F62" s="380">
        <f t="shared" si="0"/>
        <v>9</v>
      </c>
      <c r="G62" s="410">
        <v>1.7</v>
      </c>
      <c r="H62" s="47">
        <f t="shared" si="8"/>
        <v>192.1</v>
      </c>
      <c r="I62" s="378">
        <f t="shared" si="1"/>
        <v>15.299999999999999</v>
      </c>
      <c r="J62" s="21">
        <f t="shared" si="2"/>
        <v>210.51066829316107</v>
      </c>
      <c r="K62" s="376">
        <f t="shared" si="3"/>
        <v>208.06509617054923</v>
      </c>
      <c r="L62" s="150">
        <f>'As-Filed Schedule 4'!H62</f>
        <v>48</v>
      </c>
      <c r="M62" s="388">
        <f>SUMIFS(Adjustments!$G:$G,Adjustments!$H:$H,"4",Adjustments!$I:$I,'Schedule 4 Adjustments'!$L$14,Adjustments!$J:$J,'Schedule 4 Adjustments'!$A62)</f>
        <v>103</v>
      </c>
      <c r="N62" s="380">
        <f t="shared" si="4"/>
        <v>151</v>
      </c>
      <c r="O62" s="410">
        <v>1.05</v>
      </c>
      <c r="P62" s="47">
        <f t="shared" si="9"/>
        <v>50.400000000000006</v>
      </c>
      <c r="Q62" s="378">
        <f t="shared" si="5"/>
        <v>158.55000000000001</v>
      </c>
      <c r="R62" s="21">
        <f t="shared" si="6"/>
        <v>130.02129512224656</v>
      </c>
      <c r="S62" s="376">
        <f t="shared" si="7"/>
        <v>128.51079469357452</v>
      </c>
    </row>
    <row r="63" spans="1:19" s="22" customFormat="1" x14ac:dyDescent="0.35">
      <c r="A63" s="19">
        <v>51</v>
      </c>
      <c r="B63" s="19">
        <v>99213</v>
      </c>
      <c r="C63" s="20" t="s">
        <v>155</v>
      </c>
      <c r="D63" s="116">
        <f>'As-Filed Schedule 4'!D63</f>
        <v>1883</v>
      </c>
      <c r="E63" s="388">
        <f>SUMIFS(Adjustments!$G:$G,Adjustments!$H:$H,"4",Adjustments!$I:$I,'Schedule 4 Adjustments'!$D$14,Adjustments!$J:$J,'Schedule 4 Adjustments'!$A63)</f>
        <v>-1319</v>
      </c>
      <c r="F63" s="380">
        <f t="shared" si="0"/>
        <v>564</v>
      </c>
      <c r="G63" s="410">
        <v>2.73</v>
      </c>
      <c r="H63" s="47">
        <f t="shared" si="8"/>
        <v>5140.59</v>
      </c>
      <c r="I63" s="378">
        <f t="shared" si="1"/>
        <v>1539.72</v>
      </c>
      <c r="J63" s="21">
        <f t="shared" si="2"/>
        <v>338.05536731784105</v>
      </c>
      <c r="K63" s="376">
        <f t="shared" si="3"/>
        <v>334.12806620329377</v>
      </c>
      <c r="L63" s="150">
        <f>'As-Filed Schedule 4'!H63</f>
        <v>388</v>
      </c>
      <c r="M63" s="388">
        <f>SUMIFS(Adjustments!$G:$G,Adjustments!$H:$H,"4",Adjustments!$I:$I,'Schedule 4 Adjustments'!$L$14,Adjustments!$J:$J,'Schedule 4 Adjustments'!$A63)</f>
        <v>1316</v>
      </c>
      <c r="N63" s="380">
        <f t="shared" si="4"/>
        <v>1704</v>
      </c>
      <c r="O63" s="410">
        <v>1.96</v>
      </c>
      <c r="P63" s="47">
        <f t="shared" si="9"/>
        <v>760.48</v>
      </c>
      <c r="Q63" s="378">
        <f t="shared" si="5"/>
        <v>3339.84</v>
      </c>
      <c r="R63" s="21">
        <f t="shared" si="6"/>
        <v>242.70641756152691</v>
      </c>
      <c r="S63" s="376">
        <f t="shared" si="7"/>
        <v>239.88681676133911</v>
      </c>
    </row>
    <row r="64" spans="1:19" s="22" customFormat="1" x14ac:dyDescent="0.35">
      <c r="A64" s="19">
        <v>52</v>
      </c>
      <c r="B64" s="19">
        <v>99214</v>
      </c>
      <c r="C64" s="20" t="s">
        <v>155</v>
      </c>
      <c r="D64" s="116">
        <f>'As-Filed Schedule 4'!D64</f>
        <v>6698</v>
      </c>
      <c r="E64" s="388">
        <f>SUMIFS(Adjustments!$G:$G,Adjustments!$H:$H,"4",Adjustments!$I:$I,'Schedule 4 Adjustments'!$D$14,Adjustments!$J:$J,'Schedule 4 Adjustments'!$A64)</f>
        <v>-5122</v>
      </c>
      <c r="F64" s="380">
        <f t="shared" si="0"/>
        <v>1576</v>
      </c>
      <c r="G64" s="410">
        <v>3.85</v>
      </c>
      <c r="H64" s="47">
        <f t="shared" si="8"/>
        <v>25787.3</v>
      </c>
      <c r="I64" s="378">
        <f t="shared" si="1"/>
        <v>6067.6</v>
      </c>
      <c r="J64" s="21">
        <f t="shared" si="2"/>
        <v>476.74474878157071</v>
      </c>
      <c r="K64" s="376">
        <f t="shared" si="3"/>
        <v>471.20624720977327</v>
      </c>
      <c r="L64" s="150">
        <f>'As-Filed Schedule 4'!H64</f>
        <v>2295</v>
      </c>
      <c r="M64" s="388">
        <f>SUMIFS(Adjustments!$G:$G,Adjustments!$H:$H,"4",Adjustments!$I:$I,'Schedule 4 Adjustments'!$L$14,Adjustments!$J:$J,'Schedule 4 Adjustments'!$A64)</f>
        <v>5131</v>
      </c>
      <c r="N64" s="380">
        <f t="shared" si="4"/>
        <v>7426</v>
      </c>
      <c r="O64" s="410">
        <v>2.89</v>
      </c>
      <c r="P64" s="47">
        <f t="shared" si="9"/>
        <v>6632.55</v>
      </c>
      <c r="Q64" s="378">
        <f t="shared" si="5"/>
        <v>21461.14</v>
      </c>
      <c r="R64" s="21">
        <f t="shared" si="6"/>
        <v>357.86813609837384</v>
      </c>
      <c r="S64" s="376">
        <f t="shared" si="7"/>
        <v>353.71066348993372</v>
      </c>
    </row>
    <row r="65" spans="1:19" s="22" customFormat="1" x14ac:dyDescent="0.35">
      <c r="A65" s="19">
        <v>53</v>
      </c>
      <c r="B65" s="19">
        <v>99215</v>
      </c>
      <c r="C65" s="20" t="s">
        <v>155</v>
      </c>
      <c r="D65" s="116">
        <f>'As-Filed Schedule 4'!D65</f>
        <v>1186</v>
      </c>
      <c r="E65" s="388">
        <f>SUMIFS(Adjustments!$G:$G,Adjustments!$H:$H,"4",Adjustments!$I:$I,'Schedule 4 Adjustments'!$D$14,Adjustments!$J:$J,'Schedule 4 Adjustments'!$A65)</f>
        <v>-877</v>
      </c>
      <c r="F65" s="380">
        <f t="shared" si="0"/>
        <v>309</v>
      </c>
      <c r="G65" s="410">
        <v>5.42</v>
      </c>
      <c r="H65" s="47">
        <f t="shared" si="8"/>
        <v>6428.12</v>
      </c>
      <c r="I65" s="378">
        <f t="shared" si="1"/>
        <v>1674.78</v>
      </c>
      <c r="J65" s="21">
        <f t="shared" si="2"/>
        <v>671.15754244054892</v>
      </c>
      <c r="K65" s="376">
        <f t="shared" si="3"/>
        <v>663.36048308492752</v>
      </c>
      <c r="L65" s="150">
        <f>'As-Filed Schedule 4'!H65</f>
        <v>1686</v>
      </c>
      <c r="M65" s="388">
        <f>SUMIFS(Adjustments!$G:$G,Adjustments!$H:$H,"4",Adjustments!$I:$I,'Schedule 4 Adjustments'!$L$14,Adjustments!$J:$J,'Schedule 4 Adjustments'!$A65)</f>
        <v>882</v>
      </c>
      <c r="N65" s="380">
        <f t="shared" si="4"/>
        <v>2568</v>
      </c>
      <c r="O65" s="410">
        <v>4.29</v>
      </c>
      <c r="P65" s="47">
        <f t="shared" si="9"/>
        <v>7232.9400000000005</v>
      </c>
      <c r="Q65" s="378">
        <f t="shared" si="5"/>
        <v>11016.72</v>
      </c>
      <c r="R65" s="21">
        <f t="shared" si="6"/>
        <v>531.22986292803591</v>
      </c>
      <c r="S65" s="376">
        <f t="shared" si="7"/>
        <v>525.05838974803305</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304.62132000069192</v>
      </c>
      <c r="K66" s="376">
        <f t="shared" si="3"/>
        <v>301.08243328208886</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304.62132000069192</v>
      </c>
      <c r="S66" s="376">
        <f t="shared" si="7"/>
        <v>301.08243328208886</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480.45964292792058</v>
      </c>
      <c r="K67" s="376">
        <f t="shared" si="3"/>
        <v>474.87798420101825</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480.45964292792058</v>
      </c>
      <c r="S67" s="376">
        <f t="shared" si="7"/>
        <v>474.87798420101825</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636.48519707461639</v>
      </c>
      <c r="K68" s="376">
        <f t="shared" si="3"/>
        <v>629.09093783330763</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636.48519707461639</v>
      </c>
      <c r="S68" s="376">
        <f t="shared" si="7"/>
        <v>629.09093783330763</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182.02981317114518</v>
      </c>
      <c r="K69" s="376">
        <f t="shared" si="3"/>
        <v>179.91511257100433</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182.02981317114518</v>
      </c>
      <c r="S69" s="376">
        <f t="shared" si="7"/>
        <v>179.91511257100433</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289.7617434152923</v>
      </c>
      <c r="K70" s="376">
        <f t="shared" si="3"/>
        <v>286.39548531710892</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289.7617434152923</v>
      </c>
      <c r="S70" s="376">
        <f t="shared" si="7"/>
        <v>286.39548531710892</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435.88091317172177</v>
      </c>
      <c r="K71" s="376">
        <f t="shared" si="3"/>
        <v>430.81714030607839</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435.88091317172177</v>
      </c>
      <c r="S71" s="376">
        <f t="shared" si="7"/>
        <v>430.81714030607839</v>
      </c>
    </row>
    <row r="72" spans="1:19" s="22" customFormat="1" ht="29" x14ac:dyDescent="0.35">
      <c r="A72" s="19">
        <v>60</v>
      </c>
      <c r="B72" s="19">
        <v>99234</v>
      </c>
      <c r="C72" s="20" t="s">
        <v>360</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359.10643414715713</v>
      </c>
      <c r="K72" s="376">
        <f t="shared" si="3"/>
        <v>354.9345758203487</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359.10643414715713</v>
      </c>
      <c r="S72" s="376">
        <f t="shared" si="7"/>
        <v>354.9345758203487</v>
      </c>
    </row>
    <row r="73" spans="1:19" s="22" customFormat="1" ht="29" x14ac:dyDescent="0.35">
      <c r="A73" s="19">
        <v>61</v>
      </c>
      <c r="B73" s="19">
        <v>99235</v>
      </c>
      <c r="C73" s="20" t="s">
        <v>361</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585.71497707450123</v>
      </c>
      <c r="K73" s="376">
        <f t="shared" si="3"/>
        <v>578.91053228629289</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585.71497707450123</v>
      </c>
      <c r="S73" s="376">
        <f t="shared" si="7"/>
        <v>578.91053228629289</v>
      </c>
    </row>
    <row r="74" spans="1:19" s="22" customFormat="1" ht="29" x14ac:dyDescent="0.35">
      <c r="A74" s="19">
        <v>62</v>
      </c>
      <c r="B74" s="19">
        <v>99236</v>
      </c>
      <c r="C74" s="20" t="s">
        <v>362</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765.26819414807971</v>
      </c>
      <c r="K74" s="376">
        <f t="shared" si="3"/>
        <v>756.37782019646716</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765.26819414807971</v>
      </c>
      <c r="S74" s="376">
        <f t="shared" si="7"/>
        <v>756.37782019646716</v>
      </c>
    </row>
    <row r="75" spans="1:19" s="22" customFormat="1" x14ac:dyDescent="0.35">
      <c r="A75" s="19">
        <v>63</v>
      </c>
      <c r="B75" s="19">
        <v>99238</v>
      </c>
      <c r="C75" s="20" t="s">
        <v>346</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298.42982975677546</v>
      </c>
      <c r="K75" s="376">
        <f t="shared" si="3"/>
        <v>294.96287163001392</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298.42982975677546</v>
      </c>
      <c r="S75" s="376">
        <f t="shared" si="7"/>
        <v>294.96287163001392</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421.02133658632215</v>
      </c>
      <c r="K76" s="376">
        <f t="shared" si="3"/>
        <v>416.13019234109845</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421.02133658632215</v>
      </c>
      <c r="S76" s="376">
        <f t="shared" si="7"/>
        <v>416.13019234109845</v>
      </c>
    </row>
    <row r="77" spans="1:19" s="22" customFormat="1" x14ac:dyDescent="0.35">
      <c r="A77" s="19">
        <v>65</v>
      </c>
      <c r="B77" s="19">
        <v>99242</v>
      </c>
      <c r="C77" s="20" t="s">
        <v>347</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278.61706097624261</v>
      </c>
      <c r="K77" s="376">
        <f t="shared" si="3"/>
        <v>275.38027434337397</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205.55747609802788</v>
      </c>
      <c r="S77" s="376">
        <f t="shared" si="7"/>
        <v>203.16944684888924</v>
      </c>
    </row>
    <row r="78" spans="1:19" s="22" customFormat="1" x14ac:dyDescent="0.35">
      <c r="A78" s="19">
        <v>66</v>
      </c>
      <c r="B78" s="19">
        <v>99243</v>
      </c>
      <c r="C78" s="20" t="s">
        <v>348</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417.30644243997227</v>
      </c>
      <c r="K78" s="376">
        <f t="shared" si="3"/>
        <v>412.45845534985347</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324.43408878122477</v>
      </c>
      <c r="S78" s="376">
        <f t="shared" si="7"/>
        <v>320.66503056872881</v>
      </c>
    </row>
    <row r="79" spans="1:19" s="22" customFormat="1" x14ac:dyDescent="0.35">
      <c r="A79" s="19">
        <v>67</v>
      </c>
      <c r="B79" s="19">
        <v>99244</v>
      </c>
      <c r="C79" s="20" t="s">
        <v>349</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595.62136146476746</v>
      </c>
      <c r="K79" s="376">
        <f t="shared" si="3"/>
        <v>588.70183092961281</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494.08092146453691</v>
      </c>
      <c r="S79" s="376">
        <f t="shared" si="7"/>
        <v>488.34101983558321</v>
      </c>
    </row>
    <row r="80" spans="1:19" s="22" customFormat="1" x14ac:dyDescent="0.35">
      <c r="A80" s="19">
        <v>68</v>
      </c>
      <c r="B80" s="19">
        <v>99245</v>
      </c>
      <c r="C80" s="20" t="s">
        <v>350</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777.65117463591275</v>
      </c>
      <c r="K80" s="376">
        <f t="shared" si="3"/>
        <v>768.61694350061714</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663.72775414784917</v>
      </c>
      <c r="S80" s="376">
        <f t="shared" si="7"/>
        <v>656.01700910243756</v>
      </c>
    </row>
    <row r="81" spans="1:19" s="22" customFormat="1" x14ac:dyDescent="0.35">
      <c r="A81" s="19">
        <v>69</v>
      </c>
      <c r="B81" s="19">
        <v>99252</v>
      </c>
      <c r="C81" s="20" t="s">
        <v>351</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261.2808882932764</v>
      </c>
      <c r="K81" s="376">
        <f t="shared" si="3"/>
        <v>258.24550171756403</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261.2808882932764</v>
      </c>
      <c r="S81" s="376">
        <f t="shared" si="7"/>
        <v>258.24550171756403</v>
      </c>
    </row>
    <row r="82" spans="1:19" s="22" customFormat="1" x14ac:dyDescent="0.35">
      <c r="A82" s="19">
        <v>70</v>
      </c>
      <c r="B82" s="19">
        <v>99253</v>
      </c>
      <c r="C82" s="20" t="s">
        <v>352</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366.53622243985694</v>
      </c>
      <c r="K82" s="376">
        <f t="shared" si="3"/>
        <v>362.27804980283867</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366.53622243985694</v>
      </c>
      <c r="S82" s="376">
        <f t="shared" si="7"/>
        <v>362.27804980283867</v>
      </c>
    </row>
    <row r="83" spans="1:19" s="22" customFormat="1" x14ac:dyDescent="0.35">
      <c r="A83" s="19">
        <v>71</v>
      </c>
      <c r="B83" s="19">
        <v>99254</v>
      </c>
      <c r="C83" s="20" t="s">
        <v>353</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508.94049804993654</v>
      </c>
      <c r="K83" s="376">
        <f t="shared" ref="K83:K146" si="14">G83*$I$12</f>
        <v>503.0279678005632</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508.94049804993654</v>
      </c>
      <c r="S83" s="376">
        <f t="shared" ref="S83:S146" si="18">O83*$I$12</f>
        <v>503.0279678005632</v>
      </c>
    </row>
    <row r="84" spans="1:19" s="22" customFormat="1" x14ac:dyDescent="0.35">
      <c r="A84" s="19">
        <v>72</v>
      </c>
      <c r="B84" s="19">
        <v>99255</v>
      </c>
      <c r="C84" s="20" t="s">
        <v>354</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684.7788209771652</v>
      </c>
      <c r="K84" s="376">
        <f t="shared" si="14"/>
        <v>676.82351871949254</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684.7788209771652</v>
      </c>
      <c r="S84" s="376">
        <f t="shared" si="18"/>
        <v>676.82351871949254</v>
      </c>
    </row>
    <row r="85" spans="1:19" s="22" customFormat="1" x14ac:dyDescent="0.35">
      <c r="A85" s="19">
        <v>73</v>
      </c>
      <c r="B85" s="19">
        <v>99281</v>
      </c>
      <c r="C85" s="20" t="s">
        <v>355</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42.102133658632219</v>
      </c>
      <c r="K85" s="376">
        <f t="shared" si="14"/>
        <v>41.613019234109849</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42.102133658632219</v>
      </c>
      <c r="S85" s="376">
        <f t="shared" si="18"/>
        <v>41.613019234109849</v>
      </c>
    </row>
    <row r="86" spans="1:19" s="22" customFormat="1" x14ac:dyDescent="0.35">
      <c r="A86" s="19">
        <v>74</v>
      </c>
      <c r="B86" s="19">
        <v>99282</v>
      </c>
      <c r="C86" s="20" t="s">
        <v>356</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153.54895804912925</v>
      </c>
      <c r="K86" s="376">
        <f t="shared" si="14"/>
        <v>151.76512897145943</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153.54895804912925</v>
      </c>
      <c r="S86" s="376">
        <f t="shared" si="18"/>
        <v>151.76512897145943</v>
      </c>
    </row>
    <row r="87" spans="1:19" s="22" customFormat="1" x14ac:dyDescent="0.35">
      <c r="A87" s="19">
        <v>75</v>
      </c>
      <c r="B87" s="19">
        <v>99283</v>
      </c>
      <c r="C87" s="20" t="s">
        <v>357</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261.2808882932764</v>
      </c>
      <c r="K87" s="376">
        <f t="shared" si="14"/>
        <v>258.24550171756403</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261.2808882932764</v>
      </c>
      <c r="S87" s="376">
        <f t="shared" si="18"/>
        <v>258.24550171756403</v>
      </c>
    </row>
    <row r="88" spans="1:19" s="22" customFormat="1" x14ac:dyDescent="0.35">
      <c r="A88" s="19">
        <v>76</v>
      </c>
      <c r="B88" s="19">
        <v>99284</v>
      </c>
      <c r="C88" s="20" t="s">
        <v>358</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444.54899951320488</v>
      </c>
      <c r="K88" s="376">
        <f t="shared" si="14"/>
        <v>439.38452661898333</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444.54899951320488</v>
      </c>
      <c r="S88" s="376">
        <f t="shared" si="18"/>
        <v>439.38452661898333</v>
      </c>
    </row>
    <row r="89" spans="1:19" s="22" customFormat="1" x14ac:dyDescent="0.35">
      <c r="A89" s="19">
        <v>77</v>
      </c>
      <c r="B89" s="19">
        <v>99285</v>
      </c>
      <c r="C89" s="20" t="s">
        <v>359</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643.91498536731626</v>
      </c>
      <c r="K89" s="376">
        <f t="shared" si="14"/>
        <v>636.43441181579772</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643.91498536731626</v>
      </c>
      <c r="S89" s="376">
        <f t="shared" si="18"/>
        <v>636.43441181579772</v>
      </c>
    </row>
    <row r="90" spans="1:19" s="22" customFormat="1" x14ac:dyDescent="0.35">
      <c r="A90" s="19">
        <v>78</v>
      </c>
      <c r="B90" s="19">
        <v>99304</v>
      </c>
      <c r="C90" s="20" t="s">
        <v>363</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295.95323365920882</v>
      </c>
      <c r="K90" s="376">
        <f t="shared" si="14"/>
        <v>292.51504696918391</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295.95323365920882</v>
      </c>
      <c r="S90" s="376">
        <f t="shared" si="18"/>
        <v>292.51504696918391</v>
      </c>
    </row>
    <row r="91" spans="1:19" s="22" customFormat="1" x14ac:dyDescent="0.35">
      <c r="A91" s="19">
        <v>79</v>
      </c>
      <c r="B91" s="19">
        <v>99305</v>
      </c>
      <c r="C91" s="20" t="s">
        <v>364</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491.60432536697033</v>
      </c>
      <c r="K91" s="376">
        <f t="shared" si="14"/>
        <v>485.8931951747532</v>
      </c>
      <c r="L91" s="150">
        <f>'As-Filed Schedule 4'!H91</f>
        <v>1</v>
      </c>
      <c r="M91" s="388">
        <f>SUMIFS(Adjustments!$G:$G,Adjustments!$H:$H,"4",Adjustments!$I:$I,'Schedule 4 Adjustments'!$L$14,Adjustments!$J:$J,'Schedule 4 Adjustments'!$A91)</f>
        <v>0</v>
      </c>
      <c r="N91" s="380">
        <f t="shared" si="15"/>
        <v>1</v>
      </c>
      <c r="O91" s="410">
        <v>3.97</v>
      </c>
      <c r="P91" s="47">
        <f t="shared" si="16"/>
        <v>3.97</v>
      </c>
      <c r="Q91" s="378">
        <f t="shared" si="17"/>
        <v>3.97</v>
      </c>
      <c r="R91" s="21">
        <f t="shared" si="11"/>
        <v>491.60432536697033</v>
      </c>
      <c r="S91" s="376">
        <f t="shared" si="18"/>
        <v>485.8931951747532</v>
      </c>
    </row>
    <row r="92" spans="1:19" s="22" customFormat="1" x14ac:dyDescent="0.35">
      <c r="A92" s="19">
        <v>80</v>
      </c>
      <c r="B92" s="19">
        <v>99306</v>
      </c>
      <c r="C92" s="20" t="s">
        <v>365</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671.15754244054892</v>
      </c>
      <c r="K92" s="376">
        <f t="shared" si="14"/>
        <v>663.36048308492752</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671.15754244054892</v>
      </c>
      <c r="S92" s="376">
        <f t="shared" si="18"/>
        <v>663.36048308492752</v>
      </c>
    </row>
    <row r="93" spans="1:19" s="22" customFormat="1" x14ac:dyDescent="0.35">
      <c r="A93" s="19">
        <v>81</v>
      </c>
      <c r="B93" s="19">
        <v>99307</v>
      </c>
      <c r="C93" s="20" t="s">
        <v>366</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148.59576585399606</v>
      </c>
      <c r="K93" s="376">
        <f t="shared" si="14"/>
        <v>146.86947964979944</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148.59576585399606</v>
      </c>
      <c r="S93" s="376">
        <f t="shared" si="18"/>
        <v>146.86947964979944</v>
      </c>
    </row>
    <row r="94" spans="1:19" s="22" customFormat="1" x14ac:dyDescent="0.35">
      <c r="A94" s="19">
        <v>82</v>
      </c>
      <c r="B94" s="19">
        <v>99308</v>
      </c>
      <c r="C94" s="20" t="s">
        <v>367</v>
      </c>
      <c r="D94" s="116">
        <f>'As-Filed Schedule 4'!D94</f>
        <v>5</v>
      </c>
      <c r="E94" s="388">
        <f>SUMIFS(Adjustments!$G:$G,Adjustments!$H:$H,"4",Adjustments!$I:$I,'Schedule 4 Adjustments'!$D$14,Adjustments!$J:$J,'Schedule 4 Adjustments'!$A94)</f>
        <v>-1</v>
      </c>
      <c r="F94" s="380">
        <f t="shared" si="12"/>
        <v>4</v>
      </c>
      <c r="G94" s="410">
        <v>2.2200000000000002</v>
      </c>
      <c r="H94" s="47">
        <f t="shared" si="19"/>
        <v>11.100000000000001</v>
      </c>
      <c r="I94" s="378">
        <f t="shared" si="13"/>
        <v>8.8800000000000008</v>
      </c>
      <c r="J94" s="21">
        <f t="shared" si="10"/>
        <v>274.90216682989274</v>
      </c>
      <c r="K94" s="376">
        <f t="shared" si="14"/>
        <v>271.70853735212904</v>
      </c>
      <c r="L94" s="150">
        <f>'As-Filed Schedule 4'!H94</f>
        <v>0</v>
      </c>
      <c r="M94" s="388">
        <f>SUMIFS(Adjustments!$G:$G,Adjustments!$H:$H,"4",Adjustments!$I:$I,'Schedule 4 Adjustments'!$L$14,Adjustments!$J:$J,'Schedule 4 Adjustments'!$A94)</f>
        <v>1</v>
      </c>
      <c r="N94" s="380">
        <f t="shared" si="15"/>
        <v>1</v>
      </c>
      <c r="O94" s="410">
        <v>2.2200000000000002</v>
      </c>
      <c r="P94" s="47">
        <f t="shared" si="16"/>
        <v>0</v>
      </c>
      <c r="Q94" s="378">
        <f t="shared" si="17"/>
        <v>2.2200000000000002</v>
      </c>
      <c r="R94" s="21">
        <f t="shared" si="11"/>
        <v>274.90216682989274</v>
      </c>
      <c r="S94" s="376">
        <f t="shared" si="18"/>
        <v>271.70853735212904</v>
      </c>
    </row>
    <row r="95" spans="1:19" s="22" customFormat="1" x14ac:dyDescent="0.35">
      <c r="A95" s="19">
        <v>83</v>
      </c>
      <c r="B95" s="19">
        <v>99309</v>
      </c>
      <c r="C95" s="20" t="s">
        <v>368</v>
      </c>
      <c r="D95" s="116">
        <f>'As-Filed Schedule 4'!D95</f>
        <v>3</v>
      </c>
      <c r="E95" s="388">
        <f>SUMIFS(Adjustments!$G:$G,Adjustments!$H:$H,"4",Adjustments!$I:$I,'Schedule 4 Adjustments'!$D$14,Adjustments!$J:$J,'Schedule 4 Adjustments'!$A95)</f>
        <v>-1</v>
      </c>
      <c r="F95" s="380">
        <f t="shared" si="12"/>
        <v>2</v>
      </c>
      <c r="G95" s="410">
        <v>3.21</v>
      </c>
      <c r="H95" s="47">
        <f t="shared" si="19"/>
        <v>9.629999999999999</v>
      </c>
      <c r="I95" s="378">
        <f t="shared" si="13"/>
        <v>6.42</v>
      </c>
      <c r="J95" s="21">
        <f t="shared" si="10"/>
        <v>397.49367365943948</v>
      </c>
      <c r="K95" s="376">
        <f t="shared" si="14"/>
        <v>392.87585806321351</v>
      </c>
      <c r="L95" s="150">
        <f>'As-Filed Schedule 4'!H95</f>
        <v>0</v>
      </c>
      <c r="M95" s="388">
        <f>SUMIFS(Adjustments!$G:$G,Adjustments!$H:$H,"4",Adjustments!$I:$I,'Schedule 4 Adjustments'!$L$14,Adjustments!$J:$J,'Schedule 4 Adjustments'!$A95)</f>
        <v>1</v>
      </c>
      <c r="N95" s="380">
        <f t="shared" si="15"/>
        <v>1</v>
      </c>
      <c r="O95" s="410">
        <v>3.21</v>
      </c>
      <c r="P95" s="47">
        <f t="shared" si="16"/>
        <v>0</v>
      </c>
      <c r="Q95" s="378">
        <f t="shared" si="17"/>
        <v>3.21</v>
      </c>
      <c r="R95" s="21">
        <f t="shared" si="11"/>
        <v>397.49367365943948</v>
      </c>
      <c r="S95" s="376">
        <f t="shared" si="18"/>
        <v>392.87585806321351</v>
      </c>
    </row>
    <row r="96" spans="1:19" s="22" customFormat="1" x14ac:dyDescent="0.35">
      <c r="A96" s="19">
        <v>84</v>
      </c>
      <c r="B96" s="19">
        <v>99310</v>
      </c>
      <c r="C96" s="20" t="s">
        <v>369</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567.14050634275168</v>
      </c>
      <c r="K96" s="376">
        <f t="shared" si="14"/>
        <v>560.55184733006797</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567.14050634275168</v>
      </c>
      <c r="S96" s="376">
        <f t="shared" si="18"/>
        <v>560.55184733006797</v>
      </c>
    </row>
    <row r="97" spans="1:19" s="22" customFormat="1" x14ac:dyDescent="0.35">
      <c r="A97" s="19">
        <v>85</v>
      </c>
      <c r="B97" s="19">
        <v>99315</v>
      </c>
      <c r="C97" s="20" t="s">
        <v>370</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300.90642585434205</v>
      </c>
      <c r="K97" s="376">
        <f t="shared" si="14"/>
        <v>297.41069629084393</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300.90642585434205</v>
      </c>
      <c r="S97" s="376">
        <f t="shared" si="18"/>
        <v>297.41069629084393</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482.93623902548717</v>
      </c>
      <c r="K98" s="376">
        <f t="shared" si="14"/>
        <v>477.3258088618482</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482.93623902548717</v>
      </c>
      <c r="S98" s="376">
        <f t="shared" si="18"/>
        <v>477.3258088618482</v>
      </c>
    </row>
    <row r="99" spans="1:19" s="22" customFormat="1" x14ac:dyDescent="0.35">
      <c r="A99" s="19">
        <v>87</v>
      </c>
      <c r="B99" s="19">
        <v>99341</v>
      </c>
      <c r="C99" s="20" t="s">
        <v>371</v>
      </c>
      <c r="D99" s="116">
        <f>'As-Filed Schedule 4'!D99</f>
        <v>3</v>
      </c>
      <c r="E99" s="388">
        <f>SUMIFS(Adjustments!$G:$G,Adjustments!$H:$H,"4",Adjustments!$I:$I,'Schedule 4 Adjustments'!$D$14,Adjustments!$J:$J,'Schedule 4 Adjustments'!$A99)</f>
        <v>0</v>
      </c>
      <c r="F99" s="380">
        <f t="shared" si="12"/>
        <v>3</v>
      </c>
      <c r="G99" s="410">
        <v>1.47</v>
      </c>
      <c r="H99" s="47">
        <f t="shared" si="19"/>
        <v>4.41</v>
      </c>
      <c r="I99" s="378">
        <f t="shared" si="13"/>
        <v>4.41</v>
      </c>
      <c r="J99" s="21">
        <f t="shared" si="10"/>
        <v>182.02981317114518</v>
      </c>
      <c r="K99" s="376">
        <f t="shared" si="14"/>
        <v>179.91511257100433</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182.02981317114518</v>
      </c>
      <c r="S99" s="376">
        <f t="shared" si="18"/>
        <v>179.91511257100433</v>
      </c>
    </row>
    <row r="100" spans="1:19" s="22" customFormat="1" x14ac:dyDescent="0.35">
      <c r="A100" s="19">
        <v>88</v>
      </c>
      <c r="B100" s="19">
        <v>99342</v>
      </c>
      <c r="C100" s="20" t="s">
        <v>372</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288.52344536650901</v>
      </c>
      <c r="K100" s="376">
        <f t="shared" si="14"/>
        <v>285.17157298669395</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288.52344536650901</v>
      </c>
      <c r="S100" s="376">
        <f t="shared" si="18"/>
        <v>285.17157298669395</v>
      </c>
    </row>
    <row r="101" spans="1:19" s="22" customFormat="1" x14ac:dyDescent="0.35">
      <c r="A101" s="19">
        <v>89</v>
      </c>
      <c r="B101" s="19">
        <v>99344</v>
      </c>
      <c r="C101" s="20" t="s">
        <v>373</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523.80007463533616</v>
      </c>
      <c r="K101" s="376">
        <f t="shared" si="14"/>
        <v>517.71491576554308</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523.80007463533616</v>
      </c>
      <c r="S101" s="376">
        <f t="shared" si="18"/>
        <v>517.71491576554308</v>
      </c>
    </row>
    <row r="102" spans="1:19" s="22" customFormat="1" x14ac:dyDescent="0.35">
      <c r="A102" s="19">
        <v>90</v>
      </c>
      <c r="B102" s="19">
        <v>99345</v>
      </c>
      <c r="C102" s="20" t="s">
        <v>374</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744.21712731876357</v>
      </c>
      <c r="K102" s="376">
        <f t="shared" si="14"/>
        <v>735.57131057941228</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744.21712731876357</v>
      </c>
      <c r="S102" s="376">
        <f t="shared" si="18"/>
        <v>735.57131057941228</v>
      </c>
    </row>
    <row r="103" spans="1:19" s="22" customFormat="1" x14ac:dyDescent="0.35">
      <c r="A103" s="19">
        <v>91</v>
      </c>
      <c r="B103" s="19">
        <v>99347</v>
      </c>
      <c r="C103" s="20" t="s">
        <v>375</v>
      </c>
      <c r="D103" s="116">
        <f>'As-Filed Schedule 4'!D103</f>
        <v>142</v>
      </c>
      <c r="E103" s="388">
        <f>SUMIFS(Adjustments!$G:$G,Adjustments!$H:$H,"4",Adjustments!$I:$I,'Schedule 4 Adjustments'!$D$14,Adjustments!$J:$J,'Schedule 4 Adjustments'!$A103)</f>
        <v>-69</v>
      </c>
      <c r="F103" s="380">
        <f t="shared" si="12"/>
        <v>73</v>
      </c>
      <c r="G103" s="410">
        <v>1.35</v>
      </c>
      <c r="H103" s="47">
        <f t="shared" si="19"/>
        <v>191.70000000000002</v>
      </c>
      <c r="I103" s="378">
        <f t="shared" si="13"/>
        <v>98.550000000000011</v>
      </c>
      <c r="J103" s="21">
        <f t="shared" si="10"/>
        <v>167.17023658574558</v>
      </c>
      <c r="K103" s="376">
        <f t="shared" si="14"/>
        <v>165.22816460602439</v>
      </c>
      <c r="L103" s="150">
        <f>'As-Filed Schedule 4'!H103</f>
        <v>0</v>
      </c>
      <c r="M103" s="388">
        <f>SUMIFS(Adjustments!$G:$G,Adjustments!$H:$H,"4",Adjustments!$I:$I,'Schedule 4 Adjustments'!$L$14,Adjustments!$J:$J,'Schedule 4 Adjustments'!$A103)</f>
        <v>69</v>
      </c>
      <c r="N103" s="380">
        <f t="shared" si="15"/>
        <v>69</v>
      </c>
      <c r="O103" s="410">
        <v>1.35</v>
      </c>
      <c r="P103" s="47">
        <f t="shared" si="16"/>
        <v>0</v>
      </c>
      <c r="Q103" s="378">
        <f t="shared" si="17"/>
        <v>93.15</v>
      </c>
      <c r="R103" s="21">
        <f t="shared" si="11"/>
        <v>167.17023658574558</v>
      </c>
      <c r="S103" s="376">
        <f t="shared" si="18"/>
        <v>165.22816460602439</v>
      </c>
    </row>
    <row r="104" spans="1:19" s="22" customFormat="1" x14ac:dyDescent="0.35">
      <c r="A104" s="19">
        <v>92</v>
      </c>
      <c r="B104" s="19">
        <v>99348</v>
      </c>
      <c r="C104" s="20" t="s">
        <v>376</v>
      </c>
      <c r="D104" s="116">
        <f>'As-Filed Schedule 4'!D104</f>
        <v>187</v>
      </c>
      <c r="E104" s="388">
        <f>SUMIFS(Adjustments!$G:$G,Adjustments!$H:$H,"4",Adjustments!$I:$I,'Schedule 4 Adjustments'!$D$14,Adjustments!$J:$J,'Schedule 4 Adjustments'!$A104)</f>
        <v>-97</v>
      </c>
      <c r="F104" s="380">
        <f t="shared" si="12"/>
        <v>90</v>
      </c>
      <c r="G104" s="410">
        <v>2.2799999999999998</v>
      </c>
      <c r="H104" s="47">
        <f t="shared" si="19"/>
        <v>426.35999999999996</v>
      </c>
      <c r="I104" s="378">
        <f t="shared" si="13"/>
        <v>205.2</v>
      </c>
      <c r="J104" s="21">
        <f t="shared" si="10"/>
        <v>282.33195512259249</v>
      </c>
      <c r="K104" s="376">
        <f t="shared" si="14"/>
        <v>279.05201133461895</v>
      </c>
      <c r="L104" s="150">
        <f>'As-Filed Schedule 4'!H104</f>
        <v>0</v>
      </c>
      <c r="M104" s="388">
        <f>SUMIFS(Adjustments!$G:$G,Adjustments!$H:$H,"4",Adjustments!$I:$I,'Schedule 4 Adjustments'!$L$14,Adjustments!$J:$J,'Schedule 4 Adjustments'!$A104)</f>
        <v>97</v>
      </c>
      <c r="N104" s="380">
        <f t="shared" si="15"/>
        <v>97</v>
      </c>
      <c r="O104" s="410">
        <v>2.2799999999999998</v>
      </c>
      <c r="P104" s="47">
        <f t="shared" si="16"/>
        <v>0</v>
      </c>
      <c r="Q104" s="378">
        <f t="shared" si="17"/>
        <v>221.15999999999997</v>
      </c>
      <c r="R104" s="21">
        <f t="shared" si="11"/>
        <v>282.33195512259249</v>
      </c>
      <c r="S104" s="376">
        <f t="shared" si="18"/>
        <v>279.05201133461895</v>
      </c>
    </row>
    <row r="105" spans="1:19" s="22" customFormat="1" x14ac:dyDescent="0.35">
      <c r="A105" s="19">
        <v>93</v>
      </c>
      <c r="B105" s="19">
        <v>99349</v>
      </c>
      <c r="C105" s="20" t="s">
        <v>377</v>
      </c>
      <c r="D105" s="116">
        <f>'As-Filed Schedule 4'!D105</f>
        <v>144</v>
      </c>
      <c r="E105" s="388">
        <f>SUMIFS(Adjustments!$G:$G,Adjustments!$H:$H,"4",Adjustments!$I:$I,'Schedule 4 Adjustments'!$D$14,Adjustments!$J:$J,'Schedule 4 Adjustments'!$A105)</f>
        <v>-91</v>
      </c>
      <c r="F105" s="380">
        <f t="shared" si="12"/>
        <v>53</v>
      </c>
      <c r="G105" s="410">
        <v>3.79</v>
      </c>
      <c r="H105" s="47">
        <f t="shared" si="19"/>
        <v>545.76</v>
      </c>
      <c r="I105" s="378">
        <f t="shared" si="13"/>
        <v>200.87</v>
      </c>
      <c r="J105" s="21">
        <f t="shared" si="10"/>
        <v>469.3149604888709</v>
      </c>
      <c r="K105" s="376">
        <f t="shared" si="14"/>
        <v>463.8627732272833</v>
      </c>
      <c r="L105" s="150">
        <f>'As-Filed Schedule 4'!H105</f>
        <v>0</v>
      </c>
      <c r="M105" s="388">
        <f>SUMIFS(Adjustments!$G:$G,Adjustments!$H:$H,"4",Adjustments!$I:$I,'Schedule 4 Adjustments'!$L$14,Adjustments!$J:$J,'Schedule 4 Adjustments'!$A105)</f>
        <v>91</v>
      </c>
      <c r="N105" s="380">
        <f t="shared" si="15"/>
        <v>91</v>
      </c>
      <c r="O105" s="410">
        <v>3.79</v>
      </c>
      <c r="P105" s="47">
        <f t="shared" si="16"/>
        <v>0</v>
      </c>
      <c r="Q105" s="378">
        <f t="shared" si="17"/>
        <v>344.89</v>
      </c>
      <c r="R105" s="21">
        <f t="shared" si="11"/>
        <v>469.3149604888709</v>
      </c>
      <c r="S105" s="376">
        <f t="shared" si="18"/>
        <v>463.8627732272833</v>
      </c>
    </row>
    <row r="106" spans="1:19" s="22" customFormat="1" x14ac:dyDescent="0.35">
      <c r="A106" s="19">
        <v>94</v>
      </c>
      <c r="B106" s="19">
        <v>99350</v>
      </c>
      <c r="C106" s="20" t="s">
        <v>378</v>
      </c>
      <c r="D106" s="116">
        <f>'As-Filed Schedule 4'!D106</f>
        <v>6</v>
      </c>
      <c r="E106" s="388">
        <f>SUMIFS(Adjustments!$G:$G,Adjustments!$H:$H,"4",Adjustments!$I:$I,'Schedule 4 Adjustments'!$D$14,Adjustments!$J:$J,'Schedule 4 Adjustments'!$A106)</f>
        <v>-1</v>
      </c>
      <c r="F106" s="380">
        <f t="shared" si="12"/>
        <v>5</v>
      </c>
      <c r="G106" s="410">
        <v>5.52</v>
      </c>
      <c r="H106" s="47">
        <f t="shared" si="19"/>
        <v>33.119999999999997</v>
      </c>
      <c r="I106" s="378">
        <f t="shared" si="13"/>
        <v>27.599999999999998</v>
      </c>
      <c r="J106" s="21">
        <f t="shared" si="10"/>
        <v>683.54052292838185</v>
      </c>
      <c r="K106" s="376">
        <f t="shared" si="14"/>
        <v>675.59960638907739</v>
      </c>
      <c r="L106" s="150">
        <f>'As-Filed Schedule 4'!H106</f>
        <v>0</v>
      </c>
      <c r="M106" s="388">
        <f>SUMIFS(Adjustments!$G:$G,Adjustments!$H:$H,"4",Adjustments!$I:$I,'Schedule 4 Adjustments'!$L$14,Adjustments!$J:$J,'Schedule 4 Adjustments'!$A106)</f>
        <v>1</v>
      </c>
      <c r="N106" s="380">
        <f t="shared" si="15"/>
        <v>1</v>
      </c>
      <c r="O106" s="410">
        <v>5.52</v>
      </c>
      <c r="P106" s="47">
        <f t="shared" si="16"/>
        <v>0</v>
      </c>
      <c r="Q106" s="378">
        <f t="shared" si="17"/>
        <v>5.52</v>
      </c>
      <c r="R106" s="21">
        <f t="shared" si="11"/>
        <v>683.54052292838185</v>
      </c>
      <c r="S106" s="376">
        <f t="shared" si="18"/>
        <v>675.59960638907739</v>
      </c>
    </row>
    <row r="107" spans="1:19" s="22" customFormat="1" x14ac:dyDescent="0.35">
      <c r="A107" s="19">
        <v>95</v>
      </c>
      <c r="B107" s="19">
        <v>99366</v>
      </c>
      <c r="C107" s="20" t="s">
        <v>379</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151.07236195156267</v>
      </c>
      <c r="K107" s="376">
        <f t="shared" si="14"/>
        <v>149.31730431062945</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147.35746780521276</v>
      </c>
      <c r="S107" s="376">
        <f t="shared" si="18"/>
        <v>145.64556731938444</v>
      </c>
    </row>
    <row r="108" spans="1:19" s="22" customFormat="1" x14ac:dyDescent="0.35">
      <c r="A108" s="19">
        <v>96</v>
      </c>
      <c r="B108" s="19">
        <v>99367</v>
      </c>
      <c r="C108" s="20" t="s">
        <v>380</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198.12768780532809</v>
      </c>
      <c r="K108" s="376">
        <f t="shared" si="14"/>
        <v>195.8259728663993</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198.12768780532809</v>
      </c>
      <c r="S108" s="376">
        <f t="shared" si="18"/>
        <v>195.8259728663993</v>
      </c>
    </row>
    <row r="109" spans="1:19" s="22" customFormat="1" x14ac:dyDescent="0.35">
      <c r="A109" s="19">
        <v>97</v>
      </c>
      <c r="B109" s="19">
        <v>99368</v>
      </c>
      <c r="C109" s="20" t="s">
        <v>381</v>
      </c>
      <c r="D109" s="116">
        <f>'As-Filed Schedule 4'!D109</f>
        <v>3</v>
      </c>
      <c r="E109" s="388">
        <f>SUMIFS(Adjustments!$G:$G,Adjustments!$H:$H,"4",Adjustments!$I:$I,'Schedule 4 Adjustments'!$D$14,Adjustments!$J:$J,'Schedule 4 Adjustments'!$A109)</f>
        <v>0</v>
      </c>
      <c r="F109" s="380">
        <f t="shared" si="12"/>
        <v>3</v>
      </c>
      <c r="G109" s="410">
        <v>1.04</v>
      </c>
      <c r="H109" s="47">
        <f t="shared" si="19"/>
        <v>3.12</v>
      </c>
      <c r="I109" s="378">
        <f t="shared" si="13"/>
        <v>3.12</v>
      </c>
      <c r="J109" s="21">
        <f t="shared" si="10"/>
        <v>128.78299707346326</v>
      </c>
      <c r="K109" s="376">
        <f t="shared" si="14"/>
        <v>127.28688236315953</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128.78299707346326</v>
      </c>
      <c r="S109" s="376">
        <f t="shared" si="18"/>
        <v>127.28688236315953</v>
      </c>
    </row>
    <row r="110" spans="1:19" s="22" customFormat="1" x14ac:dyDescent="0.35">
      <c r="A110" s="19">
        <v>98</v>
      </c>
      <c r="B110" s="19">
        <v>99441</v>
      </c>
      <c r="C110" s="20" t="s">
        <v>382</v>
      </c>
      <c r="D110" s="116">
        <f>'As-Filed Schedule 4'!D110</f>
        <v>10</v>
      </c>
      <c r="E110" s="388">
        <f>SUMIFS(Adjustments!$G:$G,Adjustments!$H:$H,"4",Adjustments!$I:$I,'Schedule 4 Adjustments'!$D$14,Adjustments!$J:$J,'Schedule 4 Adjustments'!$A110)</f>
        <v>-9</v>
      </c>
      <c r="F110" s="380">
        <f t="shared" si="12"/>
        <v>1</v>
      </c>
      <c r="G110" s="410">
        <v>1.69</v>
      </c>
      <c r="H110" s="47">
        <f t="shared" si="19"/>
        <v>16.899999999999999</v>
      </c>
      <c r="I110" s="378">
        <f t="shared" si="13"/>
        <v>1.69</v>
      </c>
      <c r="J110" s="21">
        <f t="shared" si="10"/>
        <v>209.27237024437778</v>
      </c>
      <c r="K110" s="376">
        <f t="shared" si="14"/>
        <v>206.84118384013422</v>
      </c>
      <c r="L110" s="150">
        <f>'As-Filed Schedule 4'!H110</f>
        <v>0</v>
      </c>
      <c r="M110" s="388">
        <f>SUMIFS(Adjustments!$G:$G,Adjustments!$H:$H,"4",Adjustments!$I:$I,'Schedule 4 Adjustments'!$L$14,Adjustments!$J:$J,'Schedule 4 Adjustments'!$A110)</f>
        <v>9</v>
      </c>
      <c r="N110" s="380">
        <f t="shared" si="15"/>
        <v>9</v>
      </c>
      <c r="O110" s="410">
        <v>1.04</v>
      </c>
      <c r="P110" s="47">
        <f t="shared" si="16"/>
        <v>0</v>
      </c>
      <c r="Q110" s="378">
        <f t="shared" si="17"/>
        <v>9.36</v>
      </c>
      <c r="R110" s="21">
        <f t="shared" si="11"/>
        <v>128.78299707346326</v>
      </c>
      <c r="S110" s="376">
        <f t="shared" si="18"/>
        <v>127.28688236315953</v>
      </c>
    </row>
    <row r="111" spans="1:19" s="22" customFormat="1" x14ac:dyDescent="0.35">
      <c r="A111" s="19">
        <v>99</v>
      </c>
      <c r="B111" s="19">
        <v>99442</v>
      </c>
      <c r="C111" s="20" t="s">
        <v>383</v>
      </c>
      <c r="D111" s="116">
        <f>'As-Filed Schedule 4'!D111</f>
        <v>16</v>
      </c>
      <c r="E111" s="388">
        <f>SUMIFS(Adjustments!$G:$G,Adjustments!$H:$H,"4",Adjustments!$I:$I,'Schedule 4 Adjustments'!$D$14,Adjustments!$J:$J,'Schedule 4 Adjustments'!$A111)</f>
        <v>-11</v>
      </c>
      <c r="F111" s="380">
        <f t="shared" si="12"/>
        <v>5</v>
      </c>
      <c r="G111" s="410">
        <v>2.72</v>
      </c>
      <c r="H111" s="47">
        <f t="shared" si="19"/>
        <v>43.52</v>
      </c>
      <c r="I111" s="378">
        <f t="shared" si="13"/>
        <v>13.600000000000001</v>
      </c>
      <c r="J111" s="21">
        <f t="shared" si="10"/>
        <v>336.81706926905775</v>
      </c>
      <c r="K111" s="376">
        <f t="shared" si="14"/>
        <v>332.90415387287879</v>
      </c>
      <c r="L111" s="150">
        <f>'As-Filed Schedule 4'!H111</f>
        <v>0</v>
      </c>
      <c r="M111" s="388">
        <f>SUMIFS(Adjustments!$G:$G,Adjustments!$H:$H,"4",Adjustments!$I:$I,'Schedule 4 Adjustments'!$L$14,Adjustments!$J:$J,'Schedule 4 Adjustments'!$A111)</f>
        <v>11</v>
      </c>
      <c r="N111" s="380">
        <f t="shared" si="15"/>
        <v>11</v>
      </c>
      <c r="O111" s="410">
        <v>1.95</v>
      </c>
      <c r="P111" s="47">
        <f t="shared" si="16"/>
        <v>0</v>
      </c>
      <c r="Q111" s="378">
        <f t="shared" si="17"/>
        <v>21.45</v>
      </c>
      <c r="R111" s="21">
        <f t="shared" si="11"/>
        <v>241.46811951274358</v>
      </c>
      <c r="S111" s="376">
        <f t="shared" si="18"/>
        <v>238.6629044309241</v>
      </c>
    </row>
    <row r="112" spans="1:19" s="22" customFormat="1" x14ac:dyDescent="0.35">
      <c r="A112" s="19">
        <v>100</v>
      </c>
      <c r="B112" s="19">
        <v>99443</v>
      </c>
      <c r="C112" s="20" t="s">
        <v>384</v>
      </c>
      <c r="D112" s="116">
        <f>'As-Filed Schedule 4'!D112</f>
        <v>34</v>
      </c>
      <c r="E112" s="388">
        <f>SUMIFS(Adjustments!$G:$G,Adjustments!$H:$H,"4",Adjustments!$I:$I,'Schedule 4 Adjustments'!$D$14,Adjustments!$J:$J,'Schedule 4 Adjustments'!$A112)</f>
        <v>-25</v>
      </c>
      <c r="F112" s="380">
        <f t="shared" si="12"/>
        <v>9</v>
      </c>
      <c r="G112" s="410">
        <v>3.85</v>
      </c>
      <c r="H112" s="47">
        <f t="shared" si="19"/>
        <v>130.9</v>
      </c>
      <c r="I112" s="378">
        <f t="shared" si="13"/>
        <v>34.65</v>
      </c>
      <c r="J112" s="21">
        <f t="shared" si="10"/>
        <v>476.74474878157071</v>
      </c>
      <c r="K112" s="376">
        <f t="shared" si="14"/>
        <v>471.20624720977327</v>
      </c>
      <c r="L112" s="150">
        <f>'As-Filed Schedule 4'!H112</f>
        <v>0</v>
      </c>
      <c r="M112" s="388">
        <f>SUMIFS(Adjustments!$G:$G,Adjustments!$H:$H,"4",Adjustments!$I:$I,'Schedule 4 Adjustments'!$L$14,Adjustments!$J:$J,'Schedule 4 Adjustments'!$A112)</f>
        <v>25</v>
      </c>
      <c r="N112" s="380">
        <f t="shared" si="15"/>
        <v>25</v>
      </c>
      <c r="O112" s="410">
        <v>2.89</v>
      </c>
      <c r="P112" s="47">
        <f t="shared" si="16"/>
        <v>0</v>
      </c>
      <c r="Q112" s="378">
        <f t="shared" si="17"/>
        <v>72.25</v>
      </c>
      <c r="R112" s="21">
        <f t="shared" si="11"/>
        <v>357.86813609837384</v>
      </c>
      <c r="S112" s="376">
        <f t="shared" si="18"/>
        <v>353.71066348993372</v>
      </c>
    </row>
    <row r="113" spans="1:19" s="22" customFormat="1" ht="34.5" customHeight="1" x14ac:dyDescent="0.35">
      <c r="A113" s="19">
        <v>101</v>
      </c>
      <c r="B113" s="19" t="s">
        <v>42</v>
      </c>
      <c r="C113" s="20" t="s">
        <v>385</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157.26385219547916</v>
      </c>
      <c r="K113" s="376">
        <f t="shared" si="14"/>
        <v>155.43686596270442</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137.45108341494637</v>
      </c>
      <c r="S113" s="376">
        <f t="shared" si="18"/>
        <v>135.85426867606452</v>
      </c>
    </row>
    <row r="114" spans="1:19" s="22" customFormat="1" ht="29" x14ac:dyDescent="0.35">
      <c r="A114" s="19">
        <v>102</v>
      </c>
      <c r="B114" s="19" t="s">
        <v>43</v>
      </c>
      <c r="C114" s="20" t="s">
        <v>386</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92.872353658747542</v>
      </c>
      <c r="K114" s="376">
        <f t="shared" si="14"/>
        <v>91.793424781124656</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45.817027804982118</v>
      </c>
      <c r="S114" s="376">
        <f t="shared" si="18"/>
        <v>45.284756225354833</v>
      </c>
    </row>
    <row r="115" spans="1:19" s="22" customFormat="1" x14ac:dyDescent="0.35">
      <c r="A115" s="19">
        <v>103</v>
      </c>
      <c r="B115" s="19" t="s">
        <v>44</v>
      </c>
      <c r="C115" s="20" t="s">
        <v>129</v>
      </c>
      <c r="D115" s="116">
        <f>'As-Filed Schedule 4'!D115</f>
        <v>314</v>
      </c>
      <c r="E115" s="388">
        <f>SUMIFS(Adjustments!$G:$G,Adjustments!$H:$H,"4",Adjustments!$I:$I,'Schedule 4 Adjustments'!$D$14,Adjustments!$J:$J,'Schedule 4 Adjustments'!$A115)</f>
        <v>-95</v>
      </c>
      <c r="F115" s="380">
        <f t="shared" si="12"/>
        <v>219</v>
      </c>
      <c r="G115" s="410">
        <v>5.17</v>
      </c>
      <c r="H115" s="47">
        <f t="shared" si="19"/>
        <v>1623.3799999999999</v>
      </c>
      <c r="I115" s="378">
        <f t="shared" si="13"/>
        <v>1132.23</v>
      </c>
      <c r="J115" s="21">
        <f t="shared" si="10"/>
        <v>640.20009122096633</v>
      </c>
      <c r="K115" s="376">
        <f t="shared" si="14"/>
        <v>632.76267482455262</v>
      </c>
      <c r="L115" s="150">
        <f>'As-Filed Schedule 4'!H115</f>
        <v>7</v>
      </c>
      <c r="M115" s="388">
        <f>SUMIFS(Adjustments!$G:$G,Adjustments!$H:$H,"4",Adjustments!$I:$I,'Schedule 4 Adjustments'!$L$14,Adjustments!$J:$J,'Schedule 4 Adjustments'!$A115)</f>
        <v>155</v>
      </c>
      <c r="N115" s="380">
        <f t="shared" si="15"/>
        <v>162</v>
      </c>
      <c r="O115" s="410">
        <v>4.43</v>
      </c>
      <c r="P115" s="47">
        <f t="shared" si="16"/>
        <v>31.009999999999998</v>
      </c>
      <c r="Q115" s="378">
        <f t="shared" si="17"/>
        <v>717.66</v>
      </c>
      <c r="R115" s="21">
        <f t="shared" si="11"/>
        <v>548.56603561100212</v>
      </c>
      <c r="S115" s="376">
        <f t="shared" si="18"/>
        <v>542.19316237384294</v>
      </c>
    </row>
    <row r="116" spans="1:19" s="22" customFormat="1" x14ac:dyDescent="0.35">
      <c r="A116" s="19">
        <v>104</v>
      </c>
      <c r="B116" s="19" t="s">
        <v>45</v>
      </c>
      <c r="C116" s="20" t="s">
        <v>387</v>
      </c>
      <c r="D116" s="116">
        <f>'As-Filed Schedule 4'!D116</f>
        <v>979</v>
      </c>
      <c r="E116" s="388">
        <f>SUMIFS(Adjustments!$G:$G,Adjustments!$H:$H,"4",Adjustments!$I:$I,'Schedule 4 Adjustments'!$D$14,Adjustments!$J:$J,'Schedule 4 Adjustments'!$A116)</f>
        <v>-521</v>
      </c>
      <c r="F116" s="380">
        <f t="shared" si="12"/>
        <v>458</v>
      </c>
      <c r="G116" s="410">
        <v>0.72</v>
      </c>
      <c r="H116" s="47">
        <f t="shared" si="19"/>
        <v>704.88</v>
      </c>
      <c r="I116" s="378">
        <f t="shared" si="13"/>
        <v>329.76</v>
      </c>
      <c r="J116" s="21">
        <f t="shared" si="10"/>
        <v>89.157459512397637</v>
      </c>
      <c r="K116" s="376">
        <f t="shared" si="14"/>
        <v>88.121687789879672</v>
      </c>
      <c r="L116" s="150">
        <f>'As-Filed Schedule 4'!H116</f>
        <v>486</v>
      </c>
      <c r="M116" s="388">
        <f>SUMIFS(Adjustments!$G:$G,Adjustments!$H:$H,"4",Adjustments!$I:$I,'Schedule 4 Adjustments'!$L$14,Adjustments!$J:$J,'Schedule 4 Adjustments'!$A116)</f>
        <v>521</v>
      </c>
      <c r="N116" s="380">
        <f t="shared" si="15"/>
        <v>1007</v>
      </c>
      <c r="O116" s="410">
        <v>0.66</v>
      </c>
      <c r="P116" s="47">
        <f t="shared" si="16"/>
        <v>320.76</v>
      </c>
      <c r="Q116" s="378">
        <f t="shared" si="17"/>
        <v>664.62</v>
      </c>
      <c r="R116" s="21">
        <f t="shared" si="11"/>
        <v>81.727671219697839</v>
      </c>
      <c r="S116" s="376">
        <f t="shared" si="18"/>
        <v>80.778213807389704</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19172</v>
      </c>
      <c r="E118" s="388">
        <f>SUMIFS(Adjustments!$G:$G,Adjustments!$H:$H,"4",Adjustments!$I:$I,'Schedule 4 Adjustments'!$D$14,Adjustments!$J:$J,'Schedule 4 Adjustments'!$A118)</f>
        <v>-8868</v>
      </c>
      <c r="F118" s="380">
        <f t="shared" si="12"/>
        <v>10304</v>
      </c>
      <c r="G118" s="410">
        <v>1.18</v>
      </c>
      <c r="H118" s="47">
        <f t="shared" si="19"/>
        <v>22622.959999999999</v>
      </c>
      <c r="I118" s="378">
        <f t="shared" si="13"/>
        <v>12158.72</v>
      </c>
      <c r="J118" s="21">
        <f t="shared" si="10"/>
        <v>146.11916975642944</v>
      </c>
      <c r="K118" s="376">
        <f t="shared" si="14"/>
        <v>144.42165498896946</v>
      </c>
      <c r="L118" s="150">
        <f>'As-Filed Schedule 4'!H118</f>
        <v>1924</v>
      </c>
      <c r="M118" s="388">
        <f>SUMIFS(Adjustments!$G:$G,Adjustments!$H:$H,"4",Adjustments!$I:$I,'Schedule 4 Adjustments'!$L$14,Adjustments!$J:$J,'Schedule 4 Adjustments'!$A118)</f>
        <v>9896</v>
      </c>
      <c r="N118" s="380">
        <f t="shared" si="15"/>
        <v>11820</v>
      </c>
      <c r="O118" s="410">
        <v>1.03</v>
      </c>
      <c r="P118" s="47">
        <f t="shared" si="16"/>
        <v>1981.72</v>
      </c>
      <c r="Q118" s="378">
        <f t="shared" si="17"/>
        <v>12174.6</v>
      </c>
      <c r="R118" s="21">
        <f t="shared" si="11"/>
        <v>127.54469902467996</v>
      </c>
      <c r="S118" s="376">
        <f t="shared" si="18"/>
        <v>126.06297003274453</v>
      </c>
    </row>
    <row r="119" spans="1:19" s="22" customFormat="1" x14ac:dyDescent="0.35">
      <c r="A119" s="19">
        <v>107</v>
      </c>
      <c r="B119" s="19" t="s">
        <v>47</v>
      </c>
      <c r="C119" s="20" t="s">
        <v>131</v>
      </c>
      <c r="D119" s="116">
        <f>'As-Filed Schedule 4'!D119</f>
        <v>6469</v>
      </c>
      <c r="E119" s="388">
        <f>SUMIFS(Adjustments!$G:$G,Adjustments!$H:$H,"4",Adjustments!$I:$I,'Schedule 4 Adjustments'!$D$14,Adjustments!$J:$J,'Schedule 4 Adjustments'!$A119)</f>
        <v>-2571</v>
      </c>
      <c r="F119" s="380">
        <f t="shared" si="12"/>
        <v>3898</v>
      </c>
      <c r="G119" s="410">
        <v>0.83</v>
      </c>
      <c r="H119" s="47">
        <f t="shared" si="19"/>
        <v>5369.2699999999995</v>
      </c>
      <c r="I119" s="378">
        <f t="shared" si="13"/>
        <v>3235.3399999999997</v>
      </c>
      <c r="J119" s="21">
        <f t="shared" si="10"/>
        <v>102.77873804901394</v>
      </c>
      <c r="K119" s="376">
        <f t="shared" si="14"/>
        <v>101.58472342444462</v>
      </c>
      <c r="L119" s="150">
        <f>'As-Filed Schedule 4'!H119</f>
        <v>777</v>
      </c>
      <c r="M119" s="388">
        <f>SUMIFS(Adjustments!$G:$G,Adjustments!$H:$H,"4",Adjustments!$I:$I,'Schedule 4 Adjustments'!$L$14,Adjustments!$J:$J,'Schedule 4 Adjustments'!$A119)</f>
        <v>2566</v>
      </c>
      <c r="N119" s="380">
        <f t="shared" si="15"/>
        <v>3343</v>
      </c>
      <c r="O119" s="410">
        <v>0.72</v>
      </c>
      <c r="P119" s="47">
        <f t="shared" si="16"/>
        <v>559.43999999999994</v>
      </c>
      <c r="Q119" s="378">
        <f t="shared" si="17"/>
        <v>2406.96</v>
      </c>
      <c r="R119" s="21">
        <f t="shared" si="11"/>
        <v>89.157459512397637</v>
      </c>
      <c r="S119" s="376">
        <f t="shared" si="18"/>
        <v>88.121687789879672</v>
      </c>
    </row>
    <row r="120" spans="1:19" s="22" customFormat="1" x14ac:dyDescent="0.35">
      <c r="A120" s="19">
        <v>108</v>
      </c>
      <c r="B120" s="19" t="s">
        <v>48</v>
      </c>
      <c r="C120" s="20" t="s">
        <v>132</v>
      </c>
      <c r="D120" s="116">
        <f>'As-Filed Schedule 4'!D120</f>
        <v>5509</v>
      </c>
      <c r="E120" s="388">
        <f>SUMIFS(Adjustments!$G:$G,Adjustments!$H:$H,"4",Adjustments!$I:$I,'Schedule 4 Adjustments'!$D$14,Adjustments!$J:$J,'Schedule 4 Adjustments'!$A120)</f>
        <v>-1569</v>
      </c>
      <c r="F120" s="380">
        <f t="shared" si="12"/>
        <v>3940</v>
      </c>
      <c r="G120" s="410">
        <v>0.64</v>
      </c>
      <c r="H120" s="47">
        <f t="shared" si="19"/>
        <v>3525.76</v>
      </c>
      <c r="I120" s="378">
        <f t="shared" si="13"/>
        <v>2521.6</v>
      </c>
      <c r="J120" s="21">
        <f t="shared" si="10"/>
        <v>79.25107512213124</v>
      </c>
      <c r="K120" s="376">
        <f t="shared" si="14"/>
        <v>78.33038914655971</v>
      </c>
      <c r="L120" s="150">
        <f>'As-Filed Schedule 4'!H120</f>
        <v>1313</v>
      </c>
      <c r="M120" s="388">
        <f>SUMIFS(Adjustments!$G:$G,Adjustments!$H:$H,"4",Adjustments!$I:$I,'Schedule 4 Adjustments'!$L$14,Adjustments!$J:$J,'Schedule 4 Adjustments'!$A120)</f>
        <v>1569</v>
      </c>
      <c r="N120" s="380">
        <f t="shared" si="15"/>
        <v>2882</v>
      </c>
      <c r="O120" s="410">
        <v>0.6</v>
      </c>
      <c r="P120" s="47">
        <f t="shared" si="16"/>
        <v>787.8</v>
      </c>
      <c r="Q120" s="378">
        <f t="shared" si="17"/>
        <v>1729.2</v>
      </c>
      <c r="R120" s="21">
        <f t="shared" si="11"/>
        <v>74.297882926998028</v>
      </c>
      <c r="S120" s="376">
        <f t="shared" si="18"/>
        <v>73.434739824899722</v>
      </c>
    </row>
    <row r="121" spans="1:19" s="22" customFormat="1" x14ac:dyDescent="0.35">
      <c r="A121" s="19">
        <v>109</v>
      </c>
      <c r="B121" s="19" t="s">
        <v>21</v>
      </c>
      <c r="C121" s="20" t="s">
        <v>24</v>
      </c>
      <c r="D121" s="116">
        <f>'As-Filed Schedule 4'!D121</f>
        <v>1</v>
      </c>
      <c r="E121" s="388">
        <f>SUMIFS(Adjustments!$G:$G,Adjustments!$H:$H,"4",Adjustments!$I:$I,'Schedule 4 Adjustments'!$D$14,Adjustments!$J:$J,'Schedule 4 Adjustments'!$A121)</f>
        <v>-1</v>
      </c>
      <c r="F121" s="380">
        <f t="shared" si="12"/>
        <v>0</v>
      </c>
      <c r="G121" s="410">
        <v>0</v>
      </c>
      <c r="H121" s="47">
        <f t="shared" si="19"/>
        <v>0</v>
      </c>
      <c r="I121" s="378">
        <f t="shared" si="13"/>
        <v>0</v>
      </c>
      <c r="J121" s="21">
        <f t="shared" si="10"/>
        <v>0</v>
      </c>
      <c r="K121" s="376">
        <f t="shared" si="14"/>
        <v>0</v>
      </c>
      <c r="L121" s="150">
        <f>'As-Filed Schedule 4'!H121</f>
        <v>3</v>
      </c>
      <c r="M121" s="388">
        <f>SUMIFS(Adjustments!$G:$G,Adjustments!$H:$H,"4",Adjustments!$I:$I,'Schedule 4 Adjustments'!$L$14,Adjustments!$J:$J,'Schedule 4 Adjustments'!$A121)</f>
        <v>1</v>
      </c>
      <c r="N121" s="380">
        <f t="shared" si="15"/>
        <v>4</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388</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701</v>
      </c>
      <c r="M122" s="388">
        <f>SUMIFS(Adjustments!$G:$G,Adjustments!$H:$H,"4",Adjustments!$I:$I,'Schedule 4 Adjustments'!$L$14,Adjustments!$J:$J,'Schedule 4 Adjustments'!$A122)</f>
        <v>0</v>
      </c>
      <c r="N122" s="380">
        <f t="shared" si="15"/>
        <v>701</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389</v>
      </c>
      <c r="D123" s="116">
        <f>'As-Filed Schedule 4'!D123</f>
        <v>5</v>
      </c>
      <c r="E123" s="388">
        <f>SUMIFS(Adjustments!$G:$G,Adjustments!$H:$H,"4",Adjustments!$I:$I,'Schedule 4 Adjustments'!$D$14,Adjustments!$J:$J,'Schedule 4 Adjustments'!$A123)</f>
        <v>-5</v>
      </c>
      <c r="F123" s="380">
        <f t="shared" si="12"/>
        <v>0</v>
      </c>
      <c r="G123" s="410">
        <v>0</v>
      </c>
      <c r="H123" s="47">
        <f t="shared" si="19"/>
        <v>0</v>
      </c>
      <c r="I123" s="378">
        <f t="shared" si="13"/>
        <v>0</v>
      </c>
      <c r="J123" s="21">
        <f t="shared" si="10"/>
        <v>0</v>
      </c>
      <c r="K123" s="376">
        <f t="shared" si="14"/>
        <v>0</v>
      </c>
      <c r="L123" s="150">
        <f>'As-Filed Schedule 4'!H123</f>
        <v>1276</v>
      </c>
      <c r="M123" s="388">
        <f>SUMIFS(Adjustments!$G:$G,Adjustments!$H:$H,"4",Adjustments!$I:$I,'Schedule 4 Adjustments'!$L$14,Adjustments!$J:$J,'Schedule 4 Adjustments'!$A123)</f>
        <v>-36</v>
      </c>
      <c r="N123" s="380">
        <f t="shared" si="15"/>
        <v>1240</v>
      </c>
      <c r="O123" s="410">
        <v>0</v>
      </c>
      <c r="P123" s="47">
        <f t="shared" si="16"/>
        <v>0</v>
      </c>
      <c r="Q123" s="378">
        <f t="shared" si="17"/>
        <v>0</v>
      </c>
      <c r="R123" s="21">
        <f t="shared" si="11"/>
        <v>0</v>
      </c>
      <c r="S123" s="376">
        <f t="shared" si="18"/>
        <v>0</v>
      </c>
    </row>
    <row r="124" spans="1:19" s="22" customFormat="1" x14ac:dyDescent="0.35">
      <c r="A124" s="19">
        <v>112</v>
      </c>
      <c r="B124" s="19" t="s">
        <v>50</v>
      </c>
      <c r="C124" s="20" t="s">
        <v>390</v>
      </c>
      <c r="D124" s="116">
        <f>'As-Filed Schedule 4'!D124</f>
        <v>2441</v>
      </c>
      <c r="E124" s="388">
        <f>SUMIFS(Adjustments!$G:$G,Adjustments!$H:$H,"4",Adjustments!$I:$I,'Schedule 4 Adjustments'!$D$14,Adjustments!$J:$J,'Schedule 4 Adjustments'!$A124)</f>
        <v>-810</v>
      </c>
      <c r="F124" s="380">
        <f t="shared" si="12"/>
        <v>1631</v>
      </c>
      <c r="G124" s="410">
        <v>2.64</v>
      </c>
      <c r="H124" s="47">
        <f t="shared" si="19"/>
        <v>6444.2400000000007</v>
      </c>
      <c r="I124" s="378">
        <f t="shared" si="13"/>
        <v>4305.84</v>
      </c>
      <c r="J124" s="21">
        <f t="shared" si="10"/>
        <v>326.91068487879136</v>
      </c>
      <c r="K124" s="376">
        <f t="shared" si="14"/>
        <v>323.11285522955882</v>
      </c>
      <c r="L124" s="150">
        <f>'As-Filed Schedule 4'!H124</f>
        <v>717</v>
      </c>
      <c r="M124" s="388">
        <f>SUMIFS(Adjustments!$G:$G,Adjustments!$H:$H,"4",Adjustments!$I:$I,'Schedule 4 Adjustments'!$L$14,Adjustments!$J:$J,'Schedule 4 Adjustments'!$A124)</f>
        <v>810</v>
      </c>
      <c r="N124" s="380">
        <f t="shared" si="15"/>
        <v>1527</v>
      </c>
      <c r="O124" s="410">
        <v>2.64</v>
      </c>
      <c r="P124" s="47">
        <f t="shared" si="16"/>
        <v>1892.88</v>
      </c>
      <c r="Q124" s="378">
        <f t="shared" si="17"/>
        <v>4031.28</v>
      </c>
      <c r="R124" s="21">
        <f t="shared" si="11"/>
        <v>326.91068487879136</v>
      </c>
      <c r="S124" s="376">
        <f t="shared" si="18"/>
        <v>323.11285522955882</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0</v>
      </c>
      <c r="M125" s="388">
        <f>SUMIFS(Adjustments!$G:$G,Adjustments!$H:$H,"4",Adjustments!$I:$I,'Schedule 4 Adjustments'!$L$14,Adjustments!$J:$J,'Schedule 4 Adjustments'!$A125)</f>
        <v>0</v>
      </c>
      <c r="N125" s="380">
        <f t="shared" si="15"/>
        <v>0</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3504</v>
      </c>
      <c r="M126" s="388">
        <f>SUMIFS(Adjustments!$G:$G,Adjustments!$H:$H,"4",Adjustments!$I:$I,'Schedule 4 Adjustments'!$L$14,Adjustments!$J:$J,'Schedule 4 Adjustments'!$A126)</f>
        <v>-1373</v>
      </c>
      <c r="N126" s="380">
        <f t="shared" si="15"/>
        <v>2131</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0</v>
      </c>
      <c r="M127" s="388">
        <f>SUMIFS(Adjustments!$G:$G,Adjustments!$H:$H,"4",Adjustments!$I:$I,'Schedule 4 Adjustments'!$L$14,Adjustments!$J:$J,'Schedule 4 Adjustments'!$A127)</f>
        <v>0</v>
      </c>
      <c r="N127" s="380">
        <f t="shared" si="15"/>
        <v>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391</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126.30640097589665</v>
      </c>
      <c r="K128" s="376">
        <f t="shared" si="14"/>
        <v>124.83905770232954</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116.40001658563024</v>
      </c>
      <c r="S128" s="376">
        <f t="shared" si="18"/>
        <v>115.04775905900956</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392</v>
      </c>
      <c r="D130" s="116">
        <f>'As-Filed Schedule 4'!D130</f>
        <v>0</v>
      </c>
      <c r="E130" s="388">
        <f>SUMIFS(Adjustments!$G:$G,Adjustments!$H:$H,"4",Adjustments!$I:$I,'Schedule 4 Adjustments'!$D$14,Adjustments!$J:$J,'Schedule 4 Adjustments'!$A130)</f>
        <v>7364</v>
      </c>
      <c r="F130" s="380">
        <f t="shared" si="12"/>
        <v>7364</v>
      </c>
      <c r="G130" s="410">
        <v>0.12</v>
      </c>
      <c r="H130" s="47">
        <f t="shared" si="19"/>
        <v>0</v>
      </c>
      <c r="I130" s="378">
        <f t="shared" si="13"/>
        <v>883.68</v>
      </c>
      <c r="J130" s="21">
        <f t="shared" si="10"/>
        <v>14.859576585399605</v>
      </c>
      <c r="K130" s="376">
        <f t="shared" si="14"/>
        <v>14.686947964979945</v>
      </c>
      <c r="L130" s="150">
        <f>'As-Filed Schedule 4'!H130</f>
        <v>0</v>
      </c>
      <c r="M130" s="388">
        <f>SUMIFS(Adjustments!$G:$G,Adjustments!$H:$H,"4",Adjustments!$I:$I,'Schedule 4 Adjustments'!$L$14,Adjustments!$J:$J,'Schedule 4 Adjustments'!$A130)</f>
        <v>9101</v>
      </c>
      <c r="N130" s="380">
        <f t="shared" si="15"/>
        <v>9101</v>
      </c>
      <c r="O130" s="410">
        <v>0.09</v>
      </c>
      <c r="P130" s="47">
        <f t="shared" si="16"/>
        <v>0</v>
      </c>
      <c r="Q130" s="378">
        <f t="shared" si="17"/>
        <v>819.08999999999992</v>
      </c>
      <c r="R130" s="21">
        <f t="shared" si="11"/>
        <v>11.144682439049705</v>
      </c>
      <c r="S130" s="376">
        <f t="shared" si="18"/>
        <v>11.015210973734959</v>
      </c>
    </row>
    <row r="131" spans="1:19" s="22" customFormat="1" x14ac:dyDescent="0.35">
      <c r="A131" s="19">
        <v>119</v>
      </c>
      <c r="B131" s="19" t="s">
        <v>56</v>
      </c>
      <c r="C131" s="20" t="s">
        <v>393</v>
      </c>
      <c r="D131" s="116">
        <f>'As-Filed Schedule 4'!D131</f>
        <v>0</v>
      </c>
      <c r="E131" s="388">
        <f>SUMIFS(Adjustments!$G:$G,Adjustments!$H:$H,"4",Adjustments!$I:$I,'Schedule 4 Adjustments'!$D$14,Adjustments!$J:$J,'Schedule 4 Adjustments'!$A131)</f>
        <v>0</v>
      </c>
      <c r="F131" s="380">
        <f t="shared" si="12"/>
        <v>0</v>
      </c>
      <c r="G131" s="410">
        <v>0.59</v>
      </c>
      <c r="H131" s="47">
        <f t="shared" si="19"/>
        <v>0</v>
      </c>
      <c r="I131" s="378">
        <f t="shared" si="13"/>
        <v>0</v>
      </c>
      <c r="J131" s="21">
        <f t="shared" si="10"/>
        <v>73.059584878214721</v>
      </c>
      <c r="K131" s="376">
        <f t="shared" si="14"/>
        <v>72.210827494484732</v>
      </c>
      <c r="L131" s="150">
        <f>'As-Filed Schedule 4'!H131</f>
        <v>0</v>
      </c>
      <c r="M131" s="388">
        <f>SUMIFS(Adjustments!$G:$G,Adjustments!$H:$H,"4",Adjustments!$I:$I,'Schedule 4 Adjustments'!$L$14,Adjustments!$J:$J,'Schedule 4 Adjustments'!$A131)</f>
        <v>0</v>
      </c>
      <c r="N131" s="380">
        <f t="shared" si="15"/>
        <v>0</v>
      </c>
      <c r="O131" s="410">
        <v>0.55000000000000004</v>
      </c>
      <c r="P131" s="47">
        <f t="shared" si="16"/>
        <v>0</v>
      </c>
      <c r="Q131" s="378">
        <f t="shared" si="17"/>
        <v>0</v>
      </c>
      <c r="R131" s="21">
        <f t="shared" si="11"/>
        <v>68.106392683081538</v>
      </c>
      <c r="S131" s="376">
        <f t="shared" si="18"/>
        <v>67.315178172824758</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92.872353658747542</v>
      </c>
      <c r="K132" s="376">
        <f t="shared" si="14"/>
        <v>91.793424781124656</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45.817027804982118</v>
      </c>
      <c r="S132" s="376">
        <f t="shared" si="18"/>
        <v>45.284756225354833</v>
      </c>
    </row>
    <row r="133" spans="1:19" s="22" customFormat="1" ht="29" x14ac:dyDescent="0.35">
      <c r="A133" s="19">
        <v>121</v>
      </c>
      <c r="B133" s="19" t="s">
        <v>58</v>
      </c>
      <c r="C133" s="20" t="s">
        <v>137</v>
      </c>
      <c r="D133" s="116">
        <f>'As-Filed Schedule 4'!D133</f>
        <v>297</v>
      </c>
      <c r="E133" s="388">
        <f>SUMIFS(Adjustments!$G:$G,Adjustments!$H:$H,"4",Adjustments!$I:$I,'Schedule 4 Adjustments'!$D$14,Adjustments!$J:$J,'Schedule 4 Adjustments'!$A133)</f>
        <v>-32</v>
      </c>
      <c r="F133" s="380">
        <f t="shared" si="12"/>
        <v>265</v>
      </c>
      <c r="G133" s="410">
        <v>0.75</v>
      </c>
      <c r="H133" s="47">
        <f t="shared" si="19"/>
        <v>222.75</v>
      </c>
      <c r="I133" s="378">
        <f t="shared" si="13"/>
        <v>198.75</v>
      </c>
      <c r="J133" s="21">
        <f t="shared" si="10"/>
        <v>92.872353658747542</v>
      </c>
      <c r="K133" s="376">
        <f t="shared" si="14"/>
        <v>91.793424781124656</v>
      </c>
      <c r="L133" s="150">
        <f>'As-Filed Schedule 4'!H133</f>
        <v>310</v>
      </c>
      <c r="M133" s="388">
        <f>SUMIFS(Adjustments!$G:$G,Adjustments!$H:$H,"4",Adjustments!$I:$I,'Schedule 4 Adjustments'!$L$14,Adjustments!$J:$J,'Schedule 4 Adjustments'!$A133)</f>
        <v>32</v>
      </c>
      <c r="N133" s="380">
        <f t="shared" si="15"/>
        <v>342</v>
      </c>
      <c r="O133" s="410">
        <v>0.37</v>
      </c>
      <c r="P133" s="47">
        <f t="shared" si="16"/>
        <v>114.7</v>
      </c>
      <c r="Q133" s="378">
        <f t="shared" si="17"/>
        <v>126.53999999999999</v>
      </c>
      <c r="R133" s="21">
        <f t="shared" si="11"/>
        <v>45.817027804982118</v>
      </c>
      <c r="S133" s="376">
        <f t="shared" si="18"/>
        <v>45.284756225354833</v>
      </c>
    </row>
    <row r="134" spans="1:19" s="22" customFormat="1" ht="43.5" x14ac:dyDescent="0.35">
      <c r="A134" s="19">
        <v>122</v>
      </c>
      <c r="B134" s="19" t="s">
        <v>15</v>
      </c>
      <c r="C134" s="20" t="s">
        <v>18</v>
      </c>
      <c r="D134" s="116">
        <f>'As-Filed Schedule 4'!D134</f>
        <v>6</v>
      </c>
      <c r="E134" s="388">
        <f>SUMIFS(Adjustments!$G:$G,Adjustments!$H:$H,"4",Adjustments!$I:$I,'Schedule 4 Adjustments'!$D$14,Adjustments!$J:$J,'Schedule 4 Adjustments'!$A134)</f>
        <v>0</v>
      </c>
      <c r="F134" s="380">
        <f t="shared" si="12"/>
        <v>6</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395</v>
      </c>
      <c r="D138" s="116">
        <f>'As-Filed Schedule 4'!D138</f>
        <v>316</v>
      </c>
      <c r="E138" s="388">
        <f>SUMIFS(Adjustments!$G:$G,Adjustments!$H:$H,"4",Adjustments!$I:$I,'Schedule 4 Adjustments'!$D$14,Adjustments!$J:$J,'Schedule 4 Adjustments'!$A138)</f>
        <v>-188</v>
      </c>
      <c r="F138" s="380">
        <f t="shared" si="12"/>
        <v>128</v>
      </c>
      <c r="G138" s="410">
        <v>3.27</v>
      </c>
      <c r="H138" s="47">
        <f t="shared" si="19"/>
        <v>1033.32</v>
      </c>
      <c r="I138" s="378">
        <f t="shared" si="13"/>
        <v>418.56</v>
      </c>
      <c r="J138" s="21">
        <f t="shared" si="10"/>
        <v>404.92346195213929</v>
      </c>
      <c r="K138" s="376">
        <f t="shared" si="14"/>
        <v>400.21933204570354</v>
      </c>
      <c r="L138" s="150">
        <f>'As-Filed Schedule 4'!H138</f>
        <v>104</v>
      </c>
      <c r="M138" s="388">
        <f>SUMIFS(Adjustments!$G:$G,Adjustments!$H:$H,"4",Adjustments!$I:$I,'Schedule 4 Adjustments'!$L$14,Adjustments!$J:$J,'Schedule 4 Adjustments'!$A138)</f>
        <v>187</v>
      </c>
      <c r="N138" s="380">
        <f t="shared" si="15"/>
        <v>291</v>
      </c>
      <c r="O138" s="410">
        <v>2.17</v>
      </c>
      <c r="P138" s="47">
        <f t="shared" si="16"/>
        <v>225.68</v>
      </c>
      <c r="Q138" s="378">
        <f t="shared" si="17"/>
        <v>631.47</v>
      </c>
      <c r="R138" s="21">
        <f t="shared" si="11"/>
        <v>268.71067658597622</v>
      </c>
      <c r="S138" s="376">
        <f t="shared" si="18"/>
        <v>265.58897570005399</v>
      </c>
    </row>
    <row r="139" spans="1:19" s="22" customFormat="1" x14ac:dyDescent="0.35">
      <c r="A139" s="19">
        <v>127</v>
      </c>
      <c r="B139" s="19" t="s">
        <v>60</v>
      </c>
      <c r="C139" s="20" t="s">
        <v>394</v>
      </c>
      <c r="D139" s="116">
        <f>'As-Filed Schedule 4'!D139</f>
        <v>451</v>
      </c>
      <c r="E139" s="388">
        <f>SUMIFS(Adjustments!$G:$G,Adjustments!$H:$H,"4",Adjustments!$I:$I,'Schedule 4 Adjustments'!$D$14,Adjustments!$J:$J,'Schedule 4 Adjustments'!$A139)</f>
        <v>-266</v>
      </c>
      <c r="F139" s="380">
        <f t="shared" si="12"/>
        <v>185</v>
      </c>
      <c r="G139" s="410">
        <v>1.1499999999999999</v>
      </c>
      <c r="H139" s="47">
        <f t="shared" si="19"/>
        <v>518.65</v>
      </c>
      <c r="I139" s="378">
        <f t="shared" si="13"/>
        <v>212.74999999999997</v>
      </c>
      <c r="J139" s="21">
        <f t="shared" si="10"/>
        <v>142.40427561007954</v>
      </c>
      <c r="K139" s="376">
        <f t="shared" si="14"/>
        <v>140.74991799772448</v>
      </c>
      <c r="L139" s="150">
        <f>'As-Filed Schedule 4'!H139</f>
        <v>60</v>
      </c>
      <c r="M139" s="388">
        <f>SUMIFS(Adjustments!$G:$G,Adjustments!$H:$H,"4",Adjustments!$I:$I,'Schedule 4 Adjustments'!$L$14,Adjustments!$J:$J,'Schedule 4 Adjustments'!$A139)</f>
        <v>266</v>
      </c>
      <c r="N139" s="380">
        <f t="shared" si="15"/>
        <v>326</v>
      </c>
      <c r="O139" s="410">
        <v>0.7</v>
      </c>
      <c r="P139" s="47">
        <f t="shared" si="16"/>
        <v>42</v>
      </c>
      <c r="Q139" s="378">
        <f t="shared" si="17"/>
        <v>228.2</v>
      </c>
      <c r="R139" s="21">
        <f t="shared" si="11"/>
        <v>86.680863414831038</v>
      </c>
      <c r="S139" s="376">
        <f t="shared" si="18"/>
        <v>85.673863129049678</v>
      </c>
    </row>
    <row r="140" spans="1:19" s="22" customFormat="1" x14ac:dyDescent="0.35">
      <c r="A140" s="19">
        <v>128</v>
      </c>
      <c r="B140" s="19" t="s">
        <v>61</v>
      </c>
      <c r="C140" s="20" t="s">
        <v>141</v>
      </c>
      <c r="D140" s="116">
        <f>'As-Filed Schedule 4'!D140</f>
        <v>5888</v>
      </c>
      <c r="E140" s="388">
        <f>SUMIFS(Adjustments!$G:$G,Adjustments!$H:$H,"4",Adjustments!$I:$I,'Schedule 4 Adjustments'!$D$14,Adjustments!$J:$J,'Schedule 4 Adjustments'!$A140)</f>
        <v>-5888</v>
      </c>
      <c r="F140" s="380">
        <f t="shared" si="12"/>
        <v>0</v>
      </c>
      <c r="G140" s="410">
        <v>0.44</v>
      </c>
      <c r="H140" s="47">
        <f t="shared" si="19"/>
        <v>2590.7199999999998</v>
      </c>
      <c r="I140" s="378">
        <f t="shared" si="13"/>
        <v>0</v>
      </c>
      <c r="J140" s="21">
        <f t="shared" si="10"/>
        <v>54.485114146465222</v>
      </c>
      <c r="K140" s="376">
        <f t="shared" si="14"/>
        <v>53.852142538259798</v>
      </c>
      <c r="L140" s="150">
        <f>'As-Filed Schedule 4'!H140</f>
        <v>28933</v>
      </c>
      <c r="M140" s="388">
        <f>SUMIFS(Adjustments!$G:$G,Adjustments!$H:$H,"4",Adjustments!$I:$I,'Schedule 4 Adjustments'!$L$14,Adjustments!$J:$J,'Schedule 4 Adjustments'!$A140)</f>
        <v>5888</v>
      </c>
      <c r="N140" s="380">
        <f t="shared" si="15"/>
        <v>34821</v>
      </c>
      <c r="O140" s="410">
        <v>0.44</v>
      </c>
      <c r="P140" s="47">
        <f t="shared" si="16"/>
        <v>12730.52</v>
      </c>
      <c r="Q140" s="378">
        <f t="shared" si="17"/>
        <v>15321.24</v>
      </c>
      <c r="R140" s="21">
        <f t="shared" si="11"/>
        <v>54.485114146465222</v>
      </c>
      <c r="S140" s="376">
        <f t="shared" si="18"/>
        <v>53.852142538259798</v>
      </c>
    </row>
    <row r="141" spans="1:19" s="22" customFormat="1" x14ac:dyDescent="0.35">
      <c r="A141" s="19">
        <v>129</v>
      </c>
      <c r="B141" s="19" t="s">
        <v>62</v>
      </c>
      <c r="C141" s="20" t="s">
        <v>396</v>
      </c>
      <c r="D141" s="116">
        <f>'As-Filed Schedule 4'!D141</f>
        <v>718</v>
      </c>
      <c r="E141" s="388">
        <f>SUMIFS(Adjustments!$G:$G,Adjustments!$H:$H,"4",Adjustments!$I:$I,'Schedule 4 Adjustments'!$D$14,Adjustments!$J:$J,'Schedule 4 Adjustments'!$A141)</f>
        <v>-96</v>
      </c>
      <c r="F141" s="380">
        <f t="shared" si="12"/>
        <v>622</v>
      </c>
      <c r="G141" s="410">
        <v>0.92</v>
      </c>
      <c r="H141" s="47">
        <f t="shared" si="19"/>
        <v>660.56000000000006</v>
      </c>
      <c r="I141" s="378">
        <f t="shared" si="13"/>
        <v>572.24</v>
      </c>
      <c r="J141" s="21">
        <f t="shared" si="10"/>
        <v>113.92342048806366</v>
      </c>
      <c r="K141" s="376">
        <f t="shared" si="14"/>
        <v>112.59993439817958</v>
      </c>
      <c r="L141" s="150">
        <f>'As-Filed Schedule 4'!H141</f>
        <v>319</v>
      </c>
      <c r="M141" s="388">
        <f>SUMIFS(Adjustments!$G:$G,Adjustments!$H:$H,"4",Adjustments!$I:$I,'Schedule 4 Adjustments'!$L$14,Adjustments!$J:$J,'Schedule 4 Adjustments'!$A141)</f>
        <v>96</v>
      </c>
      <c r="N141" s="380">
        <f t="shared" si="15"/>
        <v>415</v>
      </c>
      <c r="O141" s="410">
        <v>0.92</v>
      </c>
      <c r="P141" s="47">
        <f t="shared" si="16"/>
        <v>293.48</v>
      </c>
      <c r="Q141" s="378">
        <f t="shared" si="17"/>
        <v>381.8</v>
      </c>
      <c r="R141" s="21">
        <f t="shared" si="11"/>
        <v>113.92342048806366</v>
      </c>
      <c r="S141" s="376">
        <f t="shared" si="18"/>
        <v>112.59993439817958</v>
      </c>
    </row>
    <row r="142" spans="1:19" s="22" customFormat="1" x14ac:dyDescent="0.35">
      <c r="A142" s="19">
        <v>130</v>
      </c>
      <c r="B142" s="19" t="s">
        <v>63</v>
      </c>
      <c r="C142" s="20" t="s">
        <v>397</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653.82136975758272</v>
      </c>
      <c r="K142" s="376">
        <f t="shared" si="14"/>
        <v>646.22571045911764</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653.82136975758272</v>
      </c>
      <c r="S142" s="376">
        <f t="shared" si="18"/>
        <v>646.22571045911764</v>
      </c>
    </row>
    <row r="143" spans="1:19" s="22" customFormat="1" x14ac:dyDescent="0.35">
      <c r="A143" s="19">
        <v>131</v>
      </c>
      <c r="B143" s="19" t="s">
        <v>64</v>
      </c>
      <c r="C143" s="20" t="s">
        <v>399</v>
      </c>
      <c r="D143" s="116">
        <f>'As-Filed Schedule 4'!D143</f>
        <v>184</v>
      </c>
      <c r="E143" s="388">
        <f>SUMIFS(Adjustments!$G:$G,Adjustments!$H:$H,"4",Adjustments!$I:$I,'Schedule 4 Adjustments'!$D$14,Adjustments!$J:$J,'Schedule 4 Adjustments'!$A143)</f>
        <v>-159</v>
      </c>
      <c r="F143" s="380">
        <f t="shared" si="12"/>
        <v>25</v>
      </c>
      <c r="G143" s="410">
        <v>0.44</v>
      </c>
      <c r="H143" s="47">
        <f t="shared" si="19"/>
        <v>80.959999999999994</v>
      </c>
      <c r="I143" s="378">
        <f t="shared" si="13"/>
        <v>11</v>
      </c>
      <c r="J143" s="21">
        <f t="shared" si="10"/>
        <v>54.485114146465222</v>
      </c>
      <c r="K143" s="376">
        <f t="shared" si="14"/>
        <v>53.852142538259798</v>
      </c>
      <c r="L143" s="150">
        <f>'As-Filed Schedule 4'!H143</f>
        <v>0</v>
      </c>
      <c r="M143" s="388">
        <f>SUMIFS(Adjustments!$G:$G,Adjustments!$H:$H,"4",Adjustments!$I:$I,'Schedule 4 Adjustments'!$L$14,Adjustments!$J:$J,'Schedule 4 Adjustments'!$A143)</f>
        <v>159</v>
      </c>
      <c r="N143" s="380">
        <f t="shared" si="15"/>
        <v>159</v>
      </c>
      <c r="O143" s="410">
        <v>0.44</v>
      </c>
      <c r="P143" s="47">
        <f t="shared" si="16"/>
        <v>0</v>
      </c>
      <c r="Q143" s="378">
        <f t="shared" si="17"/>
        <v>69.959999999999994</v>
      </c>
      <c r="R143" s="21">
        <f t="shared" si="11"/>
        <v>54.485114146465222</v>
      </c>
      <c r="S143" s="376">
        <f t="shared" si="18"/>
        <v>53.852142538259798</v>
      </c>
    </row>
    <row r="144" spans="1:19" s="22" customFormat="1" x14ac:dyDescent="0.35">
      <c r="A144" s="19">
        <v>132</v>
      </c>
      <c r="B144" s="19" t="s">
        <v>65</v>
      </c>
      <c r="C144" s="20" t="s">
        <v>398</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653.82136975758272</v>
      </c>
      <c r="K144" s="376">
        <f t="shared" si="14"/>
        <v>646.22571045911764</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653.82136975758272</v>
      </c>
      <c r="S144" s="376">
        <f t="shared" si="18"/>
        <v>646.22571045911764</v>
      </c>
    </row>
    <row r="145" spans="1:19" s="22" customFormat="1" x14ac:dyDescent="0.35">
      <c r="A145" s="19">
        <v>133</v>
      </c>
      <c r="B145" s="19" t="s">
        <v>66</v>
      </c>
      <c r="C145" s="20" t="s">
        <v>142</v>
      </c>
      <c r="D145" s="116">
        <f>'As-Filed Schedule 4'!D145</f>
        <v>27677</v>
      </c>
      <c r="E145" s="388">
        <f>SUMIFS(Adjustments!$G:$G,Adjustments!$H:$H,"4",Adjustments!$I:$I,'Schedule 4 Adjustments'!$D$14,Adjustments!$J:$J,'Schedule 4 Adjustments'!$A145)</f>
        <v>-18759</v>
      </c>
      <c r="F145" s="380">
        <f t="shared" si="12"/>
        <v>8918</v>
      </c>
      <c r="G145" s="410">
        <v>0.54</v>
      </c>
      <c r="H145" s="47">
        <f t="shared" si="19"/>
        <v>14945.580000000002</v>
      </c>
      <c r="I145" s="378">
        <f t="shared" si="13"/>
        <v>4815.72</v>
      </c>
      <c r="J145" s="21">
        <f t="shared" si="10"/>
        <v>66.868094634298231</v>
      </c>
      <c r="K145" s="376">
        <f t="shared" si="14"/>
        <v>66.091265842409754</v>
      </c>
      <c r="L145" s="150">
        <f>'As-Filed Schedule 4'!H145</f>
        <v>1239</v>
      </c>
      <c r="M145" s="388">
        <f>SUMIFS(Adjustments!$G:$G,Adjustments!$H:$H,"4",Adjustments!$I:$I,'Schedule 4 Adjustments'!$L$14,Adjustments!$J:$J,'Schedule 4 Adjustments'!$A145)</f>
        <v>18749</v>
      </c>
      <c r="N145" s="380">
        <f t="shared" si="15"/>
        <v>19988</v>
      </c>
      <c r="O145" s="410">
        <v>0.54</v>
      </c>
      <c r="P145" s="47">
        <f t="shared" si="16"/>
        <v>669.06000000000006</v>
      </c>
      <c r="Q145" s="378">
        <f t="shared" si="17"/>
        <v>10793.52</v>
      </c>
      <c r="R145" s="21">
        <f t="shared" si="11"/>
        <v>66.868094634298231</v>
      </c>
      <c r="S145" s="376">
        <f t="shared" si="18"/>
        <v>66.091265842409754</v>
      </c>
    </row>
    <row r="146" spans="1:19" s="22" customFormat="1" x14ac:dyDescent="0.35">
      <c r="A146" s="19">
        <v>134</v>
      </c>
      <c r="B146" s="19" t="s">
        <v>67</v>
      </c>
      <c r="C146" s="20" t="s">
        <v>400</v>
      </c>
      <c r="D146" s="116">
        <f>'As-Filed Schedule 4'!D146</f>
        <v>412</v>
      </c>
      <c r="E146" s="388">
        <f>SUMIFS(Adjustments!$G:$G,Adjustments!$H:$H,"4",Adjustments!$I:$I,'Schedule 4 Adjustments'!$D$14,Adjustments!$J:$J,'Schedule 4 Adjustments'!$A146)</f>
        <v>-257</v>
      </c>
      <c r="F146" s="380">
        <f t="shared" si="12"/>
        <v>155</v>
      </c>
      <c r="G146" s="410">
        <v>1.29</v>
      </c>
      <c r="H146" s="47">
        <f t="shared" si="19"/>
        <v>531.48</v>
      </c>
      <c r="I146" s="378">
        <f t="shared" si="13"/>
        <v>199.95000000000002</v>
      </c>
      <c r="J146" s="21">
        <f t="shared" ref="J146:J196" si="20">G146*$H$12</f>
        <v>159.74044829304577</v>
      </c>
      <c r="K146" s="376">
        <f t="shared" si="14"/>
        <v>157.88469062353442</v>
      </c>
      <c r="L146" s="150">
        <f>'As-Filed Schedule 4'!H146</f>
        <v>30</v>
      </c>
      <c r="M146" s="388">
        <f>SUMIFS(Adjustments!$G:$G,Adjustments!$H:$H,"4",Adjustments!$I:$I,'Schedule 4 Adjustments'!$L$14,Adjustments!$J:$J,'Schedule 4 Adjustments'!$A146)</f>
        <v>264</v>
      </c>
      <c r="N146" s="380">
        <f t="shared" si="15"/>
        <v>294</v>
      </c>
      <c r="O146" s="410">
        <v>1.1299999999999999</v>
      </c>
      <c r="P146" s="47">
        <f t="shared" si="16"/>
        <v>33.9</v>
      </c>
      <c r="Q146" s="378">
        <f t="shared" si="17"/>
        <v>332.21999999999997</v>
      </c>
      <c r="R146" s="21">
        <f t="shared" ref="R146:R196" si="21">O146*$H$12</f>
        <v>139.92767951251295</v>
      </c>
      <c r="S146" s="376">
        <f t="shared" si="18"/>
        <v>138.30209333689447</v>
      </c>
    </row>
    <row r="147" spans="1:19" s="22" customFormat="1" x14ac:dyDescent="0.35">
      <c r="A147" s="19">
        <v>135</v>
      </c>
      <c r="B147" s="19" t="s">
        <v>68</v>
      </c>
      <c r="C147" s="20" t="s">
        <v>401</v>
      </c>
      <c r="D147" s="116">
        <f>'As-Filed Schedule 4'!D147</f>
        <v>0</v>
      </c>
      <c r="E147" s="388">
        <f>SUMIFS(Adjustments!$G:$G,Adjustments!$H:$H,"4",Adjustments!$I:$I,'Schedule 4 Adjustments'!$D$14,Adjustments!$J:$J,'Schedule 4 Adjustments'!$A147)</f>
        <v>126</v>
      </c>
      <c r="F147" s="380">
        <f t="shared" ref="F147:F196" si="22">SUM(D147:E147)</f>
        <v>126</v>
      </c>
      <c r="G147" s="410">
        <v>5.28</v>
      </c>
      <c r="H147" s="47">
        <f t="shared" si="19"/>
        <v>0</v>
      </c>
      <c r="I147" s="378">
        <f t="shared" ref="I147:I196" si="23">F147*G147</f>
        <v>665.28000000000009</v>
      </c>
      <c r="J147" s="21">
        <f t="shared" si="20"/>
        <v>653.82136975758272</v>
      </c>
      <c r="K147" s="376">
        <f t="shared" ref="K147:K196" si="24">G147*$I$12</f>
        <v>646.22571045911764</v>
      </c>
      <c r="L147" s="150">
        <f>'As-Filed Schedule 4'!H147</f>
        <v>0</v>
      </c>
      <c r="M147" s="388">
        <f>SUMIFS(Adjustments!$G:$G,Adjustments!$H:$H,"4",Adjustments!$I:$I,'Schedule 4 Adjustments'!$L$14,Adjustments!$J:$J,'Schedule 4 Adjustments'!$A147)</f>
        <v>30</v>
      </c>
      <c r="N147" s="380">
        <f t="shared" ref="N147:N196" si="25">SUM(L147:M147)</f>
        <v>30</v>
      </c>
      <c r="O147" s="410">
        <v>5.28</v>
      </c>
      <c r="P147" s="47">
        <f t="shared" ref="P147:P196" si="26">L147*O147</f>
        <v>0</v>
      </c>
      <c r="Q147" s="378">
        <f t="shared" ref="Q147:Q196" si="27">N147*O147</f>
        <v>158.4</v>
      </c>
      <c r="R147" s="21">
        <f t="shared" si="21"/>
        <v>653.82136975758272</v>
      </c>
      <c r="S147" s="376">
        <f t="shared" ref="S147:S196" si="28">O147*$I$12</f>
        <v>646.22571045911764</v>
      </c>
    </row>
    <row r="148" spans="1:19" s="22" customFormat="1" x14ac:dyDescent="0.35">
      <c r="A148" s="19">
        <v>136</v>
      </c>
      <c r="B148" s="19" t="s">
        <v>69</v>
      </c>
      <c r="C148" s="20" t="s">
        <v>402</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17.336172682966208</v>
      </c>
      <c r="K148" s="376">
        <f t="shared" si="24"/>
        <v>17.134772625809937</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14.859576585399605</v>
      </c>
      <c r="S148" s="376">
        <f t="shared" si="28"/>
        <v>14.686947964979945</v>
      </c>
    </row>
    <row r="149" spans="1:19" s="22" customFormat="1" x14ac:dyDescent="0.35">
      <c r="A149" s="19">
        <v>137</v>
      </c>
      <c r="B149" s="19" t="s">
        <v>70</v>
      </c>
      <c r="C149" s="20" t="s">
        <v>403</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381.39579902525657</v>
      </c>
      <c r="K149" s="376">
        <f t="shared" si="24"/>
        <v>376.9649977678186</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326.9106848787913</v>
      </c>
      <c r="S149" s="376">
        <f t="shared" si="28"/>
        <v>323.11285522955876</v>
      </c>
    </row>
    <row r="150" spans="1:19" s="22" customFormat="1" x14ac:dyDescent="0.35">
      <c r="A150" s="19">
        <v>138</v>
      </c>
      <c r="B150" s="19" t="s">
        <v>71</v>
      </c>
      <c r="C150" s="20" t="s">
        <v>404</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653.82136975758272</v>
      </c>
      <c r="K150" s="376">
        <f t="shared" si="24"/>
        <v>646.22571045911764</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653.82136975758272</v>
      </c>
      <c r="S150" s="376">
        <f t="shared" si="28"/>
        <v>646.22571045911764</v>
      </c>
    </row>
    <row r="151" spans="1:19" s="22" customFormat="1" x14ac:dyDescent="0.35">
      <c r="A151" s="19">
        <v>139</v>
      </c>
      <c r="B151" s="19" t="s">
        <v>788</v>
      </c>
      <c r="C151" s="20" t="s">
        <v>789</v>
      </c>
      <c r="D151" s="116">
        <f>'As-Filed Schedule 4'!D151</f>
        <v>0</v>
      </c>
      <c r="E151" s="388">
        <f>SUMIFS(Adjustments!$G:$G,Adjustments!$H:$H,"4",Adjustments!$I:$I,'Schedule 4 Adjustments'!$D$14,Adjustments!$J:$J,'Schedule 4 Adjustments'!$A151)</f>
        <v>29</v>
      </c>
      <c r="F151" s="380">
        <f t="shared" ref="F151" si="30">SUM(D151:E151)</f>
        <v>29</v>
      </c>
      <c r="G151" s="410">
        <v>0.12</v>
      </c>
      <c r="H151" s="47">
        <f t="shared" ref="H151" si="31">D151*G151</f>
        <v>0</v>
      </c>
      <c r="I151" s="378">
        <f t="shared" ref="I151" si="32">F151*G151</f>
        <v>3.48</v>
      </c>
      <c r="J151" s="21">
        <f t="shared" ref="J151" si="33">G151*$H$12</f>
        <v>14.859576585399605</v>
      </c>
      <c r="K151" s="376">
        <f t="shared" ref="K151" si="34">G151*$I$12</f>
        <v>14.686947964979945</v>
      </c>
      <c r="L151" s="150">
        <f>'As-Filed Schedule 4'!H151</f>
        <v>0</v>
      </c>
      <c r="M151" s="388">
        <f>SUMIFS(Adjustments!$G:$G,Adjustments!$H:$H,"4",Adjustments!$I:$I,'Schedule 4 Adjustments'!$L$14,Adjustments!$J:$J,'Schedule 4 Adjustments'!$A151)</f>
        <v>6420</v>
      </c>
      <c r="N151" s="380">
        <f t="shared" ref="N151" si="35">SUM(L151:M151)</f>
        <v>6420</v>
      </c>
      <c r="O151" s="410">
        <v>0.09</v>
      </c>
      <c r="P151" s="47">
        <f t="shared" ref="P151" si="36">L151*O151</f>
        <v>0</v>
      </c>
      <c r="Q151" s="378">
        <f t="shared" ref="Q151" si="37">N151*O151</f>
        <v>577.79999999999995</v>
      </c>
      <c r="R151" s="21">
        <f t="shared" ref="R151" si="38">O151*$H$12</f>
        <v>11.144682439049705</v>
      </c>
      <c r="S151" s="376">
        <f t="shared" ref="S151" si="39">O151*$I$12</f>
        <v>11.015210973734959</v>
      </c>
    </row>
    <row r="152" spans="1:19" s="22" customFormat="1" x14ac:dyDescent="0.35">
      <c r="A152" s="19">
        <v>140</v>
      </c>
      <c r="B152" s="19" t="s">
        <v>72</v>
      </c>
      <c r="C152" s="20" t="s">
        <v>405</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126.30640097589665</v>
      </c>
      <c r="K152" s="376">
        <f t="shared" si="24"/>
        <v>124.83905770232954</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116.40001658563024</v>
      </c>
      <c r="S152" s="376">
        <f t="shared" si="28"/>
        <v>115.04775905900956</v>
      </c>
    </row>
    <row r="153" spans="1:19" s="22" customFormat="1" x14ac:dyDescent="0.35">
      <c r="A153" s="19">
        <v>141</v>
      </c>
      <c r="B153" s="19" t="s">
        <v>20</v>
      </c>
      <c r="C153" s="20" t="s">
        <v>406</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5</v>
      </c>
      <c r="M153" s="388">
        <f>SUMIFS(Adjustments!$G:$G,Adjustments!$H:$H,"4",Adjustments!$I:$I,'Schedule 4 Adjustments'!$L$14,Adjustments!$J:$J,'Schedule 4 Adjustments'!$A153)</f>
        <v>7</v>
      </c>
      <c r="N153" s="380">
        <f t="shared" si="25"/>
        <v>12</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640.20009122096633</v>
      </c>
      <c r="K154" s="376">
        <f t="shared" si="24"/>
        <v>632.76267482455262</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548.56603561100212</v>
      </c>
      <c r="S154" s="376">
        <f t="shared" si="28"/>
        <v>542.19316237384294</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210.51066829316107</v>
      </c>
      <c r="K155" s="376">
        <f t="shared" si="24"/>
        <v>208.06509617054923</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130.02129512224656</v>
      </c>
      <c r="S155" s="376">
        <f t="shared" si="28"/>
        <v>128.51079469357452</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167.17023658574558</v>
      </c>
      <c r="K157" s="376">
        <f t="shared" si="24"/>
        <v>165.22816460602439</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167.17023658574558</v>
      </c>
      <c r="S157" s="376">
        <f t="shared" si="28"/>
        <v>165.22816460602439</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317.00430048852496</v>
      </c>
      <c r="K158" s="376">
        <f t="shared" si="24"/>
        <v>313.32155658623884</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264.99578243962634</v>
      </c>
      <c r="S158" s="376">
        <f t="shared" si="28"/>
        <v>261.91723870880907</v>
      </c>
    </row>
    <row r="159" spans="1:19" s="22" customFormat="1" x14ac:dyDescent="0.35">
      <c r="A159" s="19">
        <v>147</v>
      </c>
      <c r="B159" s="19" t="s">
        <v>77</v>
      </c>
      <c r="C159" s="20" t="s">
        <v>407</v>
      </c>
      <c r="D159" s="116">
        <f>'As-Filed Schedule 4'!D159</f>
        <v>1631</v>
      </c>
      <c r="E159" s="388">
        <f>SUMIFS(Adjustments!$G:$G,Adjustments!$H:$H,"4",Adjustments!$I:$I,'Schedule 4 Adjustments'!$D$14,Adjustments!$J:$J,'Schedule 4 Adjustments'!$A159)</f>
        <v>-1499</v>
      </c>
      <c r="F159" s="380">
        <f t="shared" si="22"/>
        <v>132</v>
      </c>
      <c r="G159" s="410">
        <v>1.6</v>
      </c>
      <c r="H159" s="47">
        <f t="shared" si="29"/>
        <v>2609.6000000000004</v>
      </c>
      <c r="I159" s="378">
        <f t="shared" si="23"/>
        <v>211.20000000000002</v>
      </c>
      <c r="J159" s="21">
        <f t="shared" si="20"/>
        <v>198.12768780532809</v>
      </c>
      <c r="K159" s="376">
        <f t="shared" si="24"/>
        <v>195.8259728663993</v>
      </c>
      <c r="L159" s="150">
        <f>'As-Filed Schedule 4'!H159</f>
        <v>2077</v>
      </c>
      <c r="M159" s="388">
        <f>SUMIFS(Adjustments!$G:$G,Adjustments!$H:$H,"4",Adjustments!$I:$I,'Schedule 4 Adjustments'!$L$14,Adjustments!$J:$J,'Schedule 4 Adjustments'!$A159)</f>
        <v>1499</v>
      </c>
      <c r="N159" s="380">
        <f t="shared" si="25"/>
        <v>3576</v>
      </c>
      <c r="O159" s="410">
        <v>1.6</v>
      </c>
      <c r="P159" s="47">
        <f t="shared" si="26"/>
        <v>3323.2000000000003</v>
      </c>
      <c r="Q159" s="378">
        <f t="shared" si="27"/>
        <v>5721.6</v>
      </c>
      <c r="R159" s="21">
        <f t="shared" si="21"/>
        <v>198.12768780532809</v>
      </c>
      <c r="S159" s="376">
        <f t="shared" si="28"/>
        <v>195.8259728663993</v>
      </c>
    </row>
    <row r="160" spans="1:19" s="22" customFormat="1" x14ac:dyDescent="0.35">
      <c r="A160" s="19">
        <v>148</v>
      </c>
      <c r="B160" s="19" t="s">
        <v>78</v>
      </c>
      <c r="C160" s="20" t="s">
        <v>408</v>
      </c>
      <c r="D160" s="116">
        <f>'As-Filed Schedule 4'!D160</f>
        <v>1</v>
      </c>
      <c r="E160" s="388">
        <f>SUMIFS(Adjustments!$G:$G,Adjustments!$H:$H,"4",Adjustments!$I:$I,'Schedule 4 Adjustments'!$D$14,Adjustments!$J:$J,'Schedule 4 Adjustments'!$A160)</f>
        <v>0</v>
      </c>
      <c r="F160" s="380">
        <f t="shared" si="22"/>
        <v>1</v>
      </c>
      <c r="G160" s="410">
        <v>2.64</v>
      </c>
      <c r="H160" s="47">
        <f t="shared" si="29"/>
        <v>2.64</v>
      </c>
      <c r="I160" s="378">
        <f t="shared" si="23"/>
        <v>2.64</v>
      </c>
      <c r="J160" s="21">
        <f t="shared" si="20"/>
        <v>326.91068487879136</v>
      </c>
      <c r="K160" s="376">
        <f t="shared" si="24"/>
        <v>323.11285522955882</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326.91068487879136</v>
      </c>
      <c r="S160" s="376">
        <f t="shared" si="28"/>
        <v>323.11285522955882</v>
      </c>
    </row>
    <row r="161" spans="1:19" s="22" customFormat="1" x14ac:dyDescent="0.35">
      <c r="A161" s="19">
        <v>149</v>
      </c>
      <c r="B161" s="19" t="s">
        <v>79</v>
      </c>
      <c r="C161" s="20" t="s">
        <v>409</v>
      </c>
      <c r="D161" s="116">
        <f>'As-Filed Schedule 4'!D161</f>
        <v>10129</v>
      </c>
      <c r="E161" s="388">
        <f>SUMIFS(Adjustments!$G:$G,Adjustments!$H:$H,"4",Adjustments!$I:$I,'Schedule 4 Adjustments'!$D$14,Adjustments!$J:$J,'Schedule 4 Adjustments'!$A161)</f>
        <v>-4782</v>
      </c>
      <c r="F161" s="380">
        <f t="shared" si="22"/>
        <v>5347</v>
      </c>
      <c r="G161" s="410">
        <v>1.24</v>
      </c>
      <c r="H161" s="47">
        <f t="shared" si="29"/>
        <v>12559.96</v>
      </c>
      <c r="I161" s="378">
        <f t="shared" si="23"/>
        <v>6630.28</v>
      </c>
      <c r="J161" s="21">
        <f t="shared" si="20"/>
        <v>153.54895804912925</v>
      </c>
      <c r="K161" s="376">
        <f t="shared" si="24"/>
        <v>151.76512897145943</v>
      </c>
      <c r="L161" s="150">
        <f>'As-Filed Schedule 4'!H161</f>
        <v>21950</v>
      </c>
      <c r="M161" s="388">
        <f>SUMIFS(Adjustments!$G:$G,Adjustments!$H:$H,"4",Adjustments!$I:$I,'Schedule 4 Adjustments'!$L$14,Adjustments!$J:$J,'Schedule 4 Adjustments'!$A161)</f>
        <v>4787</v>
      </c>
      <c r="N161" s="380">
        <f t="shared" si="25"/>
        <v>26737</v>
      </c>
      <c r="O161" s="410">
        <v>1.24</v>
      </c>
      <c r="P161" s="47">
        <f t="shared" si="26"/>
        <v>27218</v>
      </c>
      <c r="Q161" s="378">
        <f t="shared" si="27"/>
        <v>33153.879999999997</v>
      </c>
      <c r="R161" s="21">
        <f t="shared" si="21"/>
        <v>153.54895804912925</v>
      </c>
      <c r="S161" s="376">
        <f t="shared" si="28"/>
        <v>151.76512897145943</v>
      </c>
    </row>
    <row r="162" spans="1:19" s="22" customFormat="1" x14ac:dyDescent="0.35">
      <c r="A162" s="19">
        <v>150</v>
      </c>
      <c r="B162" s="19" t="s">
        <v>80</v>
      </c>
      <c r="C162" s="20" t="s">
        <v>410</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102.77873804901394</v>
      </c>
      <c r="K162" s="376">
        <f t="shared" si="24"/>
        <v>101.58472342444462</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89.157459512397637</v>
      </c>
      <c r="S162" s="376">
        <f t="shared" si="28"/>
        <v>88.121687789879672</v>
      </c>
    </row>
    <row r="163" spans="1:19" s="22" customFormat="1" x14ac:dyDescent="0.35">
      <c r="A163" s="19">
        <v>151</v>
      </c>
      <c r="B163" s="19" t="s">
        <v>81</v>
      </c>
      <c r="C163" s="20" t="s">
        <v>411</v>
      </c>
      <c r="D163" s="116">
        <f>'As-Filed Schedule 4'!D163</f>
        <v>1696</v>
      </c>
      <c r="E163" s="388">
        <f>SUMIFS(Adjustments!$G:$G,Adjustments!$H:$H,"4",Adjustments!$I:$I,'Schedule 4 Adjustments'!$D$14,Adjustments!$J:$J,'Schedule 4 Adjustments'!$A163)</f>
        <v>-535</v>
      </c>
      <c r="F163" s="380">
        <f t="shared" si="22"/>
        <v>1161</v>
      </c>
      <c r="G163" s="410">
        <v>0.92</v>
      </c>
      <c r="H163" s="47">
        <f t="shared" si="29"/>
        <v>1560.3200000000002</v>
      </c>
      <c r="I163" s="378">
        <f t="shared" si="23"/>
        <v>1068.1200000000001</v>
      </c>
      <c r="J163" s="21">
        <f t="shared" si="20"/>
        <v>113.92342048806366</v>
      </c>
      <c r="K163" s="376">
        <f t="shared" si="24"/>
        <v>112.59993439817958</v>
      </c>
      <c r="L163" s="150">
        <f>'As-Filed Schedule 4'!H163</f>
        <v>1161</v>
      </c>
      <c r="M163" s="388">
        <f>SUMIFS(Adjustments!$G:$G,Adjustments!$H:$H,"4",Adjustments!$I:$I,'Schedule 4 Adjustments'!$L$14,Adjustments!$J:$J,'Schedule 4 Adjustments'!$A163)</f>
        <v>535</v>
      </c>
      <c r="N163" s="380">
        <f t="shared" si="25"/>
        <v>1696</v>
      </c>
      <c r="O163" s="410">
        <v>0.92</v>
      </c>
      <c r="P163" s="47">
        <f t="shared" si="26"/>
        <v>1068.1200000000001</v>
      </c>
      <c r="Q163" s="378">
        <f t="shared" si="27"/>
        <v>1560.3200000000002</v>
      </c>
      <c r="R163" s="21">
        <f t="shared" si="21"/>
        <v>113.92342048806366</v>
      </c>
      <c r="S163" s="376">
        <f t="shared" si="28"/>
        <v>112.59993439817958</v>
      </c>
    </row>
    <row r="164" spans="1:19" s="22" customFormat="1" x14ac:dyDescent="0.35">
      <c r="A164" s="19">
        <v>152</v>
      </c>
      <c r="B164" s="19" t="s">
        <v>82</v>
      </c>
      <c r="C164" s="20" t="s">
        <v>412</v>
      </c>
      <c r="D164" s="116">
        <f>'As-Filed Schedule 4'!D164</f>
        <v>22</v>
      </c>
      <c r="E164" s="388">
        <f>SUMIFS(Adjustments!$G:$G,Adjustments!$H:$H,"4",Adjustments!$I:$I,'Schedule 4 Adjustments'!$D$14,Adjustments!$J:$J,'Schedule 4 Adjustments'!$A164)</f>
        <v>-3</v>
      </c>
      <c r="F164" s="380">
        <f t="shared" si="22"/>
        <v>19</v>
      </c>
      <c r="G164" s="410">
        <v>0.14000000000000001</v>
      </c>
      <c r="H164" s="47">
        <f t="shared" si="29"/>
        <v>3.08</v>
      </c>
      <c r="I164" s="378">
        <f t="shared" si="23"/>
        <v>2.66</v>
      </c>
      <c r="J164" s="21">
        <f t="shared" si="20"/>
        <v>17.336172682966208</v>
      </c>
      <c r="K164" s="376">
        <f t="shared" si="24"/>
        <v>17.134772625809937</v>
      </c>
      <c r="L164" s="150">
        <f>'As-Filed Schedule 4'!H164</f>
        <v>0</v>
      </c>
      <c r="M164" s="388">
        <f>SUMIFS(Adjustments!$G:$G,Adjustments!$H:$H,"4",Adjustments!$I:$I,'Schedule 4 Adjustments'!$L$14,Adjustments!$J:$J,'Schedule 4 Adjustments'!$A164)</f>
        <v>3</v>
      </c>
      <c r="N164" s="380">
        <f t="shared" si="25"/>
        <v>3</v>
      </c>
      <c r="O164" s="410">
        <v>0.12</v>
      </c>
      <c r="P164" s="47">
        <f t="shared" si="26"/>
        <v>0</v>
      </c>
      <c r="Q164" s="378">
        <f t="shared" si="27"/>
        <v>0.36</v>
      </c>
      <c r="R164" s="21">
        <f t="shared" si="21"/>
        <v>14.859576585399605</v>
      </c>
      <c r="S164" s="376">
        <f t="shared" si="28"/>
        <v>14.686947964979945</v>
      </c>
    </row>
    <row r="165" spans="1:19" s="22" customFormat="1" x14ac:dyDescent="0.35">
      <c r="A165" s="19">
        <v>153</v>
      </c>
      <c r="B165" s="19" t="s">
        <v>83</v>
      </c>
      <c r="C165" s="20" t="s">
        <v>417</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416.06814439118904</v>
      </c>
      <c r="K165" s="376">
        <f t="shared" si="24"/>
        <v>411.23454301943849</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356.62983804959055</v>
      </c>
      <c r="S165" s="376">
        <f t="shared" si="28"/>
        <v>352.48675115951869</v>
      </c>
    </row>
    <row r="166" spans="1:19" s="22" customFormat="1" x14ac:dyDescent="0.35">
      <c r="A166" s="19">
        <v>154</v>
      </c>
      <c r="B166" s="19" t="s">
        <v>84</v>
      </c>
      <c r="C166" s="20" t="s">
        <v>415</v>
      </c>
      <c r="D166" s="116">
        <f>'As-Filed Schedule 4'!D166</f>
        <v>16</v>
      </c>
      <c r="E166" s="388">
        <f>SUMIFS(Adjustments!$G:$G,Adjustments!$H:$H,"4",Adjustments!$I:$I,'Schedule 4 Adjustments'!$D$14,Adjustments!$J:$J,'Schedule 4 Adjustments'!$A166)</f>
        <v>-13</v>
      </c>
      <c r="F166" s="380">
        <f t="shared" si="22"/>
        <v>3</v>
      </c>
      <c r="G166" s="410">
        <v>0.44</v>
      </c>
      <c r="H166" s="47">
        <f t="shared" si="29"/>
        <v>7.04</v>
      </c>
      <c r="I166" s="378">
        <f t="shared" si="23"/>
        <v>1.32</v>
      </c>
      <c r="J166" s="21">
        <f t="shared" si="20"/>
        <v>54.485114146465222</v>
      </c>
      <c r="K166" s="376">
        <f t="shared" si="24"/>
        <v>53.852142538259798</v>
      </c>
      <c r="L166" s="150">
        <f>'As-Filed Schedule 4'!H166</f>
        <v>0</v>
      </c>
      <c r="M166" s="388">
        <f>SUMIFS(Adjustments!$G:$G,Adjustments!$H:$H,"4",Adjustments!$I:$I,'Schedule 4 Adjustments'!$L$14,Adjustments!$J:$J,'Schedule 4 Adjustments'!$A166)</f>
        <v>13</v>
      </c>
      <c r="N166" s="380">
        <f t="shared" si="25"/>
        <v>13</v>
      </c>
      <c r="O166" s="410">
        <v>0.44</v>
      </c>
      <c r="P166" s="47">
        <f t="shared" si="26"/>
        <v>0</v>
      </c>
      <c r="Q166" s="378">
        <f t="shared" si="27"/>
        <v>5.72</v>
      </c>
      <c r="R166" s="21">
        <f t="shared" si="21"/>
        <v>54.485114146465222</v>
      </c>
      <c r="S166" s="376">
        <f t="shared" si="28"/>
        <v>53.852142538259798</v>
      </c>
    </row>
    <row r="167" spans="1:19" s="22" customFormat="1" x14ac:dyDescent="0.35">
      <c r="A167" s="19">
        <v>155</v>
      </c>
      <c r="B167" s="19" t="s">
        <v>85</v>
      </c>
      <c r="C167" s="20" t="s">
        <v>416</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653.82136975758272</v>
      </c>
      <c r="K167" s="376">
        <f t="shared" si="24"/>
        <v>646.22571045911764</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653.82136975758272</v>
      </c>
      <c r="S167" s="376">
        <f t="shared" si="28"/>
        <v>646.22571045911764</v>
      </c>
    </row>
    <row r="168" spans="1:19" s="22" customFormat="1" x14ac:dyDescent="0.35">
      <c r="A168" s="19">
        <v>156</v>
      </c>
      <c r="B168" s="19" t="s">
        <v>86</v>
      </c>
      <c r="C168" s="20" t="s">
        <v>414</v>
      </c>
      <c r="D168" s="116">
        <f>'As-Filed Schedule 4'!D168</f>
        <v>3</v>
      </c>
      <c r="E168" s="388">
        <f>SUMIFS(Adjustments!$G:$G,Adjustments!$H:$H,"4",Adjustments!$I:$I,'Schedule 4 Adjustments'!$D$14,Adjustments!$J:$J,'Schedule 4 Adjustments'!$A168)</f>
        <v>-3</v>
      </c>
      <c r="F168" s="380">
        <f t="shared" si="22"/>
        <v>0</v>
      </c>
      <c r="G168" s="410">
        <v>0.44</v>
      </c>
      <c r="H168" s="47">
        <f t="shared" si="29"/>
        <v>1.32</v>
      </c>
      <c r="I168" s="378">
        <f t="shared" si="23"/>
        <v>0</v>
      </c>
      <c r="J168" s="21">
        <f t="shared" si="20"/>
        <v>54.485114146465222</v>
      </c>
      <c r="K168" s="376">
        <f t="shared" si="24"/>
        <v>53.852142538259798</v>
      </c>
      <c r="L168" s="150">
        <f>'As-Filed Schedule 4'!H168</f>
        <v>8</v>
      </c>
      <c r="M168" s="388">
        <f>SUMIFS(Adjustments!$G:$G,Adjustments!$H:$H,"4",Adjustments!$I:$I,'Schedule 4 Adjustments'!$L$14,Adjustments!$J:$J,'Schedule 4 Adjustments'!$A168)</f>
        <v>3</v>
      </c>
      <c r="N168" s="380">
        <f t="shared" si="25"/>
        <v>11</v>
      </c>
      <c r="O168" s="410">
        <v>0.44</v>
      </c>
      <c r="P168" s="47">
        <f t="shared" si="26"/>
        <v>3.52</v>
      </c>
      <c r="Q168" s="378">
        <f t="shared" si="27"/>
        <v>4.84</v>
      </c>
      <c r="R168" s="21">
        <f t="shared" si="21"/>
        <v>54.485114146465222</v>
      </c>
      <c r="S168" s="376">
        <f t="shared" si="28"/>
        <v>53.852142538259798</v>
      </c>
    </row>
    <row r="169" spans="1:19" s="22" customFormat="1" x14ac:dyDescent="0.35">
      <c r="A169" s="19">
        <v>157</v>
      </c>
      <c r="B169" s="19" t="s">
        <v>87</v>
      </c>
      <c r="C169" s="20" t="s">
        <v>413</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653.82136975758272</v>
      </c>
      <c r="K169" s="376">
        <f t="shared" si="24"/>
        <v>646.22571045911764</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653.82136975758272</v>
      </c>
      <c r="S169" s="376">
        <f t="shared" si="28"/>
        <v>646.22571045911764</v>
      </c>
    </row>
    <row r="170" spans="1:19" s="22" customFormat="1" x14ac:dyDescent="0.35">
      <c r="A170" s="19">
        <v>158</v>
      </c>
      <c r="B170" s="19" t="s">
        <v>88</v>
      </c>
      <c r="C170" s="20" t="s">
        <v>418</v>
      </c>
      <c r="D170" s="116">
        <f>'As-Filed Schedule 4'!D170</f>
        <v>3403</v>
      </c>
      <c r="E170" s="388">
        <f>SUMIFS(Adjustments!$G:$G,Adjustments!$H:$H,"4",Adjustments!$I:$I,'Schedule 4 Adjustments'!$D$14,Adjustments!$J:$J,'Schedule 4 Adjustments'!$A170)</f>
        <v>-2536</v>
      </c>
      <c r="F170" s="380">
        <f t="shared" si="22"/>
        <v>867</v>
      </c>
      <c r="G170" s="410">
        <v>0.14000000000000001</v>
      </c>
      <c r="H170" s="47">
        <f t="shared" si="29"/>
        <v>476.42000000000007</v>
      </c>
      <c r="I170" s="378">
        <f t="shared" si="23"/>
        <v>121.38000000000001</v>
      </c>
      <c r="J170" s="21">
        <f t="shared" si="20"/>
        <v>17.336172682966208</v>
      </c>
      <c r="K170" s="376">
        <f t="shared" si="24"/>
        <v>17.134772625809937</v>
      </c>
      <c r="L170" s="150">
        <f>'As-Filed Schedule 4'!H170</f>
        <v>61</v>
      </c>
      <c r="M170" s="388">
        <f>SUMIFS(Adjustments!$G:$G,Adjustments!$H:$H,"4",Adjustments!$I:$I,'Schedule 4 Adjustments'!$L$14,Adjustments!$J:$J,'Schedule 4 Adjustments'!$A170)</f>
        <v>2536</v>
      </c>
      <c r="N170" s="380">
        <f t="shared" si="25"/>
        <v>2597</v>
      </c>
      <c r="O170" s="410">
        <v>0.12</v>
      </c>
      <c r="P170" s="47">
        <f t="shared" si="26"/>
        <v>7.3199999999999994</v>
      </c>
      <c r="Q170" s="378">
        <f t="shared" si="27"/>
        <v>311.64</v>
      </c>
      <c r="R170" s="21">
        <f t="shared" si="21"/>
        <v>14.859576585399605</v>
      </c>
      <c r="S170" s="376">
        <f t="shared" si="28"/>
        <v>14.686947964979945</v>
      </c>
    </row>
    <row r="171" spans="1:19" s="22" customFormat="1" x14ac:dyDescent="0.35">
      <c r="A171" s="19">
        <v>159</v>
      </c>
      <c r="B171" s="19" t="s">
        <v>89</v>
      </c>
      <c r="C171" s="20" t="s">
        <v>419</v>
      </c>
      <c r="D171" s="116">
        <f>'As-Filed Schedule 4'!D171</f>
        <v>2</v>
      </c>
      <c r="E171" s="388">
        <f>SUMIFS(Adjustments!$G:$G,Adjustments!$H:$H,"4",Adjustments!$I:$I,'Schedule 4 Adjustments'!$D$14,Adjustments!$J:$J,'Schedule 4 Adjustments'!$A171)</f>
        <v>-1</v>
      </c>
      <c r="F171" s="380">
        <f t="shared" si="22"/>
        <v>1</v>
      </c>
      <c r="G171" s="410">
        <v>3.3600000000000003</v>
      </c>
      <c r="H171" s="47">
        <f t="shared" si="29"/>
        <v>6.7200000000000006</v>
      </c>
      <c r="I171" s="378">
        <f t="shared" si="23"/>
        <v>3.3600000000000003</v>
      </c>
      <c r="J171" s="21">
        <f t="shared" si="20"/>
        <v>416.06814439118904</v>
      </c>
      <c r="K171" s="376">
        <f t="shared" si="24"/>
        <v>411.23454301943849</v>
      </c>
      <c r="L171" s="150">
        <f>'As-Filed Schedule 4'!H171</f>
        <v>0</v>
      </c>
      <c r="M171" s="388">
        <f>SUMIFS(Adjustments!$G:$G,Adjustments!$H:$H,"4",Adjustments!$I:$I,'Schedule 4 Adjustments'!$L$14,Adjustments!$J:$J,'Schedule 4 Adjustments'!$A171)</f>
        <v>1</v>
      </c>
      <c r="N171" s="380">
        <f t="shared" si="25"/>
        <v>1</v>
      </c>
      <c r="O171" s="410">
        <v>2.88</v>
      </c>
      <c r="P171" s="47">
        <f t="shared" si="26"/>
        <v>0</v>
      </c>
      <c r="Q171" s="378">
        <f t="shared" si="27"/>
        <v>2.88</v>
      </c>
      <c r="R171" s="21">
        <f t="shared" si="21"/>
        <v>356.62983804959055</v>
      </c>
      <c r="S171" s="376">
        <f t="shared" si="28"/>
        <v>352.48675115951869</v>
      </c>
    </row>
    <row r="172" spans="1:19" s="22" customFormat="1" x14ac:dyDescent="0.35">
      <c r="A172" s="19">
        <v>160</v>
      </c>
      <c r="B172" s="19" t="s">
        <v>90</v>
      </c>
      <c r="C172" s="20" t="s">
        <v>420</v>
      </c>
      <c r="D172" s="116">
        <f>'As-Filed Schedule 4'!D172</f>
        <v>6</v>
      </c>
      <c r="E172" s="388">
        <f>SUMIFS(Adjustments!$G:$G,Adjustments!$H:$H,"4",Adjustments!$I:$I,'Schedule 4 Adjustments'!$D$14,Adjustments!$J:$J,'Schedule 4 Adjustments'!$A172)</f>
        <v>0</v>
      </c>
      <c r="F172" s="380">
        <f t="shared" si="22"/>
        <v>6</v>
      </c>
      <c r="G172" s="410">
        <v>0.14000000000000001</v>
      </c>
      <c r="H172" s="47">
        <f t="shared" si="29"/>
        <v>0.84000000000000008</v>
      </c>
      <c r="I172" s="378">
        <f t="shared" si="23"/>
        <v>0.84000000000000008</v>
      </c>
      <c r="J172" s="21">
        <f t="shared" si="20"/>
        <v>17.336172682966208</v>
      </c>
      <c r="K172" s="376">
        <f t="shared" si="24"/>
        <v>17.134772625809937</v>
      </c>
      <c r="L172" s="150">
        <f>'As-Filed Schedule 4'!H172</f>
        <v>10</v>
      </c>
      <c r="M172" s="388">
        <f>SUMIFS(Adjustments!$G:$G,Adjustments!$H:$H,"4",Adjustments!$I:$I,'Schedule 4 Adjustments'!$L$14,Adjustments!$J:$J,'Schedule 4 Adjustments'!$A172)</f>
        <v>0</v>
      </c>
      <c r="N172" s="380">
        <f t="shared" si="25"/>
        <v>10</v>
      </c>
      <c r="O172" s="410">
        <v>0.12</v>
      </c>
      <c r="P172" s="47">
        <f t="shared" si="26"/>
        <v>1.2</v>
      </c>
      <c r="Q172" s="378">
        <f t="shared" si="27"/>
        <v>1.2</v>
      </c>
      <c r="R172" s="21">
        <f t="shared" si="21"/>
        <v>14.859576585399605</v>
      </c>
      <c r="S172" s="376">
        <f t="shared" si="28"/>
        <v>14.686947964979945</v>
      </c>
    </row>
    <row r="173" spans="1:19" s="22" customFormat="1" x14ac:dyDescent="0.35">
      <c r="A173" s="19">
        <v>161</v>
      </c>
      <c r="B173" s="19" t="s">
        <v>91</v>
      </c>
      <c r="C173" s="20" t="s">
        <v>421</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416.06814439118904</v>
      </c>
      <c r="K173" s="376">
        <f t="shared" si="24"/>
        <v>411.23454301943849</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356.62983804959055</v>
      </c>
      <c r="S173" s="376">
        <f t="shared" si="28"/>
        <v>352.48675115951869</v>
      </c>
    </row>
    <row r="174" spans="1:19" s="22" customFormat="1" x14ac:dyDescent="0.35">
      <c r="A174" s="19">
        <v>162</v>
      </c>
      <c r="B174" s="19" t="s">
        <v>92</v>
      </c>
      <c r="C174" s="20" t="s">
        <v>422</v>
      </c>
      <c r="D174" s="116">
        <f>'As-Filed Schedule 4'!D174</f>
        <v>5753</v>
      </c>
      <c r="E174" s="388">
        <f>SUMIFS(Adjustments!$G:$G,Adjustments!$H:$H,"4",Adjustments!$I:$I,'Schedule 4 Adjustments'!$D$14,Adjustments!$J:$J,'Schedule 4 Adjustments'!$A174)</f>
        <v>-3030</v>
      </c>
      <c r="F174" s="380">
        <f t="shared" si="22"/>
        <v>2723</v>
      </c>
      <c r="G174" s="410">
        <v>0.14000000000000001</v>
      </c>
      <c r="H174" s="47">
        <f t="shared" si="29"/>
        <v>805.42000000000007</v>
      </c>
      <c r="I174" s="378">
        <f t="shared" si="23"/>
        <v>381.22</v>
      </c>
      <c r="J174" s="21">
        <f t="shared" si="20"/>
        <v>17.336172682966208</v>
      </c>
      <c r="K174" s="376">
        <f t="shared" si="24"/>
        <v>17.134772625809937</v>
      </c>
      <c r="L174" s="150">
        <f>'As-Filed Schedule 4'!H174</f>
        <v>7462</v>
      </c>
      <c r="M174" s="388">
        <f>SUMIFS(Adjustments!$G:$G,Adjustments!$H:$H,"4",Adjustments!$I:$I,'Schedule 4 Adjustments'!$L$14,Adjustments!$J:$J,'Schedule 4 Adjustments'!$A174)</f>
        <v>3030</v>
      </c>
      <c r="N174" s="380">
        <f t="shared" si="25"/>
        <v>10492</v>
      </c>
      <c r="O174" s="410">
        <v>0.12</v>
      </c>
      <c r="P174" s="47">
        <f t="shared" si="26"/>
        <v>895.43999999999994</v>
      </c>
      <c r="Q174" s="378">
        <f t="shared" si="27"/>
        <v>1259.04</v>
      </c>
      <c r="R174" s="21">
        <f t="shared" si="21"/>
        <v>14.859576585399605</v>
      </c>
      <c r="S174" s="376">
        <f t="shared" si="28"/>
        <v>14.686947964979945</v>
      </c>
    </row>
    <row r="175" spans="1:19" s="22" customFormat="1" x14ac:dyDescent="0.35">
      <c r="A175" s="19">
        <v>163</v>
      </c>
      <c r="B175" s="19" t="s">
        <v>93</v>
      </c>
      <c r="C175" s="20" t="s">
        <v>423</v>
      </c>
      <c r="D175" s="116">
        <f>'As-Filed Schedule 4'!D175</f>
        <v>11972</v>
      </c>
      <c r="E175" s="388">
        <f>SUMIFS(Adjustments!$G:$G,Adjustments!$H:$H,"4",Adjustments!$I:$I,'Schedule 4 Adjustments'!$D$14,Adjustments!$J:$J,'Schedule 4 Adjustments'!$A175)</f>
        <v>-11582</v>
      </c>
      <c r="F175" s="380">
        <f t="shared" si="22"/>
        <v>390</v>
      </c>
      <c r="G175" s="410">
        <v>0.14000000000000001</v>
      </c>
      <c r="H175" s="47">
        <f t="shared" si="29"/>
        <v>1676.0800000000002</v>
      </c>
      <c r="I175" s="378">
        <f t="shared" si="23"/>
        <v>54.600000000000009</v>
      </c>
      <c r="J175" s="21">
        <f t="shared" si="20"/>
        <v>17.336172682966208</v>
      </c>
      <c r="K175" s="376">
        <f t="shared" si="24"/>
        <v>17.134772625809937</v>
      </c>
      <c r="L175" s="150">
        <f>'As-Filed Schedule 4'!H175</f>
        <v>8269</v>
      </c>
      <c r="M175" s="388">
        <f>SUMIFS(Adjustments!$G:$G,Adjustments!$H:$H,"4",Adjustments!$I:$I,'Schedule 4 Adjustments'!$L$14,Adjustments!$J:$J,'Schedule 4 Adjustments'!$A175)</f>
        <v>11582</v>
      </c>
      <c r="N175" s="380">
        <f t="shared" si="25"/>
        <v>19851</v>
      </c>
      <c r="O175" s="410">
        <v>0.12</v>
      </c>
      <c r="P175" s="47">
        <f t="shared" si="26"/>
        <v>992.28</v>
      </c>
      <c r="Q175" s="378">
        <f t="shared" si="27"/>
        <v>2382.12</v>
      </c>
      <c r="R175" s="21">
        <f t="shared" si="21"/>
        <v>14.859576585399605</v>
      </c>
      <c r="S175" s="376">
        <f t="shared" si="28"/>
        <v>14.686947964979945</v>
      </c>
    </row>
    <row r="176" spans="1:19" s="22" customFormat="1" x14ac:dyDescent="0.35">
      <c r="A176" s="19">
        <v>164</v>
      </c>
      <c r="B176" s="19" t="s">
        <v>94</v>
      </c>
      <c r="C176" s="20" t="s">
        <v>424</v>
      </c>
      <c r="D176" s="116">
        <f>'As-Filed Schedule 4'!D176</f>
        <v>2320</v>
      </c>
      <c r="E176" s="388">
        <f>SUMIFS(Adjustments!$G:$G,Adjustments!$H:$H,"4",Adjustments!$I:$I,'Schedule 4 Adjustments'!$D$14,Adjustments!$J:$J,'Schedule 4 Adjustments'!$A176)</f>
        <v>-2279</v>
      </c>
      <c r="F176" s="380">
        <f t="shared" si="22"/>
        <v>41</v>
      </c>
      <c r="G176" s="410">
        <v>3.3600000000000003</v>
      </c>
      <c r="H176" s="47">
        <f t="shared" si="29"/>
        <v>7795.2000000000007</v>
      </c>
      <c r="I176" s="378">
        <f t="shared" si="23"/>
        <v>137.76000000000002</v>
      </c>
      <c r="J176" s="21">
        <f t="shared" si="20"/>
        <v>416.06814439118904</v>
      </c>
      <c r="K176" s="376">
        <f t="shared" si="24"/>
        <v>411.23454301943849</v>
      </c>
      <c r="L176" s="150">
        <f>'As-Filed Schedule 4'!H176</f>
        <v>1089</v>
      </c>
      <c r="M176" s="388">
        <f>SUMIFS(Adjustments!$G:$G,Adjustments!$H:$H,"4",Adjustments!$I:$I,'Schedule 4 Adjustments'!$L$14,Adjustments!$J:$J,'Schedule 4 Adjustments'!$A176)</f>
        <v>2279</v>
      </c>
      <c r="N176" s="380">
        <f t="shared" si="25"/>
        <v>3368</v>
      </c>
      <c r="O176" s="410">
        <v>2.88</v>
      </c>
      <c r="P176" s="47">
        <f t="shared" si="26"/>
        <v>3136.3199999999997</v>
      </c>
      <c r="Q176" s="378">
        <f t="shared" si="27"/>
        <v>9699.84</v>
      </c>
      <c r="R176" s="21">
        <f t="shared" si="21"/>
        <v>356.62983804959055</v>
      </c>
      <c r="S176" s="376">
        <f t="shared" si="28"/>
        <v>352.48675115951869</v>
      </c>
    </row>
    <row r="177" spans="1:19" s="22" customFormat="1" x14ac:dyDescent="0.35">
      <c r="A177" s="19">
        <v>165</v>
      </c>
      <c r="B177" s="19" t="s">
        <v>95</v>
      </c>
      <c r="C177" s="20" t="s">
        <v>425</v>
      </c>
      <c r="D177" s="116">
        <f>'As-Filed Schedule 4'!D177</f>
        <v>9661</v>
      </c>
      <c r="E177" s="388">
        <f>SUMIFS(Adjustments!$G:$G,Adjustments!$H:$H,"4",Adjustments!$I:$I,'Schedule 4 Adjustments'!$D$14,Adjustments!$J:$J,'Schedule 4 Adjustments'!$A177)</f>
        <v>-9162</v>
      </c>
      <c r="F177" s="380">
        <f t="shared" si="22"/>
        <v>499</v>
      </c>
      <c r="G177" s="410">
        <v>0.14000000000000001</v>
      </c>
      <c r="H177" s="47">
        <f t="shared" si="29"/>
        <v>1352.5400000000002</v>
      </c>
      <c r="I177" s="378">
        <f t="shared" si="23"/>
        <v>69.860000000000014</v>
      </c>
      <c r="J177" s="21">
        <f t="shared" si="20"/>
        <v>17.336172682966208</v>
      </c>
      <c r="K177" s="376">
        <f t="shared" si="24"/>
        <v>17.134772625809937</v>
      </c>
      <c r="L177" s="150">
        <f>'As-Filed Schedule 4'!H177</f>
        <v>761</v>
      </c>
      <c r="M177" s="388">
        <f>SUMIFS(Adjustments!$G:$G,Adjustments!$H:$H,"4",Adjustments!$I:$I,'Schedule 4 Adjustments'!$L$14,Adjustments!$J:$J,'Schedule 4 Adjustments'!$A177)</f>
        <v>9162</v>
      </c>
      <c r="N177" s="380">
        <f t="shared" si="25"/>
        <v>9923</v>
      </c>
      <c r="O177" s="410">
        <v>0.12</v>
      </c>
      <c r="P177" s="47">
        <f t="shared" si="26"/>
        <v>91.32</v>
      </c>
      <c r="Q177" s="378">
        <f t="shared" si="27"/>
        <v>1190.76</v>
      </c>
      <c r="R177" s="21">
        <f t="shared" si="21"/>
        <v>14.859576585399605</v>
      </c>
      <c r="S177" s="376">
        <f t="shared" si="28"/>
        <v>14.686947964979945</v>
      </c>
    </row>
    <row r="178" spans="1:19" s="22" customFormat="1" x14ac:dyDescent="0.35">
      <c r="A178" s="19">
        <v>166</v>
      </c>
      <c r="B178" s="19" t="s">
        <v>96</v>
      </c>
      <c r="C178" s="20" t="s">
        <v>426</v>
      </c>
      <c r="D178" s="116">
        <f>'As-Filed Schedule 4'!D178</f>
        <v>0</v>
      </c>
      <c r="E178" s="388">
        <f>SUMIFS(Adjustments!$G:$G,Adjustments!$H:$H,"4",Adjustments!$I:$I,'Schedule 4 Adjustments'!$D$14,Adjustments!$J:$J,'Schedule 4 Adjustments'!$A178)</f>
        <v>0</v>
      </c>
      <c r="F178" s="380">
        <f t="shared" si="22"/>
        <v>0</v>
      </c>
      <c r="G178" s="410">
        <v>1.29</v>
      </c>
      <c r="H178" s="47">
        <f t="shared" si="29"/>
        <v>0</v>
      </c>
      <c r="I178" s="378">
        <f t="shared" si="23"/>
        <v>0</v>
      </c>
      <c r="J178" s="21">
        <f t="shared" si="20"/>
        <v>159.74044829304577</v>
      </c>
      <c r="K178" s="376">
        <f t="shared" si="24"/>
        <v>157.88469062353442</v>
      </c>
      <c r="L178" s="150">
        <f>'As-Filed Schedule 4'!H178</f>
        <v>1</v>
      </c>
      <c r="M178" s="388">
        <f>SUMIFS(Adjustments!$G:$G,Adjustments!$H:$H,"4",Adjustments!$I:$I,'Schedule 4 Adjustments'!$L$14,Adjustments!$J:$J,'Schedule 4 Adjustments'!$A178)</f>
        <v>0</v>
      </c>
      <c r="N178" s="380">
        <f t="shared" si="25"/>
        <v>1</v>
      </c>
      <c r="O178" s="410">
        <v>1.1299999999999999</v>
      </c>
      <c r="P178" s="47">
        <f t="shared" si="26"/>
        <v>1.1299999999999999</v>
      </c>
      <c r="Q178" s="378">
        <f t="shared" si="27"/>
        <v>1.1299999999999999</v>
      </c>
      <c r="R178" s="21">
        <f t="shared" si="21"/>
        <v>139.92767951251295</v>
      </c>
      <c r="S178" s="376">
        <f t="shared" si="28"/>
        <v>138.30209333689447</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427</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4078</v>
      </c>
      <c r="M180" s="388">
        <f>SUMIFS(Adjustments!$G:$G,Adjustments!$H:$H,"4",Adjustments!$I:$I,'Schedule 4 Adjustments'!$L$14,Adjustments!$J:$J,'Schedule 4 Adjustments'!$A180)</f>
        <v>-1847</v>
      </c>
      <c r="N180" s="380">
        <f t="shared" si="25"/>
        <v>2231</v>
      </c>
      <c r="O180" s="410">
        <v>0</v>
      </c>
      <c r="P180" s="47">
        <f t="shared" si="26"/>
        <v>0</v>
      </c>
      <c r="Q180" s="378">
        <f t="shared" si="27"/>
        <v>0</v>
      </c>
      <c r="R180" s="21">
        <f t="shared" si="21"/>
        <v>0</v>
      </c>
      <c r="S180" s="376">
        <f t="shared" si="28"/>
        <v>0</v>
      </c>
    </row>
    <row r="181" spans="1:19" s="22" customFormat="1" x14ac:dyDescent="0.35">
      <c r="A181" s="19">
        <v>169</v>
      </c>
      <c r="B181" s="19" t="s">
        <v>98</v>
      </c>
      <c r="C181" s="20" t="s">
        <v>428</v>
      </c>
      <c r="D181" s="116">
        <f>'As-Filed Schedule 4'!D181</f>
        <v>433</v>
      </c>
      <c r="E181" s="388">
        <f>SUMIFS(Adjustments!$G:$G,Adjustments!$H:$H,"4",Adjustments!$I:$I,'Schedule 4 Adjustments'!$D$14,Adjustments!$J:$J,'Schedule 4 Adjustments'!$A181)</f>
        <v>-281</v>
      </c>
      <c r="F181" s="380">
        <f t="shared" si="22"/>
        <v>152</v>
      </c>
      <c r="G181" s="410">
        <v>0.22</v>
      </c>
      <c r="H181" s="47">
        <f t="shared" si="29"/>
        <v>95.26</v>
      </c>
      <c r="I181" s="378">
        <f t="shared" si="23"/>
        <v>33.44</v>
      </c>
      <c r="J181" s="21">
        <f t="shared" si="20"/>
        <v>27.242557073232611</v>
      </c>
      <c r="K181" s="376">
        <f t="shared" si="24"/>
        <v>26.926071269129899</v>
      </c>
      <c r="L181" s="150">
        <f>'As-Filed Schedule 4'!H181</f>
        <v>390</v>
      </c>
      <c r="M181" s="388">
        <f>SUMIFS(Adjustments!$G:$G,Adjustments!$H:$H,"4",Adjustments!$I:$I,'Schedule 4 Adjustments'!$L$14,Adjustments!$J:$J,'Schedule 4 Adjustments'!$A181)</f>
        <v>281</v>
      </c>
      <c r="N181" s="380">
        <f t="shared" si="25"/>
        <v>671</v>
      </c>
      <c r="O181" s="410">
        <v>0.22</v>
      </c>
      <c r="P181" s="47">
        <f t="shared" si="26"/>
        <v>85.8</v>
      </c>
      <c r="Q181" s="378">
        <f t="shared" si="27"/>
        <v>147.62</v>
      </c>
      <c r="R181" s="21">
        <f t="shared" si="21"/>
        <v>27.242557073232611</v>
      </c>
      <c r="S181" s="376">
        <f t="shared" si="28"/>
        <v>26.926071269129899</v>
      </c>
    </row>
    <row r="182" spans="1:19" s="22" customFormat="1" x14ac:dyDescent="0.35">
      <c r="A182" s="19">
        <v>170</v>
      </c>
      <c r="B182" s="19" t="s">
        <v>99</v>
      </c>
      <c r="C182" s="20" t="s">
        <v>429</v>
      </c>
      <c r="D182" s="116">
        <f>'As-Filed Schedule 4'!D182</f>
        <v>78</v>
      </c>
      <c r="E182" s="388">
        <f>SUMIFS(Adjustments!$G:$G,Adjustments!$H:$H,"4",Adjustments!$I:$I,'Schedule 4 Adjustments'!$D$14,Adjustments!$J:$J,'Schedule 4 Adjustments'!$A182)</f>
        <v>-54</v>
      </c>
      <c r="F182" s="380">
        <f t="shared" si="22"/>
        <v>24</v>
      </c>
      <c r="G182" s="410">
        <v>4.4000000000000004</v>
      </c>
      <c r="H182" s="47">
        <f t="shared" si="29"/>
        <v>343.20000000000005</v>
      </c>
      <c r="I182" s="378">
        <f t="shared" si="23"/>
        <v>105.60000000000001</v>
      </c>
      <c r="J182" s="21">
        <f t="shared" si="20"/>
        <v>544.8511414646523</v>
      </c>
      <c r="K182" s="376">
        <f t="shared" si="24"/>
        <v>538.52142538259807</v>
      </c>
      <c r="L182" s="150">
        <f>'As-Filed Schedule 4'!H182</f>
        <v>75</v>
      </c>
      <c r="M182" s="388">
        <f>SUMIFS(Adjustments!$G:$G,Adjustments!$H:$H,"4",Adjustments!$I:$I,'Schedule 4 Adjustments'!$L$14,Adjustments!$J:$J,'Schedule 4 Adjustments'!$A182)</f>
        <v>54</v>
      </c>
      <c r="N182" s="380">
        <f t="shared" si="25"/>
        <v>129</v>
      </c>
      <c r="O182" s="410">
        <v>4.4000000000000004</v>
      </c>
      <c r="P182" s="47">
        <f t="shared" si="26"/>
        <v>330</v>
      </c>
      <c r="Q182" s="378">
        <f t="shared" si="27"/>
        <v>567.6</v>
      </c>
      <c r="R182" s="21">
        <f t="shared" si="21"/>
        <v>544.8511414646523</v>
      </c>
      <c r="S182" s="376">
        <f t="shared" si="28"/>
        <v>538.52142538259807</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126.30640097589665</v>
      </c>
      <c r="K183" s="376">
        <f t="shared" si="24"/>
        <v>124.83905770232954</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116.40001658563024</v>
      </c>
      <c r="S183" s="376">
        <f t="shared" si="28"/>
        <v>115.04775905900956</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92.872353658747542</v>
      </c>
      <c r="K184" s="376">
        <f t="shared" si="24"/>
        <v>91.793424781124656</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45.817027804982118</v>
      </c>
      <c r="S184" s="376">
        <f t="shared" si="28"/>
        <v>45.284756225354833</v>
      </c>
    </row>
    <row r="185" spans="1:19" s="22" customFormat="1" x14ac:dyDescent="0.35">
      <c r="A185" s="19">
        <v>173</v>
      </c>
      <c r="B185" s="19" t="s">
        <v>102</v>
      </c>
      <c r="C185" s="20" t="s">
        <v>430</v>
      </c>
      <c r="D185" s="116">
        <f>'As-Filed Schedule 4'!D185</f>
        <v>10</v>
      </c>
      <c r="E185" s="388">
        <f>SUMIFS(Adjustments!$G:$G,Adjustments!$H:$H,"4",Adjustments!$I:$I,'Schedule 4 Adjustments'!$D$14,Adjustments!$J:$J,'Schedule 4 Adjustments'!$A185)</f>
        <v>-10</v>
      </c>
      <c r="F185" s="380">
        <f t="shared" si="22"/>
        <v>0</v>
      </c>
      <c r="G185" s="410">
        <v>0.75</v>
      </c>
      <c r="H185" s="47">
        <f t="shared" si="29"/>
        <v>7.5</v>
      </c>
      <c r="I185" s="378">
        <f t="shared" si="23"/>
        <v>0</v>
      </c>
      <c r="J185" s="21">
        <f t="shared" si="20"/>
        <v>92.872353658747542</v>
      </c>
      <c r="K185" s="376">
        <f t="shared" si="24"/>
        <v>91.793424781124656</v>
      </c>
      <c r="L185" s="150">
        <f>'As-Filed Schedule 4'!H185</f>
        <v>0</v>
      </c>
      <c r="M185" s="388">
        <f>SUMIFS(Adjustments!$G:$G,Adjustments!$H:$H,"4",Adjustments!$I:$I,'Schedule 4 Adjustments'!$L$14,Adjustments!$J:$J,'Schedule 4 Adjustments'!$A185)</f>
        <v>10</v>
      </c>
      <c r="N185" s="380">
        <f t="shared" si="25"/>
        <v>10</v>
      </c>
      <c r="O185" s="410">
        <v>0.37</v>
      </c>
      <c r="P185" s="47">
        <f t="shared" si="26"/>
        <v>0</v>
      </c>
      <c r="Q185" s="378">
        <f t="shared" si="27"/>
        <v>3.7</v>
      </c>
      <c r="R185" s="21">
        <f t="shared" si="21"/>
        <v>45.817027804982118</v>
      </c>
      <c r="S185" s="376">
        <f t="shared" si="28"/>
        <v>45.284756225354833</v>
      </c>
    </row>
    <row r="186" spans="1:19" s="22" customFormat="1" x14ac:dyDescent="0.35">
      <c r="A186" s="19">
        <v>174</v>
      </c>
      <c r="B186" s="19" t="s">
        <v>103</v>
      </c>
      <c r="C186" s="20" t="s">
        <v>431</v>
      </c>
      <c r="D186" s="116">
        <f>'As-Filed Schedule 4'!D186</f>
        <v>268</v>
      </c>
      <c r="E186" s="388">
        <f>SUMIFS(Adjustments!$G:$G,Adjustments!$H:$H,"4",Adjustments!$I:$I,'Schedule 4 Adjustments'!$D$14,Adjustments!$J:$J,'Schedule 4 Adjustments'!$A186)</f>
        <v>-18</v>
      </c>
      <c r="F186" s="380">
        <f t="shared" si="22"/>
        <v>250</v>
      </c>
      <c r="G186" s="410">
        <v>3.96</v>
      </c>
      <c r="H186" s="47">
        <f t="shared" si="29"/>
        <v>1061.28</v>
      </c>
      <c r="I186" s="378">
        <f t="shared" si="23"/>
        <v>990</v>
      </c>
      <c r="J186" s="21">
        <f t="shared" si="20"/>
        <v>490.36602731818698</v>
      </c>
      <c r="K186" s="376">
        <f t="shared" si="24"/>
        <v>484.66928284433823</v>
      </c>
      <c r="L186" s="150">
        <f>'As-Filed Schedule 4'!H186</f>
        <v>4</v>
      </c>
      <c r="M186" s="388">
        <f>SUMIFS(Adjustments!$G:$G,Adjustments!$H:$H,"4",Adjustments!$I:$I,'Schedule 4 Adjustments'!$L$14,Adjustments!$J:$J,'Schedule 4 Adjustments'!$A186)</f>
        <v>18</v>
      </c>
      <c r="N186" s="380">
        <f t="shared" si="25"/>
        <v>22</v>
      </c>
      <c r="O186" s="410">
        <v>3.96</v>
      </c>
      <c r="P186" s="47">
        <f t="shared" si="26"/>
        <v>15.84</v>
      </c>
      <c r="Q186" s="378">
        <f t="shared" si="27"/>
        <v>87.12</v>
      </c>
      <c r="R186" s="21">
        <f t="shared" si="21"/>
        <v>490.36602731818698</v>
      </c>
      <c r="S186" s="376">
        <f t="shared" si="28"/>
        <v>484.66928284433823</v>
      </c>
    </row>
    <row r="187" spans="1:19" s="22" customFormat="1" x14ac:dyDescent="0.35">
      <c r="A187" s="19">
        <v>175</v>
      </c>
      <c r="B187" s="19" t="s">
        <v>104</v>
      </c>
      <c r="C187" s="20" t="s">
        <v>432</v>
      </c>
      <c r="D187" s="116">
        <f>'As-Filed Schedule 4'!D187</f>
        <v>3</v>
      </c>
      <c r="E187" s="388">
        <f>SUMIFS(Adjustments!$G:$G,Adjustments!$H:$H,"4",Adjustments!$I:$I,'Schedule 4 Adjustments'!$D$14,Adjustments!$J:$J,'Schedule 4 Adjustments'!$A187)</f>
        <v>-1</v>
      </c>
      <c r="F187" s="380">
        <f t="shared" si="22"/>
        <v>2</v>
      </c>
      <c r="G187" s="410">
        <v>3.59</v>
      </c>
      <c r="H187" s="47">
        <f t="shared" si="29"/>
        <v>10.77</v>
      </c>
      <c r="I187" s="378">
        <f t="shared" si="23"/>
        <v>7.18</v>
      </c>
      <c r="J187" s="21">
        <f t="shared" si="20"/>
        <v>444.54899951320488</v>
      </c>
      <c r="K187" s="376">
        <f t="shared" si="24"/>
        <v>439.38452661898333</v>
      </c>
      <c r="L187" s="150">
        <f>'As-Filed Schedule 4'!H187</f>
        <v>542</v>
      </c>
      <c r="M187" s="388">
        <f>SUMIFS(Adjustments!$G:$G,Adjustments!$H:$H,"4",Adjustments!$I:$I,'Schedule 4 Adjustments'!$L$14,Adjustments!$J:$J,'Schedule 4 Adjustments'!$A187)</f>
        <v>1</v>
      </c>
      <c r="N187" s="380">
        <f t="shared" si="25"/>
        <v>543</v>
      </c>
      <c r="O187" s="410">
        <v>3.59</v>
      </c>
      <c r="P187" s="47">
        <f t="shared" si="26"/>
        <v>1945.78</v>
      </c>
      <c r="Q187" s="378">
        <f t="shared" si="27"/>
        <v>1949.37</v>
      </c>
      <c r="R187" s="21">
        <f t="shared" si="21"/>
        <v>444.54899951320488</v>
      </c>
      <c r="S187" s="376">
        <f t="shared" si="28"/>
        <v>439.38452661898333</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1907</v>
      </c>
      <c r="M188" s="388">
        <f>SUMIFS(Adjustments!$G:$G,Adjustments!$H:$H,"4",Adjustments!$I:$I,'Schedule 4 Adjustments'!$L$14,Adjustments!$J:$J,'Schedule 4 Adjustments'!$A188)</f>
        <v>0</v>
      </c>
      <c r="N188" s="380">
        <f t="shared" si="25"/>
        <v>1907</v>
      </c>
      <c r="O188" s="410">
        <v>0</v>
      </c>
      <c r="P188" s="47">
        <f t="shared" si="26"/>
        <v>0</v>
      </c>
      <c r="Q188" s="378">
        <f t="shared" si="27"/>
        <v>0</v>
      </c>
      <c r="R188" s="21">
        <f t="shared" si="21"/>
        <v>0</v>
      </c>
      <c r="S188" s="376">
        <f t="shared" si="28"/>
        <v>0</v>
      </c>
    </row>
    <row r="189" spans="1:19" s="22" customFormat="1" x14ac:dyDescent="0.35">
      <c r="A189" s="19">
        <v>177</v>
      </c>
      <c r="B189" s="19" t="s">
        <v>105</v>
      </c>
      <c r="C189" s="20" t="s">
        <v>433</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35.910643414715715</v>
      </c>
      <c r="K189" s="376">
        <f t="shared" si="24"/>
        <v>35.493457582034864</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35.910643414715715</v>
      </c>
      <c r="S189" s="376">
        <f t="shared" si="28"/>
        <v>35.493457582034864</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8</v>
      </c>
      <c r="F190" s="380">
        <f t="shared" si="22"/>
        <v>8</v>
      </c>
      <c r="G190" s="410">
        <v>3.07</v>
      </c>
      <c r="H190" s="47">
        <f t="shared" si="29"/>
        <v>0</v>
      </c>
      <c r="I190" s="378">
        <f t="shared" si="23"/>
        <v>24.56</v>
      </c>
      <c r="J190" s="21">
        <f t="shared" si="20"/>
        <v>380.15750097647322</v>
      </c>
      <c r="K190" s="376">
        <f t="shared" si="24"/>
        <v>375.74108543740357</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377.68090487890663</v>
      </c>
      <c r="S190" s="376">
        <f t="shared" si="28"/>
        <v>373.29326077657362</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73.059584878214721</v>
      </c>
      <c r="K192" s="376">
        <f t="shared" si="24"/>
        <v>72.210827494484732</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68.106392683081538</v>
      </c>
      <c r="S192" s="376">
        <f t="shared" si="28"/>
        <v>67.315178172824758</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434</v>
      </c>
      <c r="D194" s="116">
        <f>'As-Filed Schedule 4'!D194</f>
        <v>7</v>
      </c>
      <c r="E194" s="388">
        <f>SUMIFS(Adjustments!$G:$G,Adjustments!$H:$H,"4",Adjustments!$I:$I,'Schedule 4 Adjustments'!$D$14,Adjustments!$J:$J,'Schedule 4 Adjustments'!$A194)</f>
        <v>-7</v>
      </c>
      <c r="F194" s="380">
        <f t="shared" si="22"/>
        <v>0</v>
      </c>
      <c r="G194" s="410">
        <v>0.64</v>
      </c>
      <c r="H194" s="47">
        <f t="shared" si="29"/>
        <v>4.4800000000000004</v>
      </c>
      <c r="I194" s="378">
        <f t="shared" si="23"/>
        <v>0</v>
      </c>
      <c r="J194" s="21">
        <f t="shared" si="20"/>
        <v>79.25107512213124</v>
      </c>
      <c r="K194" s="376">
        <f t="shared" si="24"/>
        <v>78.33038914655971</v>
      </c>
      <c r="L194" s="150">
        <f>'As-Filed Schedule 4'!H194</f>
        <v>0</v>
      </c>
      <c r="M194" s="388">
        <f>SUMIFS(Adjustments!$G:$G,Adjustments!$H:$H,"4",Adjustments!$I:$I,'Schedule 4 Adjustments'!$L$14,Adjustments!$J:$J,'Schedule 4 Adjustments'!$A194)</f>
        <v>7</v>
      </c>
      <c r="N194" s="380">
        <f t="shared" si="25"/>
        <v>7</v>
      </c>
      <c r="O194" s="410">
        <v>0.6</v>
      </c>
      <c r="P194" s="47">
        <f t="shared" si="26"/>
        <v>0</v>
      </c>
      <c r="Q194" s="378">
        <f t="shared" si="27"/>
        <v>4.2</v>
      </c>
      <c r="R194" s="21">
        <f t="shared" si="21"/>
        <v>74.297882926998028</v>
      </c>
      <c r="S194" s="376">
        <f t="shared" si="28"/>
        <v>73.434739824899722</v>
      </c>
    </row>
    <row r="195" spans="1:19" s="22" customFormat="1" x14ac:dyDescent="0.35">
      <c r="A195" s="19">
        <v>183</v>
      </c>
      <c r="B195" s="19" t="s">
        <v>109</v>
      </c>
      <c r="C195" s="20" t="s">
        <v>151</v>
      </c>
      <c r="D195" s="116">
        <f>'As-Filed Schedule 4'!D195</f>
        <v>24094</v>
      </c>
      <c r="E195" s="388">
        <f>SUMIFS(Adjustments!$G:$G,Adjustments!$H:$H,"4",Adjustments!$I:$I,'Schedule 4 Adjustments'!$D$14,Adjustments!$J:$J,'Schedule 4 Adjustments'!$A195)</f>
        <v>-10946</v>
      </c>
      <c r="F195" s="380">
        <f t="shared" si="22"/>
        <v>13148</v>
      </c>
      <c r="G195" s="410">
        <v>0.65000000000000013</v>
      </c>
      <c r="H195" s="47">
        <f t="shared" si="29"/>
        <v>15661.100000000004</v>
      </c>
      <c r="I195" s="378">
        <f t="shared" si="23"/>
        <v>8546.2000000000025</v>
      </c>
      <c r="J195" s="21">
        <f t="shared" si="20"/>
        <v>80.489373170914547</v>
      </c>
      <c r="K195" s="376">
        <f t="shared" si="24"/>
        <v>79.554301476974715</v>
      </c>
      <c r="L195" s="150">
        <f>'As-Filed Schedule 4'!H195</f>
        <v>2695</v>
      </c>
      <c r="M195" s="388">
        <f>SUMIFS(Adjustments!$G:$G,Adjustments!$H:$H,"4",Adjustments!$I:$I,'Schedule 4 Adjustments'!$L$14,Adjustments!$J:$J,'Schedule 4 Adjustments'!$A195)</f>
        <v>10946</v>
      </c>
      <c r="N195" s="380">
        <f t="shared" si="25"/>
        <v>13641</v>
      </c>
      <c r="O195" s="410">
        <v>0.59999999999999987</v>
      </c>
      <c r="P195" s="47">
        <f t="shared" si="26"/>
        <v>1616.9999999999995</v>
      </c>
      <c r="Q195" s="378">
        <f t="shared" si="27"/>
        <v>8184.5999999999985</v>
      </c>
      <c r="R195" s="21">
        <f t="shared" si="21"/>
        <v>74.297882926998014</v>
      </c>
      <c r="S195" s="376">
        <f t="shared" si="28"/>
        <v>73.434739824899708</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208457</v>
      </c>
      <c r="E197" s="9">
        <f>SUM(E18:E196)</f>
        <v>-111767</v>
      </c>
      <c r="F197" s="379">
        <f>SUM(F18:F196)</f>
        <v>96690</v>
      </c>
      <c r="G197" s="13"/>
      <c r="H197" s="9">
        <f>SUM(H18:H196)</f>
        <v>320727.75</v>
      </c>
      <c r="I197" s="379">
        <f>SUM(I18:I196)</f>
        <v>170842.83</v>
      </c>
      <c r="L197" s="9">
        <f>SUM(L18:L196)</f>
        <v>113921</v>
      </c>
      <c r="M197" s="9">
        <f t="shared" ref="M197:N197" si="40">SUM(M18:M196)</f>
        <v>132668</v>
      </c>
      <c r="N197" s="9">
        <f t="shared" si="40"/>
        <v>246589</v>
      </c>
      <c r="P197" s="9">
        <f>SUM(P18:P196)</f>
        <v>112135.2</v>
      </c>
      <c r="Q197" s="379">
        <f>SUM(Q18:Q196)</f>
        <v>246846.42000000007</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773</v>
      </c>
      <c r="I1" s="129"/>
    </row>
    <row r="2" spans="1:15" ht="21" x14ac:dyDescent="0.5">
      <c r="A2" s="2" t="s">
        <v>771</v>
      </c>
      <c r="J2" s="40"/>
      <c r="K2" s="40"/>
      <c r="L2" s="40"/>
      <c r="M2" s="40"/>
      <c r="N2" s="40"/>
      <c r="O2" s="40"/>
    </row>
    <row r="3" spans="1:15" ht="21" x14ac:dyDescent="0.5">
      <c r="A3" s="5" t="s">
        <v>866</v>
      </c>
      <c r="I3" s="130"/>
      <c r="J3" s="130"/>
      <c r="K3" s="130"/>
      <c r="L3" s="40"/>
      <c r="M3" s="40"/>
      <c r="N3" s="40"/>
      <c r="O3" s="40"/>
    </row>
    <row r="4" spans="1:15" x14ac:dyDescent="0.35">
      <c r="I4" s="40"/>
      <c r="J4" s="40"/>
      <c r="K4" s="40"/>
      <c r="L4" s="40"/>
      <c r="M4" s="40"/>
      <c r="N4" s="40"/>
      <c r="O4" s="40"/>
    </row>
    <row r="5" spans="1:15" x14ac:dyDescent="0.35">
      <c r="A5" s="1" t="s">
        <v>772</v>
      </c>
      <c r="C5" s="421" t="str">
        <f>Results!$C$6</f>
        <v>SummitStone Health Partners</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513" t="s">
        <v>867</v>
      </c>
      <c r="C9" s="513"/>
      <c r="D9" s="151" t="s">
        <v>868</v>
      </c>
      <c r="E9" s="258" t="s">
        <v>899</v>
      </c>
      <c r="F9" s="259" t="s">
        <v>900</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92" t="s">
        <v>869</v>
      </c>
      <c r="B11" s="593"/>
      <c r="C11" s="593"/>
      <c r="D11" s="593"/>
      <c r="E11" s="593"/>
      <c r="F11" s="594"/>
      <c r="I11" s="128"/>
      <c r="J11" s="128"/>
      <c r="K11" s="128"/>
      <c r="L11" s="128"/>
      <c r="M11" s="128"/>
      <c r="N11" s="128"/>
      <c r="O11" s="128"/>
    </row>
    <row r="12" spans="1:15" s="22" customFormat="1" x14ac:dyDescent="0.35">
      <c r="A12" s="155">
        <v>1</v>
      </c>
      <c r="B12" s="500" t="s">
        <v>870</v>
      </c>
      <c r="C12" s="502"/>
      <c r="D12" s="157">
        <f>'As-Filed Schedule 5'!D12</f>
        <v>34659507.82</v>
      </c>
      <c r="E12" s="388">
        <f>SUMIFS(Adjustments!$G:$G,Adjustments!$H:$H,"5",Adjustments!$I:$I,'Schedule 5 Adjustments'!$D$8,Adjustments!$J:$J,A12)</f>
        <v>0</v>
      </c>
      <c r="F12" s="274">
        <f>SUM(D12:E12)</f>
        <v>34659507.82</v>
      </c>
      <c r="I12" s="140"/>
    </row>
    <row r="13" spans="1:15" s="22" customFormat="1" x14ac:dyDescent="0.35">
      <c r="A13" s="155">
        <v>2</v>
      </c>
      <c r="B13" s="500" t="s">
        <v>871</v>
      </c>
      <c r="C13" s="502"/>
      <c r="D13" s="157">
        <f>'As-Filed Schedule 5'!D13</f>
        <v>1957119.87</v>
      </c>
      <c r="E13" s="388">
        <f>SUMIFS(Adjustments!$G:$G,Adjustments!$H:$H,"5",Adjustments!$I:$I,'Schedule 5 Adjustments'!$D$8,Adjustments!$J:$J,A13)</f>
        <v>0</v>
      </c>
      <c r="F13" s="274">
        <f t="shared" ref="F13:F18" si="0">SUM(D13:E13)</f>
        <v>1957119.87</v>
      </c>
      <c r="I13" s="140"/>
    </row>
    <row r="14" spans="1:15" s="22" customFormat="1" x14ac:dyDescent="0.35">
      <c r="A14" s="155">
        <v>3</v>
      </c>
      <c r="B14" s="173" t="s">
        <v>872</v>
      </c>
      <c r="C14" s="168"/>
      <c r="D14" s="157">
        <f>'As-Filed Schedule 5'!D14</f>
        <v>1012716.57</v>
      </c>
      <c r="E14" s="388">
        <f>SUMIFS(Adjustments!$G:$G,Adjustments!$H:$H,"5",Adjustments!$I:$I,'Schedule 5 Adjustments'!$D$8,Adjustments!$J:$J,A14)</f>
        <v>0</v>
      </c>
      <c r="F14" s="274">
        <f t="shared" si="0"/>
        <v>1012716.57</v>
      </c>
      <c r="I14" s="140"/>
    </row>
    <row r="15" spans="1:15" s="22" customFormat="1" x14ac:dyDescent="0.35">
      <c r="A15" s="155">
        <v>4</v>
      </c>
      <c r="B15" s="173" t="s">
        <v>873</v>
      </c>
      <c r="C15" s="168"/>
      <c r="D15" s="157">
        <f>'As-Filed Schedule 5'!D15</f>
        <v>1073722.03</v>
      </c>
      <c r="E15" s="388">
        <f>SUMIFS(Adjustments!$G:$G,Adjustments!$H:$H,"5",Adjustments!$I:$I,'Schedule 5 Adjustments'!$D$8,Adjustments!$J:$J,A15)</f>
        <v>0</v>
      </c>
      <c r="F15" s="274">
        <f t="shared" si="0"/>
        <v>1073722.03</v>
      </c>
      <c r="I15" s="140"/>
    </row>
    <row r="16" spans="1:15" s="22" customFormat="1" x14ac:dyDescent="0.35">
      <c r="A16" s="155">
        <v>5</v>
      </c>
      <c r="B16" s="173" t="s">
        <v>874</v>
      </c>
      <c r="C16" s="168"/>
      <c r="D16" s="157">
        <f>'As-Filed Schedule 5'!D16</f>
        <v>64768.75</v>
      </c>
      <c r="E16" s="388">
        <f>SUMIFS(Adjustments!$G:$G,Adjustments!$H:$H,"5",Adjustments!$I:$I,'Schedule 5 Adjustments'!$D$8,Adjustments!$J:$J,A16)</f>
        <v>0</v>
      </c>
      <c r="F16" s="274">
        <f t="shared" si="0"/>
        <v>64768.75</v>
      </c>
      <c r="I16" s="140"/>
    </row>
    <row r="17" spans="1:9" s="22" customFormat="1" x14ac:dyDescent="0.35">
      <c r="A17" s="155">
        <v>6</v>
      </c>
      <c r="B17" s="173" t="s">
        <v>875</v>
      </c>
      <c r="C17" s="168"/>
      <c r="D17" s="157">
        <f>'As-Filed Schedule 5'!D17</f>
        <v>-272.39999999999998</v>
      </c>
      <c r="E17" s="388">
        <f>SUMIFS(Adjustments!$G:$G,Adjustments!$H:$H,"5",Adjustments!$I:$I,'Schedule 5 Adjustments'!$D$8,Adjustments!$J:$J,A17)</f>
        <v>0</v>
      </c>
      <c r="F17" s="274">
        <f>SUM(D17:E17)</f>
        <v>-272.39999999999998</v>
      </c>
      <c r="I17" s="140"/>
    </row>
    <row r="18" spans="1:9" s="22" customFormat="1" x14ac:dyDescent="0.35">
      <c r="A18" s="155">
        <v>7</v>
      </c>
      <c r="B18" s="500" t="s">
        <v>876</v>
      </c>
      <c r="C18" s="502"/>
      <c r="D18" s="157">
        <f>'As-Filed Schedule 5'!D18</f>
        <v>45</v>
      </c>
      <c r="E18" s="388">
        <f>SUMIFS(Adjustments!$G:$G,Adjustments!$H:$H,"5",Adjustments!$I:$I,'Schedule 5 Adjustments'!$D$8,Adjustments!$J:$J,A18)</f>
        <v>0</v>
      </c>
      <c r="F18" s="274">
        <f t="shared" si="0"/>
        <v>45</v>
      </c>
      <c r="I18" s="140"/>
    </row>
    <row r="19" spans="1:9" s="22" customFormat="1" x14ac:dyDescent="0.35">
      <c r="A19" s="155">
        <v>8</v>
      </c>
      <c r="B19" s="506" t="s">
        <v>877</v>
      </c>
      <c r="C19" s="508"/>
      <c r="D19" s="160">
        <f>SUM(D12:D18)</f>
        <v>38767607.640000001</v>
      </c>
      <c r="E19" s="266">
        <f t="shared" ref="E19:F19" si="1">SUM(E12:E18)</f>
        <v>0</v>
      </c>
      <c r="F19" s="275">
        <f t="shared" si="1"/>
        <v>38767607.640000001</v>
      </c>
      <c r="I19" s="140"/>
    </row>
    <row r="20" spans="1:9" s="22" customFormat="1" x14ac:dyDescent="0.35">
      <c r="A20" s="437"/>
      <c r="B20" s="438"/>
      <c r="C20" s="438"/>
      <c r="D20" s="439"/>
      <c r="E20" s="441"/>
      <c r="F20" s="445"/>
      <c r="I20" s="140"/>
    </row>
    <row r="21" spans="1:9" s="22" customFormat="1" x14ac:dyDescent="0.35">
      <c r="A21" s="592" t="s">
        <v>878</v>
      </c>
      <c r="B21" s="593"/>
      <c r="C21" s="593"/>
      <c r="D21" s="593"/>
      <c r="E21" s="593"/>
      <c r="F21" s="594"/>
      <c r="G21" s="140"/>
      <c r="H21" s="140"/>
      <c r="I21" s="140"/>
    </row>
    <row r="22" spans="1:9" s="22" customFormat="1" x14ac:dyDescent="0.35">
      <c r="A22" s="155">
        <v>9</v>
      </c>
      <c r="B22" s="500" t="s">
        <v>879</v>
      </c>
      <c r="C22" s="502"/>
      <c r="D22" s="157">
        <f>'As-Filed Schedule 5'!D22</f>
        <v>1312829.8</v>
      </c>
      <c r="E22" s="388">
        <f>SUMIFS(Adjustments!$G:$G,Adjustments!$H:$H,"5",Adjustments!$I:$I,'Schedule 5 Adjustments'!$D$8,Adjustments!$J:$J,A22)</f>
        <v>0</v>
      </c>
      <c r="F22" s="274">
        <f>SUM(D22:E22)</f>
        <v>1312829.8</v>
      </c>
      <c r="G22" s="140"/>
      <c r="H22" s="140"/>
      <c r="I22" s="140"/>
    </row>
    <row r="23" spans="1:9" s="22" customFormat="1" x14ac:dyDescent="0.35">
      <c r="A23" s="155">
        <v>10</v>
      </c>
      <c r="B23" s="173" t="s">
        <v>880</v>
      </c>
      <c r="C23" s="168"/>
      <c r="D23" s="157">
        <f>'As-Filed Schedule 5'!D23</f>
        <v>2731813.49</v>
      </c>
      <c r="E23" s="388">
        <f>SUMIFS(Adjustments!$G:$G,Adjustments!$H:$H,"5",Adjustments!$I:$I,'Schedule 5 Adjustments'!$D$8,Adjustments!$J:$J,A23)</f>
        <v>0</v>
      </c>
      <c r="F23" s="274">
        <f t="shared" ref="F23:F26" si="2">SUM(D23:E23)</f>
        <v>2731813.49</v>
      </c>
      <c r="G23" s="140"/>
      <c r="H23" s="140"/>
      <c r="I23" s="140"/>
    </row>
    <row r="24" spans="1:9" s="22" customFormat="1" x14ac:dyDescent="0.35">
      <c r="A24" s="155">
        <v>11</v>
      </c>
      <c r="B24" s="173" t="s">
        <v>881</v>
      </c>
      <c r="C24" s="168"/>
      <c r="D24" s="157">
        <f>'As-Filed Schedule 5'!D24</f>
        <v>11316879.67</v>
      </c>
      <c r="E24" s="388">
        <f>SUMIFS(Adjustments!$G:$G,Adjustments!$H:$H,"5",Adjustments!$I:$I,'Schedule 5 Adjustments'!$D$8,Adjustments!$J:$J,A24)</f>
        <v>0</v>
      </c>
      <c r="F24" s="274">
        <f t="shared" si="2"/>
        <v>11316879.67</v>
      </c>
      <c r="G24" s="140"/>
      <c r="H24" s="140"/>
      <c r="I24" s="140"/>
    </row>
    <row r="25" spans="1:9" s="22" customFormat="1" x14ac:dyDescent="0.35">
      <c r="A25" s="155">
        <v>12</v>
      </c>
      <c r="B25" s="173" t="s">
        <v>882</v>
      </c>
      <c r="C25" s="168"/>
      <c r="D25" s="157">
        <f>'As-Filed Schedule 5'!D25</f>
        <v>20403019.43</v>
      </c>
      <c r="E25" s="388">
        <f>SUMIFS(Adjustments!$G:$G,Adjustments!$H:$H,"5",Adjustments!$I:$I,'Schedule 5 Adjustments'!$D$8,Adjustments!$J:$J,A25)</f>
        <v>0</v>
      </c>
      <c r="F25" s="274">
        <f t="shared" si="2"/>
        <v>20403019.43</v>
      </c>
      <c r="G25" s="140"/>
      <c r="H25" s="140"/>
      <c r="I25" s="140"/>
    </row>
    <row r="26" spans="1:9" s="22" customFormat="1" x14ac:dyDescent="0.35">
      <c r="A26" s="155">
        <v>13</v>
      </c>
      <c r="B26" s="173" t="s">
        <v>883</v>
      </c>
      <c r="C26" s="168"/>
      <c r="D26" s="157">
        <f>'As-Filed Schedule 5'!D26</f>
        <v>75333.47</v>
      </c>
      <c r="E26" s="388">
        <f>SUMIFS(Adjustments!$G:$G,Adjustments!$H:$H,"5",Adjustments!$I:$I,'Schedule 5 Adjustments'!$D$8,Adjustments!$J:$J,A26)</f>
        <v>0</v>
      </c>
      <c r="F26" s="274">
        <f t="shared" si="2"/>
        <v>75333.47</v>
      </c>
      <c r="G26" s="140"/>
      <c r="H26" s="140"/>
      <c r="I26" s="140"/>
    </row>
    <row r="27" spans="1:9" s="22" customFormat="1" x14ac:dyDescent="0.35">
      <c r="A27" s="155">
        <v>14</v>
      </c>
      <c r="B27" s="506" t="s">
        <v>884</v>
      </c>
      <c r="C27" s="508"/>
      <c r="D27" s="160">
        <f>SUM(D22:D26)</f>
        <v>35839875.859999999</v>
      </c>
      <c r="E27" s="266">
        <f>SUM(E22:E26)</f>
        <v>0</v>
      </c>
      <c r="F27" s="275">
        <f t="shared" ref="F27" si="3">SUM(F22:F26)</f>
        <v>35839875.859999999</v>
      </c>
      <c r="G27" s="140"/>
      <c r="H27" s="140"/>
      <c r="I27" s="140"/>
    </row>
    <row r="28" spans="1:9" s="22" customFormat="1" x14ac:dyDescent="0.35">
      <c r="A28" s="437"/>
      <c r="B28" s="438"/>
      <c r="C28" s="438"/>
      <c r="D28" s="439"/>
      <c r="E28" s="441"/>
      <c r="F28" s="445"/>
      <c r="H28" s="140"/>
      <c r="I28" s="140"/>
    </row>
    <row r="29" spans="1:9" s="22" customFormat="1" x14ac:dyDescent="0.35">
      <c r="A29" s="592" t="s">
        <v>885</v>
      </c>
      <c r="B29" s="593"/>
      <c r="C29" s="593"/>
      <c r="D29" s="593"/>
      <c r="E29" s="593"/>
      <c r="F29" s="594"/>
      <c r="H29" s="140"/>
      <c r="I29" s="140"/>
    </row>
    <row r="30" spans="1:9" s="22" customFormat="1" x14ac:dyDescent="0.35">
      <c r="A30" s="440">
        <v>15</v>
      </c>
      <c r="B30" s="595" t="s">
        <v>886</v>
      </c>
      <c r="C30" s="597"/>
      <c r="D30" s="157">
        <f>'As-Filed Schedule 5'!D30</f>
        <v>142787.60999999999</v>
      </c>
      <c r="E30" s="388">
        <f>SUMIFS(Adjustments!$G:$G,Adjustments!$H:$H,"5",Adjustments!$I:$I,'Schedule 5 Adjustments'!$D$8,Adjustments!$J:$J,A30)</f>
        <v>0</v>
      </c>
      <c r="F30" s="274">
        <f t="shared" ref="F30:F34" si="4">SUM(D30:E30)</f>
        <v>142787.60999999999</v>
      </c>
      <c r="I30" s="140"/>
    </row>
    <row r="31" spans="1:9" s="22" customFormat="1" x14ac:dyDescent="0.35">
      <c r="A31" s="155">
        <v>16</v>
      </c>
      <c r="B31" s="173" t="s">
        <v>887</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888</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889</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890</v>
      </c>
      <c r="C34" s="168"/>
      <c r="D34" s="157">
        <f>'As-Filed Schedule 5'!D34</f>
        <v>283405.07</v>
      </c>
      <c r="E34" s="388">
        <f>SUMIFS(Adjustments!$G:$G,Adjustments!$H:$H,"5",Adjustments!$I:$I,'Schedule 5 Adjustments'!$D$8,Adjustments!$J:$J,A34)</f>
        <v>0</v>
      </c>
      <c r="F34" s="274">
        <f t="shared" si="4"/>
        <v>283405.07</v>
      </c>
      <c r="I34" s="140"/>
    </row>
    <row r="35" spans="1:9" s="22" customFormat="1" x14ac:dyDescent="0.35">
      <c r="A35" s="155">
        <v>20</v>
      </c>
      <c r="B35" s="506" t="s">
        <v>891</v>
      </c>
      <c r="C35" s="508"/>
      <c r="D35" s="160">
        <f>SUM(D30:D34)</f>
        <v>426192.68</v>
      </c>
      <c r="E35" s="266">
        <f t="shared" ref="E35:F35" si="5">SUM(E30:E34)</f>
        <v>0</v>
      </c>
      <c r="F35" s="275">
        <f t="shared" si="5"/>
        <v>426192.68</v>
      </c>
      <c r="I35" s="140"/>
    </row>
    <row r="36" spans="1:9" s="22" customFormat="1" x14ac:dyDescent="0.35">
      <c r="A36" s="437"/>
      <c r="B36" s="438"/>
      <c r="C36" s="438"/>
      <c r="D36" s="439"/>
      <c r="E36" s="441"/>
      <c r="F36" s="445"/>
      <c r="I36" s="140"/>
    </row>
    <row r="37" spans="1:9" s="22" customFormat="1" x14ac:dyDescent="0.35">
      <c r="A37" s="592" t="s">
        <v>892</v>
      </c>
      <c r="B37" s="593"/>
      <c r="C37" s="593"/>
      <c r="D37" s="593"/>
      <c r="E37" s="593"/>
      <c r="F37" s="594"/>
      <c r="I37" s="140"/>
    </row>
    <row r="38" spans="1:9" s="22" customFormat="1" x14ac:dyDescent="0.35">
      <c r="A38" s="440">
        <v>21</v>
      </c>
      <c r="B38" s="595" t="s">
        <v>304</v>
      </c>
      <c r="C38" s="596"/>
      <c r="D38" s="157">
        <f>'As-Filed Schedule 5'!D38</f>
        <v>464931.48</v>
      </c>
      <c r="E38" s="388">
        <f>SUMIFS(Adjustments!$G:$G,Adjustments!$H:$H,"5",Adjustments!$I:$I,'Schedule 5 Adjustments'!$D$8,Adjustments!$J:$J,A38)</f>
        <v>0</v>
      </c>
      <c r="F38" s="274">
        <f t="shared" ref="F38" si="6">SUM(D38:E38)</f>
        <v>464931.48</v>
      </c>
      <c r="I38" s="140"/>
    </row>
    <row r="39" spans="1:9" s="22" customFormat="1" x14ac:dyDescent="0.35">
      <c r="A39" s="155">
        <v>22</v>
      </c>
      <c r="B39" s="500" t="s">
        <v>893</v>
      </c>
      <c r="C39" s="501"/>
      <c r="D39" s="157">
        <f>'As-Filed Schedule 5'!D39</f>
        <v>13852.5</v>
      </c>
      <c r="E39" s="388">
        <f>SUMIFS(Adjustments!$G:$G,Adjustments!$H:$H,"5",Adjustments!$I:$I,'Schedule 5 Adjustments'!$D$8,Adjustments!$J:$J,A39)</f>
        <v>0</v>
      </c>
      <c r="F39" s="274">
        <f>SUM(D39:E39)</f>
        <v>13852.5</v>
      </c>
      <c r="I39" s="140"/>
    </row>
    <row r="40" spans="1:9" s="22" customFormat="1" x14ac:dyDescent="0.35">
      <c r="A40" s="155">
        <v>23</v>
      </c>
      <c r="B40" s="500" t="s">
        <v>894</v>
      </c>
      <c r="C40" s="501"/>
      <c r="D40" s="157">
        <f>'As-Filed Schedule 5'!D40</f>
        <v>134808.85999999999</v>
      </c>
      <c r="E40" s="388">
        <f>SUMIFS(Adjustments!$G:$G,Adjustments!$H:$H,"5",Adjustments!$I:$I,'Schedule 5 Adjustments'!$D$8,Adjustments!$J:$J,A40)</f>
        <v>0</v>
      </c>
      <c r="F40" s="274">
        <f>SUM(D40:E40)</f>
        <v>134808.85999999999</v>
      </c>
      <c r="I40" s="140"/>
    </row>
    <row r="41" spans="1:9" s="22" customFormat="1" x14ac:dyDescent="0.35">
      <c r="A41" s="155">
        <v>24</v>
      </c>
      <c r="B41" s="506" t="s">
        <v>895</v>
      </c>
      <c r="C41" s="507"/>
      <c r="D41" s="160">
        <f>SUM(D38:D40)</f>
        <v>613592.84</v>
      </c>
      <c r="E41" s="266">
        <f t="shared" ref="E41:F41" si="7">SUM(E38:E40)</f>
        <v>0</v>
      </c>
      <c r="F41" s="275">
        <f t="shared" si="7"/>
        <v>613592.84</v>
      </c>
      <c r="I41" s="140"/>
    </row>
    <row r="42" spans="1:9" s="22" customFormat="1" x14ac:dyDescent="0.35">
      <c r="A42" s="161"/>
      <c r="B42" s="162"/>
      <c r="C42" s="162"/>
      <c r="D42" s="164"/>
      <c r="E42" s="441"/>
      <c r="F42" s="445"/>
      <c r="I42" s="140"/>
    </row>
    <row r="43" spans="1:9" s="63" customFormat="1" ht="15.5" x14ac:dyDescent="0.35">
      <c r="A43" s="155">
        <v>25</v>
      </c>
      <c r="B43" s="503" t="s">
        <v>896</v>
      </c>
      <c r="C43" s="505"/>
      <c r="D43" s="169">
        <f>SUM(D19,D27,D35,D41)</f>
        <v>75647269.020000011</v>
      </c>
      <c r="E43" s="442">
        <f t="shared" ref="E43" si="8">SUM(E19,E27,E35,E41)</f>
        <v>0</v>
      </c>
      <c r="F43" s="446">
        <f>SUM(F19,F27,F35,F41)</f>
        <v>75647269.020000011</v>
      </c>
      <c r="I43" s="141"/>
    </row>
    <row r="44" spans="1:9" s="22" customFormat="1" x14ac:dyDescent="0.35">
      <c r="A44" s="170"/>
      <c r="B44" s="170"/>
      <c r="C44" s="170"/>
      <c r="D44" s="170"/>
      <c r="E44" s="265"/>
      <c r="F44" s="140"/>
      <c r="I44" s="140"/>
    </row>
    <row r="45" spans="1:9" s="22" customFormat="1" x14ac:dyDescent="0.35">
      <c r="A45" s="155">
        <v>26</v>
      </c>
      <c r="B45" s="499" t="s">
        <v>897</v>
      </c>
      <c r="C45" s="499"/>
      <c r="D45" s="157">
        <f>'As-Filed Schedule 5'!D45</f>
        <v>0</v>
      </c>
      <c r="E45" s="443"/>
      <c r="F45" s="274">
        <f>'As-Filed Schedule 5'!D45</f>
        <v>0</v>
      </c>
      <c r="I45" s="140"/>
    </row>
    <row r="46" spans="1:9" s="22" customFormat="1" ht="15.5" x14ac:dyDescent="0.35">
      <c r="A46" s="155">
        <v>27</v>
      </c>
      <c r="B46" s="499" t="s">
        <v>10</v>
      </c>
      <c r="C46" s="499"/>
      <c r="D46" s="169">
        <f>D43-D45</f>
        <v>75647269.020000011</v>
      </c>
      <c r="E46" s="444"/>
      <c r="F46" s="446">
        <f>F43-F45</f>
        <v>75647269.020000011</v>
      </c>
      <c r="G46" s="33" t="str">
        <f>IF(ABS(D46)&gt;1,"Error - This variance should be 0.","")</f>
        <v>Error - This variance should be 0.</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10.2</vt:lpwstr>
  </property>
</Properties>
</file>